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consultbai.local\documents\ProlawDocs\MMC\10675\"/>
    </mc:Choice>
  </mc:AlternateContent>
  <bookViews>
    <workbookView xWindow="0" yWindow="0" windowWidth="21600" windowHeight="9330" tabRatio="919"/>
  </bookViews>
  <sheets>
    <sheet name="CCW-1 pgs 1-3" sheetId="29" r:id="rId1"/>
    <sheet name="CCW-1 pg 4" sheetId="46" r:id="rId2"/>
    <sheet name="CCW-1 pg 5" sheetId="50" r:id="rId3"/>
    <sheet name="CCW-1 pg 6" sheetId="61" r:id="rId4"/>
    <sheet name="CCW-1 pg 7" sheetId="49" r:id="rId5"/>
    <sheet name="Electric -x" sheetId="30" state="hidden" r:id="rId6"/>
    <sheet name="pg 1 -Gas" sheetId="17" state="hidden" r:id="rId7"/>
    <sheet name="pg 2 - Gas" sheetId="37" state="hidden" r:id="rId8"/>
    <sheet name=" 3 -Gas" sheetId="51" state="hidden" r:id="rId9"/>
    <sheet name="pg 4 -Gas" sheetId="52" state="hidden" r:id="rId10"/>
    <sheet name="pg 5 -Gas" sheetId="62" state="hidden" r:id="rId11"/>
    <sheet name="Gas - x" sheetId="26" state="hidden" r:id="rId12"/>
    <sheet name="Water -1" sheetId="53" state="hidden" r:id="rId13"/>
    <sheet name="Water -2" sheetId="63" state="hidden" r:id="rId14"/>
    <sheet name="Water -3" sheetId="54" state="hidden" r:id="rId15"/>
    <sheet name="Water -4" sheetId="55" state="hidden" r:id="rId16"/>
    <sheet name="Water -x" sheetId="64" state="hidden" r:id="rId17"/>
    <sheet name="P-E Ratio (WP)" sheetId="2" r:id="rId18"/>
    <sheet name="MP-CF (WP)" sheetId="3" r:id="rId19"/>
    <sheet name="MP-BV (WP)" sheetId="15" r:id="rId20"/>
    <sheet name="DIV-MP (WP)" sheetId="38" r:id="rId21"/>
    <sheet name="DIV-BV (WP)" sheetId="22" r:id="rId22"/>
    <sheet name="DIV-Earnings (WP)" sheetId="23" r:id="rId23"/>
    <sheet name="CF-Cap Spend (WP)" sheetId="24" r:id="rId24"/>
    <sheet name="CapSpendCashFlow" sheetId="48" r:id="rId25"/>
    <sheet name="2018 Data (WP)" sheetId="10" r:id="rId26"/>
    <sheet name="2017" sheetId="21" r:id="rId27"/>
    <sheet name="2016" sheetId="59" r:id="rId28"/>
    <sheet name="Sheet2" sheetId="60" r:id="rId29"/>
    <sheet name="MP" sheetId="13" r:id="rId30"/>
    <sheet name="CF" sheetId="11" r:id="rId31"/>
    <sheet name="EPS" sheetId="19" r:id="rId32"/>
    <sheet name="DIV" sheetId="18" r:id="rId33"/>
    <sheet name="CapS" sheetId="20" r:id="rId34"/>
    <sheet name="BV" sheetId="14" r:id="rId35"/>
    <sheet name="Annual Yields (WP)" sheetId="39" r:id="rId36"/>
    <sheet name="Implied Inflation" sheetId="56" r:id="rId37"/>
    <sheet name="FRED 20 yr TIPS monthly" sheetId="57" r:id="rId38"/>
    <sheet name="Treas 20 yr" sheetId="58" r:id="rId39"/>
  </sheets>
  <externalReferences>
    <externalReference r:id="rId40"/>
    <externalReference r:id="rId41"/>
  </externalReferences>
  <definedNames>
    <definedName name="_xlnm._FilterDatabase" localSheetId="27" hidden="1">'2016'!$A$4:$Q$73</definedName>
    <definedName name="_xlnm._FilterDatabase" localSheetId="26" hidden="1">'2017'!$A$4:$AB$75</definedName>
    <definedName name="_xlnm._FilterDatabase" localSheetId="25" hidden="1">'2018 Data (WP)'!$A$8:$AK$74</definedName>
    <definedName name="_xlnm._FilterDatabase" localSheetId="34" hidden="1">BV!$A$3:$N$73</definedName>
    <definedName name="_xlnm._FilterDatabase" localSheetId="33" hidden="1">CapS!$A$3:$N$72</definedName>
    <definedName name="_xlnm._FilterDatabase" localSheetId="24" hidden="1">CapSpendCashFlow!$A$3:$J$71</definedName>
    <definedName name="_xlnm._FilterDatabase" localSheetId="30" hidden="1">CF!$A$3:$N$73</definedName>
    <definedName name="_xlnm._FilterDatabase" localSheetId="23" hidden="1">'CF-Cap Spend (WP)'!$A$4:$T$78</definedName>
    <definedName name="_xlnm._FilterDatabase" localSheetId="32" hidden="1">DIV!$A$3:$N$72</definedName>
    <definedName name="_xlnm._FilterDatabase" localSheetId="21" hidden="1">'DIV-BV (WP)'!$A$4:$T$79</definedName>
    <definedName name="_xlnm._FilterDatabase" localSheetId="22" hidden="1">'DIV-Earnings (WP)'!$A$4:$T$78</definedName>
    <definedName name="_xlnm._FilterDatabase" localSheetId="20" hidden="1">'DIV-MP (WP)'!$A$4:$T$78</definedName>
    <definedName name="_xlnm._FilterDatabase" localSheetId="31" hidden="1">EPS!$A$3:$N$72</definedName>
    <definedName name="_xlnm._FilterDatabase" localSheetId="29" hidden="1">MP!$A$3:$N$73</definedName>
    <definedName name="_xlnm._FilterDatabase" localSheetId="19" hidden="1">'MP-BV (WP)'!$A$4:$U$78</definedName>
    <definedName name="_xlnm._FilterDatabase" localSheetId="18" hidden="1">'MP-CF (WP)'!$A$4:$U$78</definedName>
    <definedName name="_xlnm._FilterDatabase" localSheetId="17" hidden="1">'P-E Ratio (WP)'!$A$4:$S$79</definedName>
    <definedName name="_Key1" localSheetId="27" hidden="1">#REF!</definedName>
    <definedName name="_Key1" localSheetId="3" hidden="1">#REF!</definedName>
    <definedName name="_Key1" localSheetId="36" hidden="1">#REF!</definedName>
    <definedName name="_Key1" localSheetId="10" hidden="1">#REF!</definedName>
    <definedName name="_Key1" hidden="1">#REF!</definedName>
    <definedName name="_Key2" localSheetId="27" hidden="1">#REF!</definedName>
    <definedName name="_Key2" localSheetId="3" hidden="1">#REF!</definedName>
    <definedName name="_Key2" localSheetId="36" hidden="1">#REF!</definedName>
    <definedName name="_Key2" localSheetId="10" hidden="1">#REF!</definedName>
    <definedName name="_Key2" hidden="1">#REF!</definedName>
    <definedName name="_Order1" hidden="1">255</definedName>
    <definedName name="_Order2" hidden="1">255</definedName>
    <definedName name="_Regression_Out" localSheetId="27" hidden="1">#REF!</definedName>
    <definedName name="_Regression_Out" localSheetId="3" hidden="1">#REF!</definedName>
    <definedName name="_Regression_Out" localSheetId="36" hidden="1">#REF!</definedName>
    <definedName name="_Regression_Out" localSheetId="10" hidden="1">#REF!</definedName>
    <definedName name="_Regression_Out" hidden="1">#REF!</definedName>
    <definedName name="_Regression_X" localSheetId="27" hidden="1">#REF!</definedName>
    <definedName name="_Regression_X" localSheetId="3" hidden="1">#REF!</definedName>
    <definedName name="_Regression_X" localSheetId="36" hidden="1">#REF!</definedName>
    <definedName name="_Regression_X" localSheetId="10" hidden="1">#REF!</definedName>
    <definedName name="_Regression_X" hidden="1">#REF!</definedName>
    <definedName name="_Regression_Y" localSheetId="27" hidden="1">#REF!</definedName>
    <definedName name="_Regression_Y" localSheetId="3" hidden="1">#REF!</definedName>
    <definedName name="_Regression_Y" localSheetId="36" hidden="1">#REF!</definedName>
    <definedName name="_Regression_Y" localSheetId="10" hidden="1">#REF!</definedName>
    <definedName name="_Regression_Y" hidden="1">#REF!</definedName>
    <definedName name="_Sort" localSheetId="27" hidden="1">#REF!</definedName>
    <definedName name="_Sort" localSheetId="3" hidden="1">#REF!</definedName>
    <definedName name="_Sort" localSheetId="36" hidden="1">#REF!</definedName>
    <definedName name="_Sort" localSheetId="10" hidden="1">#REF!</definedName>
    <definedName name="_Sort" hidden="1">#REF!</definedName>
    <definedName name="BookValue">BV!$B$3:$M$86</definedName>
    <definedName name="CapCash">CapSpendCashFlow!$A$1:$J$100</definedName>
    <definedName name="CapCashTic">CapSpendCashFlow!$B$1:$B$100</definedName>
    <definedName name="CapSpending">CapS!$B$3:$M$85</definedName>
    <definedName name="CashFlow">CF!$B$3:$M$86</definedName>
    <definedName name="CF_CAP_WP">'CF-Cap Spend (WP)'!$B$4:$Q$86</definedName>
    <definedName name="DIV_BV_WP">'DIV-BV (WP)'!$B$4:$Q$87</definedName>
    <definedName name="DIV_EARN_WP">'DIV-Earnings (WP)'!$B$4:$Q$89</definedName>
    <definedName name="DIV_MP_WP">'DIV-MP (WP)'!$B$4:$Q$89</definedName>
    <definedName name="Dividends">DIV!$B$3:$M$86</definedName>
    <definedName name="Earnings">EPS!$B$3:$M$86</definedName>
    <definedName name="ElectricU">'CCW-1 pgs 1-3'!$C$1</definedName>
    <definedName name="EV__LASTREFTIME__" hidden="1">39198.5712152778</definedName>
    <definedName name="GasU">'pg 1 -Gas'!$C$1</definedName>
    <definedName name="HTML_CodePage" hidden="1">1252</definedName>
    <definedName name="HTML_Control" hidden="1">{"'Sheet1'!$A$1:$O$40"}</definedName>
    <definedName name="HTML_Description" hidden="1">""</definedName>
    <definedName name="HTML_Email" hidden="1">""</definedName>
    <definedName name="HTML_Header" hidden="1">"Sheet1"</definedName>
    <definedName name="HTML_LastUpdate" hidden="1">"2/5/99"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Mac" hidden="1">"Macintosh HD:HomePageStuff:pc:datasets:implprem.html"</definedName>
    <definedName name="HTML_Title" hidden="1">"S&amp;P Implied Equity Premiums"</definedName>
    <definedName name="HTML1_1" hidden="1">"[RiskPremiumUS]Sheet1!$A$1:$M$38"</definedName>
    <definedName name="HTML1_10" hidden="1">""</definedName>
    <definedName name="HTML1_11" hidden="1">1</definedName>
    <definedName name="HTML1_12" hidden="1">"Zip 100:New_Home_Page:datafile:implpr.html"</definedName>
    <definedName name="HTML1_2" hidden="1">1</definedName>
    <definedName name="HTML1_3" hidden="1">"RiskPremiumUS"</definedName>
    <definedName name="HTML1_4" hidden="1">"Implied Risk Premiums for US"</definedName>
    <definedName name="HTML1_5" hidden="1">""</definedName>
    <definedName name="HTML1_6" hidden="1">-4146</definedName>
    <definedName name="HTML1_7" hidden="1">-4146</definedName>
    <definedName name="HTML1_8" hidden="1">"3/19/97"</definedName>
    <definedName name="HTML1_9" hidden="1">"Aswath Damodaran"</definedName>
    <definedName name="HTMLCount" hidden="1">1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DITIONAL_NON_INT_INC_FDIC" hidden="1">"c6574"</definedName>
    <definedName name="IQ_ADJ_AVG_BANK_ASSETS" hidden="1">"c2671"</definedName>
    <definedName name="IQ_ADJUSTABLE_RATE_LOANS_FDIC" hidden="1">"c6375"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"c1591"</definedName>
    <definedName name="IQ_AMORTIZED_COST_FDIC" hidden="1">"c6426"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HELD_FDIC" hidden="1">"c6305"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BROKER_REC_NO_REUT" hidden="1">"c5315"</definedName>
    <definedName name="IQ_AVG_BROKER_REC_REUT" hidden="1">"c3630"</definedName>
    <definedName name="IQ_AVG_DAILY_VOL" hidden="1">"c65"</definedName>
    <definedName name="IQ_AVG_EMPLOYEES" hidden="1">"c6019"</definedName>
    <definedName name="IQ_AVG_INDUSTRY_REC" hidden="1">"c4455"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MP_EMPLOYEES" hidden="1">"c6020"</definedName>
    <definedName name="IQ_AVG_TEV" hidden="1">"c84"</definedName>
    <definedName name="IQ_AVG_VOLUME" hidden="1">"c1346"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ROK_COMMISSION" hidden="1">"c3514"</definedName>
    <definedName name="IQ_BROKERED_DEPOSITS_FDIC" hidden="1">"c6486"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Q_EST" hidden="1">"c6796"</definedName>
    <definedName name="IQ_CAL_Q_EST_REUT" hidden="1">"c6800"</definedName>
    <definedName name="IQ_CAL_Y" hidden="1">"c102"</definedName>
    <definedName name="IQ_CAL_Y_EST" hidden="1">"c6797"</definedName>
    <definedName name="IQ_CAL_Y_EST_REUT" hidden="1">"c6801"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DIVIDENDS_NET_INCOME_FDIC" hidden="1">"c6738"</definedName>
    <definedName name="IQ_CASH_DUE_BANKS" hidden="1">"c1351"</definedName>
    <definedName name="IQ_CASH_EQUIV" hidden="1">"c118"</definedName>
    <definedName name="IQ_CASH_FINAN" hidden="1">"c119"</definedName>
    <definedName name="IQ_CASH_FLOW_ACT_OR_EST" hidden="1">"c4154"</definedName>
    <definedName name="IQ_CASH_IN_PROCESS_FDIC" hidden="1">"c6386"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OPER" hidden="1">"c6293"</definedName>
    <definedName name="IQ_CASH_INVEST" hidden="1">"c121"</definedName>
    <definedName name="IQ_CASH_OPER" hidden="1">"c122"</definedName>
    <definedName name="IQ_CASH_OPER_ACT_OR_EST" hidden="1">"c4164"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CE_FDIC" hidden="1">"c6296"</definedName>
    <definedName name="IQ_CDS_ASK" hidden="1">"c6027"</definedName>
    <definedName name="IQ_CDS_BID" hidden="1">"c6026"</definedName>
    <definedName name="IQ_CDS_CURRENCY" hidden="1">"c6031"</definedName>
    <definedName name="IQ_CDS_EVAL_DATE" hidden="1">"c6029"</definedName>
    <definedName name="IQ_CDS_MID" hidden="1">"c6028"</definedName>
    <definedName name="IQ_CDS_NAME" hidden="1">"c6034"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H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MO_FDIC" hidden="1">"c6406"</definedName>
    <definedName name="IQ_COGS" hidden="1">"c175"</definedName>
    <definedName name="IQ_COLLECTION_DOMESTIC_FDIC" hidden="1">"c6387"</definedName>
    <definedName name="IQ_COMBINED_RATIO" hidden="1">"c176"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UMER_LOANS" hidden="1">"c223"</definedName>
    <definedName name="IQ_CONTRACTS_OTHER_COMMODITIES_EQUITIES._FDIC" hidden="1">"c6522"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ST_BORROWING" hidden="1">"c2936"</definedName>
    <definedName name="IQ_COST_BORROWINGS" hidden="1">"c225"</definedName>
    <definedName name="IQ_COST_OF_FUNDING_ASSETS_FDIC" hidden="1">"c6725"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CHARGE_OFFS_FDIC" hidden="1">"c6652"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CF" hidden="1">"c232"</definedName>
    <definedName name="IQ_CREDIT_LOSS_PROVISION_NET_CHARGE_OFFS_FDIC" hidden="1">"c6734"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ILY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S_FDIC" hidden="1">"c6523"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NB_OTHER_EXP_INC_TAX_US" hidden="1">"c6787"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URATION" hidden="1">"c2181"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REUT" hidden="1">"c5314"</definedName>
    <definedName name="IQ_EARNINGS_COVERAGE_NET_CHARGE_OFFS_FDIC" hidden="1">"c6735"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EQ_INC" hidden="1">"c3498"</definedName>
    <definedName name="IQ_EBIT_EQ_INC_EXCL_SBC" hidden="1">"c3502"</definedName>
    <definedName name="IQ_EBIT_EXCL_SBC" hidden="1">"c3082"</definedName>
    <definedName name="IQ_EBIT_GW_ACT_OR_EST" hidden="1">"c4306"</definedName>
    <definedName name="IQ_EBIT_INT" hidden="1">"c360"</definedName>
    <definedName name="IQ_EBIT_MARGIN" hidden="1">"c359"</definedName>
    <definedName name="IQ_EBIT_OVER_IE" hidden="1">"c1369"</definedName>
    <definedName name="IQ_EBIT_SBC_ACT_OR_EST" hidden="1">"c4316"</definedName>
    <definedName name="IQ_EBIT_SBC_GW_ACT_OR_EST" hidden="1">"c4320"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REUT" hidden="1">"c3640"</definedName>
    <definedName name="IQ_EBITDA_EXCL_SBC" hidden="1">"c3081"</definedName>
    <definedName name="IQ_EBITDA_HIGH_EST" hidden="1">"c370"</definedName>
    <definedName name="IQ_EBITDA_HIGH_EST_REUT" hidden="1">"c3642"</definedName>
    <definedName name="IQ_EBITDA_INT" hidden="1">"c373"</definedName>
    <definedName name="IQ_EBITDA_LOW_EST" hidden="1">"c371"</definedName>
    <definedName name="IQ_EBITDA_LOW_EST_REUT" hidden="1">"c3643"</definedName>
    <definedName name="IQ_EBITDA_MARGIN" hidden="1">"c372"</definedName>
    <definedName name="IQ_EBITDA_MEDIAN_EST" hidden="1">"c1663"</definedName>
    <definedName name="IQ_EBITDA_MEDIAN_EST_REUT" hidden="1">"c3641"</definedName>
    <definedName name="IQ_EBITDA_NUM_EST" hidden="1">"c374"</definedName>
    <definedName name="IQ_EBITDA_NUM_EST_REUT" hidden="1">"c3644"</definedName>
    <definedName name="IQ_EBITDA_OVER_TOTAL_IE" hidden="1">"c1371"</definedName>
    <definedName name="IQ_EBITDA_SBC_ACT_OR_EST" hidden="1">"c4337"</definedName>
    <definedName name="IQ_EBITDA_STDDEV_EST" hidden="1">"c375"</definedName>
    <definedName name="IQ_EBITDA_STDDEV_EST_REUT" hidden="1">"c3645"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" hidden="1">"c6215"</definedName>
    <definedName name="IQ_EBT_REIT" hidden="1">"c389"</definedName>
    <definedName name="IQ_EBT_SBC_ACT_OR_EST" hidden="1">"c4350"</definedName>
    <definedName name="IQ_EBT_SBC_GW_ACT_OR_EST" hidden="1">"c4354"</definedName>
    <definedName name="IQ_EBT_UTI" hidden="1">"c390"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ICIENCY_RATIO" hidden="1">"c391"</definedName>
    <definedName name="IQ_EFFICIENCY_RATIO_FDIC" hidden="1">"c6736"</definedName>
    <definedName name="IQ_EMPLOYEES" hidden="1">"c392"</definedName>
    <definedName name="IQ_ENTERPRISE_VALUE" hidden="1">"c1348"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EST" hidden="1">"c399"</definedName>
    <definedName name="IQ_EPS_EST_REUT" hidden="1">"c5453"</definedName>
    <definedName name="IQ_EPS_GW_EST" hidden="1">"c1737"</definedName>
    <definedName name="IQ_EPS_GW_EST_REUT" hidden="1">"c5389"</definedName>
    <definedName name="IQ_EPS_GW_HIGH_EST" hidden="1">"c1739"</definedName>
    <definedName name="IQ_EPS_GW_HIGH_EST_REUT" hidden="1">"c5391"</definedName>
    <definedName name="IQ_EPS_GW_LOW_EST" hidden="1">"c1740"</definedName>
    <definedName name="IQ_EPS_GW_LOW_EST_REUT" hidden="1">"c5392"</definedName>
    <definedName name="IQ_EPS_GW_MEDIAN_EST" hidden="1">"c1738"</definedName>
    <definedName name="IQ_EPS_GW_MEDIAN_EST_REUT" hidden="1">"c5390"</definedName>
    <definedName name="IQ_EPS_GW_NUM_EST" hidden="1">"c1741"</definedName>
    <definedName name="IQ_EPS_GW_NUM_EST_REUT" hidden="1">"c5393"</definedName>
    <definedName name="IQ_EPS_GW_STDDEV_EST" hidden="1">"c1742"</definedName>
    <definedName name="IQ_EPS_GW_STDDEV_EST_REUT" hidden="1">"c5394"</definedName>
    <definedName name="IQ_EPS_HIGH_EST" hidden="1">"c400"</definedName>
    <definedName name="IQ_EPS_HIGH_EST_REUT" hidden="1">"c5454"</definedName>
    <definedName name="IQ_EPS_LOW_EST" hidden="1">"c401"</definedName>
    <definedName name="IQ_EPS_LOW_EST_REUT" hidden="1">"c5455"</definedName>
    <definedName name="IQ_EPS_MEDIAN_EST" hidden="1">"c1661"</definedName>
    <definedName name="IQ_EPS_MEDIAN_EST_REUT" hidden="1">"c5456"</definedName>
    <definedName name="IQ_EPS_NORM" hidden="1">"c1902"</definedName>
    <definedName name="IQ_EPS_NORM_EST" hidden="1">"c2226"</definedName>
    <definedName name="IQ_EPS_NORM_EST_REUT" hidden="1">"c5326"</definedName>
    <definedName name="IQ_EPS_NORM_HIGH_EST" hidden="1">"c2228"</definedName>
    <definedName name="IQ_EPS_NORM_HIGH_EST_REUT" hidden="1">"c5328"</definedName>
    <definedName name="IQ_EPS_NORM_LOW_EST" hidden="1">"c2229"</definedName>
    <definedName name="IQ_EPS_NORM_LOW_EST_REUT" hidden="1">"c5329"</definedName>
    <definedName name="IQ_EPS_NORM_MEDIAN_EST" hidden="1">"c2227"</definedName>
    <definedName name="IQ_EPS_NORM_MEDIAN_EST_REUT" hidden="1">"c5327"</definedName>
    <definedName name="IQ_EPS_NORM_NUM_EST" hidden="1">"c2230"</definedName>
    <definedName name="IQ_EPS_NORM_NUM_EST_REUT" hidden="1">"c5330"</definedName>
    <definedName name="IQ_EPS_NORM_STDDEV_EST" hidden="1">"c2231"</definedName>
    <definedName name="IQ_EPS_NORM_STDDEV_EST_REUT" hidden="1">"c5331"</definedName>
    <definedName name="IQ_EPS_NUM_EST" hidden="1">"c402"</definedName>
    <definedName name="IQ_EPS_NUM_EST_REUT" hidden="1">"c5451"</definedName>
    <definedName name="IQ_EPS_REPORTED_EST" hidden="1">"c1744"</definedName>
    <definedName name="IQ_EPS_REPORTED_EST_REUT" hidden="1">"c5396"</definedName>
    <definedName name="IQ_EPS_REPORTED_HIGH_EST" hidden="1">"c1746"</definedName>
    <definedName name="IQ_EPS_REPORTED_HIGH_EST_REUT" hidden="1">"c5398"</definedName>
    <definedName name="IQ_EPS_REPORTED_LOW_EST" hidden="1">"c1747"</definedName>
    <definedName name="IQ_EPS_REPORTED_LOW_EST_REUT" hidden="1">"c5399"</definedName>
    <definedName name="IQ_EPS_REPORTED_MEDIAN_EST" hidden="1">"c1745"</definedName>
    <definedName name="IQ_EPS_REPORTED_MEDIAN_EST_REUT" hidden="1">"c5397"</definedName>
    <definedName name="IQ_EPS_REPORTED_NUM_EST" hidden="1">"c1748"</definedName>
    <definedName name="IQ_EPS_REPORTED_NUM_EST_REUT" hidden="1">"c5400"</definedName>
    <definedName name="IQ_EPS_REPORTED_STDDEV_EST" hidden="1">"c1749"</definedName>
    <definedName name="IQ_EPS_REPORTED_STDDEV_EST_REUT" hidden="1">"c5401"</definedName>
    <definedName name="IQ_EPS_SBC_ACT_OR_EST" hidden="1">"c4376"</definedName>
    <definedName name="IQ_EPS_SBC_GW_ACT_OR_EST" hidden="1">"c4380"</definedName>
    <definedName name="IQ_EPS_STDDEV_EST" hidden="1">"c403"</definedName>
    <definedName name="IQ_EPS_STDDEV_EST_REUT" hidden="1">"c5452"</definedName>
    <definedName name="IQ_EQUITY_AFFIL" hidden="1">"c1451"</definedName>
    <definedName name="IQ_EQUITY_CAPITAL_ASSETS_FDIC" hidden="1">"c6744"</definedName>
    <definedName name="IQ_EQUITY_FDIC" hidden="1">"c6353"</definedName>
    <definedName name="IQ_EQUITY_METHOD" hidden="1">"c404"</definedName>
    <definedName name="IQ_EQUITY_SECURITIES_FDIC" hidden="1">"c6304"</definedName>
    <definedName name="IQ_EQUITY_SECURITY_EXPOSURES_FDIC" hidden="1">"c6664"</definedName>
    <definedName name="IQ_EQV_OVER_BV" hidden="1">"c1596"</definedName>
    <definedName name="IQ_EQV_OVER_LTM_PRETAX_INC" hidden="1">"c1390"</definedName>
    <definedName name="IQ_ESOP_DEBT" hidden="1">"c1597"</definedName>
    <definedName name="IQ_EST_ACT_EPS_GW" hidden="1">"c1743"</definedName>
    <definedName name="IQ_EST_ACT_EPS_GW_REUT" hidden="1">"c5395"</definedName>
    <definedName name="IQ_EST_ACT_EPS_NORM" hidden="1">"c2232"</definedName>
    <definedName name="IQ_EST_ACT_EPS_NORM_REUT" hidden="1">"c5332"</definedName>
    <definedName name="IQ_EST_ACT_EPS_REPORTED" hidden="1">"c1750"</definedName>
    <definedName name="IQ_EST_ACT_EPS_REPORTED_REUT" hidden="1">"c5402"</definedName>
    <definedName name="IQ_EST_CURRENCY" hidden="1">"c2140"</definedName>
    <definedName name="IQ_EST_CURRENCY_REUT" hidden="1">"c5437"</definedName>
    <definedName name="IQ_EST_DATE" hidden="1">"c1634"</definedName>
    <definedName name="IQ_EST_DATE_REUT" hidden="1">"c5438"</definedName>
    <definedName name="IQ_EST_EPS_GROWTH_1YR" hidden="1">"c1636"</definedName>
    <definedName name="IQ_EST_EPS_GROWTH_1YR_REUT" hidden="1">"c3646"</definedName>
    <definedName name="IQ_EST_EPS_GROWTH_5YR" hidden="1">"c1655"</definedName>
    <definedName name="IQ_EST_EPS_GROWTH_5YR_REUT" hidden="1">"c3633"</definedName>
    <definedName name="IQ_EST_EPS_GROWTH_Q_1YR" hidden="1">"c1641"</definedName>
    <definedName name="IQ_EST_EPS_GROWTH_Q_1YR_REUT" hidden="1">"c5410"</definedName>
    <definedName name="IQ_EST_EPS_GW_DIFF" hidden="1">"c1891"</definedName>
    <definedName name="IQ_EST_EPS_GW_DIFF_REUT" hidden="1">"c5429"</definedName>
    <definedName name="IQ_EST_EPS_GW_SURPRISE_PERCENT" hidden="1">"c1892"</definedName>
    <definedName name="IQ_EST_EPS_GW_SURPRISE_PERCENT_REUT" hidden="1">"c5430"</definedName>
    <definedName name="IQ_EST_EPS_NORM_DIFF" hidden="1">"c2247"</definedName>
    <definedName name="IQ_EST_EPS_NORM_DIFF_REUT" hidden="1">"c5411"</definedName>
    <definedName name="IQ_EST_EPS_NORM_SURPRISE_PERCENT" hidden="1">"c2248"</definedName>
    <definedName name="IQ_EST_EPS_NORM_SURPRISE_PERCENT_REUT" hidden="1">"c5412"</definedName>
    <definedName name="IQ_EST_EPS_REPORT_DIFF" hidden="1">"c1893"</definedName>
    <definedName name="IQ_EST_EPS_REPORT_DIFF_REUT" hidden="1">"c5431"</definedName>
    <definedName name="IQ_EST_EPS_REPORT_SURPRISE_PERCENT" hidden="1">"c1894"</definedName>
    <definedName name="IQ_EST_EPS_REPORT_SURPRISE_PERCENT_REUT" hidden="1">"c5432"</definedName>
    <definedName name="IQ_EST_VENDOR" hidden="1">"c5564"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ITEMS" hidden="1">"c1459"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ED_FUNDS_PURCHASED_FDIC" hidden="1">"c6343"</definedName>
    <definedName name="IQ_FED_FUNDS_SOLD_FDIC" hidden="1">"c6307"</definedName>
    <definedName name="IQ_FEDFUNDS_SOLD" hidden="1">"c2256"</definedName>
    <definedName name="IQ_FFO" hidden="1">"c1574"</definedName>
    <definedName name="IQ_FFO_ADJ_ACT_OR_EST" hidden="1">"c4435"</definedName>
    <definedName name="IQ_FFO_PAYOUT_RATIO" hidden="1">"c3492"</definedName>
    <definedName name="IQ_FFO_SHARE_ACT_OR_EST" hidden="1">"c4446"</definedName>
    <definedName name="IQ_FH">100000</definedName>
    <definedName name="IQ_FHLB_ADVANCES_FDIC" hidden="1">"c6366"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DEBT_CURRENT" hidden="1">"c429"</definedName>
    <definedName name="IQ_FIN_DIV_DEBT_LT" hidden="1">"c430"</definedName>
    <definedName name="IQ_FIN_DIV_DEBT_TOTAL" hidden="1">"c5656"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REV" hidden="1">"c437"</definedName>
    <definedName name="IQ_FIN_DIV_ST_DEBT_TOTAL" hidden="1">"c5527"</definedName>
    <definedName name="IQ_FIN_DIV_ST_INVEST" hidden="1">"c6288"</definedName>
    <definedName name="IQ_FINANCING_CASH" hidden="1">"c1405"</definedName>
    <definedName name="IQ_FINANCING_CASH_SUPPL" hidden="1">"c1406"</definedName>
    <definedName name="IQ_FINANCING_OBLIG_CURRENT" hidden="1">"c6190"</definedName>
    <definedName name="IQ_FINANCING_OBLIG_NON_CURRENT" hidden="1">"c6191"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" hidden="1">"c6794"</definedName>
    <definedName name="IQ_FISCAL_Q_EST_REUT" hidden="1">"c6798"</definedName>
    <definedName name="IQ_FISCAL_Y" hidden="1">"c441"</definedName>
    <definedName name="IQ_FISCAL_Y_EST" hidden="1">"c6795"</definedName>
    <definedName name="IQ_FISCAL_Y_EST_REUT" hidden="1">"c6799"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.S._BANKS_LOANS_FDIC" hidden="1">"c6438"</definedName>
    <definedName name="IQ_FOREIGN_BRANCHES_US_BANKS_FDIC" hidden="1">"c6392"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X_CONTRACTS_FDIC" hidden="1">"c6517"</definedName>
    <definedName name="IQ_FX_CONTRACTS_SPOT_FDIC" hidden="1">"c6356"</definedName>
    <definedName name="IQ_FY" hidden="1">1000</definedName>
    <definedName name="IQ_GA_EXP" hidden="1">"c2241"</definedName>
    <definedName name="IQ_GAAP_BS" hidden="1">"c6789"</definedName>
    <definedName name="IQ_GAAP_CF" hidden="1">"c6790"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"c1380"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DAYS_REV_OUT" hidden="1">"c5993"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SALARIES_PCT_REV" hidden="1">"c5970"</definedName>
    <definedName name="IQ_HC_SUPPLIES_PCT_REV" hidden="1">"c5971"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LD_MATURITY_FDIC" hidden="1">"c6408"</definedName>
    <definedName name="IQ_HIGH_TARGET_PRICE" hidden="1">"c1651"</definedName>
    <definedName name="IQ_HIGH_TARGET_PRICE_REUT" hidden="1">"c5317"</definedName>
    <definedName name="IQ_HIGHPRICE" hidden="1">"c545"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UTI" hidden="1">"c576"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FDIC" hidden="1">"c6569"</definedName>
    <definedName name="IQ_INT_EXP_UTI" hidden="1">"c592"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" hidden="1">"c6225"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UB_NOTES_FDIC" hidden="1">"c6568"</definedName>
    <definedName name="IQ_INTANGIBLES_NET" hidden="1">"c1407"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MENT_BANKING_OTHER_FEES_FDIC" hidden="1">"c6666"</definedName>
    <definedName name="IQ_IPRD" hidden="1">"c644"</definedName>
    <definedName name="IQ_IRA_KEOGH_ACCOUNTS_FDIC" hidden="1">"c6496"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E_INSURANCE_ASSETS_FDIC" hidden="1">"c6372"</definedName>
    <definedName name="IQ_LIFOR" hidden="1">"c655"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REUT" hidden="1">"c5318"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LTMMONTH" hidden="1">120000</definedName>
    <definedName name="IQ_MACHINERY" hidden="1">"c711"</definedName>
    <definedName name="IQ_MAINT_CAPEX" hidden="1">"c2947"</definedName>
    <definedName name="IQ_MAINT_CAPEX_ACT_OR_EST" hidden="1">"c4458"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ATURITY_ONE_YEAR_LESS_FDIC" hidden="1">"c6425"</definedName>
    <definedName name="IQ_MC_RATIO" hidden="1">"c2783"</definedName>
    <definedName name="IQ_MC_STATUTORY_SURPLUS" hidden="1">"c2772"</definedName>
    <definedName name="IQ_MEDIAN_TARGET_PRICE" hidden="1">"c1650"</definedName>
    <definedName name="IQ_MEDIAN_TARGET_PRICE_REUT" hidden="1">"c5316"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REUT" hidden="1">"c4048"</definedName>
    <definedName name="IQ_MM_ACCOUNT" hidden="1">"c743"</definedName>
    <definedName name="IQ_MONEY_MARKET_DEPOSIT_ACCOUNTS_FDIC" hidden="1">"c6553"</definedName>
    <definedName name="IQ_MONTH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FDIC" hidden="1">"c6335"</definedName>
    <definedName name="IQ_MULTIFAMILY_RESIDENTIAL_LOANS_FDIC" hidden="1">"c6311"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COME_FDIC" hidden="1">"c6587"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BNK" hidden="1">"c764"</definedName>
    <definedName name="IQ_NET_INT_INC_BNK_FDIC" hidden="1">"c6570"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SBC_ACT_OR_EST" hidden="1">"c4474"</definedName>
    <definedName name="IQ_NI_SBC_GW_ACT_OR_EST" hidden="1">"c4478"</definedName>
    <definedName name="IQ_NI_SFAS" hidden="1">"c795"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EXP_FDIC" hidden="1">"c6579"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FDIC" hidden="1">"c6575"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PENSION_EXP" hidden="1">"c3000"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COURSE_DEBT" hidden="1">"c2550"</definedName>
    <definedName name="IQ_NONRECOURSE_DEBT_PCT" hidden="1">"c2551"</definedName>
    <definedName name="IQ_NONTRANSACTION_ACCOUNTS_FDIC" hidden="1">"c6552"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" hidden="1">"c6240"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DJUST_GROSS_LOANS" hidden="1">"c859"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BORROWED_FUNDS_FDIC" hidden="1">"c6345"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AVINGS_DEPOSITS_FDIC" hidden="1">"c6554"</definedName>
    <definedName name="IQ_OTHER_STRIKE_PRICE_GRANTED" hidden="1">"c2692"</definedName>
    <definedName name="IQ_OTHER_TRANSACTIONS_FDIC" hidden="1">"c6504"</definedName>
    <definedName name="IQ_OTHER_UNDRAWN" hidden="1">"c2522"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REUT" hidden="1">"c4049"</definedName>
    <definedName name="IQ_PE_NORMALIZED" hidden="1">"c2207"</definedName>
    <definedName name="IQ_PE_RATIO" hidden="1">"c1610"</definedName>
    <definedName name="IQ_PEG_FWD" hidden="1">"c1863"</definedName>
    <definedName name="IQ_PEG_FWD_REUT" hidden="1">"c4052"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INSURED_FDIC" hidden="1">"c6374"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EDGED_SECURITIES_FDIC" hidden="1">"c6401"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RETURN_ASSETS_FDIC" hidden="1">"c6731"</definedName>
    <definedName name="IQ_PRICE_OVER_BVPS" hidden="1">"c1412"</definedName>
    <definedName name="IQ_PRICE_OVER_LTM_EPS" hidden="1">"c1413"</definedName>
    <definedName name="IQ_PRICE_TARGET" hidden="1">"c82"</definedName>
    <definedName name="IQ_PRICE_TARGET_REUT" hidden="1">"c3631"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T_DATE_SCHEDULE" hidden="1">"c2483"</definedName>
    <definedName name="IQ_PUT_NOTIFICATION" hidden="1">"c2485"</definedName>
    <definedName name="IQ_PUT_PRICE_SCHEDULE" hidden="1">"c2484"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AL_ESTATE" hidden="1">"c1093"</definedName>
    <definedName name="IQ_REAL_ESTATE_ASSETS" hidden="1">"c1094"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CURRING_PROFIT_ACT_OR_EST" hidden="1">"c4507"</definedName>
    <definedName name="IQ_RECURRING_PROFIT_SHARE_ACT_OR_EST" hidden="1">"c4508"</definedName>
    <definedName name="IQ_REDEEM_PREF_STOCK" hidden="1">"c1417"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AINED_EARNINGS_AVERAGE_EQUITY_FDIC" hidden="1">"c6733"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DIC" hidden="1">"c6730"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DIC" hidden="1">"c6732"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STDDEV_EST_REUT" hidden="1">"c3639"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ENUE" hidden="1">"c1422"</definedName>
    <definedName name="IQ_REVENUE_EST" hidden="1">"c1126"</definedName>
    <definedName name="IQ_REVENUE_EST_REUT" hidden="1">"c3634"</definedName>
    <definedName name="IQ_REVENUE_HIGH_EST" hidden="1">"c1127"</definedName>
    <definedName name="IQ_REVENUE_HIGH_EST_REUT" hidden="1">"c3636"</definedName>
    <definedName name="IQ_REVENUE_LOW_EST" hidden="1">"c1128"</definedName>
    <definedName name="IQ_REVENUE_LOW_EST_REUT" hidden="1">"c3637"</definedName>
    <definedName name="IQ_REVENUE_MEDIAN_EST" hidden="1">"c1662"</definedName>
    <definedName name="IQ_REVENUE_MEDIAN_EST_REUT" hidden="1">"c3635"</definedName>
    <definedName name="IQ_REVENUE_NUM_EST" hidden="1">"c1129"</definedName>
    <definedName name="IQ_REVENUE_NUM_EST_REUT" hidden="1">"c3638"</definedName>
    <definedName name="IQ_REVISION_DATE_" hidden="1">39623.4334259259</definedName>
    <definedName name="IQ_RISK_ADJ_BANK_ASSETS" hidden="1">"c2670"</definedName>
    <definedName name="IQ_RISK_WEIGHTED_ASSETS_FDIC" hidden="1">"c6370"</definedName>
    <definedName name="IQ_SALARY" hidden="1">"c1130"</definedName>
    <definedName name="IQ_SALARY_FDIC" hidden="1">"c6576"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_PURCHASED_RESELL" hidden="1">"c5513"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_BANK" hidden="1">"c2637"</definedName>
    <definedName name="IQ_SP_BANK_ACTION" hidden="1">"c2636"</definedName>
    <definedName name="IQ_SP_BANK_DATE" hidden="1">"c2635"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TEGY_NOTE" hidden="1">"c6791"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RPLUS_FDIC" hidden="1">"c6351"</definedName>
    <definedName name="IQ_SVA" hidden="1">"c1214"</definedName>
    <definedName name="IQ_TARGET_PRICE_NUM" hidden="1">"c1653"</definedName>
    <definedName name="IQ_TARGET_PRICE_NUM_REUT" hidden="1">"c5319"</definedName>
    <definedName name="IQ_TARGET_PRICE_STDDEV" hidden="1">"c1654"</definedName>
    <definedName name="IQ_TARGET_PRICE_STDDEV_REUT" hidden="1">"c5320"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BITDA_FWD_REUT" hidden="1">"c4050"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REUT" hidden="1">"c4051"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ME_DEP" hidden="1">"c1230"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_ADJ_INC" hidden="1">"c1616"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FDIC" hidden="1">"c6339"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POSITS" hidden="1">"c1265"</definedName>
    <definedName name="IQ_TOTAL_DEPOSITS_FDIC" hidden="1">"c6342"</definedName>
    <definedName name="IQ_TOTAL_DIV_PAID_CF" hidden="1">"c1266"</definedName>
    <definedName name="IQ_TOTAL_EMPLOYEE" hidden="1">"c2141"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FDIC" hidden="1">"c6348"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COVERIES_FDIC" hidden="1">"c6622"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RISK_BASED_CAPITAL_RATIO_FDIC" hidden="1">"c6747"</definedName>
    <definedName name="IQ_TOTAL_SECURITIES_FDIC" hidden="1">"c6306"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CURRENCY" hidden="1">"c2212"</definedName>
    <definedName name="IQ_TRADING_LIABILITIES_FDIC" hidden="1">"c6344"</definedName>
    <definedName name="IQ_TRANSACTION_ACCOUNTS_FDIC" hidden="1">"c6544"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WELVE_MONTHS_FIXED_AND_FLOATING_FDIC" hidden="1">"c6420"</definedName>
    <definedName name="IQ_TWELVE_MONTHS_MORTGAGE_PASS_THROUGHS_FDIC" hidden="1">"c6412"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IVIDED_PROFITS_FDIC" hidden="1">"c6352"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"c1456"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>50000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"c2104"</definedName>
    <definedName name="IQ_YEAR_FOUNDED" hidden="1">"c6793"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jhlkqFL" hidden="1">{"'Sheet1'!$A$1:$O$40"}</definedName>
    <definedName name="LASTYR">OFFSET('2017'!$A$5,0,0,'2017'!$A$2,MAX('2017'!$A$3:$AB$3))</definedName>
    <definedName name="LUCurYr">'2018 Data (WP)'!$D$9:$AC$73</definedName>
    <definedName name="MarketPrice">MP!$B$3:$M$86</definedName>
    <definedName name="month_yr">OFFSET('[1]Moodys Yields(WP)'!$O$4,0,0,'[1]Moodys Yields(WP)'!$A$1-3,1)</definedName>
    <definedName name="MoodysDalies">OFFSET('[1]Moodys Yields(WP)'!$A$4:$Q$4,0,0,'[1]Moodys Yields(WP)'!$A$1-ROW('[1]Moodys Yields(WP)'!$A$3),'[1]Moodys Yields(WP)'!$Q$2)</definedName>
    <definedName name="MP_BV_WP">'MP-BV (WP)'!$B$4:$U$86</definedName>
    <definedName name="MP_CF_WP">'MP-CF (WP)'!$B$4:$U$86</definedName>
    <definedName name="nameLU">OFFSET(CF!$A$4,0,0,CF!$B$1,1)</definedName>
    <definedName name="PE_WP">'P-E Ratio (WP)'!$B$5:$S$88</definedName>
    <definedName name="_xlnm.Print_Area" localSheetId="8">' 3 -Gas'!$C$1:$U$70</definedName>
    <definedName name="_xlnm.Print_Area" localSheetId="25">'2018 Data (WP)'!$C$1:$Y$84</definedName>
    <definedName name="_xlnm.Print_Area" localSheetId="24">CapSpendCashFlow!$A$1:$K$68</definedName>
    <definedName name="_xlnm.Print_Area" localSheetId="1">'CCW-1 pg 4'!$C$1:$S$113</definedName>
    <definedName name="_xlnm.Print_Area" localSheetId="2">'CCW-1 pg 5'!$C$1:$S$69</definedName>
    <definedName name="_xlnm.Print_Area" localSheetId="3">'CCW-1 pg 6'!$C$1:$S$71</definedName>
    <definedName name="_xlnm.Print_Area" localSheetId="4">'CCW-1 pg 7'!$C$1:$L$73</definedName>
    <definedName name="_xlnm.Print_Area" localSheetId="0">'CCW-1 pgs 1-3'!$C$1:$W$193</definedName>
    <definedName name="_xlnm.Print_Area" localSheetId="23">'CF-Cap Spend (WP)'!$A$1:$Q$79</definedName>
    <definedName name="_xlnm.Print_Area" localSheetId="21">'DIV-BV (WP)'!$A$1:$Q$80</definedName>
    <definedName name="_xlnm.Print_Area" localSheetId="22">'DIV-Earnings (WP)'!$A$1:$Q$79</definedName>
    <definedName name="_xlnm.Print_Area" localSheetId="20">'DIV-MP (WP)'!$A$1:$Q$79</definedName>
    <definedName name="_xlnm.Print_Area" localSheetId="5">'Electric -x'!$C$1:$S$194</definedName>
    <definedName name="_xlnm.Print_Area" localSheetId="11">'Gas - x'!$C$1:$S$180</definedName>
    <definedName name="_xlnm.Print_Area" localSheetId="36">'Implied Inflation'!$A$1:$F$41</definedName>
    <definedName name="_xlnm.Print_Area" localSheetId="19">'MP-BV (WP)'!$A$1:$R$79</definedName>
    <definedName name="_xlnm.Print_Area" localSheetId="18">'MP-CF (WP)'!$A$1:$U$79</definedName>
    <definedName name="_xlnm.Print_Area" localSheetId="17">'P-E Ratio (WP)'!$A$1:$S$81</definedName>
    <definedName name="_xlnm.Print_Area" localSheetId="6">'pg 1 -Gas'!$C$1:$S$179</definedName>
    <definedName name="_xlnm.Print_Area" localSheetId="7">'pg 2 - Gas'!$C$1:$S$165</definedName>
    <definedName name="_xlnm.Print_Area" localSheetId="9">'pg 4 -Gas'!$C$1:$L$70</definedName>
    <definedName name="_xlnm.Print_Area" localSheetId="10">'pg 5 -Gas'!$C$1:$S$70</definedName>
    <definedName name="_xlnm.Print_Area" localSheetId="12">'Water -1'!$C$1:$S$179</definedName>
    <definedName name="_xlnm.Print_Area" localSheetId="13">'Water -2'!$C$1:$S$165</definedName>
    <definedName name="_xlnm.Print_Area" localSheetId="14">'Water -3'!$C$1:$R$70</definedName>
    <definedName name="_xlnm.Print_Area" localSheetId="15">'Water -4'!$C$1:$L$70</definedName>
    <definedName name="_xlnm.Print_Area" localSheetId="16">'Water -x'!$C$1:$S$179</definedName>
    <definedName name="_xlnm.Print_Titles" localSheetId="8">' 3 -Gas'!$1:$6</definedName>
    <definedName name="_xlnm.Print_Titles" localSheetId="27">'2016'!$4:$4</definedName>
    <definedName name="_xlnm.Print_Titles" localSheetId="26">'2017'!$4:$4</definedName>
    <definedName name="_xlnm.Print_Titles" localSheetId="25">'2018 Data (WP)'!$5:$7</definedName>
    <definedName name="_xlnm.Print_Titles" localSheetId="34">BV!$A:$B,BV!$1:$3</definedName>
    <definedName name="_xlnm.Print_Titles" localSheetId="33">CapS!$A:$B,CapS!$1:$3</definedName>
    <definedName name="_xlnm.Print_Titles" localSheetId="1">'CCW-1 pg 4'!$1:$7</definedName>
    <definedName name="_xlnm.Print_Titles" localSheetId="2">'CCW-1 pg 5'!$1:$7</definedName>
    <definedName name="_xlnm.Print_Titles" localSheetId="3">'CCW-1 pg 6'!$1:$7</definedName>
    <definedName name="_xlnm.Print_Titles" localSheetId="4">'CCW-1 pg 7'!$1:$7</definedName>
    <definedName name="_xlnm.Print_Titles" localSheetId="0">'CCW-1 pgs 1-3'!$1:$7</definedName>
    <definedName name="_xlnm.Print_Titles" localSheetId="30">CF!$A:$B,CF!$1:$3</definedName>
    <definedName name="_xlnm.Print_Titles" localSheetId="23">'CF-Cap Spend (WP)'!$B:$C,'CF-Cap Spend (WP)'!$1:$3</definedName>
    <definedName name="_xlnm.Print_Titles" localSheetId="32">DIV!$A:$B,DIV!$1:$3</definedName>
    <definedName name="_xlnm.Print_Titles" localSheetId="21">'DIV-BV (WP)'!$B:$C,'DIV-BV (WP)'!$1:$3</definedName>
    <definedName name="_xlnm.Print_Titles" localSheetId="22">'DIV-Earnings (WP)'!$B:$C,'DIV-Earnings (WP)'!$1:$3</definedName>
    <definedName name="_xlnm.Print_Titles" localSheetId="20">'DIV-MP (WP)'!$B:$C,'DIV-MP (WP)'!$1:$3</definedName>
    <definedName name="_xlnm.Print_Titles" localSheetId="5">'Electric -x'!$1:$6</definedName>
    <definedName name="_xlnm.Print_Titles" localSheetId="31">EPS!$A:$B,EPS!$1:$3</definedName>
    <definedName name="_xlnm.Print_Titles" localSheetId="11">'Gas - x'!$1:$6</definedName>
    <definedName name="_xlnm.Print_Titles" localSheetId="29">MP!$A:$B,MP!$1:$3</definedName>
    <definedName name="_xlnm.Print_Titles" localSheetId="19">'MP-BV (WP)'!$B:$C,'MP-BV (WP)'!$1:$3</definedName>
    <definedName name="_xlnm.Print_Titles" localSheetId="18">'MP-CF (WP)'!$B:$C,'MP-CF (WP)'!$1:$3</definedName>
    <definedName name="_xlnm.Print_Titles" localSheetId="17">'P-E Ratio (WP)'!$B:$C,'P-E Ratio (WP)'!$2:$4</definedName>
    <definedName name="_xlnm.Print_Titles" localSheetId="6">'pg 1 -Gas'!$1:$6</definedName>
    <definedName name="_xlnm.Print_Titles" localSheetId="7">'pg 2 - Gas'!$1:$6</definedName>
    <definedName name="_xlnm.Print_Titles" localSheetId="9">'pg 4 -Gas'!$1:$6</definedName>
    <definedName name="_xlnm.Print_Titles" localSheetId="10">'pg 5 -Gas'!$1:$6</definedName>
    <definedName name="_xlnm.Print_Titles" localSheetId="12">'Water -1'!$1:$6</definedName>
    <definedName name="_xlnm.Print_Titles" localSheetId="14">'Water -3'!$1:$6</definedName>
    <definedName name="_xlnm.Print_Titles" localSheetId="15">'Water -4'!$1:$6</definedName>
    <definedName name="_xlnm.Print_Titles">#N/A</definedName>
    <definedName name="SAPBEXrevision" hidden="1">41</definedName>
    <definedName name="SAPBEXsysID" hidden="1">"PBW"</definedName>
    <definedName name="SAPBEXwbID" hidden="1">"3TD2FVG7ME7U056LVECBWI4A2"</definedName>
    <definedName name="STWBD_StatToolsBoxPlot_DefaultDataFormat" hidden="1">" 0"</definedName>
    <definedName name="STWBD_StatToolsBoxPlot_HasDefaultInfo" hidden="1">"TRUE"</definedName>
    <definedName name="STWBD_StatToolsBoxPlot_IncludeKey" hidden="1">"FALSE"</definedName>
    <definedName name="STWBD_StatToolsBoxPlot_VariableList" hidden="1">1</definedName>
    <definedName name="STWBD_StatToolsBoxPlot_VariableList_1" hidden="1">"U_x0001_VG27AE830F_x0001_"</definedName>
    <definedName name="STWBD_StatToolsBoxPlot_VarSelectorDefaultDataSet" hidden="1">"DG2C9ED946"</definedName>
    <definedName name="STWBD_StatToolsHistogram_BinMaximum" hidden="1">" 1.01E+300"</definedName>
    <definedName name="STWBD_StatToolsHistogram_BinMinimum" hidden="1">" 1.01E+300"</definedName>
    <definedName name="STWBD_StatToolsHistogram_DefaultDataFormat" hidden="1">" 0"</definedName>
    <definedName name="STWBD_StatToolsHistogram_HasDefaultInfo" hidden="1">"TRUE"</definedName>
    <definedName name="STWBD_StatToolsHistogram_NumBins" hidden="1">"-32767"</definedName>
    <definedName name="STWBD_StatToolsHistogram_VariableList" hidden="1">1</definedName>
    <definedName name="STWBD_StatToolsHistogram_VariableList_1" hidden="1">"U_x0001_VG27AE830F_x0001_"</definedName>
    <definedName name="STWBD_StatToolsHistogram_VarSelectorDefaultDataSet" hidden="1">"DG2C9ED946"</definedName>
    <definedName name="STWBD_StatToolsHistogram_XAxisStyle" hidden="1">" 0"</definedName>
    <definedName name="STWBD_StatToolsHistogram_YAxisStyle" hidden="1">" 0"</definedName>
    <definedName name="STWBD_StatToolsOneVarSummary_Count" hidden="1">"TRUE"</definedName>
    <definedName name="STWBD_StatToolsOneVarSummary_DefaultDataFormat" hidden="1">" 0"</definedName>
    <definedName name="STWBD_StatToolsOneVarSummary_FirstQuartile" hidden="1">"TRUE"</definedName>
    <definedName name="STWBD_StatToolsOneVarSummary_HasDefaultInfo" hidden="1">"TRUE"</definedName>
    <definedName name="STWBD_StatToolsOneVarSummary_InterQuartileRange" hidden="1">"TRUE"</definedName>
    <definedName name="STWBD_StatToolsOneVarSummary_Kurtosis" hidden="1">"TRUE"</definedName>
    <definedName name="STWBD_StatToolsOneVarSummary_Maximum" hidden="1">"TRUE"</definedName>
    <definedName name="STWBD_StatToolsOneVarSummary_Mean" hidden="1">"TRUE"</definedName>
    <definedName name="STWBD_StatToolsOneVarSummary_MeanAbsDeviation" hidden="1">"TRUE"</definedName>
    <definedName name="STWBD_StatToolsOneVarSummary_Median" hidden="1">"TRUE"</definedName>
    <definedName name="STWBD_StatToolsOneVarSummary_Minimum" hidden="1">"TRUE"</definedName>
    <definedName name="STWBD_StatToolsOneVarSummary_OtherPercentiles" hidden="1">"TRUE"</definedName>
    <definedName name="STWBD_StatToolsOneVarSummary_PercentileList" hidden="1">" .01, .025, .05, .1, .2, .8, .9, .95, .975, .99"</definedName>
    <definedName name="STWBD_StatToolsOneVarSummary_Range" hidden="1">"TRUE"</definedName>
    <definedName name="STWBD_StatToolsOneVarSummary_Skewness" hidden="1">"TRUE"</definedName>
    <definedName name="STWBD_StatToolsOneVarSummary_StandardDeviation" hidden="1">"TRUE"</definedName>
    <definedName name="STWBD_StatToolsOneVarSummary_Sum" hidden="1">"TRUE"</definedName>
    <definedName name="STWBD_StatToolsOneVarSummary_ThirdQuartile" hidden="1">"TRUE"</definedName>
    <definedName name="STWBD_StatToolsOneVarSummary_VariableList" hidden="1">1</definedName>
    <definedName name="STWBD_StatToolsOneVarSummary_VariableList_1" hidden="1">"U_x0001_VG27AE830F_x0001_"</definedName>
    <definedName name="STWBD_StatToolsOneVarSummary_Variance" hidden="1">"TRUE"</definedName>
    <definedName name="STWBD_StatToolsOneVarSummary_VarSelectorDefaultDataSet" hidden="1">"DG2C9ED946"</definedName>
    <definedName name="tickerLU">OFFSET(CF!$B$4,0,0,CF!$B$1,1)</definedName>
    <definedName name="TIPS_20yr">OFFSET('FRED 20 yr TIPS monthly'!$A$8,0,0,'FRED 20 yr TIPS monthly'!$E$7,2)</definedName>
    <definedName name="Treas_20_Yr">OFFSET('Treas 20 yr'!$A$1,0,0,'Treas 20 yr'!$E$4,2)</definedName>
    <definedName name="Twoyrs" localSheetId="27">OFFSET('2016'!$A$5,0,0,'2016'!$A$2,MAX('2016'!$A$3:$AI$3))</definedName>
    <definedName name="WaterU">'Water -1'!$C$1</definedName>
    <definedName name="xxx" hidden="1">{"'Sheet1'!$A$1:$O$40"}</definedName>
    <definedName name="zzz" hidden="1">{"'Sheet1'!$A$1:$O$40"}</definedName>
  </definedNames>
  <calcPr calcId="162913" iterate="1" iterateCount="300" iterateDelta="1E-4" calcOnSave="0"/>
</workbook>
</file>

<file path=xl/calcChain.xml><?xml version="1.0" encoding="utf-8"?>
<calcChain xmlns="http://schemas.openxmlformats.org/spreadsheetml/2006/main">
  <c r="C80" i="46" l="1"/>
  <c r="C77" i="46"/>
  <c r="C79" i="46"/>
  <c r="C72" i="46"/>
  <c r="C69" i="46"/>
  <c r="C71" i="46" s="1"/>
  <c r="C63" i="46" l="1"/>
  <c r="I65" i="46"/>
  <c r="J65" i="46"/>
  <c r="K65" i="46"/>
  <c r="L65" i="46"/>
  <c r="M65" i="46"/>
  <c r="N65" i="46"/>
  <c r="O65" i="46"/>
  <c r="P65" i="46"/>
  <c r="Q65" i="46"/>
  <c r="R65" i="46"/>
  <c r="S65" i="46"/>
  <c r="H65" i="46"/>
  <c r="I64" i="46"/>
  <c r="J64" i="46"/>
  <c r="K64" i="46"/>
  <c r="L64" i="46"/>
  <c r="M64" i="46"/>
  <c r="N64" i="46"/>
  <c r="O64" i="46"/>
  <c r="P64" i="46"/>
  <c r="Q64" i="46"/>
  <c r="R64" i="46"/>
  <c r="S64" i="46"/>
  <c r="H64" i="46"/>
  <c r="G65" i="46"/>
  <c r="G64" i="46"/>
  <c r="G79" i="46" s="1"/>
  <c r="H66" i="46" l="1"/>
  <c r="P66" i="46"/>
  <c r="K66" i="46"/>
  <c r="I66" i="46"/>
  <c r="S66" i="46"/>
  <c r="R66" i="46"/>
  <c r="Q66" i="46"/>
  <c r="J66" i="46"/>
  <c r="N66" i="46"/>
  <c r="L66" i="46"/>
  <c r="O66" i="46"/>
  <c r="G66" i="46"/>
  <c r="M66" i="46"/>
  <c r="F65" i="46"/>
  <c r="F64" i="46"/>
  <c r="F66" i="46" l="1"/>
  <c r="B3754" i="57"/>
  <c r="B3745" i="57"/>
  <c r="B3737" i="57"/>
  <c r="B3712" i="57"/>
  <c r="B3687" i="57"/>
  <c r="B3644" i="57"/>
  <c r="B3617" i="57"/>
  <c r="B3576" i="57"/>
  <c r="B3547" i="57"/>
  <c r="B3522" i="57"/>
  <c r="B3512" i="57"/>
  <c r="B3507" i="57"/>
  <c r="B3485" i="57"/>
  <c r="B3452" i="57"/>
  <c r="B3427" i="57"/>
  <c r="B3383" i="57"/>
  <c r="B3357" i="57"/>
  <c r="B3326" i="57"/>
  <c r="B3287" i="57"/>
  <c r="B3262" i="57"/>
  <c r="B3252" i="57"/>
  <c r="B3247" i="57"/>
  <c r="B3225" i="57"/>
  <c r="B3216" i="57"/>
  <c r="B3192" i="57"/>
  <c r="B3167" i="57"/>
  <c r="B3122" i="57"/>
  <c r="B3097" i="57"/>
  <c r="B3051" i="57"/>
  <c r="B3022" i="57"/>
  <c r="B3002" i="57"/>
  <c r="B2991" i="57"/>
  <c r="B2986" i="57"/>
  <c r="B2965" i="57"/>
  <c r="B2954" i="57"/>
  <c r="B2932" i="57"/>
  <c r="B2907" i="57"/>
  <c r="B2861" i="57"/>
  <c r="B2832" i="57"/>
  <c r="B2762" i="57"/>
  <c r="B2742" i="57"/>
  <c r="B2730" i="57"/>
  <c r="B2725" i="57"/>
  <c r="B2705" i="57"/>
  <c r="B2693" i="57"/>
  <c r="B2672" i="57"/>
  <c r="B2642" i="57"/>
  <c r="B2601" i="57"/>
  <c r="B2572" i="57"/>
  <c r="B2546" i="57"/>
  <c r="B2502" i="57"/>
  <c r="B2482" i="57"/>
  <c r="B2469" i="57"/>
  <c r="B2464" i="57"/>
  <c r="B2445" i="57"/>
  <c r="B2432" i="57"/>
  <c r="B2412" i="57"/>
  <c r="B2382" i="57"/>
  <c r="B2340" i="57"/>
  <c r="B2312" i="57"/>
  <c r="B2271" i="57"/>
  <c r="B2242" i="57"/>
  <c r="B2222" i="57"/>
  <c r="B2208" i="57"/>
  <c r="B2203" i="57"/>
  <c r="B2180" i="57"/>
  <c r="B2172" i="57"/>
  <c r="B2163" i="57"/>
  <c r="B2147" i="57"/>
  <c r="B2122" i="57"/>
  <c r="B2079" i="57"/>
  <c r="B2052" i="57"/>
  <c r="B1982" i="57"/>
  <c r="B1957" i="57"/>
  <c r="B1947" i="57"/>
  <c r="B1942" i="57"/>
  <c r="B1920" i="57"/>
  <c r="B1911" i="57"/>
  <c r="B1887" i="57"/>
  <c r="B1862" i="57"/>
  <c r="B1817" i="57"/>
  <c r="B1792" i="57"/>
  <c r="B1766" i="57"/>
  <c r="B1722" i="57"/>
  <c r="B1697" i="57"/>
  <c r="B1681" i="57"/>
  <c r="B1660" i="57"/>
  <c r="B1650" i="57"/>
  <c r="B1627" i="57"/>
  <c r="B1602" i="57"/>
  <c r="B1557" i="57"/>
  <c r="B1532" i="57"/>
  <c r="B1457" i="57"/>
  <c r="B1437" i="57"/>
  <c r="B1426" i="57"/>
  <c r="B1421" i="57"/>
  <c r="B1400" i="57"/>
  <c r="B1389" i="57"/>
  <c r="B1367" i="57"/>
  <c r="B1342" i="57"/>
  <c r="B1296" i="57"/>
  <c r="B1267" i="57"/>
  <c r="B1236" i="57"/>
  <c r="B1197" i="57"/>
  <c r="B1177" i="57"/>
  <c r="B1165" i="57"/>
  <c r="B1160" i="57"/>
  <c r="B1140" i="57"/>
  <c r="B1128" i="57"/>
  <c r="B1107" i="57"/>
  <c r="B1077" i="57"/>
  <c r="B1036" i="57"/>
  <c r="B1007" i="57"/>
  <c r="B961" i="57"/>
  <c r="B937" i="57"/>
  <c r="B917" i="57"/>
  <c r="B903" i="57"/>
  <c r="B898" i="57"/>
  <c r="B875" i="57"/>
  <c r="B867" i="57"/>
  <c r="B842" i="57"/>
  <c r="B817" i="57"/>
  <c r="B774" i="57"/>
  <c r="B747" i="57"/>
  <c r="B677" i="57"/>
  <c r="B652" i="57"/>
  <c r="B642" i="57"/>
  <c r="B637" i="57"/>
  <c r="B615" i="57"/>
  <c r="B582" i="57"/>
  <c r="B557" i="57"/>
  <c r="B513" i="57"/>
  <c r="B487" i="57"/>
  <c r="B456" i="57"/>
  <c r="B417" i="57"/>
  <c r="B392" i="57"/>
  <c r="B382" i="57"/>
  <c r="B377" i="57"/>
  <c r="B355" i="57"/>
  <c r="B346" i="57"/>
  <c r="B322" i="57"/>
  <c r="B297" i="57"/>
  <c r="B252" i="57"/>
  <c r="B227" i="57"/>
  <c r="B181" i="57"/>
  <c r="B157" i="57"/>
  <c r="B132" i="57"/>
  <c r="B116" i="57"/>
  <c r="B95" i="57"/>
  <c r="B85" i="57"/>
  <c r="B62" i="57"/>
  <c r="B37" i="57"/>
  <c r="G493" i="58"/>
  <c r="G492" i="58"/>
  <c r="G491" i="58"/>
  <c r="G490" i="58"/>
  <c r="G489" i="58"/>
  <c r="G488" i="58"/>
  <c r="G487" i="58"/>
  <c r="G486" i="58"/>
  <c r="G485" i="58"/>
  <c r="G484" i="58"/>
  <c r="G483" i="58"/>
  <c r="G482" i="58"/>
  <c r="G481" i="58"/>
  <c r="G480" i="58"/>
  <c r="G479" i="58"/>
  <c r="G478" i="58"/>
  <c r="G477" i="58"/>
  <c r="G476" i="58"/>
  <c r="G475" i="58"/>
  <c r="G474" i="58"/>
  <c r="G473" i="58"/>
  <c r="G472" i="58"/>
  <c r="G471" i="58"/>
  <c r="G470" i="58"/>
  <c r="G469" i="58"/>
  <c r="G468" i="58"/>
  <c r="G467" i="58"/>
  <c r="G466" i="58"/>
  <c r="G465" i="58"/>
  <c r="G464" i="58"/>
  <c r="G463" i="58"/>
  <c r="G462" i="58"/>
  <c r="G461" i="58"/>
  <c r="G460" i="58"/>
  <c r="G459" i="58"/>
  <c r="G458" i="58"/>
  <c r="G457" i="58"/>
  <c r="G456" i="58"/>
  <c r="G455" i="58"/>
  <c r="G454" i="58"/>
  <c r="G453" i="58"/>
  <c r="G452" i="58"/>
  <c r="G451" i="58"/>
  <c r="G450" i="58"/>
  <c r="G449" i="58"/>
  <c r="G448" i="58"/>
  <c r="G447" i="58"/>
  <c r="G446" i="58"/>
  <c r="G445" i="58"/>
  <c r="G444" i="58"/>
  <c r="G443" i="58"/>
  <c r="G442" i="58"/>
  <c r="G441" i="58"/>
  <c r="G440" i="58"/>
  <c r="G439" i="58"/>
  <c r="G438" i="58"/>
  <c r="G437" i="58"/>
  <c r="G436" i="58"/>
  <c r="G435" i="58"/>
  <c r="G434" i="58"/>
  <c r="G433" i="58"/>
  <c r="G432" i="58"/>
  <c r="G431" i="58"/>
  <c r="G430" i="58"/>
  <c r="G429" i="58"/>
  <c r="G428" i="58"/>
  <c r="G427" i="58"/>
  <c r="G426" i="58"/>
  <c r="G425" i="58"/>
  <c r="G424" i="58"/>
  <c r="G423" i="58"/>
  <c r="G422" i="58"/>
  <c r="G421" i="58"/>
  <c r="G420" i="58"/>
  <c r="G419" i="58"/>
  <c r="G418" i="58"/>
  <c r="G417" i="58"/>
  <c r="G416" i="58"/>
  <c r="G415" i="58"/>
  <c r="G414" i="58"/>
  <c r="G413" i="58"/>
  <c r="B6576" i="58"/>
  <c r="B6567" i="58"/>
  <c r="B6559" i="58"/>
  <c r="B6534" i="58"/>
  <c r="B6509" i="58"/>
  <c r="B6466" i="58"/>
  <c r="B6439" i="58"/>
  <c r="B6398" i="58"/>
  <c r="B6369" i="58"/>
  <c r="B6344" i="58"/>
  <c r="B6334" i="58"/>
  <c r="B6329" i="58"/>
  <c r="B6307" i="58"/>
  <c r="B6274" i="58"/>
  <c r="B6249" i="58"/>
  <c r="B6205" i="58"/>
  <c r="B6179" i="58"/>
  <c r="B6148" i="58"/>
  <c r="B6109" i="58"/>
  <c r="B6084" i="58"/>
  <c r="B6074" i="58"/>
  <c r="B6069" i="58"/>
  <c r="B6047" i="58"/>
  <c r="B6038" i="58"/>
  <c r="B6014" i="58"/>
  <c r="B5989" i="58"/>
  <c r="B5944" i="58"/>
  <c r="B5919" i="58"/>
  <c r="B5873" i="58"/>
  <c r="B5844" i="58"/>
  <c r="B5824" i="58"/>
  <c r="B5813" i="58"/>
  <c r="B5808" i="58"/>
  <c r="B5787" i="58"/>
  <c r="B5776" i="58"/>
  <c r="B5754" i="58"/>
  <c r="B5729" i="58"/>
  <c r="B5683" i="58"/>
  <c r="B5654" i="58"/>
  <c r="B5584" i="58"/>
  <c r="B5564" i="58"/>
  <c r="B5552" i="58"/>
  <c r="B5547" i="58"/>
  <c r="B5527" i="58"/>
  <c r="B5515" i="58"/>
  <c r="B5494" i="58"/>
  <c r="B5464" i="58"/>
  <c r="B5423" i="58"/>
  <c r="B5394" i="58"/>
  <c r="B5368" i="58"/>
  <c r="B5324" i="58"/>
  <c r="B5304" i="58"/>
  <c r="B5291" i="58"/>
  <c r="B5286" i="58"/>
  <c r="B5267" i="58"/>
  <c r="B5254" i="58"/>
  <c r="B5234" i="58"/>
  <c r="B5204" i="58"/>
  <c r="B5162" i="58"/>
  <c r="B5134" i="58"/>
  <c r="B5093" i="58"/>
  <c r="B5064" i="58"/>
  <c r="B5044" i="58"/>
  <c r="B5030" i="58"/>
  <c r="B5025" i="58"/>
  <c r="B5002" i="58"/>
  <c r="B4994" i="58"/>
  <c r="B4985" i="58"/>
  <c r="B4969" i="58"/>
  <c r="B4944" i="58"/>
  <c r="B4901" i="58"/>
  <c r="B4874" i="58"/>
  <c r="B4804" i="58"/>
  <c r="B4779" i="58"/>
  <c r="B4769" i="58"/>
  <c r="B4764" i="58"/>
  <c r="B4742" i="58"/>
  <c r="B4733" i="58"/>
  <c r="B4709" i="58"/>
  <c r="B4684" i="58"/>
  <c r="B4639" i="58"/>
  <c r="B4614" i="58"/>
  <c r="B4588" i="58"/>
  <c r="B4544" i="58"/>
  <c r="B4519" i="58"/>
  <c r="B4503" i="58"/>
  <c r="B4482" i="58"/>
  <c r="B4472" i="58"/>
  <c r="B4449" i="58"/>
  <c r="B4424" i="58"/>
  <c r="B4379" i="58"/>
  <c r="B4354" i="58"/>
  <c r="B4279" i="58"/>
  <c r="B4259" i="58"/>
  <c r="B4248" i="58"/>
  <c r="B4243" i="58"/>
  <c r="B4222" i="58"/>
  <c r="B4211" i="58"/>
  <c r="B4189" i="58"/>
  <c r="B4164" i="58"/>
  <c r="B4118" i="58"/>
  <c r="B4089" i="58"/>
  <c r="B4058" i="58"/>
  <c r="B4019" i="58"/>
  <c r="B3999" i="58"/>
  <c r="B3987" i="58"/>
  <c r="B3982" i="58"/>
  <c r="B3962" i="58"/>
  <c r="B3950" i="58"/>
  <c r="B3929" i="58"/>
  <c r="B3899" i="58"/>
  <c r="B3858" i="58"/>
  <c r="B3829" i="58"/>
  <c r="B3783" i="58"/>
  <c r="B3759" i="58"/>
  <c r="B3739" i="58"/>
  <c r="B3725" i="58"/>
  <c r="B3720" i="58"/>
  <c r="B3697" i="58"/>
  <c r="B3689" i="58"/>
  <c r="B3664" i="58"/>
  <c r="B3639" i="58"/>
  <c r="B3596" i="58"/>
  <c r="B3569" i="58"/>
  <c r="B3499" i="58"/>
  <c r="B3474" i="58"/>
  <c r="B3464" i="58"/>
  <c r="B3459" i="58"/>
  <c r="B3437" i="58"/>
  <c r="B3404" i="58"/>
  <c r="B3379" i="58"/>
  <c r="B3335" i="58"/>
  <c r="B3309" i="58"/>
  <c r="B3278" i="58"/>
  <c r="B3239" i="58"/>
  <c r="B3214" i="58"/>
  <c r="B3204" i="58"/>
  <c r="B3199" i="58"/>
  <c r="B3177" i="58"/>
  <c r="B3168" i="58"/>
  <c r="B3144" i="58"/>
  <c r="B3119" i="58"/>
  <c r="B3074" i="58"/>
  <c r="B3049" i="58"/>
  <c r="B3003" i="58"/>
  <c r="B2979" i="58"/>
  <c r="B2954" i="58"/>
  <c r="B2938" i="58"/>
  <c r="B2917" i="58"/>
  <c r="B2907" i="58"/>
  <c r="B2884" i="58"/>
  <c r="B2859" i="58"/>
  <c r="B2814" i="58"/>
  <c r="B2798" i="58"/>
  <c r="B2789" i="58"/>
  <c r="B2753" i="58"/>
  <c r="B2714" i="58"/>
  <c r="B2694" i="58"/>
  <c r="B2682" i="58"/>
  <c r="B2677" i="58"/>
  <c r="B2657" i="58"/>
  <c r="B2645" i="58"/>
  <c r="B2624" i="58"/>
  <c r="B2594" i="58"/>
  <c r="B2553" i="58"/>
  <c r="B2524" i="58"/>
  <c r="B2498" i="58"/>
  <c r="B2454" i="58"/>
  <c r="B2434" i="58"/>
  <c r="B2421" i="58"/>
  <c r="B2416" i="58"/>
  <c r="B2397" i="58"/>
  <c r="B2384" i="58"/>
  <c r="B2364" i="58"/>
  <c r="B2334" i="58"/>
  <c r="B2292" i="58"/>
  <c r="B2264" i="58"/>
  <c r="B2223" i="58"/>
  <c r="B2194" i="58"/>
  <c r="B2174" i="58"/>
  <c r="B2160" i="58"/>
  <c r="B2155" i="58"/>
  <c r="B2132" i="58"/>
  <c r="B2124" i="58"/>
  <c r="B2099" i="58"/>
  <c r="B2081" i="58"/>
  <c r="B2080" i="58"/>
  <c r="B2074" i="58"/>
  <c r="B2031" i="58"/>
  <c r="B2004" i="58"/>
  <c r="B1973" i="58"/>
  <c r="B1934" i="58"/>
  <c r="B1909" i="58"/>
  <c r="B1899" i="58"/>
  <c r="B1894" i="58"/>
  <c r="B1872" i="58"/>
  <c r="B1839" i="58"/>
  <c r="B1814" i="58"/>
  <c r="B1770" i="58"/>
  <c r="B1744" i="58"/>
  <c r="B1718" i="58"/>
  <c r="B1674" i="58"/>
  <c r="B1649" i="58"/>
  <c r="B1633" i="58"/>
  <c r="B1612" i="58"/>
  <c r="B1602" i="58"/>
  <c r="B1579" i="58"/>
  <c r="B1554" i="58"/>
  <c r="B1509" i="58"/>
  <c r="B1484" i="58"/>
  <c r="B1409" i="58"/>
  <c r="B1389" i="58"/>
  <c r="B1378" i="58"/>
  <c r="B1373" i="58"/>
  <c r="B1352" i="58"/>
  <c r="B1341" i="58"/>
  <c r="B1319" i="58"/>
  <c r="B1294" i="58"/>
  <c r="B1248" i="58"/>
  <c r="B1219" i="58"/>
  <c r="B1188" i="58"/>
  <c r="B1149" i="58"/>
  <c r="B1129" i="58"/>
  <c r="B1117" i="58"/>
  <c r="B1112" i="58"/>
  <c r="B1092" i="58"/>
  <c r="B1080" i="58"/>
  <c r="B1059" i="58"/>
  <c r="B1029" i="58"/>
  <c r="B988" i="58"/>
  <c r="B959" i="58"/>
  <c r="B918" i="58"/>
  <c r="B889" i="58"/>
  <c r="B869" i="58"/>
  <c r="B856" i="58"/>
  <c r="B851" i="58"/>
  <c r="B832" i="58"/>
  <c r="B819" i="58"/>
  <c r="B799" i="58"/>
  <c r="B769" i="58"/>
  <c r="B727" i="58"/>
  <c r="B699" i="58"/>
  <c r="B629" i="58"/>
  <c r="B604" i="58"/>
  <c r="B594" i="58"/>
  <c r="B589" i="58"/>
  <c r="B567" i="58"/>
  <c r="B534" i="58"/>
  <c r="B509" i="58"/>
  <c r="B465" i="58"/>
  <c r="B439" i="58"/>
  <c r="B408" i="58"/>
  <c r="B369" i="58"/>
  <c r="B344" i="58"/>
  <c r="B334" i="58"/>
  <c r="B329" i="58"/>
  <c r="B307" i="58"/>
  <c r="B298" i="58"/>
  <c r="B274" i="58"/>
  <c r="B249" i="58"/>
  <c r="B204" i="58"/>
  <c r="B179" i="58"/>
  <c r="B156" i="58"/>
  <c r="B138" i="58"/>
  <c r="B109" i="58"/>
  <c r="B84" i="58"/>
  <c r="B68" i="58"/>
  <c r="B47" i="58"/>
  <c r="B37" i="58"/>
  <c r="B14" i="58"/>
  <c r="E179" i="64" l="1"/>
  <c r="E178" i="64"/>
  <c r="E177" i="64"/>
  <c r="E175" i="64"/>
  <c r="E174" i="64"/>
  <c r="C168" i="64"/>
  <c r="A167" i="64"/>
  <c r="G167" i="64" s="1"/>
  <c r="A166" i="64"/>
  <c r="G166" i="64" s="1"/>
  <c r="A165" i="64"/>
  <c r="G165" i="64" s="1"/>
  <c r="A164" i="64"/>
  <c r="G164" i="64" s="1"/>
  <c r="A163" i="64"/>
  <c r="A162" i="64"/>
  <c r="A161" i="64"/>
  <c r="B161" i="64" s="1"/>
  <c r="A160" i="64"/>
  <c r="A159" i="64"/>
  <c r="G159" i="64" s="1"/>
  <c r="A158" i="64"/>
  <c r="G158" i="64" s="1"/>
  <c r="A157" i="64"/>
  <c r="B157" i="64" s="1"/>
  <c r="A156" i="64"/>
  <c r="G156" i="64" s="1"/>
  <c r="A155" i="64"/>
  <c r="B155" i="64" s="1"/>
  <c r="A154" i="64"/>
  <c r="A153" i="64"/>
  <c r="A152" i="64"/>
  <c r="B152" i="64" s="1"/>
  <c r="A151" i="64"/>
  <c r="A150" i="64"/>
  <c r="G150" i="64" s="1"/>
  <c r="A149" i="64"/>
  <c r="A148" i="64"/>
  <c r="G147" i="64"/>
  <c r="A147" i="64"/>
  <c r="B147" i="64" s="1"/>
  <c r="A146" i="64"/>
  <c r="B146" i="64" s="1"/>
  <c r="A145" i="64"/>
  <c r="G145" i="64" s="1"/>
  <c r="A144" i="64"/>
  <c r="A143" i="64"/>
  <c r="G143" i="64" s="1"/>
  <c r="A142" i="64"/>
  <c r="A141" i="64"/>
  <c r="A140" i="64"/>
  <c r="G140" i="64" s="1"/>
  <c r="A139" i="64"/>
  <c r="B139" i="64" s="1"/>
  <c r="A138" i="64"/>
  <c r="B138" i="64" s="1"/>
  <c r="A137" i="64"/>
  <c r="G137" i="64" s="1"/>
  <c r="A136" i="64"/>
  <c r="B136" i="64" s="1"/>
  <c r="A135" i="64"/>
  <c r="G135" i="64" s="1"/>
  <c r="A134" i="64"/>
  <c r="G134" i="64" s="1"/>
  <c r="B133" i="64"/>
  <c r="H130" i="64"/>
  <c r="H128" i="64"/>
  <c r="H127" i="64"/>
  <c r="H126" i="64"/>
  <c r="H125" i="64"/>
  <c r="H123" i="64"/>
  <c r="S122" i="64"/>
  <c r="R122" i="64"/>
  <c r="Q122" i="64"/>
  <c r="P122" i="64"/>
  <c r="O122" i="64"/>
  <c r="N122" i="64"/>
  <c r="M122" i="64"/>
  <c r="L122" i="64"/>
  <c r="K122" i="64"/>
  <c r="J122" i="64"/>
  <c r="I122" i="64"/>
  <c r="G121" i="64"/>
  <c r="H121" i="64" s="1"/>
  <c r="I121" i="64" s="1"/>
  <c r="J121" i="64" s="1"/>
  <c r="K121" i="64" s="1"/>
  <c r="L121" i="64" s="1"/>
  <c r="M121" i="64" s="1"/>
  <c r="N121" i="64" s="1"/>
  <c r="O121" i="64" s="1"/>
  <c r="P121" i="64" s="1"/>
  <c r="Q121" i="64" s="1"/>
  <c r="R121" i="64" s="1"/>
  <c r="S121" i="64" s="1"/>
  <c r="C113" i="64"/>
  <c r="A112" i="64"/>
  <c r="G112" i="64" s="1"/>
  <c r="A111" i="64"/>
  <c r="A110" i="64"/>
  <c r="B110" i="64" s="1"/>
  <c r="A109" i="64"/>
  <c r="B109" i="64" s="1"/>
  <c r="A108" i="64"/>
  <c r="A107" i="64"/>
  <c r="A106" i="64"/>
  <c r="A105" i="64"/>
  <c r="B105" i="64" s="1"/>
  <c r="A104" i="64"/>
  <c r="A103" i="64"/>
  <c r="B103" i="64" s="1"/>
  <c r="A102" i="64"/>
  <c r="A101" i="64"/>
  <c r="B101" i="64" s="1"/>
  <c r="A100" i="64"/>
  <c r="G100" i="64" s="1"/>
  <c r="A99" i="64"/>
  <c r="A98" i="64"/>
  <c r="B98" i="64" s="1"/>
  <c r="A97" i="64"/>
  <c r="A96" i="64"/>
  <c r="B96" i="64" s="1"/>
  <c r="A95" i="64"/>
  <c r="B95" i="64" s="1"/>
  <c r="A94" i="64"/>
  <c r="A93" i="64"/>
  <c r="G93" i="64" s="1"/>
  <c r="A92" i="64"/>
  <c r="A91" i="64"/>
  <c r="B91" i="64" s="1"/>
  <c r="A90" i="64"/>
  <c r="A89" i="64"/>
  <c r="H88" i="64"/>
  <c r="B88" i="64"/>
  <c r="A88" i="64"/>
  <c r="G88" i="64" s="1"/>
  <c r="A87" i="64"/>
  <c r="B87" i="64" s="1"/>
  <c r="A86" i="64"/>
  <c r="B86" i="64" s="1"/>
  <c r="A85" i="64"/>
  <c r="A84" i="64"/>
  <c r="A83" i="64"/>
  <c r="G83" i="64" s="1"/>
  <c r="A82" i="64"/>
  <c r="A81" i="64"/>
  <c r="A80" i="64"/>
  <c r="B79" i="64"/>
  <c r="A79" i="64"/>
  <c r="H76" i="64"/>
  <c r="H75" i="64"/>
  <c r="B75" i="64"/>
  <c r="B74" i="64"/>
  <c r="B73" i="64"/>
  <c r="H72" i="64"/>
  <c r="B72" i="64"/>
  <c r="H69" i="64"/>
  <c r="H68" i="64"/>
  <c r="B68" i="64"/>
  <c r="S67" i="64"/>
  <c r="R67" i="64"/>
  <c r="Q67" i="64"/>
  <c r="P67" i="64"/>
  <c r="O67" i="64"/>
  <c r="N67" i="64"/>
  <c r="M67" i="64"/>
  <c r="L67" i="64"/>
  <c r="K67" i="64"/>
  <c r="J67" i="64"/>
  <c r="I67" i="64"/>
  <c r="G66" i="64"/>
  <c r="H66" i="64" s="1"/>
  <c r="I66" i="64" s="1"/>
  <c r="J66" i="64" s="1"/>
  <c r="K66" i="64" s="1"/>
  <c r="L66" i="64" s="1"/>
  <c r="M66" i="64" s="1"/>
  <c r="N66" i="64" s="1"/>
  <c r="O66" i="64" s="1"/>
  <c r="P66" i="64" s="1"/>
  <c r="Q66" i="64" s="1"/>
  <c r="R66" i="64" s="1"/>
  <c r="S66" i="64" s="1"/>
  <c r="C58" i="64"/>
  <c r="H57" i="64"/>
  <c r="G57" i="64"/>
  <c r="D57" i="64"/>
  <c r="B57" i="64"/>
  <c r="H56" i="64"/>
  <c r="G56" i="64"/>
  <c r="D56" i="64"/>
  <c r="C56" i="64" s="1"/>
  <c r="B56" i="64"/>
  <c r="H55" i="64"/>
  <c r="G55" i="64"/>
  <c r="D55" i="64"/>
  <c r="C55" i="64" s="1"/>
  <c r="B55" i="64"/>
  <c r="H54" i="64"/>
  <c r="G54" i="64"/>
  <c r="D54" i="64"/>
  <c r="C54" i="64" s="1"/>
  <c r="B54" i="64"/>
  <c r="H53" i="64"/>
  <c r="G53" i="64"/>
  <c r="D53" i="64"/>
  <c r="B53" i="64"/>
  <c r="H52" i="64"/>
  <c r="G52" i="64"/>
  <c r="D52" i="64"/>
  <c r="C52" i="64" s="1"/>
  <c r="B52" i="64"/>
  <c r="H51" i="64"/>
  <c r="G51" i="64"/>
  <c r="D51" i="64"/>
  <c r="B51" i="64"/>
  <c r="H50" i="64"/>
  <c r="G50" i="64"/>
  <c r="D50" i="64"/>
  <c r="D160" i="64" s="1"/>
  <c r="C160" i="64" s="1"/>
  <c r="B50" i="64"/>
  <c r="H49" i="64"/>
  <c r="G49" i="64"/>
  <c r="D49" i="64"/>
  <c r="C49" i="64" s="1"/>
  <c r="B49" i="64"/>
  <c r="H48" i="64"/>
  <c r="G48" i="64"/>
  <c r="D48" i="64"/>
  <c r="C48" i="64" s="1"/>
  <c r="B48" i="64"/>
  <c r="H47" i="64"/>
  <c r="G47" i="64"/>
  <c r="D47" i="64"/>
  <c r="C47" i="64" s="1"/>
  <c r="B47" i="64"/>
  <c r="H46" i="64"/>
  <c r="G46" i="64"/>
  <c r="D46" i="64"/>
  <c r="D156" i="64" s="1"/>
  <c r="C156" i="64" s="1"/>
  <c r="B46" i="64"/>
  <c r="H45" i="64"/>
  <c r="G45" i="64"/>
  <c r="D45" i="64"/>
  <c r="D100" i="64" s="1"/>
  <c r="C100" i="64" s="1"/>
  <c r="B45" i="64"/>
  <c r="H44" i="64"/>
  <c r="G44" i="64"/>
  <c r="D44" i="64"/>
  <c r="C44" i="64" s="1"/>
  <c r="B44" i="64"/>
  <c r="H43" i="64"/>
  <c r="G43" i="64"/>
  <c r="D43" i="64"/>
  <c r="B43" i="64"/>
  <c r="H42" i="64"/>
  <c r="G42" i="64"/>
  <c r="D42" i="64"/>
  <c r="C42" i="64" s="1"/>
  <c r="B42" i="64"/>
  <c r="H41" i="64"/>
  <c r="G41" i="64"/>
  <c r="D41" i="64"/>
  <c r="D151" i="64" s="1"/>
  <c r="C151" i="64" s="1"/>
  <c r="B41" i="64"/>
  <c r="H40" i="64"/>
  <c r="G40" i="64"/>
  <c r="D40" i="64"/>
  <c r="D95" i="64" s="1"/>
  <c r="C95" i="64" s="1"/>
  <c r="B40" i="64"/>
  <c r="H39" i="64"/>
  <c r="G39" i="64"/>
  <c r="D39" i="64"/>
  <c r="C39" i="64" s="1"/>
  <c r="B39" i="64"/>
  <c r="H38" i="64"/>
  <c r="G38" i="64"/>
  <c r="D38" i="64"/>
  <c r="C38" i="64" s="1"/>
  <c r="B38" i="64"/>
  <c r="H37" i="64"/>
  <c r="G37" i="64"/>
  <c r="D37" i="64"/>
  <c r="B37" i="64"/>
  <c r="H36" i="64"/>
  <c r="G36" i="64"/>
  <c r="D36" i="64"/>
  <c r="C36" i="64" s="1"/>
  <c r="B36" i="64"/>
  <c r="H35" i="64"/>
  <c r="G35" i="64"/>
  <c r="D35" i="64"/>
  <c r="B35" i="64"/>
  <c r="H34" i="64"/>
  <c r="G34" i="64"/>
  <c r="D34" i="64"/>
  <c r="D144" i="64" s="1"/>
  <c r="C144" i="64" s="1"/>
  <c r="B34" i="64"/>
  <c r="H33" i="64"/>
  <c r="G33" i="64"/>
  <c r="D33" i="64"/>
  <c r="D143" i="64" s="1"/>
  <c r="C143" i="64" s="1"/>
  <c r="B33" i="64"/>
  <c r="H32" i="64"/>
  <c r="G32" i="64"/>
  <c r="D32" i="64"/>
  <c r="C32" i="64" s="1"/>
  <c r="B32" i="64"/>
  <c r="H31" i="64"/>
  <c r="G31" i="64"/>
  <c r="D31" i="64"/>
  <c r="B31" i="64"/>
  <c r="H30" i="64"/>
  <c r="G30" i="64"/>
  <c r="D30" i="64"/>
  <c r="C30" i="64" s="1"/>
  <c r="B30" i="64"/>
  <c r="H29" i="64"/>
  <c r="G29" i="64"/>
  <c r="D29" i="64"/>
  <c r="D139" i="64" s="1"/>
  <c r="C139" i="64" s="1"/>
  <c r="B29" i="64"/>
  <c r="H28" i="64"/>
  <c r="G28" i="64"/>
  <c r="D28" i="64"/>
  <c r="B28" i="64"/>
  <c r="H27" i="64"/>
  <c r="G27" i="64"/>
  <c r="D27" i="64"/>
  <c r="B27" i="64"/>
  <c r="H26" i="64"/>
  <c r="G26" i="64"/>
  <c r="D26" i="64"/>
  <c r="D81" i="64" s="1"/>
  <c r="C81" i="64" s="1"/>
  <c r="B26" i="64"/>
  <c r="H25" i="64"/>
  <c r="G25" i="64"/>
  <c r="D25" i="64"/>
  <c r="D135" i="64" s="1"/>
  <c r="C135" i="64" s="1"/>
  <c r="B25" i="64"/>
  <c r="H24" i="64"/>
  <c r="G24" i="64"/>
  <c r="D24" i="64"/>
  <c r="C24" i="64" s="1"/>
  <c r="B24" i="64"/>
  <c r="H23" i="64"/>
  <c r="G23" i="64"/>
  <c r="B23" i="64"/>
  <c r="H22" i="64"/>
  <c r="G22" i="64"/>
  <c r="B22" i="64"/>
  <c r="H21" i="64"/>
  <c r="B21" i="64"/>
  <c r="H20" i="64"/>
  <c r="B20" i="64"/>
  <c r="H19" i="64"/>
  <c r="B19" i="64"/>
  <c r="H18" i="64"/>
  <c r="B18" i="64"/>
  <c r="H17" i="64"/>
  <c r="B17" i="64"/>
  <c r="H16" i="64"/>
  <c r="B16" i="64"/>
  <c r="H15" i="64"/>
  <c r="B15" i="64"/>
  <c r="H14" i="64"/>
  <c r="B14" i="64"/>
  <c r="H13" i="64"/>
  <c r="B13" i="64"/>
  <c r="S12" i="64"/>
  <c r="R12" i="64"/>
  <c r="Q12" i="64"/>
  <c r="P12" i="64"/>
  <c r="O12" i="64"/>
  <c r="N12" i="64"/>
  <c r="M12" i="64"/>
  <c r="L12" i="64"/>
  <c r="K12" i="64"/>
  <c r="J12" i="64"/>
  <c r="I12" i="64"/>
  <c r="G11" i="64"/>
  <c r="H11" i="64" s="1"/>
  <c r="I11" i="64" s="1"/>
  <c r="J11" i="64" s="1"/>
  <c r="K11" i="64" s="1"/>
  <c r="L11" i="64" s="1"/>
  <c r="M11" i="64" s="1"/>
  <c r="N11" i="64" s="1"/>
  <c r="O11" i="64" s="1"/>
  <c r="P11" i="64" s="1"/>
  <c r="Q11" i="64" s="1"/>
  <c r="R11" i="64" s="1"/>
  <c r="S11" i="64" s="1"/>
  <c r="C1" i="64"/>
  <c r="F67" i="55"/>
  <c r="K23" i="55"/>
  <c r="K24" i="55"/>
  <c r="K25" i="55"/>
  <c r="K26" i="55"/>
  <c r="K27" i="55"/>
  <c r="K28" i="55"/>
  <c r="K29" i="55"/>
  <c r="K30" i="55"/>
  <c r="K31" i="55"/>
  <c r="K32" i="55"/>
  <c r="K33" i="55"/>
  <c r="K34" i="55"/>
  <c r="K35" i="55"/>
  <c r="K36" i="55"/>
  <c r="K37" i="55"/>
  <c r="K38" i="55"/>
  <c r="K39" i="55"/>
  <c r="K40" i="55"/>
  <c r="K41" i="55"/>
  <c r="K42" i="55"/>
  <c r="K43" i="55"/>
  <c r="K44" i="55"/>
  <c r="K45" i="55"/>
  <c r="K46" i="55"/>
  <c r="K47" i="55"/>
  <c r="K48" i="55"/>
  <c r="K49" i="55"/>
  <c r="K50" i="55"/>
  <c r="K51" i="55"/>
  <c r="K52" i="55"/>
  <c r="K53" i="55"/>
  <c r="K54" i="55"/>
  <c r="K55" i="55"/>
  <c r="K56" i="55"/>
  <c r="K57" i="55"/>
  <c r="K58" i="55"/>
  <c r="I23" i="55"/>
  <c r="I24" i="55"/>
  <c r="I25" i="55"/>
  <c r="I26" i="55"/>
  <c r="I27" i="55"/>
  <c r="I28" i="55"/>
  <c r="I29" i="55"/>
  <c r="I30" i="55"/>
  <c r="I31" i="55"/>
  <c r="I32" i="55"/>
  <c r="I33" i="55"/>
  <c r="I34" i="55"/>
  <c r="I35" i="55"/>
  <c r="I36" i="55"/>
  <c r="I37" i="55"/>
  <c r="I38" i="55"/>
  <c r="I39" i="55"/>
  <c r="I40" i="55"/>
  <c r="I41" i="55"/>
  <c r="I42" i="55"/>
  <c r="I43" i="55"/>
  <c r="I44" i="55"/>
  <c r="I45" i="55"/>
  <c r="I46" i="55"/>
  <c r="I47" i="55"/>
  <c r="I48" i="55"/>
  <c r="I49" i="55"/>
  <c r="I50" i="55"/>
  <c r="I51" i="55"/>
  <c r="I52" i="55"/>
  <c r="I53" i="55"/>
  <c r="I54" i="55"/>
  <c r="I55" i="55"/>
  <c r="I56" i="55"/>
  <c r="I57" i="55"/>
  <c r="I58" i="55"/>
  <c r="K12" i="55"/>
  <c r="H23" i="55"/>
  <c r="H24" i="55"/>
  <c r="H25" i="55"/>
  <c r="H26" i="55"/>
  <c r="H27" i="55"/>
  <c r="H28" i="55"/>
  <c r="H29" i="55"/>
  <c r="H30" i="55"/>
  <c r="H31" i="55"/>
  <c r="H32" i="55"/>
  <c r="H33" i="55"/>
  <c r="H34" i="55"/>
  <c r="H35" i="55"/>
  <c r="H36" i="55"/>
  <c r="H37" i="55"/>
  <c r="H38" i="55"/>
  <c r="H39" i="55"/>
  <c r="H40" i="55"/>
  <c r="H41" i="55"/>
  <c r="H42" i="55"/>
  <c r="H43" i="55"/>
  <c r="H44" i="55"/>
  <c r="H45" i="55"/>
  <c r="H46" i="55"/>
  <c r="H47" i="55"/>
  <c r="H48" i="55"/>
  <c r="H49" i="55"/>
  <c r="H50" i="55"/>
  <c r="H51" i="55"/>
  <c r="H52" i="55"/>
  <c r="H53" i="55"/>
  <c r="H54" i="55"/>
  <c r="H55" i="55"/>
  <c r="H56" i="55"/>
  <c r="H57" i="55"/>
  <c r="H58" i="55"/>
  <c r="E154" i="63"/>
  <c r="E158" i="63"/>
  <c r="E159" i="63"/>
  <c r="E153" i="63"/>
  <c r="C75" i="63"/>
  <c r="S69" i="63"/>
  <c r="R69" i="63"/>
  <c r="Q69" i="63"/>
  <c r="P69" i="63"/>
  <c r="O69" i="63"/>
  <c r="N69" i="63"/>
  <c r="M69" i="63"/>
  <c r="L69" i="63"/>
  <c r="K69" i="63"/>
  <c r="J69" i="63"/>
  <c r="I69" i="63"/>
  <c r="H69" i="63"/>
  <c r="G69" i="63"/>
  <c r="F69" i="63" s="1"/>
  <c r="C65" i="63"/>
  <c r="C61" i="63"/>
  <c r="C58" i="63"/>
  <c r="H57" i="63"/>
  <c r="G57" i="63"/>
  <c r="D57" i="63"/>
  <c r="C57" i="63" s="1"/>
  <c r="B57" i="63"/>
  <c r="H56" i="63"/>
  <c r="G56" i="63"/>
  <c r="D56" i="63"/>
  <c r="C56" i="63" s="1"/>
  <c r="B56" i="63"/>
  <c r="H55" i="63"/>
  <c r="G55" i="63"/>
  <c r="D55" i="63"/>
  <c r="C55" i="63" s="1"/>
  <c r="B55" i="63"/>
  <c r="H54" i="63"/>
  <c r="G54" i="63"/>
  <c r="D54" i="63"/>
  <c r="C54" i="63" s="1"/>
  <c r="B54" i="63"/>
  <c r="H53" i="63"/>
  <c r="G53" i="63"/>
  <c r="D53" i="63"/>
  <c r="C53" i="63" s="1"/>
  <c r="B53" i="63"/>
  <c r="H52" i="63"/>
  <c r="G52" i="63"/>
  <c r="D52" i="63"/>
  <c r="C52" i="63" s="1"/>
  <c r="B52" i="63"/>
  <c r="H51" i="63"/>
  <c r="G51" i="63"/>
  <c r="D51" i="63"/>
  <c r="C51" i="63" s="1"/>
  <c r="B51" i="63"/>
  <c r="H50" i="63"/>
  <c r="G50" i="63"/>
  <c r="D50" i="63"/>
  <c r="C50" i="63" s="1"/>
  <c r="B50" i="63"/>
  <c r="H49" i="63"/>
  <c r="G49" i="63"/>
  <c r="D49" i="63"/>
  <c r="C49" i="63" s="1"/>
  <c r="B49" i="63"/>
  <c r="H48" i="63"/>
  <c r="G48" i="63"/>
  <c r="D48" i="63"/>
  <c r="C48" i="63" s="1"/>
  <c r="B48" i="63"/>
  <c r="H47" i="63"/>
  <c r="G47" i="63"/>
  <c r="D47" i="63"/>
  <c r="C47" i="63" s="1"/>
  <c r="B47" i="63"/>
  <c r="H46" i="63"/>
  <c r="G46" i="63"/>
  <c r="D46" i="63"/>
  <c r="C46" i="63" s="1"/>
  <c r="B46" i="63"/>
  <c r="H45" i="63"/>
  <c r="G45" i="63"/>
  <c r="D45" i="63"/>
  <c r="C45" i="63" s="1"/>
  <c r="B45" i="63"/>
  <c r="H44" i="63"/>
  <c r="G44" i="63"/>
  <c r="D44" i="63"/>
  <c r="C44" i="63" s="1"/>
  <c r="B44" i="63"/>
  <c r="H43" i="63"/>
  <c r="G43" i="63"/>
  <c r="D43" i="63"/>
  <c r="C43" i="63" s="1"/>
  <c r="B43" i="63"/>
  <c r="H42" i="63"/>
  <c r="G42" i="63"/>
  <c r="D42" i="63"/>
  <c r="C42" i="63" s="1"/>
  <c r="B42" i="63"/>
  <c r="H41" i="63"/>
  <c r="G41" i="63"/>
  <c r="D41" i="63"/>
  <c r="C41" i="63" s="1"/>
  <c r="B41" i="63"/>
  <c r="H40" i="63"/>
  <c r="G40" i="63"/>
  <c r="D40" i="63"/>
  <c r="C40" i="63" s="1"/>
  <c r="B40" i="63"/>
  <c r="H39" i="63"/>
  <c r="G39" i="63"/>
  <c r="D39" i="63"/>
  <c r="C39" i="63" s="1"/>
  <c r="B39" i="63"/>
  <c r="H38" i="63"/>
  <c r="G38" i="63"/>
  <c r="D38" i="63"/>
  <c r="C38" i="63" s="1"/>
  <c r="B38" i="63"/>
  <c r="H37" i="63"/>
  <c r="G37" i="63"/>
  <c r="D37" i="63"/>
  <c r="C37" i="63" s="1"/>
  <c r="B37" i="63"/>
  <c r="H36" i="63"/>
  <c r="G36" i="63"/>
  <c r="D36" i="63"/>
  <c r="C36" i="63" s="1"/>
  <c r="B36" i="63"/>
  <c r="H35" i="63"/>
  <c r="G35" i="63"/>
  <c r="D35" i="63"/>
  <c r="C35" i="63" s="1"/>
  <c r="B35" i="63"/>
  <c r="H34" i="63"/>
  <c r="G34" i="63"/>
  <c r="D34" i="63"/>
  <c r="C34" i="63" s="1"/>
  <c r="B34" i="63"/>
  <c r="H33" i="63"/>
  <c r="G33" i="63"/>
  <c r="D33" i="63"/>
  <c r="C33" i="63" s="1"/>
  <c r="B33" i="63"/>
  <c r="H32" i="63"/>
  <c r="G32" i="63"/>
  <c r="D32" i="63"/>
  <c r="C32" i="63" s="1"/>
  <c r="B32" i="63"/>
  <c r="H31" i="63"/>
  <c r="G31" i="63"/>
  <c r="D31" i="63"/>
  <c r="C31" i="63" s="1"/>
  <c r="B31" i="63"/>
  <c r="H30" i="63"/>
  <c r="G30" i="63"/>
  <c r="D30" i="63"/>
  <c r="C30" i="63" s="1"/>
  <c r="B30" i="63"/>
  <c r="H29" i="63"/>
  <c r="G29" i="63"/>
  <c r="D29" i="63"/>
  <c r="C29" i="63" s="1"/>
  <c r="B29" i="63"/>
  <c r="H28" i="63"/>
  <c r="G28" i="63"/>
  <c r="D28" i="63"/>
  <c r="C28" i="63" s="1"/>
  <c r="B28" i="63"/>
  <c r="H27" i="63"/>
  <c r="G27" i="63"/>
  <c r="D27" i="63"/>
  <c r="C27" i="63" s="1"/>
  <c r="B27" i="63"/>
  <c r="H26" i="63"/>
  <c r="G26" i="63"/>
  <c r="D26" i="63"/>
  <c r="C26" i="63" s="1"/>
  <c r="B26" i="63"/>
  <c r="H25" i="63"/>
  <c r="G25" i="63"/>
  <c r="D25" i="63"/>
  <c r="C25" i="63" s="1"/>
  <c r="B25" i="63"/>
  <c r="H24" i="63"/>
  <c r="G24" i="63"/>
  <c r="D24" i="63"/>
  <c r="C24" i="63" s="1"/>
  <c r="B24" i="63"/>
  <c r="H23" i="63"/>
  <c r="G23" i="63"/>
  <c r="B23" i="63"/>
  <c r="H22" i="63"/>
  <c r="G22" i="63"/>
  <c r="B22" i="63"/>
  <c r="H21" i="63"/>
  <c r="B21" i="63"/>
  <c r="H20" i="63"/>
  <c r="B20" i="63"/>
  <c r="H19" i="63"/>
  <c r="B19" i="63"/>
  <c r="H18" i="63"/>
  <c r="B18" i="63"/>
  <c r="H17" i="63"/>
  <c r="B17" i="63"/>
  <c r="H16" i="63"/>
  <c r="B16" i="63"/>
  <c r="H15" i="63"/>
  <c r="B15" i="63"/>
  <c r="H14" i="63"/>
  <c r="B14" i="63"/>
  <c r="H13" i="63"/>
  <c r="B13" i="63"/>
  <c r="S12" i="63"/>
  <c r="R12" i="63"/>
  <c r="Q12" i="63"/>
  <c r="P12" i="63"/>
  <c r="O12" i="63"/>
  <c r="N12" i="63"/>
  <c r="M12" i="63"/>
  <c r="L12" i="63"/>
  <c r="K12" i="63"/>
  <c r="J12" i="63"/>
  <c r="I12" i="63"/>
  <c r="J11" i="63"/>
  <c r="K11" i="63" s="1"/>
  <c r="L11" i="63" s="1"/>
  <c r="M11" i="63" s="1"/>
  <c r="N11" i="63" s="1"/>
  <c r="O11" i="63" s="1"/>
  <c r="P11" i="63" s="1"/>
  <c r="Q11" i="63" s="1"/>
  <c r="R11" i="63" s="1"/>
  <c r="S11" i="63" s="1"/>
  <c r="I11" i="63"/>
  <c r="H11" i="63"/>
  <c r="G11" i="63"/>
  <c r="C1" i="63"/>
  <c r="H57" i="54"/>
  <c r="G57" i="54"/>
  <c r="H56" i="54"/>
  <c r="G56" i="54"/>
  <c r="H55" i="54"/>
  <c r="G55" i="54"/>
  <c r="H54" i="54"/>
  <c r="G54" i="54"/>
  <c r="H53" i="54"/>
  <c r="G53" i="54"/>
  <c r="H52" i="54"/>
  <c r="G52" i="54"/>
  <c r="H51" i="54"/>
  <c r="G51" i="54"/>
  <c r="H50" i="54"/>
  <c r="G50" i="54"/>
  <c r="H49" i="54"/>
  <c r="G49" i="54"/>
  <c r="H48" i="54"/>
  <c r="G48" i="54"/>
  <c r="H47" i="54"/>
  <c r="G47" i="54"/>
  <c r="H46" i="54"/>
  <c r="G46" i="54"/>
  <c r="H45" i="54"/>
  <c r="G45" i="54"/>
  <c r="H44" i="54"/>
  <c r="G44" i="54"/>
  <c r="H43" i="54"/>
  <c r="G43" i="54"/>
  <c r="H42" i="54"/>
  <c r="G42" i="54"/>
  <c r="H41" i="54"/>
  <c r="G41" i="54"/>
  <c r="H40" i="54"/>
  <c r="G40" i="54"/>
  <c r="H39" i="54"/>
  <c r="G39" i="54"/>
  <c r="H38" i="54"/>
  <c r="G38" i="54"/>
  <c r="H37" i="54"/>
  <c r="G37" i="54"/>
  <c r="H36" i="54"/>
  <c r="G36" i="54"/>
  <c r="H35" i="54"/>
  <c r="G35" i="54"/>
  <c r="H34" i="54"/>
  <c r="G34" i="54"/>
  <c r="H33" i="54"/>
  <c r="G33" i="54"/>
  <c r="H32" i="54"/>
  <c r="G32" i="54"/>
  <c r="H31" i="54"/>
  <c r="G31" i="54"/>
  <c r="H30" i="54"/>
  <c r="G30" i="54"/>
  <c r="H29" i="54"/>
  <c r="G29" i="54"/>
  <c r="H28" i="54"/>
  <c r="G28" i="54"/>
  <c r="H27" i="54"/>
  <c r="G27" i="54"/>
  <c r="H26" i="54"/>
  <c r="G26" i="54"/>
  <c r="H25" i="54"/>
  <c r="G25" i="54"/>
  <c r="H24" i="54"/>
  <c r="G24" i="54"/>
  <c r="H23" i="54"/>
  <c r="G23" i="54"/>
  <c r="H22" i="54"/>
  <c r="G22" i="54"/>
  <c r="H21" i="54"/>
  <c r="G21" i="54"/>
  <c r="H20" i="54"/>
  <c r="G20" i="54"/>
  <c r="H19" i="54"/>
  <c r="G19" i="54"/>
  <c r="H18" i="54"/>
  <c r="G18" i="54"/>
  <c r="H17" i="54"/>
  <c r="G17" i="54"/>
  <c r="H16" i="54"/>
  <c r="G16" i="54"/>
  <c r="H15" i="54"/>
  <c r="G15" i="54"/>
  <c r="H14" i="54"/>
  <c r="G14" i="54"/>
  <c r="H13" i="54"/>
  <c r="G13" i="54"/>
  <c r="S12" i="54"/>
  <c r="R12" i="54"/>
  <c r="Q12" i="54"/>
  <c r="P12" i="54"/>
  <c r="O12" i="54"/>
  <c r="N12" i="54"/>
  <c r="M12" i="54"/>
  <c r="L12" i="54"/>
  <c r="K12" i="54"/>
  <c r="J12" i="54"/>
  <c r="I12" i="54"/>
  <c r="G11" i="54"/>
  <c r="H11" i="54" s="1"/>
  <c r="I11" i="54" s="1"/>
  <c r="J11" i="54" s="1"/>
  <c r="K11" i="54" s="1"/>
  <c r="L11" i="54" s="1"/>
  <c r="M11" i="54" s="1"/>
  <c r="N11" i="54" s="1"/>
  <c r="O11" i="54" s="1"/>
  <c r="P11" i="54" s="1"/>
  <c r="Q11" i="54" s="1"/>
  <c r="R11" i="54" s="1"/>
  <c r="S11" i="54" s="1"/>
  <c r="C29" i="64" l="1"/>
  <c r="C40" i="64"/>
  <c r="C46" i="64"/>
  <c r="H91" i="64"/>
  <c r="G155" i="64"/>
  <c r="G161" i="64"/>
  <c r="Q26" i="64"/>
  <c r="G103" i="64"/>
  <c r="G109" i="64"/>
  <c r="B137" i="64"/>
  <c r="Q137" i="64" s="1"/>
  <c r="B150" i="64"/>
  <c r="N150" i="64" s="1"/>
  <c r="H86" i="64"/>
  <c r="H103" i="64"/>
  <c r="H109" i="64"/>
  <c r="D88" i="64"/>
  <c r="C88" i="64" s="1"/>
  <c r="H93" i="64"/>
  <c r="G157" i="64"/>
  <c r="G86" i="64"/>
  <c r="H95" i="64"/>
  <c r="D101" i="64"/>
  <c r="C101" i="64" s="1"/>
  <c r="G139" i="64"/>
  <c r="S136" i="64"/>
  <c r="J57" i="64"/>
  <c r="I86" i="64"/>
  <c r="L27" i="64"/>
  <c r="R31" i="64"/>
  <c r="K57" i="64"/>
  <c r="B124" i="64"/>
  <c r="H124" i="64"/>
  <c r="B127" i="64"/>
  <c r="B69" i="64"/>
  <c r="B126" i="64"/>
  <c r="I51" i="64"/>
  <c r="H74" i="64"/>
  <c r="H73" i="64"/>
  <c r="P28" i="64"/>
  <c r="K38" i="64"/>
  <c r="Q103" i="64"/>
  <c r="R39" i="64"/>
  <c r="L32" i="64"/>
  <c r="L52" i="64"/>
  <c r="I26" i="64"/>
  <c r="J56" i="64"/>
  <c r="I57" i="64"/>
  <c r="N155" i="64"/>
  <c r="S45" i="64"/>
  <c r="M26" i="64"/>
  <c r="N45" i="64"/>
  <c r="J26" i="64"/>
  <c r="I32" i="64"/>
  <c r="J38" i="64"/>
  <c r="I56" i="64"/>
  <c r="Q25" i="64"/>
  <c r="L44" i="64"/>
  <c r="K109" i="64"/>
  <c r="O95" i="64"/>
  <c r="J40" i="64"/>
  <c r="I27" i="64"/>
  <c r="Q43" i="64"/>
  <c r="I50" i="64"/>
  <c r="Q56" i="64"/>
  <c r="N98" i="64"/>
  <c r="Q47" i="64"/>
  <c r="P56" i="64"/>
  <c r="S29" i="64"/>
  <c r="J46" i="64"/>
  <c r="H59" i="64"/>
  <c r="N95" i="64"/>
  <c r="S48" i="64"/>
  <c r="N34" i="64"/>
  <c r="L47" i="64"/>
  <c r="J50" i="64"/>
  <c r="S146" i="64"/>
  <c r="S28" i="64"/>
  <c r="K30" i="64"/>
  <c r="K32" i="64"/>
  <c r="K46" i="64"/>
  <c r="J110" i="64"/>
  <c r="R110" i="64"/>
  <c r="S39" i="64"/>
  <c r="O28" i="64"/>
  <c r="P40" i="64"/>
  <c r="Q49" i="64"/>
  <c r="R56" i="64"/>
  <c r="S96" i="64"/>
  <c r="R139" i="64"/>
  <c r="S31" i="64"/>
  <c r="K40" i="64"/>
  <c r="L30" i="64"/>
  <c r="L29" i="64"/>
  <c r="R26" i="64"/>
  <c r="I48" i="64"/>
  <c r="I110" i="64"/>
  <c r="Q139" i="64"/>
  <c r="N157" i="64"/>
  <c r="K157" i="64"/>
  <c r="J42" i="64"/>
  <c r="I42" i="64"/>
  <c r="B81" i="64"/>
  <c r="I81" i="64" s="1"/>
  <c r="H81" i="64"/>
  <c r="G81" i="64"/>
  <c r="B154" i="64"/>
  <c r="O154" i="64" s="1"/>
  <c r="G154" i="64"/>
  <c r="G163" i="64"/>
  <c r="B163" i="64"/>
  <c r="S163" i="64" s="1"/>
  <c r="J96" i="64"/>
  <c r="M54" i="64"/>
  <c r="K54" i="64"/>
  <c r="J54" i="64"/>
  <c r="O138" i="64"/>
  <c r="K138" i="64"/>
  <c r="S138" i="64"/>
  <c r="R138" i="64"/>
  <c r="H97" i="64"/>
  <c r="G97" i="64"/>
  <c r="G138" i="64"/>
  <c r="G151" i="64"/>
  <c r="B151" i="64"/>
  <c r="K151" i="64" s="1"/>
  <c r="J31" i="64"/>
  <c r="I31" i="64"/>
  <c r="M38" i="64"/>
  <c r="R87" i="64"/>
  <c r="B97" i="64"/>
  <c r="J105" i="64"/>
  <c r="J109" i="64"/>
  <c r="B135" i="64"/>
  <c r="J135" i="64" s="1"/>
  <c r="J138" i="64"/>
  <c r="B159" i="64"/>
  <c r="L159" i="64" s="1"/>
  <c r="B165" i="64"/>
  <c r="K165" i="64" s="1"/>
  <c r="P25" i="64"/>
  <c r="R42" i="64"/>
  <c r="D167" i="64"/>
  <c r="C167" i="64" s="1"/>
  <c r="C57" i="64"/>
  <c r="D112" i="64"/>
  <c r="C112" i="64" s="1"/>
  <c r="P110" i="64"/>
  <c r="P95" i="64"/>
  <c r="J91" i="64"/>
  <c r="B143" i="64"/>
  <c r="L143" i="64" s="1"/>
  <c r="G152" i="64"/>
  <c r="B160" i="64"/>
  <c r="J160" i="64" s="1"/>
  <c r="G160" i="64"/>
  <c r="S35" i="64"/>
  <c r="Q35" i="64"/>
  <c r="O35" i="64"/>
  <c r="P35" i="64"/>
  <c r="P43" i="64"/>
  <c r="N43" i="64"/>
  <c r="O43" i="64"/>
  <c r="O53" i="64"/>
  <c r="Q110" i="64"/>
  <c r="Q86" i="64"/>
  <c r="G79" i="64"/>
  <c r="H79" i="64"/>
  <c r="G84" i="64"/>
  <c r="H84" i="64"/>
  <c r="B84" i="64"/>
  <c r="J88" i="64"/>
  <c r="K91" i="64"/>
  <c r="R136" i="64"/>
  <c r="B153" i="64"/>
  <c r="L153" i="64" s="1"/>
  <c r="G153" i="64"/>
  <c r="J25" i="64"/>
  <c r="I25" i="64"/>
  <c r="J34" i="64"/>
  <c r="I34" i="64"/>
  <c r="S36" i="64"/>
  <c r="L36" i="64"/>
  <c r="O25" i="64"/>
  <c r="O45" i="64"/>
  <c r="M30" i="64"/>
  <c r="Q33" i="64"/>
  <c r="P33" i="64"/>
  <c r="O37" i="64"/>
  <c r="K39" i="64"/>
  <c r="I39" i="64"/>
  <c r="R41" i="64"/>
  <c r="O41" i="64"/>
  <c r="S155" i="64"/>
  <c r="R155" i="64"/>
  <c r="R25" i="64"/>
  <c r="O27" i="64"/>
  <c r="R33" i="64"/>
  <c r="P41" i="64"/>
  <c r="J48" i="64"/>
  <c r="O79" i="64"/>
  <c r="Q79" i="64"/>
  <c r="G108" i="64"/>
  <c r="H108" i="64"/>
  <c r="G149" i="64"/>
  <c r="B149" i="64"/>
  <c r="O149" i="64" s="1"/>
  <c r="S25" i="64"/>
  <c r="Q31" i="64"/>
  <c r="S33" i="64"/>
  <c r="Q39" i="64"/>
  <c r="I40" i="64"/>
  <c r="Q41" i="64"/>
  <c r="R48" i="64"/>
  <c r="O51" i="64"/>
  <c r="S109" i="64"/>
  <c r="S91" i="64"/>
  <c r="B108" i="64"/>
  <c r="O108" i="64" s="1"/>
  <c r="P51" i="64"/>
  <c r="G136" i="64"/>
  <c r="B140" i="64"/>
  <c r="S140" i="64" s="1"/>
  <c r="G146" i="64"/>
  <c r="Q48" i="64"/>
  <c r="S56" i="64"/>
  <c r="H105" i="64"/>
  <c r="J136" i="64"/>
  <c r="B156" i="64"/>
  <c r="S156" i="64" s="1"/>
  <c r="B158" i="64"/>
  <c r="P158" i="64" s="1"/>
  <c r="B166" i="64"/>
  <c r="O166" i="64" s="1"/>
  <c r="R34" i="64"/>
  <c r="R50" i="64"/>
  <c r="N110" i="64"/>
  <c r="B93" i="64"/>
  <c r="S93" i="64" s="1"/>
  <c r="G110" i="64"/>
  <c r="H112" i="64"/>
  <c r="Q136" i="64"/>
  <c r="B145" i="64"/>
  <c r="P145" i="64" s="1"/>
  <c r="B164" i="64"/>
  <c r="O164" i="64" s="1"/>
  <c r="P27" i="64"/>
  <c r="G105" i="64"/>
  <c r="L46" i="64"/>
  <c r="Q50" i="64"/>
  <c r="Q51" i="64"/>
  <c r="O110" i="64"/>
  <c r="G91" i="64"/>
  <c r="G95" i="64"/>
  <c r="D96" i="64"/>
  <c r="C96" i="64" s="1"/>
  <c r="H100" i="64"/>
  <c r="H110" i="64"/>
  <c r="B134" i="64"/>
  <c r="I134" i="64" s="1"/>
  <c r="B167" i="64"/>
  <c r="O167" i="64" s="1"/>
  <c r="P55" i="64"/>
  <c r="O55" i="64"/>
  <c r="N55" i="64"/>
  <c r="J55" i="64"/>
  <c r="I55" i="64"/>
  <c r="R55" i="64"/>
  <c r="S55" i="64"/>
  <c r="M55" i="64"/>
  <c r="L55" i="64"/>
  <c r="D157" i="64"/>
  <c r="C157" i="64" s="1"/>
  <c r="D102" i="64"/>
  <c r="C102" i="64" s="1"/>
  <c r="D163" i="64"/>
  <c r="C163" i="64" s="1"/>
  <c r="D108" i="64"/>
  <c r="C108" i="64" s="1"/>
  <c r="C53" i="64"/>
  <c r="L79" i="64"/>
  <c r="L109" i="64"/>
  <c r="L91" i="64"/>
  <c r="B77" i="64"/>
  <c r="H77" i="64"/>
  <c r="M50" i="64"/>
  <c r="M42" i="64"/>
  <c r="M34" i="64"/>
  <c r="M43" i="64"/>
  <c r="M31" i="64"/>
  <c r="M35" i="64"/>
  <c r="M52" i="64"/>
  <c r="M51" i="64"/>
  <c r="M47" i="64"/>
  <c r="M44" i="64"/>
  <c r="M27" i="64"/>
  <c r="M39" i="64"/>
  <c r="M36" i="64"/>
  <c r="Q29" i="64"/>
  <c r="I29" i="64"/>
  <c r="P29" i="64"/>
  <c r="R29" i="64"/>
  <c r="M29" i="64"/>
  <c r="O29" i="64"/>
  <c r="N29" i="64"/>
  <c r="K29" i="64"/>
  <c r="J29" i="64"/>
  <c r="D141" i="64"/>
  <c r="C141" i="64" s="1"/>
  <c r="D86" i="64"/>
  <c r="C86" i="64" s="1"/>
  <c r="C31" i="64"/>
  <c r="O32" i="64"/>
  <c r="N32" i="64"/>
  <c r="M32" i="64"/>
  <c r="S32" i="64"/>
  <c r="R32" i="64"/>
  <c r="P32" i="64"/>
  <c r="Q32" i="64"/>
  <c r="J32" i="64"/>
  <c r="D155" i="64"/>
  <c r="C155" i="64" s="1"/>
  <c r="C45" i="64"/>
  <c r="M86" i="64"/>
  <c r="M105" i="64"/>
  <c r="M110" i="64"/>
  <c r="G77" i="64"/>
  <c r="B83" i="64"/>
  <c r="H83" i="64"/>
  <c r="M98" i="64"/>
  <c r="N24" i="64"/>
  <c r="M24" i="64"/>
  <c r="K24" i="64"/>
  <c r="J24" i="64"/>
  <c r="R24" i="64"/>
  <c r="S24" i="64"/>
  <c r="I24" i="64"/>
  <c r="O24" i="64"/>
  <c r="L24" i="64"/>
  <c r="L139" i="64"/>
  <c r="L147" i="64"/>
  <c r="B141" i="64"/>
  <c r="G141" i="64"/>
  <c r="H60" i="64"/>
  <c r="R53" i="64"/>
  <c r="J53" i="64"/>
  <c r="Q53" i="64"/>
  <c r="I53" i="64"/>
  <c r="P53" i="64"/>
  <c r="L53" i="64"/>
  <c r="K53" i="64"/>
  <c r="M53" i="64"/>
  <c r="S53" i="64"/>
  <c r="D137" i="64"/>
  <c r="C137" i="64" s="1"/>
  <c r="D82" i="64"/>
  <c r="C82" i="64" s="1"/>
  <c r="C27" i="64"/>
  <c r="Q38" i="64"/>
  <c r="I38" i="64"/>
  <c r="P38" i="64"/>
  <c r="O38" i="64"/>
  <c r="N38" i="64"/>
  <c r="S38" i="64"/>
  <c r="R38" i="64"/>
  <c r="L38" i="64"/>
  <c r="K55" i="64"/>
  <c r="M87" i="64"/>
  <c r="O87" i="64"/>
  <c r="K87" i="64"/>
  <c r="J87" i="64"/>
  <c r="S87" i="64"/>
  <c r="I87" i="64"/>
  <c r="N87" i="64"/>
  <c r="L87" i="64"/>
  <c r="P87" i="64"/>
  <c r="L88" i="64"/>
  <c r="Q101" i="64"/>
  <c r="I101" i="64"/>
  <c r="R101" i="64"/>
  <c r="P101" i="64"/>
  <c r="L101" i="64"/>
  <c r="K101" i="64"/>
  <c r="J101" i="64"/>
  <c r="S101" i="64"/>
  <c r="O101" i="64"/>
  <c r="M101" i="64"/>
  <c r="N101" i="64"/>
  <c r="N37" i="64"/>
  <c r="N35" i="64"/>
  <c r="N28" i="64"/>
  <c r="N44" i="64"/>
  <c r="N42" i="64"/>
  <c r="N26" i="64"/>
  <c r="N52" i="64"/>
  <c r="N50" i="64"/>
  <c r="N51" i="64"/>
  <c r="N27" i="64"/>
  <c r="D140" i="64"/>
  <c r="C140" i="64" s="1"/>
  <c r="D85" i="64"/>
  <c r="C85" i="64" s="1"/>
  <c r="H71" i="64"/>
  <c r="B71" i="64"/>
  <c r="P24" i="64"/>
  <c r="Q55" i="64"/>
  <c r="Q87" i="64"/>
  <c r="M88" i="64"/>
  <c r="L103" i="64"/>
  <c r="N49" i="64"/>
  <c r="M49" i="64"/>
  <c r="L49" i="64"/>
  <c r="J49" i="64"/>
  <c r="R49" i="64"/>
  <c r="I49" i="64"/>
  <c r="S49" i="64"/>
  <c r="P49" i="64"/>
  <c r="O49" i="64"/>
  <c r="K49" i="64"/>
  <c r="B107" i="64"/>
  <c r="H107" i="64"/>
  <c r="G107" i="64"/>
  <c r="B102" i="64"/>
  <c r="H102" i="64"/>
  <c r="G102" i="64"/>
  <c r="Q24" i="64"/>
  <c r="N36" i="64"/>
  <c r="D161" i="64"/>
  <c r="C161" i="64" s="1"/>
  <c r="C51" i="64"/>
  <c r="D106" i="64"/>
  <c r="C106" i="64" s="1"/>
  <c r="N53" i="64"/>
  <c r="L157" i="64"/>
  <c r="B78" i="64"/>
  <c r="H78" i="64"/>
  <c r="G78" i="64"/>
  <c r="G85" i="64"/>
  <c r="H85" i="64"/>
  <c r="G92" i="64"/>
  <c r="H92" i="64"/>
  <c r="B92" i="64"/>
  <c r="H111" i="64"/>
  <c r="G111" i="64"/>
  <c r="D83" i="64"/>
  <c r="C83" i="64" s="1"/>
  <c r="D138" i="64"/>
  <c r="C138" i="64" s="1"/>
  <c r="C28" i="64"/>
  <c r="Q30" i="64"/>
  <c r="I30" i="64"/>
  <c r="P30" i="64"/>
  <c r="O30" i="64"/>
  <c r="J30" i="64"/>
  <c r="R30" i="64"/>
  <c r="S30" i="64"/>
  <c r="N30" i="64"/>
  <c r="S37" i="64"/>
  <c r="S51" i="64"/>
  <c r="S54" i="64"/>
  <c r="B85" i="64"/>
  <c r="B111" i="64"/>
  <c r="B162" i="64"/>
  <c r="G162" i="64"/>
  <c r="N33" i="64"/>
  <c r="M33" i="64"/>
  <c r="L33" i="64"/>
  <c r="O33" i="64"/>
  <c r="K33" i="64"/>
  <c r="I33" i="64"/>
  <c r="J33" i="64"/>
  <c r="D145" i="64"/>
  <c r="C145" i="64" s="1"/>
  <c r="C35" i="64"/>
  <c r="D90" i="64"/>
  <c r="C90" i="64" s="1"/>
  <c r="D147" i="64"/>
  <c r="C147" i="64" s="1"/>
  <c r="D92" i="64"/>
  <c r="C92" i="64" s="1"/>
  <c r="C37" i="64"/>
  <c r="D165" i="64"/>
  <c r="C165" i="64" s="1"/>
  <c r="D110" i="64"/>
  <c r="C110" i="64" s="1"/>
  <c r="G89" i="64"/>
  <c r="H89" i="64"/>
  <c r="B94" i="64"/>
  <c r="G94" i="64"/>
  <c r="H94" i="64"/>
  <c r="K48" i="64"/>
  <c r="K37" i="64"/>
  <c r="K28" i="64"/>
  <c r="K56" i="64"/>
  <c r="K31" i="64"/>
  <c r="K25" i="64"/>
  <c r="S27" i="64"/>
  <c r="D94" i="64"/>
  <c r="C94" i="64" s="1"/>
  <c r="D149" i="64"/>
  <c r="C149" i="64" s="1"/>
  <c r="S40" i="64"/>
  <c r="S43" i="64"/>
  <c r="L45" i="64"/>
  <c r="N57" i="64"/>
  <c r="M57" i="64"/>
  <c r="L57" i="64"/>
  <c r="S57" i="64"/>
  <c r="R57" i="64"/>
  <c r="P57" i="64"/>
  <c r="Q57" i="64"/>
  <c r="O57" i="64"/>
  <c r="B89" i="64"/>
  <c r="L51" i="64"/>
  <c r="L43" i="64"/>
  <c r="L35" i="64"/>
  <c r="L50" i="64"/>
  <c r="L42" i="64"/>
  <c r="L34" i="64"/>
  <c r="L26" i="64"/>
  <c r="L37" i="64"/>
  <c r="L28" i="64"/>
  <c r="N41" i="64"/>
  <c r="M41" i="64"/>
  <c r="L41" i="64"/>
  <c r="K41" i="64"/>
  <c r="J41" i="64"/>
  <c r="I41" i="64"/>
  <c r="S41" i="64"/>
  <c r="D153" i="64"/>
  <c r="C153" i="64" s="1"/>
  <c r="C43" i="64"/>
  <c r="D98" i="64"/>
  <c r="C98" i="64" s="1"/>
  <c r="Q46" i="64"/>
  <c r="I46" i="64"/>
  <c r="P46" i="64"/>
  <c r="O46" i="64"/>
  <c r="S46" i="64"/>
  <c r="M46" i="64"/>
  <c r="R46" i="64"/>
  <c r="N46" i="64"/>
  <c r="P47" i="64"/>
  <c r="O47" i="64"/>
  <c r="N47" i="64"/>
  <c r="K47" i="64"/>
  <c r="S47" i="64"/>
  <c r="J47" i="64"/>
  <c r="I47" i="64"/>
  <c r="R47" i="64"/>
  <c r="G80" i="64"/>
  <c r="H80" i="64"/>
  <c r="B80" i="64"/>
  <c r="H87" i="64"/>
  <c r="G87" i="64"/>
  <c r="B106" i="64"/>
  <c r="H106" i="64"/>
  <c r="G106" i="64"/>
  <c r="O36" i="64"/>
  <c r="N86" i="64"/>
  <c r="N88" i="64"/>
  <c r="B90" i="64"/>
  <c r="G90" i="64"/>
  <c r="M95" i="64"/>
  <c r="L95" i="64"/>
  <c r="K95" i="64"/>
  <c r="J95" i="64"/>
  <c r="I95" i="64"/>
  <c r="S95" i="64"/>
  <c r="Q95" i="64"/>
  <c r="N96" i="64"/>
  <c r="N152" i="64"/>
  <c r="M152" i="64"/>
  <c r="L152" i="64"/>
  <c r="K152" i="64"/>
  <c r="I152" i="64"/>
  <c r="S152" i="64"/>
  <c r="J152" i="64"/>
  <c r="R152" i="64"/>
  <c r="Q152" i="64"/>
  <c r="D136" i="64"/>
  <c r="C136" i="64" s="1"/>
  <c r="C26" i="64"/>
  <c r="O26" i="64"/>
  <c r="Q27" i="64"/>
  <c r="P34" i="64"/>
  <c r="I35" i="64"/>
  <c r="D146" i="64"/>
  <c r="C146" i="64" s="1"/>
  <c r="D91" i="64"/>
  <c r="C91" i="64" s="1"/>
  <c r="P36" i="64"/>
  <c r="J39" i="64"/>
  <c r="S42" i="64"/>
  <c r="O42" i="64"/>
  <c r="O44" i="64"/>
  <c r="K45" i="64"/>
  <c r="O48" i="64"/>
  <c r="N48" i="64"/>
  <c r="M48" i="64"/>
  <c r="L48" i="64"/>
  <c r="S52" i="64"/>
  <c r="H70" i="64"/>
  <c r="N79" i="64"/>
  <c r="O86" i="64"/>
  <c r="O88" i="64"/>
  <c r="K88" i="64"/>
  <c r="S88" i="64"/>
  <c r="I88" i="64"/>
  <c r="R88" i="64"/>
  <c r="Q88" i="64"/>
  <c r="P88" i="64"/>
  <c r="H90" i="64"/>
  <c r="R95" i="64"/>
  <c r="P96" i="64"/>
  <c r="G98" i="64"/>
  <c r="G99" i="64"/>
  <c r="H99" i="64"/>
  <c r="G104" i="64"/>
  <c r="H104" i="64"/>
  <c r="B104" i="64"/>
  <c r="O105" i="64"/>
  <c r="B144" i="64"/>
  <c r="G144" i="64"/>
  <c r="S26" i="64"/>
  <c r="O34" i="64"/>
  <c r="O40" i="64"/>
  <c r="N40" i="64"/>
  <c r="M40" i="64"/>
  <c r="L40" i="64"/>
  <c r="Q54" i="64"/>
  <c r="I54" i="64"/>
  <c r="P54" i="64"/>
  <c r="O54" i="64"/>
  <c r="L54" i="64"/>
  <c r="S98" i="64"/>
  <c r="K98" i="64"/>
  <c r="J98" i="64"/>
  <c r="R98" i="64"/>
  <c r="I98" i="64"/>
  <c r="Q98" i="64"/>
  <c r="P98" i="64"/>
  <c r="O98" i="64"/>
  <c r="M25" i="64"/>
  <c r="L25" i="64"/>
  <c r="N25" i="64"/>
  <c r="P26" i="64"/>
  <c r="R28" i="64"/>
  <c r="J28" i="64"/>
  <c r="Q28" i="64"/>
  <c r="I28" i="64"/>
  <c r="M28" i="64"/>
  <c r="P31" i="64"/>
  <c r="O31" i="64"/>
  <c r="N31" i="64"/>
  <c r="L31" i="64"/>
  <c r="Q34" i="64"/>
  <c r="R37" i="64"/>
  <c r="J37" i="64"/>
  <c r="Q37" i="64"/>
  <c r="I37" i="64"/>
  <c r="P37" i="64"/>
  <c r="M37" i="64"/>
  <c r="Q40" i="64"/>
  <c r="P42" i="64"/>
  <c r="I43" i="64"/>
  <c r="D154" i="64"/>
  <c r="C154" i="64" s="1"/>
  <c r="D99" i="64"/>
  <c r="C99" i="64" s="1"/>
  <c r="P44" i="64"/>
  <c r="P48" i="64"/>
  <c r="S50" i="64"/>
  <c r="O50" i="64"/>
  <c r="O52" i="64"/>
  <c r="D164" i="64"/>
  <c r="C164" i="64" s="1"/>
  <c r="D109" i="64"/>
  <c r="C109" i="64" s="1"/>
  <c r="N54" i="64"/>
  <c r="O56" i="64"/>
  <c r="N56" i="64"/>
  <c r="M56" i="64"/>
  <c r="L56" i="64"/>
  <c r="B70" i="64"/>
  <c r="P86" i="64"/>
  <c r="M91" i="64"/>
  <c r="R91" i="64"/>
  <c r="I91" i="64"/>
  <c r="Q91" i="64"/>
  <c r="P91" i="64"/>
  <c r="O91" i="64"/>
  <c r="N91" i="64"/>
  <c r="H98" i="64"/>
  <c r="B99" i="64"/>
  <c r="Q105" i="64"/>
  <c r="I105" i="64"/>
  <c r="L105" i="64"/>
  <c r="K105" i="64"/>
  <c r="S105" i="64"/>
  <c r="R105" i="64"/>
  <c r="P105" i="64"/>
  <c r="Q109" i="64"/>
  <c r="I109" i="64"/>
  <c r="O109" i="64"/>
  <c r="N109" i="64"/>
  <c r="R109" i="64"/>
  <c r="P109" i="64"/>
  <c r="M109" i="64"/>
  <c r="B132" i="64"/>
  <c r="G132" i="64"/>
  <c r="H132" i="64"/>
  <c r="G148" i="64"/>
  <c r="B148" i="64"/>
  <c r="O152" i="64"/>
  <c r="M103" i="64"/>
  <c r="S103" i="64"/>
  <c r="J103" i="64"/>
  <c r="R103" i="64"/>
  <c r="I103" i="64"/>
  <c r="P103" i="64"/>
  <c r="O103" i="64"/>
  <c r="N103" i="64"/>
  <c r="S34" i="64"/>
  <c r="D148" i="64"/>
  <c r="C148" i="64" s="1"/>
  <c r="D93" i="64"/>
  <c r="C93" i="64" s="1"/>
  <c r="S44" i="64"/>
  <c r="B82" i="64"/>
  <c r="H82" i="64"/>
  <c r="G82" i="64"/>
  <c r="N105" i="64"/>
  <c r="P39" i="64"/>
  <c r="O39" i="64"/>
  <c r="N39" i="64"/>
  <c r="L39" i="64"/>
  <c r="R40" i="64"/>
  <c r="Q42" i="64"/>
  <c r="R45" i="64"/>
  <c r="J45" i="64"/>
  <c r="Q45" i="64"/>
  <c r="I45" i="64"/>
  <c r="P45" i="64"/>
  <c r="M45" i="64"/>
  <c r="P50" i="64"/>
  <c r="D162" i="64"/>
  <c r="C162" i="64" s="1"/>
  <c r="D107" i="64"/>
  <c r="C107" i="64" s="1"/>
  <c r="P52" i="64"/>
  <c r="R54" i="64"/>
  <c r="B76" i="64"/>
  <c r="M79" i="64"/>
  <c r="K79" i="64"/>
  <c r="S79" i="64"/>
  <c r="J79" i="64"/>
  <c r="R79" i="64"/>
  <c r="I79" i="64"/>
  <c r="P79" i="64"/>
  <c r="D84" i="64"/>
  <c r="C84" i="64" s="1"/>
  <c r="O96" i="64"/>
  <c r="R96" i="64"/>
  <c r="I96" i="64"/>
  <c r="Q96" i="64"/>
  <c r="M96" i="64"/>
  <c r="L96" i="64"/>
  <c r="K96" i="64"/>
  <c r="L98" i="64"/>
  <c r="H101" i="64"/>
  <c r="G101" i="64"/>
  <c r="K103" i="64"/>
  <c r="L146" i="64"/>
  <c r="P146" i="64"/>
  <c r="O146" i="64"/>
  <c r="N146" i="64"/>
  <c r="M146" i="64"/>
  <c r="K146" i="64"/>
  <c r="J146" i="64"/>
  <c r="R146" i="64"/>
  <c r="Q146" i="64"/>
  <c r="I146" i="64"/>
  <c r="P152" i="64"/>
  <c r="D79" i="64"/>
  <c r="C79" i="64" s="1"/>
  <c r="D134" i="64"/>
  <c r="C134" i="64" s="1"/>
  <c r="C25" i="64"/>
  <c r="K26" i="64"/>
  <c r="J27" i="64"/>
  <c r="R27" i="64"/>
  <c r="D142" i="64"/>
  <c r="C142" i="64" s="1"/>
  <c r="D87" i="64"/>
  <c r="C87" i="64" s="1"/>
  <c r="C33" i="64"/>
  <c r="K34" i="64"/>
  <c r="J35" i="64"/>
  <c r="R35" i="64"/>
  <c r="I36" i="64"/>
  <c r="Q36" i="64"/>
  <c r="C41" i="64"/>
  <c r="K42" i="64"/>
  <c r="J43" i="64"/>
  <c r="R43" i="64"/>
  <c r="I44" i="64"/>
  <c r="Q44" i="64"/>
  <c r="D158" i="64"/>
  <c r="C158" i="64" s="1"/>
  <c r="D103" i="64"/>
  <c r="C103" i="64" s="1"/>
  <c r="K50" i="64"/>
  <c r="J51" i="64"/>
  <c r="R51" i="64"/>
  <c r="I52" i="64"/>
  <c r="Q52" i="64"/>
  <c r="D166" i="64"/>
  <c r="C166" i="64" s="1"/>
  <c r="D111" i="64"/>
  <c r="C111" i="64" s="1"/>
  <c r="D80" i="64"/>
  <c r="C80" i="64" s="1"/>
  <c r="J86" i="64"/>
  <c r="D89" i="64"/>
  <c r="C89" i="64" s="1"/>
  <c r="D105" i="64"/>
  <c r="C105" i="64" s="1"/>
  <c r="M155" i="64"/>
  <c r="M157" i="64"/>
  <c r="G142" i="64"/>
  <c r="B142" i="64"/>
  <c r="K27" i="64"/>
  <c r="C34" i="64"/>
  <c r="K35" i="64"/>
  <c r="J36" i="64"/>
  <c r="R36" i="64"/>
  <c r="K43" i="64"/>
  <c r="J44" i="64"/>
  <c r="R44" i="64"/>
  <c r="D159" i="64"/>
  <c r="C159" i="64" s="1"/>
  <c r="D104" i="64"/>
  <c r="C104" i="64" s="1"/>
  <c r="C50" i="64"/>
  <c r="K51" i="64"/>
  <c r="J52" i="64"/>
  <c r="R52" i="64"/>
  <c r="S86" i="64"/>
  <c r="K86" i="64"/>
  <c r="R86" i="64"/>
  <c r="L86" i="64"/>
  <c r="B125" i="64"/>
  <c r="G133" i="64"/>
  <c r="H133" i="64"/>
  <c r="O136" i="64"/>
  <c r="M139" i="64"/>
  <c r="S147" i="64"/>
  <c r="K147" i="64"/>
  <c r="P147" i="64"/>
  <c r="O147" i="64"/>
  <c r="N147" i="64"/>
  <c r="J147" i="64"/>
  <c r="I147" i="64"/>
  <c r="R147" i="64"/>
  <c r="Q147" i="64"/>
  <c r="M147" i="64"/>
  <c r="K36" i="64"/>
  <c r="D152" i="64"/>
  <c r="C152" i="64" s="1"/>
  <c r="D97" i="64"/>
  <c r="C97" i="64" s="1"/>
  <c r="K44" i="64"/>
  <c r="K52" i="64"/>
  <c r="G96" i="64"/>
  <c r="H96" i="64"/>
  <c r="O155" i="64"/>
  <c r="B130" i="64"/>
  <c r="O139" i="64"/>
  <c r="D150" i="64"/>
  <c r="C150" i="64" s="1"/>
  <c r="M161" i="64"/>
  <c r="S161" i="64"/>
  <c r="K161" i="64"/>
  <c r="N161" i="64"/>
  <c r="L161" i="64"/>
  <c r="J161" i="64"/>
  <c r="I161" i="64"/>
  <c r="Q161" i="64"/>
  <c r="P161" i="64"/>
  <c r="O161" i="64"/>
  <c r="R161" i="64"/>
  <c r="P155" i="64"/>
  <c r="B131" i="64"/>
  <c r="S139" i="64"/>
  <c r="K139" i="64"/>
  <c r="P139" i="64"/>
  <c r="N139" i="64"/>
  <c r="J139" i="64"/>
  <c r="I139" i="64"/>
  <c r="B112" i="64"/>
  <c r="I155" i="64"/>
  <c r="Q155" i="64"/>
  <c r="B123" i="64"/>
  <c r="B128" i="64"/>
  <c r="H129" i="64"/>
  <c r="B129" i="64"/>
  <c r="H131" i="64"/>
  <c r="B100" i="64"/>
  <c r="S110" i="64"/>
  <c r="K110" i="64"/>
  <c r="L110" i="64"/>
  <c r="I136" i="64"/>
  <c r="I138" i="64"/>
  <c r="L136" i="64"/>
  <c r="M138" i="64"/>
  <c r="J155" i="64"/>
  <c r="N136" i="64"/>
  <c r="M136" i="64"/>
  <c r="K136" i="64"/>
  <c r="P136" i="64"/>
  <c r="L138" i="64"/>
  <c r="P138" i="64"/>
  <c r="N138" i="64"/>
  <c r="Q138" i="64"/>
  <c r="Q157" i="64"/>
  <c r="I157" i="64"/>
  <c r="O157" i="64"/>
  <c r="R157" i="64"/>
  <c r="J157" i="64"/>
  <c r="P157" i="64"/>
  <c r="S157" i="64"/>
  <c r="L155" i="64"/>
  <c r="K155" i="64"/>
  <c r="M52" i="63"/>
  <c r="S24" i="63"/>
  <c r="N54" i="63"/>
  <c r="N27" i="63"/>
  <c r="Q29" i="63"/>
  <c r="N44" i="63"/>
  <c r="N24" i="63"/>
  <c r="P51" i="63"/>
  <c r="O53" i="63"/>
  <c r="S56" i="63"/>
  <c r="M44" i="63"/>
  <c r="M24" i="63"/>
  <c r="K32" i="63"/>
  <c r="N34" i="63"/>
  <c r="J25" i="63"/>
  <c r="N36" i="63"/>
  <c r="N45" i="63"/>
  <c r="S25" i="63"/>
  <c r="S55" i="63"/>
  <c r="K31" i="63"/>
  <c r="L42" i="63"/>
  <c r="M53" i="63"/>
  <c r="L32" i="63"/>
  <c r="L50" i="63"/>
  <c r="L38" i="63"/>
  <c r="J26" i="63"/>
  <c r="N35" i="63"/>
  <c r="M36" i="63"/>
  <c r="N53" i="63"/>
  <c r="R39" i="63"/>
  <c r="K39" i="63"/>
  <c r="L24" i="63"/>
  <c r="R50" i="63"/>
  <c r="S30" i="63"/>
  <c r="K48" i="63"/>
  <c r="S29" i="63"/>
  <c r="M45" i="63"/>
  <c r="K27" i="63"/>
  <c r="J31" i="63"/>
  <c r="J32" i="63"/>
  <c r="K38" i="63"/>
  <c r="S53" i="63"/>
  <c r="R56" i="63"/>
  <c r="N37" i="63"/>
  <c r="L36" i="63"/>
  <c r="L47" i="63"/>
  <c r="R28" i="63"/>
  <c r="L28" i="63"/>
  <c r="L31" i="63"/>
  <c r="L39" i="63"/>
  <c r="R25" i="63"/>
  <c r="K26" i="63"/>
  <c r="L29" i="63"/>
  <c r="M30" i="63"/>
  <c r="M33" i="63"/>
  <c r="M38" i="63"/>
  <c r="R41" i="63"/>
  <c r="K40" i="63"/>
  <c r="O27" i="63"/>
  <c r="M29" i="63"/>
  <c r="L34" i="63"/>
  <c r="M46" i="63"/>
  <c r="L54" i="63"/>
  <c r="P53" i="63"/>
  <c r="P45" i="63"/>
  <c r="P37" i="63"/>
  <c r="P29" i="63"/>
  <c r="P25" i="63"/>
  <c r="P52" i="63"/>
  <c r="P50" i="63"/>
  <c r="P36" i="63"/>
  <c r="P44" i="63"/>
  <c r="P42" i="63"/>
  <c r="P34" i="63"/>
  <c r="P41" i="63"/>
  <c r="P28" i="63"/>
  <c r="P35" i="63"/>
  <c r="O49" i="63"/>
  <c r="N49" i="63"/>
  <c r="L49" i="63"/>
  <c r="K49" i="63"/>
  <c r="J49" i="63"/>
  <c r="I49" i="63"/>
  <c r="S49" i="63"/>
  <c r="R49" i="63"/>
  <c r="Q49" i="63"/>
  <c r="P49" i="63"/>
  <c r="M49" i="63"/>
  <c r="P43" i="63"/>
  <c r="Q55" i="63"/>
  <c r="I55" i="63"/>
  <c r="P55" i="63"/>
  <c r="N55" i="63"/>
  <c r="L55" i="63"/>
  <c r="K55" i="63"/>
  <c r="J55" i="63"/>
  <c r="R55" i="63"/>
  <c r="O55" i="63"/>
  <c r="M55" i="63"/>
  <c r="P57" i="63"/>
  <c r="I52" i="63"/>
  <c r="I44" i="63"/>
  <c r="I36" i="63"/>
  <c r="I53" i="63"/>
  <c r="I37" i="63"/>
  <c r="I45" i="63"/>
  <c r="I35" i="63"/>
  <c r="I34" i="63"/>
  <c r="I33" i="63"/>
  <c r="I56" i="63"/>
  <c r="I50" i="63"/>
  <c r="I29" i="63"/>
  <c r="I40" i="63"/>
  <c r="I28" i="63"/>
  <c r="I25" i="63"/>
  <c r="I42" i="63"/>
  <c r="I24" i="63"/>
  <c r="Q52" i="63"/>
  <c r="Q44" i="63"/>
  <c r="Q36" i="63"/>
  <c r="Q50" i="63"/>
  <c r="Q42" i="63"/>
  <c r="Q34" i="63"/>
  <c r="Q28" i="63"/>
  <c r="Q25" i="63"/>
  <c r="Q57" i="63"/>
  <c r="Q45" i="63"/>
  <c r="Q33" i="63"/>
  <c r="Q53" i="63"/>
  <c r="Q43" i="63"/>
  <c r="Q24" i="63"/>
  <c r="Q37" i="63"/>
  <c r="Q35" i="63"/>
  <c r="Q41" i="63"/>
  <c r="H59" i="63"/>
  <c r="N26" i="63"/>
  <c r="M26" i="63"/>
  <c r="R26" i="63"/>
  <c r="Q26" i="63"/>
  <c r="P26" i="63"/>
  <c r="P30" i="63"/>
  <c r="O57" i="63"/>
  <c r="N57" i="63"/>
  <c r="L57" i="63"/>
  <c r="J57" i="63"/>
  <c r="I57" i="63"/>
  <c r="S57" i="63"/>
  <c r="R57" i="63"/>
  <c r="O26" i="63"/>
  <c r="S31" i="63"/>
  <c r="R33" i="63"/>
  <c r="J34" i="63"/>
  <c r="O37" i="63"/>
  <c r="J40" i="63"/>
  <c r="O43" i="63"/>
  <c r="J44" i="63"/>
  <c r="J24" i="63"/>
  <c r="S26" i="63"/>
  <c r="P32" i="63"/>
  <c r="O32" i="63"/>
  <c r="M32" i="63"/>
  <c r="I32" i="63"/>
  <c r="S32" i="63"/>
  <c r="R32" i="63"/>
  <c r="Q32" i="63"/>
  <c r="N32" i="63"/>
  <c r="S33" i="63"/>
  <c r="S39" i="63"/>
  <c r="J42" i="63"/>
  <c r="K46" i="63"/>
  <c r="O47" i="63"/>
  <c r="I48" i="63"/>
  <c r="R30" i="63"/>
  <c r="J30" i="63"/>
  <c r="Q30" i="63"/>
  <c r="I30" i="63"/>
  <c r="O30" i="63"/>
  <c r="K30" i="63"/>
  <c r="R52" i="63"/>
  <c r="R42" i="63"/>
  <c r="R31" i="63"/>
  <c r="R44" i="63"/>
  <c r="R34" i="63"/>
  <c r="R36" i="63"/>
  <c r="M27" i="63"/>
  <c r="L27" i="63"/>
  <c r="J27" i="63"/>
  <c r="S27" i="63"/>
  <c r="I27" i="63"/>
  <c r="R27" i="63"/>
  <c r="P27" i="63"/>
  <c r="O28" i="63"/>
  <c r="O34" i="63"/>
  <c r="S35" i="63"/>
  <c r="O36" i="63"/>
  <c r="R38" i="63"/>
  <c r="J38" i="63"/>
  <c r="Q38" i="63"/>
  <c r="I38" i="63"/>
  <c r="O38" i="63"/>
  <c r="P38" i="63"/>
  <c r="S38" i="63"/>
  <c r="N38" i="63"/>
  <c r="P40" i="63"/>
  <c r="O40" i="63"/>
  <c r="M40" i="63"/>
  <c r="S40" i="63"/>
  <c r="R40" i="63"/>
  <c r="N40" i="63"/>
  <c r="Q40" i="63"/>
  <c r="L40" i="63"/>
  <c r="S41" i="63"/>
  <c r="O45" i="63"/>
  <c r="L46" i="63"/>
  <c r="R47" i="63"/>
  <c r="J48" i="63"/>
  <c r="M51" i="63"/>
  <c r="L51" i="63"/>
  <c r="R51" i="63"/>
  <c r="J51" i="63"/>
  <c r="K51" i="63"/>
  <c r="I51" i="63"/>
  <c r="S51" i="63"/>
  <c r="Q51" i="63"/>
  <c r="J28" i="63"/>
  <c r="J47" i="63"/>
  <c r="J33" i="63"/>
  <c r="L26" i="63"/>
  <c r="R24" i="63"/>
  <c r="K25" i="63"/>
  <c r="Q27" i="63"/>
  <c r="O41" i="63"/>
  <c r="N41" i="63"/>
  <c r="L41" i="63"/>
  <c r="M41" i="63"/>
  <c r="K41" i="63"/>
  <c r="I41" i="63"/>
  <c r="J41" i="63"/>
  <c r="M43" i="63"/>
  <c r="L43" i="63"/>
  <c r="R43" i="63"/>
  <c r="J43" i="63"/>
  <c r="N43" i="63"/>
  <c r="K43" i="63"/>
  <c r="I43" i="63"/>
  <c r="S43" i="63"/>
  <c r="S47" i="63"/>
  <c r="J50" i="63"/>
  <c r="N51" i="63"/>
  <c r="J52" i="63"/>
  <c r="K54" i="63"/>
  <c r="K57" i="63"/>
  <c r="N30" i="63"/>
  <c r="J36" i="63"/>
  <c r="J39" i="63"/>
  <c r="O39" i="63"/>
  <c r="O31" i="63"/>
  <c r="O29" i="63"/>
  <c r="O52" i="63"/>
  <c r="O50" i="63"/>
  <c r="O44" i="63"/>
  <c r="O42" i="63"/>
  <c r="H60" i="63"/>
  <c r="I26" i="63"/>
  <c r="L30" i="63"/>
  <c r="R46" i="63"/>
  <c r="J46" i="63"/>
  <c r="Q46" i="63"/>
  <c r="I46" i="63"/>
  <c r="O46" i="63"/>
  <c r="S46" i="63"/>
  <c r="P46" i="63"/>
  <c r="N46" i="63"/>
  <c r="P48" i="63"/>
  <c r="O48" i="63"/>
  <c r="M48" i="63"/>
  <c r="R48" i="63"/>
  <c r="Q48" i="63"/>
  <c r="N48" i="63"/>
  <c r="L48" i="63"/>
  <c r="S48" i="63"/>
  <c r="O51" i="63"/>
  <c r="J56" i="63"/>
  <c r="M57" i="63"/>
  <c r="M54" i="63"/>
  <c r="N52" i="63"/>
  <c r="P56" i="63"/>
  <c r="O56" i="63"/>
  <c r="M56" i="63"/>
  <c r="K56" i="63"/>
  <c r="L52" i="63"/>
  <c r="L44" i="63"/>
  <c r="O25" i="63"/>
  <c r="N25" i="63"/>
  <c r="L25" i="63"/>
  <c r="N29" i="63"/>
  <c r="Q31" i="63"/>
  <c r="I31" i="63"/>
  <c r="P31" i="63"/>
  <c r="N31" i="63"/>
  <c r="M31" i="63"/>
  <c r="K33" i="63"/>
  <c r="K35" i="63"/>
  <c r="L37" i="63"/>
  <c r="K47" i="63"/>
  <c r="N50" i="63"/>
  <c r="S52" i="63"/>
  <c r="L56" i="63"/>
  <c r="N42" i="63"/>
  <c r="S44" i="63"/>
  <c r="R54" i="63"/>
  <c r="J54" i="63"/>
  <c r="Q54" i="63"/>
  <c r="I54" i="63"/>
  <c r="O54" i="63"/>
  <c r="P24" i="63"/>
  <c r="O24" i="63"/>
  <c r="K24" i="63"/>
  <c r="M25" i="63"/>
  <c r="M28" i="63"/>
  <c r="S37" i="63"/>
  <c r="M37" i="63"/>
  <c r="Q39" i="63"/>
  <c r="I39" i="63"/>
  <c r="P39" i="63"/>
  <c r="N39" i="63"/>
  <c r="M39" i="63"/>
  <c r="L45" i="63"/>
  <c r="P54" i="63"/>
  <c r="N56" i="63"/>
  <c r="N28" i="63"/>
  <c r="O33" i="63"/>
  <c r="N33" i="63"/>
  <c r="L33" i="63"/>
  <c r="P33" i="63"/>
  <c r="M35" i="63"/>
  <c r="L35" i="63"/>
  <c r="R35" i="63"/>
  <c r="J35" i="63"/>
  <c r="O35" i="63"/>
  <c r="S45" i="63"/>
  <c r="Q47" i="63"/>
  <c r="I47" i="63"/>
  <c r="P47" i="63"/>
  <c r="N47" i="63"/>
  <c r="M47" i="63"/>
  <c r="L53" i="63"/>
  <c r="S54" i="63"/>
  <c r="Q56" i="63"/>
  <c r="K34" i="63"/>
  <c r="S34" i="63"/>
  <c r="K42" i="63"/>
  <c r="S42" i="63"/>
  <c r="K50" i="63"/>
  <c r="S50" i="63"/>
  <c r="K28" i="63"/>
  <c r="S28" i="63"/>
  <c r="J29" i="63"/>
  <c r="R29" i="63"/>
  <c r="M34" i="63"/>
  <c r="K36" i="63"/>
  <c r="S36" i="63"/>
  <c r="J37" i="63"/>
  <c r="R37" i="63"/>
  <c r="M42" i="63"/>
  <c r="K44" i="63"/>
  <c r="J45" i="63"/>
  <c r="R45" i="63"/>
  <c r="M50" i="63"/>
  <c r="K52" i="63"/>
  <c r="J53" i="63"/>
  <c r="R53" i="63"/>
  <c r="K29" i="63"/>
  <c r="K37" i="63"/>
  <c r="K45" i="63"/>
  <c r="K53" i="63"/>
  <c r="G59" i="54"/>
  <c r="H59" i="54"/>
  <c r="S122" i="53"/>
  <c r="R122" i="53"/>
  <c r="Q122" i="53"/>
  <c r="P122" i="53"/>
  <c r="O122" i="53"/>
  <c r="N122" i="53"/>
  <c r="M122" i="53"/>
  <c r="L122" i="53"/>
  <c r="K122" i="53"/>
  <c r="J122" i="53"/>
  <c r="I122" i="53"/>
  <c r="G121" i="53"/>
  <c r="H121" i="53" s="1"/>
  <c r="I121" i="53" s="1"/>
  <c r="J121" i="53" s="1"/>
  <c r="K121" i="53" s="1"/>
  <c r="L121" i="53" s="1"/>
  <c r="M121" i="53" s="1"/>
  <c r="N121" i="53" s="1"/>
  <c r="O121" i="53" s="1"/>
  <c r="P121" i="53" s="1"/>
  <c r="Q121" i="53" s="1"/>
  <c r="R121" i="53" s="1"/>
  <c r="S121" i="53" s="1"/>
  <c r="S67" i="53"/>
  <c r="R67" i="53"/>
  <c r="Q67" i="53"/>
  <c r="P67" i="53"/>
  <c r="O67" i="53"/>
  <c r="N67" i="53"/>
  <c r="M67" i="53"/>
  <c r="L67" i="53"/>
  <c r="K67" i="53"/>
  <c r="J67" i="53"/>
  <c r="I67" i="53"/>
  <c r="G66" i="53"/>
  <c r="H66" i="53" s="1"/>
  <c r="I66" i="53" s="1"/>
  <c r="J66" i="53" s="1"/>
  <c r="K66" i="53" s="1"/>
  <c r="L66" i="53" s="1"/>
  <c r="M66" i="53" s="1"/>
  <c r="N66" i="53" s="1"/>
  <c r="O66" i="53" s="1"/>
  <c r="P66" i="53" s="1"/>
  <c r="Q66" i="53" s="1"/>
  <c r="R66" i="53" s="1"/>
  <c r="S66" i="53" s="1"/>
  <c r="H57" i="53"/>
  <c r="G57" i="53"/>
  <c r="H56" i="53"/>
  <c r="G56" i="53"/>
  <c r="H55" i="53"/>
  <c r="G55" i="53"/>
  <c r="H54" i="53"/>
  <c r="G54" i="53"/>
  <c r="H53" i="53"/>
  <c r="G53" i="53"/>
  <c r="H52" i="53"/>
  <c r="G52" i="53"/>
  <c r="H51" i="53"/>
  <c r="G51" i="53"/>
  <c r="H50" i="53"/>
  <c r="G50" i="53"/>
  <c r="H49" i="53"/>
  <c r="G49" i="53"/>
  <c r="H48" i="53"/>
  <c r="G48" i="53"/>
  <c r="H47" i="53"/>
  <c r="G47" i="53"/>
  <c r="H46" i="53"/>
  <c r="G46" i="53"/>
  <c r="H45" i="53"/>
  <c r="G45" i="53"/>
  <c r="H44" i="53"/>
  <c r="G44" i="53"/>
  <c r="H43" i="53"/>
  <c r="G43" i="53"/>
  <c r="H42" i="53"/>
  <c r="G42" i="53"/>
  <c r="H41" i="53"/>
  <c r="G41" i="53"/>
  <c r="H40" i="53"/>
  <c r="G40" i="53"/>
  <c r="H39" i="53"/>
  <c r="G39" i="53"/>
  <c r="H38" i="53"/>
  <c r="G38" i="53"/>
  <c r="H37" i="53"/>
  <c r="G37" i="53"/>
  <c r="H36" i="53"/>
  <c r="G36" i="53"/>
  <c r="H35" i="53"/>
  <c r="G35" i="53"/>
  <c r="H34" i="53"/>
  <c r="G34" i="53"/>
  <c r="H33" i="53"/>
  <c r="G33" i="53"/>
  <c r="H32" i="53"/>
  <c r="G32" i="53"/>
  <c r="H31" i="53"/>
  <c r="G31" i="53"/>
  <c r="H30" i="53"/>
  <c r="G30" i="53"/>
  <c r="H29" i="53"/>
  <c r="G29" i="53"/>
  <c r="H28" i="53"/>
  <c r="G28" i="53"/>
  <c r="H27" i="53"/>
  <c r="G27" i="53"/>
  <c r="H26" i="53"/>
  <c r="G26" i="53"/>
  <c r="H25" i="53"/>
  <c r="G25" i="53"/>
  <c r="H24" i="53"/>
  <c r="G24" i="53"/>
  <c r="H23" i="53"/>
  <c r="G23" i="53"/>
  <c r="H22" i="53"/>
  <c r="G22" i="53"/>
  <c r="H21" i="53"/>
  <c r="G21" i="53"/>
  <c r="H20" i="53"/>
  <c r="G20" i="53"/>
  <c r="H19" i="53"/>
  <c r="G19" i="53"/>
  <c r="H18" i="53"/>
  <c r="G18" i="53"/>
  <c r="H17" i="53"/>
  <c r="G17" i="53"/>
  <c r="H16" i="53"/>
  <c r="G16" i="53"/>
  <c r="H15" i="53"/>
  <c r="G15" i="53"/>
  <c r="H14" i="53"/>
  <c r="G14" i="53"/>
  <c r="H13" i="53"/>
  <c r="G13" i="53"/>
  <c r="S12" i="53"/>
  <c r="R12" i="53"/>
  <c r="Q12" i="53"/>
  <c r="P12" i="53"/>
  <c r="O12" i="53"/>
  <c r="N12" i="53"/>
  <c r="M12" i="53"/>
  <c r="L12" i="53"/>
  <c r="K12" i="53"/>
  <c r="J12" i="53"/>
  <c r="I12" i="53"/>
  <c r="G11" i="53"/>
  <c r="H11" i="53" s="1"/>
  <c r="I11" i="53" s="1"/>
  <c r="J11" i="53" s="1"/>
  <c r="K11" i="53" s="1"/>
  <c r="L11" i="53" s="1"/>
  <c r="M11" i="53" s="1"/>
  <c r="N11" i="53" s="1"/>
  <c r="O11" i="53" s="1"/>
  <c r="P11" i="53" s="1"/>
  <c r="Q11" i="53" s="1"/>
  <c r="R11" i="53" s="1"/>
  <c r="S11" i="53" s="1"/>
  <c r="E179" i="57"/>
  <c r="E180" i="57"/>
  <c r="E794" i="58"/>
  <c r="E795" i="58"/>
  <c r="Q164" i="64" l="1"/>
  <c r="I150" i="64"/>
  <c r="R150" i="64"/>
  <c r="S150" i="64"/>
  <c r="J137" i="64"/>
  <c r="S137" i="64"/>
  <c r="I108" i="64"/>
  <c r="R137" i="64"/>
  <c r="O150" i="64"/>
  <c r="K150" i="64"/>
  <c r="I137" i="64"/>
  <c r="N137" i="64"/>
  <c r="J150" i="64"/>
  <c r="P150" i="64"/>
  <c r="L137" i="64"/>
  <c r="O137" i="64"/>
  <c r="K137" i="64"/>
  <c r="L150" i="64"/>
  <c r="P137" i="64"/>
  <c r="M150" i="64"/>
  <c r="Q150" i="64"/>
  <c r="M137" i="64"/>
  <c r="K160" i="64"/>
  <c r="O151" i="64"/>
  <c r="L108" i="64"/>
  <c r="L151" i="64"/>
  <c r="N135" i="64"/>
  <c r="I167" i="64"/>
  <c r="S134" i="64"/>
  <c r="S159" i="64"/>
  <c r="Q84" i="64"/>
  <c r="N108" i="64"/>
  <c r="I159" i="64"/>
  <c r="J81" i="64"/>
  <c r="Q153" i="64"/>
  <c r="S166" i="64"/>
  <c r="K164" i="64"/>
  <c r="R143" i="64"/>
  <c r="I164" i="64"/>
  <c r="P164" i="64"/>
  <c r="M135" i="64"/>
  <c r="L164" i="64"/>
  <c r="J164" i="64"/>
  <c r="S164" i="64"/>
  <c r="R164" i="64"/>
  <c r="P154" i="64"/>
  <c r="S135" i="64"/>
  <c r="N164" i="64"/>
  <c r="M164" i="64"/>
  <c r="O153" i="64"/>
  <c r="L154" i="64"/>
  <c r="Q165" i="64"/>
  <c r="L135" i="64"/>
  <c r="N159" i="64"/>
  <c r="L167" i="64"/>
  <c r="P84" i="64"/>
  <c r="S149" i="64"/>
  <c r="S108" i="64"/>
  <c r="N84" i="64"/>
  <c r="I93" i="64"/>
  <c r="M160" i="64"/>
  <c r="F26" i="64"/>
  <c r="M163" i="64"/>
  <c r="I84" i="64"/>
  <c r="Q160" i="64"/>
  <c r="N153" i="64"/>
  <c r="R108" i="64"/>
  <c r="R84" i="64"/>
  <c r="K93" i="64"/>
  <c r="N160" i="64"/>
  <c r="J149" i="64"/>
  <c r="J108" i="64"/>
  <c r="K84" i="64"/>
  <c r="J134" i="64"/>
  <c r="I151" i="64"/>
  <c r="M156" i="64"/>
  <c r="P135" i="64"/>
  <c r="O135" i="64"/>
  <c r="O160" i="64"/>
  <c r="P160" i="64"/>
  <c r="K154" i="64"/>
  <c r="M151" i="64"/>
  <c r="O158" i="64"/>
  <c r="K134" i="64"/>
  <c r="J84" i="64"/>
  <c r="N156" i="64"/>
  <c r="I135" i="64"/>
  <c r="K81" i="64"/>
  <c r="L134" i="64"/>
  <c r="O81" i="64"/>
  <c r="L160" i="64"/>
  <c r="N158" i="64"/>
  <c r="M154" i="64"/>
  <c r="N151" i="64"/>
  <c r="F44" i="64"/>
  <c r="F147" i="64"/>
  <c r="P134" i="64"/>
  <c r="M108" i="64"/>
  <c r="S84" i="64"/>
  <c r="O156" i="64"/>
  <c r="L93" i="64"/>
  <c r="K135" i="64"/>
  <c r="M84" i="64"/>
  <c r="N81" i="64"/>
  <c r="J151" i="64"/>
  <c r="P156" i="64"/>
  <c r="M93" i="64"/>
  <c r="L84" i="64"/>
  <c r="N154" i="64"/>
  <c r="S151" i="64"/>
  <c r="J156" i="64"/>
  <c r="N93" i="64"/>
  <c r="R135" i="64"/>
  <c r="Q81" i="64"/>
  <c r="I154" i="64"/>
  <c r="Q154" i="64"/>
  <c r="Q135" i="64"/>
  <c r="R160" i="64"/>
  <c r="Q134" i="64"/>
  <c r="O84" i="64"/>
  <c r="R156" i="64"/>
  <c r="O145" i="64"/>
  <c r="M153" i="64"/>
  <c r="Q145" i="64"/>
  <c r="M145" i="64"/>
  <c r="M143" i="64"/>
  <c r="R167" i="64"/>
  <c r="L149" i="64"/>
  <c r="R149" i="64"/>
  <c r="K145" i="64"/>
  <c r="I145" i="64"/>
  <c r="M97" i="64"/>
  <c r="L165" i="64"/>
  <c r="O134" i="64"/>
  <c r="R134" i="64"/>
  <c r="Q143" i="64"/>
  <c r="O143" i="64"/>
  <c r="N145" i="64"/>
  <c r="Q149" i="64"/>
  <c r="N143" i="64"/>
  <c r="R163" i="64"/>
  <c r="P167" i="64"/>
  <c r="L145" i="64"/>
  <c r="O140" i="64"/>
  <c r="H169" i="64"/>
  <c r="Q163" i="64"/>
  <c r="P153" i="64"/>
  <c r="Q97" i="64"/>
  <c r="M134" i="64"/>
  <c r="J143" i="64"/>
  <c r="F40" i="64"/>
  <c r="N97" i="64"/>
  <c r="K143" i="64"/>
  <c r="I149" i="64"/>
  <c r="L97" i="64"/>
  <c r="M167" i="64"/>
  <c r="N134" i="64"/>
  <c r="I143" i="64"/>
  <c r="S143" i="64"/>
  <c r="F57" i="64"/>
  <c r="I97" i="64"/>
  <c r="S167" i="64"/>
  <c r="P149" i="64"/>
  <c r="P97" i="64"/>
  <c r="S165" i="64"/>
  <c r="P143" i="64"/>
  <c r="H114" i="64"/>
  <c r="L140" i="64"/>
  <c r="F29" i="64"/>
  <c r="F55" i="64"/>
  <c r="S158" i="64"/>
  <c r="R158" i="64"/>
  <c r="F109" i="64"/>
  <c r="F49" i="64"/>
  <c r="F139" i="64"/>
  <c r="P163" i="64"/>
  <c r="J159" i="64"/>
  <c r="O93" i="64"/>
  <c r="S81" i="64"/>
  <c r="L158" i="64"/>
  <c r="Q166" i="64"/>
  <c r="J165" i="64"/>
  <c r="F42" i="64"/>
  <c r="H115" i="64"/>
  <c r="F105" i="64"/>
  <c r="L156" i="64"/>
  <c r="P93" i="64"/>
  <c r="Q93" i="64"/>
  <c r="Q159" i="64"/>
  <c r="P159" i="64"/>
  <c r="F24" i="64"/>
  <c r="F31" i="64"/>
  <c r="K108" i="64"/>
  <c r="Q108" i="64"/>
  <c r="P108" i="64"/>
  <c r="R151" i="64"/>
  <c r="Q151" i="64"/>
  <c r="P151" i="64"/>
  <c r="S154" i="64"/>
  <c r="R154" i="64"/>
  <c r="J154" i="64"/>
  <c r="F87" i="64"/>
  <c r="F157" i="64"/>
  <c r="J140" i="64"/>
  <c r="J158" i="64"/>
  <c r="K166" i="64"/>
  <c r="F51" i="64"/>
  <c r="M165" i="64"/>
  <c r="F152" i="64"/>
  <c r="F41" i="64"/>
  <c r="K158" i="64"/>
  <c r="L166" i="64"/>
  <c r="K163" i="64"/>
  <c r="M158" i="64"/>
  <c r="F138" i="64"/>
  <c r="F110" i="64"/>
  <c r="N166" i="64"/>
  <c r="O163" i="64"/>
  <c r="R165" i="64"/>
  <c r="F86" i="64"/>
  <c r="F50" i="64"/>
  <c r="F146" i="64"/>
  <c r="F91" i="64"/>
  <c r="F56" i="64"/>
  <c r="F34" i="64"/>
  <c r="I156" i="64"/>
  <c r="R93" i="64"/>
  <c r="R159" i="64"/>
  <c r="M159" i="64"/>
  <c r="L81" i="64"/>
  <c r="Q167" i="64"/>
  <c r="J167" i="64"/>
  <c r="N167" i="64"/>
  <c r="K167" i="64"/>
  <c r="J145" i="64"/>
  <c r="S145" i="64"/>
  <c r="R145" i="64"/>
  <c r="S160" i="64"/>
  <c r="I160" i="64"/>
  <c r="F37" i="64"/>
  <c r="Q140" i="64"/>
  <c r="F155" i="64"/>
  <c r="M140" i="64"/>
  <c r="F32" i="64"/>
  <c r="H170" i="64"/>
  <c r="F28" i="64"/>
  <c r="I158" i="64"/>
  <c r="P166" i="64"/>
  <c r="F96" i="64"/>
  <c r="M166" i="64"/>
  <c r="O165" i="64"/>
  <c r="F79" i="64"/>
  <c r="F39" i="64"/>
  <c r="K156" i="64"/>
  <c r="F33" i="64"/>
  <c r="K159" i="64"/>
  <c r="O159" i="64"/>
  <c r="P81" i="64"/>
  <c r="N140" i="64"/>
  <c r="K140" i="64"/>
  <c r="I140" i="64"/>
  <c r="J166" i="64"/>
  <c r="F161" i="64"/>
  <c r="F95" i="64"/>
  <c r="F48" i="64"/>
  <c r="I163" i="64"/>
  <c r="J163" i="64"/>
  <c r="R140" i="64"/>
  <c r="I166" i="64"/>
  <c r="N165" i="64"/>
  <c r="Q156" i="64"/>
  <c r="L163" i="64"/>
  <c r="P140" i="64"/>
  <c r="Q158" i="64"/>
  <c r="F136" i="64"/>
  <c r="R166" i="64"/>
  <c r="P165" i="64"/>
  <c r="I165" i="64"/>
  <c r="F36" i="64"/>
  <c r="F35" i="64"/>
  <c r="F47" i="64"/>
  <c r="J93" i="64"/>
  <c r="R81" i="64"/>
  <c r="M81" i="64"/>
  <c r="N163" i="64"/>
  <c r="K149" i="64"/>
  <c r="N149" i="64"/>
  <c r="M149" i="64"/>
  <c r="K153" i="64"/>
  <c r="J153" i="64"/>
  <c r="I153" i="64"/>
  <c r="S153" i="64"/>
  <c r="R153" i="64"/>
  <c r="O97" i="64"/>
  <c r="R97" i="64"/>
  <c r="J97" i="64"/>
  <c r="K97" i="64"/>
  <c r="S97" i="64"/>
  <c r="O100" i="64"/>
  <c r="L100" i="64"/>
  <c r="K100" i="64"/>
  <c r="I100" i="64"/>
  <c r="S100" i="64"/>
  <c r="R100" i="64"/>
  <c r="Q100" i="64"/>
  <c r="N100" i="64"/>
  <c r="P100" i="64"/>
  <c r="M100" i="64"/>
  <c r="J100" i="64"/>
  <c r="S82" i="64"/>
  <c r="K82" i="64"/>
  <c r="R82" i="64"/>
  <c r="I82" i="64"/>
  <c r="Q82" i="64"/>
  <c r="P82" i="64"/>
  <c r="O82" i="64"/>
  <c r="L82" i="64"/>
  <c r="J82" i="64"/>
  <c r="N82" i="64"/>
  <c r="M82" i="64"/>
  <c r="O104" i="64"/>
  <c r="P104" i="64"/>
  <c r="N104" i="64"/>
  <c r="S104" i="64"/>
  <c r="R104" i="64"/>
  <c r="Q104" i="64"/>
  <c r="J104" i="64"/>
  <c r="I104" i="64"/>
  <c r="M104" i="64"/>
  <c r="L104" i="64"/>
  <c r="K104" i="64"/>
  <c r="S90" i="64"/>
  <c r="K90" i="64"/>
  <c r="M90" i="64"/>
  <c r="Q90" i="64"/>
  <c r="P90" i="64"/>
  <c r="O90" i="64"/>
  <c r="J90" i="64"/>
  <c r="I90" i="64"/>
  <c r="N90" i="64"/>
  <c r="L90" i="64"/>
  <c r="R90" i="64"/>
  <c r="L162" i="64"/>
  <c r="R162" i="64"/>
  <c r="J162" i="64"/>
  <c r="M162" i="64"/>
  <c r="S162" i="64"/>
  <c r="Q162" i="64"/>
  <c r="P162" i="64"/>
  <c r="O162" i="64"/>
  <c r="N162" i="64"/>
  <c r="K162" i="64"/>
  <c r="I162" i="64"/>
  <c r="S102" i="64"/>
  <c r="K102" i="64"/>
  <c r="N102" i="64"/>
  <c r="M102" i="64"/>
  <c r="O102" i="64"/>
  <c r="L102" i="64"/>
  <c r="J102" i="64"/>
  <c r="Q102" i="64"/>
  <c r="P102" i="64"/>
  <c r="I102" i="64"/>
  <c r="R102" i="64"/>
  <c r="M83" i="64"/>
  <c r="O83" i="64"/>
  <c r="N83" i="64"/>
  <c r="L83" i="64"/>
  <c r="P83" i="64"/>
  <c r="K83" i="64"/>
  <c r="J83" i="64"/>
  <c r="I83" i="64"/>
  <c r="R83" i="64"/>
  <c r="Q83" i="64"/>
  <c r="S83" i="64"/>
  <c r="F45" i="64"/>
  <c r="F43" i="64"/>
  <c r="O80" i="64"/>
  <c r="Q80" i="64"/>
  <c r="P80" i="64"/>
  <c r="N80" i="64"/>
  <c r="J80" i="64"/>
  <c r="I80" i="64"/>
  <c r="S80" i="64"/>
  <c r="M80" i="64"/>
  <c r="L80" i="64"/>
  <c r="K80" i="64"/>
  <c r="R80" i="64"/>
  <c r="Q85" i="64"/>
  <c r="I85" i="64"/>
  <c r="P85" i="64"/>
  <c r="O85" i="64"/>
  <c r="N85" i="64"/>
  <c r="L85" i="64"/>
  <c r="K85" i="64"/>
  <c r="J85" i="64"/>
  <c r="S85" i="64"/>
  <c r="R85" i="64"/>
  <c r="M85" i="64"/>
  <c r="R112" i="64"/>
  <c r="O112" i="64"/>
  <c r="M112" i="64"/>
  <c r="L112" i="64"/>
  <c r="K112" i="64"/>
  <c r="J112" i="64"/>
  <c r="I112" i="64"/>
  <c r="P112" i="64"/>
  <c r="N112" i="64"/>
  <c r="S112" i="64"/>
  <c r="Q112" i="64"/>
  <c r="F103" i="64"/>
  <c r="R148" i="64"/>
  <c r="J148" i="64"/>
  <c r="Q148" i="64"/>
  <c r="P148" i="64"/>
  <c r="O148" i="64"/>
  <c r="I148" i="64"/>
  <c r="S148" i="64"/>
  <c r="N148" i="64"/>
  <c r="K148" i="64"/>
  <c r="M148" i="64"/>
  <c r="L148" i="64"/>
  <c r="M99" i="64"/>
  <c r="P99" i="64"/>
  <c r="O99" i="64"/>
  <c r="I99" i="64"/>
  <c r="S99" i="64"/>
  <c r="R99" i="64"/>
  <c r="J99" i="64"/>
  <c r="Q99" i="64"/>
  <c r="N99" i="64"/>
  <c r="L99" i="64"/>
  <c r="K99" i="64"/>
  <c r="F54" i="64"/>
  <c r="F88" i="64"/>
  <c r="F46" i="64"/>
  <c r="Q141" i="64"/>
  <c r="I141" i="64"/>
  <c r="S141" i="64"/>
  <c r="J141" i="64"/>
  <c r="P141" i="64"/>
  <c r="M141" i="64"/>
  <c r="L141" i="64"/>
  <c r="K141" i="64"/>
  <c r="R141" i="64"/>
  <c r="O141" i="64"/>
  <c r="N141" i="64"/>
  <c r="Q89" i="64"/>
  <c r="I89" i="64"/>
  <c r="P89" i="64"/>
  <c r="S89" i="64"/>
  <c r="R89" i="64"/>
  <c r="O89" i="64"/>
  <c r="N89" i="64"/>
  <c r="M89" i="64"/>
  <c r="L89" i="64"/>
  <c r="K89" i="64"/>
  <c r="J89" i="64"/>
  <c r="F27" i="64"/>
  <c r="F25" i="64"/>
  <c r="N144" i="64"/>
  <c r="M144" i="64"/>
  <c r="K144" i="64"/>
  <c r="I144" i="64"/>
  <c r="S144" i="64"/>
  <c r="R144" i="64"/>
  <c r="L144" i="64"/>
  <c r="J144" i="64"/>
  <c r="P144" i="64"/>
  <c r="O144" i="64"/>
  <c r="Q144" i="64"/>
  <c r="F98" i="64"/>
  <c r="M111" i="64"/>
  <c r="Q111" i="64"/>
  <c r="P111" i="64"/>
  <c r="I111" i="64"/>
  <c r="S111" i="64"/>
  <c r="R111" i="64"/>
  <c r="O111" i="64"/>
  <c r="N111" i="64"/>
  <c r="L111" i="64"/>
  <c r="K111" i="64"/>
  <c r="J111" i="64"/>
  <c r="O92" i="64"/>
  <c r="N92" i="64"/>
  <c r="M92" i="64"/>
  <c r="S92" i="64"/>
  <c r="R92" i="64"/>
  <c r="Q92" i="64"/>
  <c r="L92" i="64"/>
  <c r="P92" i="64"/>
  <c r="I92" i="64"/>
  <c r="K92" i="64"/>
  <c r="J92" i="64"/>
  <c r="F38" i="64"/>
  <c r="S94" i="64"/>
  <c r="K94" i="64"/>
  <c r="P94" i="64"/>
  <c r="O94" i="64"/>
  <c r="J94" i="64"/>
  <c r="I94" i="64"/>
  <c r="M94" i="64"/>
  <c r="L94" i="64"/>
  <c r="Q94" i="64"/>
  <c r="N94" i="64"/>
  <c r="R94" i="64"/>
  <c r="P142" i="64"/>
  <c r="K142" i="64"/>
  <c r="R142" i="64"/>
  <c r="I142" i="64"/>
  <c r="S142" i="64"/>
  <c r="Q142" i="64"/>
  <c r="L142" i="64"/>
  <c r="J142" i="64"/>
  <c r="N142" i="64"/>
  <c r="M142" i="64"/>
  <c r="O142" i="64"/>
  <c r="F30" i="64"/>
  <c r="M107" i="64"/>
  <c r="N107" i="64"/>
  <c r="L107" i="64"/>
  <c r="K107" i="64"/>
  <c r="J107" i="64"/>
  <c r="I107" i="64"/>
  <c r="Q107" i="64"/>
  <c r="P107" i="64"/>
  <c r="O107" i="64"/>
  <c r="S107" i="64"/>
  <c r="R107" i="64"/>
  <c r="F52" i="64"/>
  <c r="F101" i="64"/>
  <c r="S106" i="64"/>
  <c r="K106" i="64"/>
  <c r="Q106" i="64"/>
  <c r="P106" i="64"/>
  <c r="J106" i="64"/>
  <c r="I106" i="64"/>
  <c r="R106" i="64"/>
  <c r="L106" i="64"/>
  <c r="O106" i="64"/>
  <c r="M106" i="64"/>
  <c r="N106" i="64"/>
  <c r="F53" i="64"/>
  <c r="F47" i="63"/>
  <c r="F36" i="63"/>
  <c r="F46" i="63"/>
  <c r="F34" i="63"/>
  <c r="F42" i="63"/>
  <c r="F30" i="63"/>
  <c r="F55" i="63"/>
  <c r="F49" i="63"/>
  <c r="F26" i="63"/>
  <c r="F27" i="63"/>
  <c r="F41" i="63"/>
  <c r="F38" i="63"/>
  <c r="F32" i="63"/>
  <c r="F57" i="63"/>
  <c r="F50" i="63"/>
  <c r="F39" i="63"/>
  <c r="F25" i="63"/>
  <c r="F33" i="63"/>
  <c r="F44" i="63"/>
  <c r="F29" i="63"/>
  <c r="F54" i="63"/>
  <c r="F31" i="63"/>
  <c r="F52" i="63"/>
  <c r="F37" i="63"/>
  <c r="F43" i="63"/>
  <c r="F24" i="63"/>
  <c r="F51" i="63"/>
  <c r="F56" i="63"/>
  <c r="F53" i="63"/>
  <c r="F28" i="63"/>
  <c r="F48" i="63"/>
  <c r="F40" i="63"/>
  <c r="F35" i="63"/>
  <c r="H73" i="63"/>
  <c r="F45" i="63"/>
  <c r="H59" i="53"/>
  <c r="H60" i="53"/>
  <c r="G59" i="53"/>
  <c r="G60" i="53"/>
  <c r="F137" i="64" l="1"/>
  <c r="F150" i="64"/>
  <c r="F164" i="64"/>
  <c r="F154" i="64"/>
  <c r="F108" i="64"/>
  <c r="F134" i="64"/>
  <c r="F97" i="64"/>
  <c r="F84" i="64"/>
  <c r="F160" i="64"/>
  <c r="F151" i="64"/>
  <c r="F135" i="64"/>
  <c r="F156" i="64"/>
  <c r="F93" i="64"/>
  <c r="F143" i="64"/>
  <c r="F89" i="64"/>
  <c r="F159" i="64"/>
  <c r="F80" i="64"/>
  <c r="F81" i="64"/>
  <c r="F145" i="64"/>
  <c r="F83" i="64"/>
  <c r="F82" i="64"/>
  <c r="F153" i="64"/>
  <c r="F142" i="64"/>
  <c r="F94" i="64"/>
  <c r="F149" i="64"/>
  <c r="F167" i="64"/>
  <c r="F104" i="64"/>
  <c r="F166" i="64"/>
  <c r="F85" i="64"/>
  <c r="F102" i="64"/>
  <c r="F106" i="64"/>
  <c r="F141" i="64"/>
  <c r="F148" i="64"/>
  <c r="F165" i="64"/>
  <c r="F163" i="64"/>
  <c r="F144" i="64"/>
  <c r="F162" i="64"/>
  <c r="F140" i="64"/>
  <c r="F90" i="64"/>
  <c r="F107" i="64"/>
  <c r="F92" i="64"/>
  <c r="F99" i="64"/>
  <c r="F158" i="64"/>
  <c r="F111" i="64"/>
  <c r="F112" i="64"/>
  <c r="F100" i="64"/>
  <c r="I71" i="10"/>
  <c r="I70" i="10"/>
  <c r="I69" i="10"/>
  <c r="I68" i="10"/>
  <c r="I67" i="10"/>
  <c r="I66" i="10"/>
  <c r="I65" i="10"/>
  <c r="I64" i="10"/>
  <c r="I63" i="10"/>
  <c r="I62" i="10"/>
  <c r="I61" i="10"/>
  <c r="I60" i="10"/>
  <c r="I59" i="10"/>
  <c r="I58" i="10"/>
  <c r="I57" i="10"/>
  <c r="I56" i="10"/>
  <c r="I55" i="10"/>
  <c r="I54" i="10"/>
  <c r="I53" i="10"/>
  <c r="I52" i="10"/>
  <c r="I51" i="10"/>
  <c r="I50" i="10"/>
  <c r="I49" i="10"/>
  <c r="I48" i="10"/>
  <c r="I47" i="10"/>
  <c r="I46" i="10"/>
  <c r="I45" i="10"/>
  <c r="I44" i="10"/>
  <c r="I43" i="10"/>
  <c r="I42" i="10"/>
  <c r="I41" i="10"/>
  <c r="I40" i="10"/>
  <c r="I39" i="10"/>
  <c r="I38" i="10"/>
  <c r="I37" i="10"/>
  <c r="I36" i="10"/>
  <c r="I35" i="10"/>
  <c r="I34" i="10"/>
  <c r="I33" i="10"/>
  <c r="I31" i="10"/>
  <c r="I30" i="10"/>
  <c r="I29" i="10"/>
  <c r="I28" i="10"/>
  <c r="I27" i="10"/>
  <c r="I26" i="10"/>
  <c r="I25" i="10"/>
  <c r="I24" i="10"/>
  <c r="I23" i="10"/>
  <c r="I22" i="10"/>
  <c r="I21" i="10"/>
  <c r="I20" i="10"/>
  <c r="I19" i="10"/>
  <c r="I18" i="10"/>
  <c r="I17" i="10"/>
  <c r="I16" i="10"/>
  <c r="I15" i="10"/>
  <c r="I14" i="10"/>
  <c r="I13" i="10"/>
  <c r="I12" i="10"/>
  <c r="I11" i="10"/>
  <c r="I10" i="10"/>
  <c r="I9" i="10"/>
  <c r="D48" i="10"/>
  <c r="C75" i="37" l="1"/>
  <c r="C61" i="37"/>
  <c r="C65" i="37"/>
  <c r="E68" i="62" l="1"/>
  <c r="F67" i="52"/>
  <c r="E790" i="58" l="1"/>
  <c r="E791" i="58"/>
  <c r="E792" i="58"/>
  <c r="E793" i="58"/>
  <c r="E175" i="57"/>
  <c r="E176" i="57"/>
  <c r="E177" i="57"/>
  <c r="E178" i="57"/>
  <c r="D37" i="49" l="1"/>
  <c r="D33" i="49"/>
  <c r="D34" i="49" s="1"/>
  <c r="D35" i="49" s="1"/>
  <c r="D38" i="49" l="1"/>
  <c r="D39" i="49" s="1"/>
  <c r="H91" i="29"/>
  <c r="H154" i="29"/>
  <c r="B155" i="29"/>
  <c r="B156" i="29"/>
  <c r="B157" i="29"/>
  <c r="B158" i="29"/>
  <c r="B159" i="29"/>
  <c r="B160" i="29"/>
  <c r="B161" i="29"/>
  <c r="B162" i="29"/>
  <c r="B163" i="29"/>
  <c r="B164" i="29"/>
  <c r="B165" i="29"/>
  <c r="B166" i="29"/>
  <c r="B167" i="29"/>
  <c r="B168" i="29"/>
  <c r="B169" i="29"/>
  <c r="B170" i="29"/>
  <c r="B171" i="29"/>
  <c r="B172" i="29"/>
  <c r="B173" i="29"/>
  <c r="B174" i="29"/>
  <c r="B175" i="29"/>
  <c r="B176" i="29"/>
  <c r="B177" i="29"/>
  <c r="B178" i="29"/>
  <c r="B179" i="29"/>
  <c r="B180" i="29"/>
  <c r="B181" i="29"/>
  <c r="B182" i="29"/>
  <c r="B154" i="29"/>
  <c r="B92" i="29"/>
  <c r="B93" i="29"/>
  <c r="B94" i="29"/>
  <c r="B95" i="29"/>
  <c r="B96" i="29"/>
  <c r="B97" i="29"/>
  <c r="B98" i="29"/>
  <c r="B99" i="29"/>
  <c r="B100" i="29"/>
  <c r="B101" i="29"/>
  <c r="B102" i="29"/>
  <c r="B103" i="29"/>
  <c r="B104" i="29"/>
  <c r="B105" i="29"/>
  <c r="B106" i="29"/>
  <c r="B107" i="29"/>
  <c r="B108" i="29"/>
  <c r="B109" i="29"/>
  <c r="B110" i="29"/>
  <c r="B111" i="29"/>
  <c r="B112" i="29"/>
  <c r="B113" i="29"/>
  <c r="B114" i="29"/>
  <c r="B115" i="29"/>
  <c r="B116" i="29"/>
  <c r="B117" i="29"/>
  <c r="B118" i="29"/>
  <c r="B119" i="29"/>
  <c r="B91" i="29"/>
  <c r="H31" i="46"/>
  <c r="B32" i="46"/>
  <c r="B33" i="46"/>
  <c r="B34" i="46"/>
  <c r="B35" i="46"/>
  <c r="B36" i="46"/>
  <c r="B37" i="46"/>
  <c r="B38" i="46"/>
  <c r="B39" i="46"/>
  <c r="B40" i="46"/>
  <c r="B41" i="46"/>
  <c r="B42" i="46"/>
  <c r="B43" i="46"/>
  <c r="B44" i="46"/>
  <c r="B45" i="46"/>
  <c r="B46" i="46"/>
  <c r="B47" i="46"/>
  <c r="B48" i="46"/>
  <c r="B49" i="46"/>
  <c r="B50" i="46"/>
  <c r="B51" i="46"/>
  <c r="B52" i="46"/>
  <c r="B53" i="46"/>
  <c r="B54" i="46"/>
  <c r="B55" i="46"/>
  <c r="B56" i="46"/>
  <c r="B57" i="46"/>
  <c r="B58" i="46"/>
  <c r="B59" i="46"/>
  <c r="B31" i="46"/>
  <c r="B31" i="50"/>
  <c r="G31" i="50"/>
  <c r="H31" i="50"/>
  <c r="U31" i="50" s="1"/>
  <c r="H31" i="61"/>
  <c r="G31" i="61"/>
  <c r="G32" i="49"/>
  <c r="B32" i="49"/>
  <c r="D32" i="49"/>
  <c r="H155" i="30"/>
  <c r="B156" i="30"/>
  <c r="B157" i="30"/>
  <c r="B158" i="30"/>
  <c r="B159" i="30"/>
  <c r="B160" i="30"/>
  <c r="B161" i="30"/>
  <c r="B162" i="30"/>
  <c r="B163" i="30"/>
  <c r="B164" i="30"/>
  <c r="B165" i="30"/>
  <c r="B166" i="30"/>
  <c r="B167" i="30"/>
  <c r="B168" i="30"/>
  <c r="B169" i="30"/>
  <c r="B170" i="30"/>
  <c r="B171" i="30"/>
  <c r="B172" i="30"/>
  <c r="B173" i="30"/>
  <c r="B174" i="30"/>
  <c r="B175" i="30"/>
  <c r="B176" i="30"/>
  <c r="B177" i="30"/>
  <c r="B178" i="30"/>
  <c r="B179" i="30"/>
  <c r="B180" i="30"/>
  <c r="B181" i="30"/>
  <c r="B182" i="30"/>
  <c r="B183" i="30"/>
  <c r="B155" i="30"/>
  <c r="A155" i="30"/>
  <c r="B93" i="30"/>
  <c r="B94" i="30"/>
  <c r="B95" i="30"/>
  <c r="B96" i="30"/>
  <c r="B97" i="30"/>
  <c r="B98" i="30"/>
  <c r="B99" i="30"/>
  <c r="B100" i="30"/>
  <c r="B101" i="30"/>
  <c r="B102" i="30"/>
  <c r="B103" i="30"/>
  <c r="B104" i="30"/>
  <c r="B105" i="30"/>
  <c r="B106" i="30"/>
  <c r="B107" i="30"/>
  <c r="B108" i="30"/>
  <c r="B109" i="30"/>
  <c r="B110" i="30"/>
  <c r="B111" i="30"/>
  <c r="B112" i="30"/>
  <c r="B113" i="30"/>
  <c r="B114" i="30"/>
  <c r="B115" i="30"/>
  <c r="B116" i="30"/>
  <c r="B117" i="30"/>
  <c r="B118" i="30"/>
  <c r="B119" i="30"/>
  <c r="B120" i="30"/>
  <c r="B92" i="30"/>
  <c r="H92" i="30"/>
  <c r="A92" i="30"/>
  <c r="I30" i="30"/>
  <c r="J30" i="30"/>
  <c r="K30" i="30"/>
  <c r="L30" i="30"/>
  <c r="M30" i="30"/>
  <c r="N30" i="30"/>
  <c r="O30" i="30"/>
  <c r="P30" i="30"/>
  <c r="Q30" i="30"/>
  <c r="R30" i="30"/>
  <c r="S30" i="30"/>
  <c r="H30" i="30"/>
  <c r="E33" i="22"/>
  <c r="D33" i="22"/>
  <c r="A33" i="22"/>
  <c r="B31" i="30"/>
  <c r="B32" i="30"/>
  <c r="B33" i="30"/>
  <c r="B34" i="30"/>
  <c r="B35" i="30"/>
  <c r="B36" i="30"/>
  <c r="B37" i="30"/>
  <c r="B38" i="30"/>
  <c r="B39" i="30"/>
  <c r="B40" i="30"/>
  <c r="B41" i="30"/>
  <c r="B42" i="30"/>
  <c r="B43" i="30"/>
  <c r="B44" i="30"/>
  <c r="B45" i="30"/>
  <c r="B46" i="30"/>
  <c r="B47" i="30"/>
  <c r="B48" i="30"/>
  <c r="B49" i="30"/>
  <c r="B50" i="30"/>
  <c r="B51" i="30"/>
  <c r="B52" i="30"/>
  <c r="B53" i="30"/>
  <c r="B54" i="30"/>
  <c r="B55" i="30"/>
  <c r="B56" i="30"/>
  <c r="B57" i="30"/>
  <c r="B58" i="30"/>
  <c r="B30" i="30"/>
  <c r="D41" i="49" l="1"/>
  <c r="D42" i="49" s="1"/>
  <c r="D43" i="49" s="1"/>
  <c r="D40" i="49"/>
  <c r="D30" i="30"/>
  <c r="D155" i="30" s="1"/>
  <c r="D55" i="30"/>
  <c r="C55" i="30" s="1"/>
  <c r="D56" i="30"/>
  <c r="C56" i="30" s="1"/>
  <c r="D57" i="30"/>
  <c r="C57" i="30" s="1"/>
  <c r="D58" i="30"/>
  <c r="C58" i="30" s="1"/>
  <c r="C60" i="61"/>
  <c r="B15" i="61"/>
  <c r="B16" i="61"/>
  <c r="B17" i="61"/>
  <c r="B18" i="61"/>
  <c r="B19" i="61"/>
  <c r="B20" i="61"/>
  <c r="B21" i="61"/>
  <c r="B22" i="61"/>
  <c r="B23" i="61"/>
  <c r="B24" i="61"/>
  <c r="B25" i="61"/>
  <c r="B26" i="61"/>
  <c r="B27" i="61"/>
  <c r="B28" i="61"/>
  <c r="B29" i="61"/>
  <c r="B30" i="61"/>
  <c r="B31" i="61"/>
  <c r="B32" i="61"/>
  <c r="B33" i="61"/>
  <c r="B34" i="61"/>
  <c r="B35" i="61"/>
  <c r="B36" i="61"/>
  <c r="B37" i="61"/>
  <c r="B38" i="61"/>
  <c r="B39" i="61"/>
  <c r="B40" i="61"/>
  <c r="B41" i="61"/>
  <c r="B42" i="61"/>
  <c r="B43" i="61"/>
  <c r="B44" i="61"/>
  <c r="B45" i="61"/>
  <c r="B46" i="61"/>
  <c r="B47" i="61"/>
  <c r="B48" i="61"/>
  <c r="B49" i="61"/>
  <c r="B50" i="61"/>
  <c r="B51" i="61"/>
  <c r="B52" i="61"/>
  <c r="B53" i="61"/>
  <c r="B54" i="61"/>
  <c r="B55" i="61"/>
  <c r="B56" i="61"/>
  <c r="B57" i="61"/>
  <c r="B58" i="61"/>
  <c r="B59" i="61"/>
  <c r="D31" i="61"/>
  <c r="D56" i="61"/>
  <c r="C56" i="61" s="1"/>
  <c r="D57" i="61"/>
  <c r="C57" i="61" s="1"/>
  <c r="D58" i="61"/>
  <c r="C58" i="61" s="1"/>
  <c r="D59" i="61"/>
  <c r="C59" i="61" s="1"/>
  <c r="H15" i="29"/>
  <c r="H16" i="29"/>
  <c r="H17" i="29"/>
  <c r="H18" i="29"/>
  <c r="H19" i="29"/>
  <c r="H20" i="29"/>
  <c r="H21" i="29"/>
  <c r="H22" i="29"/>
  <c r="H23" i="29"/>
  <c r="H24" i="29"/>
  <c r="H25" i="29"/>
  <c r="H26" i="29"/>
  <c r="H27" i="29"/>
  <c r="H28" i="29"/>
  <c r="H29" i="29"/>
  <c r="H30" i="29"/>
  <c r="H31" i="29"/>
  <c r="H32" i="29"/>
  <c r="H33" i="29"/>
  <c r="H34" i="29"/>
  <c r="H35" i="29"/>
  <c r="H36" i="29"/>
  <c r="H37" i="29"/>
  <c r="H38" i="29"/>
  <c r="H39" i="29"/>
  <c r="H40" i="29"/>
  <c r="H41" i="29"/>
  <c r="H42" i="29"/>
  <c r="H43" i="29"/>
  <c r="H44" i="29"/>
  <c r="H45" i="29"/>
  <c r="H46" i="29"/>
  <c r="H47" i="29"/>
  <c r="H48" i="29"/>
  <c r="H49" i="29"/>
  <c r="H50" i="29"/>
  <c r="H51" i="29"/>
  <c r="H52" i="29"/>
  <c r="H53" i="29"/>
  <c r="H54" i="29"/>
  <c r="H55" i="29"/>
  <c r="G31" i="29"/>
  <c r="A33" i="2"/>
  <c r="C60" i="29"/>
  <c r="D31" i="29"/>
  <c r="B31" i="29"/>
  <c r="AA34" i="10"/>
  <c r="K32" i="49" s="1"/>
  <c r="Z34" i="10"/>
  <c r="I32" i="49" s="1"/>
  <c r="V34" i="10"/>
  <c r="G30" i="30" s="1"/>
  <c r="F30" i="30" s="1"/>
  <c r="AD34" i="10"/>
  <c r="X34" i="10"/>
  <c r="W34" i="10"/>
  <c r="G92" i="30" s="1"/>
  <c r="T34" i="10"/>
  <c r="G91" i="29" s="1"/>
  <c r="B34" i="10"/>
  <c r="A34" i="10" s="1"/>
  <c r="D183" i="30" l="1"/>
  <c r="C183" i="30" s="1"/>
  <c r="D182" i="30"/>
  <c r="C182" i="30" s="1"/>
  <c r="D44" i="49"/>
  <c r="D45" i="49"/>
  <c r="D120" i="30"/>
  <c r="C120" i="30" s="1"/>
  <c r="D180" i="30"/>
  <c r="C180" i="30" s="1"/>
  <c r="D92" i="30"/>
  <c r="D181" i="30"/>
  <c r="C181" i="30" s="1"/>
  <c r="D119" i="30"/>
  <c r="C119" i="30" s="1"/>
  <c r="D118" i="30"/>
  <c r="C118" i="30" s="1"/>
  <c r="G155" i="30"/>
  <c r="H32" i="49"/>
  <c r="D117" i="30"/>
  <c r="C117" i="30" s="1"/>
  <c r="Y34" i="10"/>
  <c r="G31" i="46" s="1"/>
  <c r="U34" i="10"/>
  <c r="G154" i="29" s="1"/>
  <c r="D46" i="49" l="1"/>
  <c r="D47" i="49" s="1"/>
  <c r="D48" i="49" l="1"/>
  <c r="D49" i="49"/>
  <c r="D50" i="49" s="1"/>
  <c r="D51" i="49" s="1"/>
  <c r="D52" i="49" s="1"/>
  <c r="D53" i="49" s="1"/>
  <c r="D54" i="49" s="1"/>
  <c r="D55" i="49" s="1"/>
  <c r="F12" i="50" l="1"/>
  <c r="K57" i="49" l="1"/>
  <c r="K58" i="49"/>
  <c r="K59" i="49"/>
  <c r="K60" i="49"/>
  <c r="AA10" i="10"/>
  <c r="K16" i="49" s="1"/>
  <c r="AA11" i="10"/>
  <c r="K14" i="55" s="1"/>
  <c r="AA12" i="10"/>
  <c r="K15" i="55" s="1"/>
  <c r="AA13" i="10"/>
  <c r="K17" i="49" s="1"/>
  <c r="AA14" i="10"/>
  <c r="K18" i="49" s="1"/>
  <c r="AA15" i="10"/>
  <c r="K16" i="55" s="1"/>
  <c r="AA16" i="10"/>
  <c r="K14" i="52" s="1"/>
  <c r="AA17" i="10"/>
  <c r="K19" i="49" s="1"/>
  <c r="AA18" i="10"/>
  <c r="K20" i="49" s="1"/>
  <c r="AA19" i="10"/>
  <c r="K21" i="49" s="1"/>
  <c r="AA20" i="10"/>
  <c r="K17" i="55" s="1"/>
  <c r="AA21" i="10"/>
  <c r="K22" i="49" s="1"/>
  <c r="AA22" i="10"/>
  <c r="K15" i="52" s="1"/>
  <c r="AA23" i="10"/>
  <c r="K23" i="49" s="1"/>
  <c r="AA24" i="10"/>
  <c r="K18" i="55" s="1"/>
  <c r="AA25" i="10"/>
  <c r="K24" i="49" s="1"/>
  <c r="AA26" i="10"/>
  <c r="K19" i="55" s="1"/>
  <c r="AA27" i="10"/>
  <c r="K25" i="49" s="1"/>
  <c r="AA28" i="10"/>
  <c r="K26" i="49" s="1"/>
  <c r="AA29" i="10"/>
  <c r="K27" i="49" s="1"/>
  <c r="AA30" i="10"/>
  <c r="K28" i="49" s="1"/>
  <c r="AA31" i="10"/>
  <c r="K29" i="49" s="1"/>
  <c r="AA32" i="10"/>
  <c r="AA33" i="10"/>
  <c r="K30" i="49" s="1"/>
  <c r="AA35" i="10"/>
  <c r="K31" i="49" s="1"/>
  <c r="AA36" i="10"/>
  <c r="K33" i="49" s="1"/>
  <c r="AA37" i="10"/>
  <c r="K34" i="49" s="1"/>
  <c r="AA38" i="10"/>
  <c r="K35" i="49" s="1"/>
  <c r="AA39" i="10"/>
  <c r="K36" i="49" s="1"/>
  <c r="AA40" i="10"/>
  <c r="K37" i="49" s="1"/>
  <c r="AA41" i="10"/>
  <c r="K38" i="49" s="1"/>
  <c r="AA42" i="10"/>
  <c r="K39" i="49" s="1"/>
  <c r="AA43" i="10"/>
  <c r="K20" i="55" s="1"/>
  <c r="AA44" i="10"/>
  <c r="K16" i="52" s="1"/>
  <c r="AA45" i="10"/>
  <c r="K40" i="49" s="1"/>
  <c r="AA46" i="10"/>
  <c r="K17" i="52" s="1"/>
  <c r="AA47" i="10"/>
  <c r="K18" i="52" s="1"/>
  <c r="AA48" i="10"/>
  <c r="AA49" i="10"/>
  <c r="AA50" i="10"/>
  <c r="AA51" i="10"/>
  <c r="AA52" i="10"/>
  <c r="AA53" i="10"/>
  <c r="AA54" i="10"/>
  <c r="AA55" i="10"/>
  <c r="AA56" i="10"/>
  <c r="AA57" i="10"/>
  <c r="AA58" i="10"/>
  <c r="AA59" i="10"/>
  <c r="AA60" i="10"/>
  <c r="K21" i="55" s="1"/>
  <c r="AA61" i="10"/>
  <c r="AA62" i="10"/>
  <c r="AA63" i="10"/>
  <c r="AA64" i="10"/>
  <c r="AA65" i="10"/>
  <c r="AA66" i="10"/>
  <c r="AA67" i="10"/>
  <c r="AA68" i="10"/>
  <c r="AA70" i="10"/>
  <c r="AA71" i="10"/>
  <c r="K22" i="55" s="1"/>
  <c r="AA72" i="10"/>
  <c r="AA73" i="10"/>
  <c r="AA74" i="10"/>
  <c r="AA9" i="10"/>
  <c r="K15" i="49" s="1"/>
  <c r="I57" i="49"/>
  <c r="I58" i="49"/>
  <c r="I59" i="49"/>
  <c r="I60" i="49"/>
  <c r="H57" i="49"/>
  <c r="H58" i="49"/>
  <c r="H59" i="49"/>
  <c r="H60" i="49"/>
  <c r="C1" i="62" l="1"/>
  <c r="T11" i="62" l="1"/>
  <c r="AE58" i="51"/>
  <c r="Y57" i="51"/>
  <c r="Y56" i="51"/>
  <c r="Y55" i="51"/>
  <c r="Y54" i="51"/>
  <c r="Z17" i="51"/>
  <c r="AB17" i="51" s="1"/>
  <c r="AC17" i="51" s="1"/>
  <c r="AD17" i="51" s="1"/>
  <c r="Z16" i="51"/>
  <c r="AB16" i="51" s="1"/>
  <c r="AC16" i="51" s="1"/>
  <c r="Z15" i="51"/>
  <c r="AB15" i="51" s="1"/>
  <c r="AC15" i="51" s="1"/>
  <c r="Z14" i="51"/>
  <c r="AB14" i="51" s="1"/>
  <c r="AC14" i="51" s="1"/>
  <c r="AY13" i="51"/>
  <c r="Z13" i="51"/>
  <c r="AB13" i="51" s="1"/>
  <c r="AC13" i="51" s="1"/>
  <c r="T11" i="51"/>
  <c r="E67" i="62"/>
  <c r="AE58" i="62"/>
  <c r="C58" i="62"/>
  <c r="Y57" i="62"/>
  <c r="H57" i="62"/>
  <c r="U57" i="62" s="1"/>
  <c r="B57" i="62"/>
  <c r="Y56" i="62"/>
  <c r="H56" i="62"/>
  <c r="U56" i="62" s="1"/>
  <c r="B56" i="62"/>
  <c r="Y55" i="62"/>
  <c r="H55" i="62"/>
  <c r="U55" i="62" s="1"/>
  <c r="B55" i="62"/>
  <c r="Y54" i="62"/>
  <c r="H54" i="62"/>
  <c r="B54" i="62"/>
  <c r="H53" i="62"/>
  <c r="AK53" i="62" s="1"/>
  <c r="B53" i="62"/>
  <c r="H52" i="62"/>
  <c r="B52" i="62"/>
  <c r="H51" i="62"/>
  <c r="AK51" i="62" s="1"/>
  <c r="B51" i="62"/>
  <c r="H50" i="62"/>
  <c r="AK50" i="62" s="1"/>
  <c r="B50" i="62"/>
  <c r="H49" i="62"/>
  <c r="AK49" i="62" s="1"/>
  <c r="B49" i="62"/>
  <c r="H48" i="62"/>
  <c r="AK48" i="62" s="1"/>
  <c r="B48" i="62"/>
  <c r="H47" i="62"/>
  <c r="AK47" i="62" s="1"/>
  <c r="B47" i="62"/>
  <c r="H46" i="62"/>
  <c r="AK46" i="62" s="1"/>
  <c r="B46" i="62"/>
  <c r="H45" i="62"/>
  <c r="AK45" i="62" s="1"/>
  <c r="B45" i="62"/>
  <c r="H44" i="62"/>
  <c r="B44" i="62"/>
  <c r="H43" i="62"/>
  <c r="AK43" i="62" s="1"/>
  <c r="B43" i="62"/>
  <c r="H42" i="62"/>
  <c r="AK42" i="62" s="1"/>
  <c r="B42" i="62"/>
  <c r="H41" i="62"/>
  <c r="B41" i="62"/>
  <c r="H40" i="62"/>
  <c r="B40" i="62"/>
  <c r="H39" i="62"/>
  <c r="B39" i="62"/>
  <c r="H38" i="62"/>
  <c r="AK38" i="62" s="1"/>
  <c r="B38" i="62"/>
  <c r="H37" i="62"/>
  <c r="B37" i="62"/>
  <c r="H36" i="62"/>
  <c r="B36" i="62"/>
  <c r="H35" i="62"/>
  <c r="B35" i="62"/>
  <c r="H34" i="62"/>
  <c r="AK34" i="62" s="1"/>
  <c r="B34" i="62"/>
  <c r="H33" i="62"/>
  <c r="U33" i="62" s="1"/>
  <c r="B33" i="62"/>
  <c r="H32" i="62"/>
  <c r="AK32" i="62" s="1"/>
  <c r="B32" i="62"/>
  <c r="H31" i="62"/>
  <c r="AK31" i="62" s="1"/>
  <c r="B31" i="62"/>
  <c r="H30" i="62"/>
  <c r="B30" i="62"/>
  <c r="H29" i="62"/>
  <c r="AK29" i="62" s="1"/>
  <c r="B29" i="62"/>
  <c r="H28" i="62"/>
  <c r="AK28" i="62" s="1"/>
  <c r="B28" i="62"/>
  <c r="H27" i="62"/>
  <c r="AK27" i="62" s="1"/>
  <c r="B27" i="62"/>
  <c r="H26" i="62"/>
  <c r="AK26" i="62" s="1"/>
  <c r="B26" i="62"/>
  <c r="H25" i="62"/>
  <c r="AK25" i="62" s="1"/>
  <c r="B25" i="62"/>
  <c r="H24" i="62"/>
  <c r="AK24" i="62" s="1"/>
  <c r="B24" i="62"/>
  <c r="H23" i="62"/>
  <c r="AK23" i="62" s="1"/>
  <c r="B23" i="62"/>
  <c r="H22" i="62"/>
  <c r="AK22" i="62" s="1"/>
  <c r="B22" i="62"/>
  <c r="H21" i="62"/>
  <c r="AK21" i="62" s="1"/>
  <c r="B21" i="62"/>
  <c r="H20" i="62"/>
  <c r="B20" i="62"/>
  <c r="H19" i="62"/>
  <c r="B19" i="62"/>
  <c r="H18" i="62"/>
  <c r="AK18" i="62" s="1"/>
  <c r="B18" i="62"/>
  <c r="Z17" i="62"/>
  <c r="AB17" i="62" s="1"/>
  <c r="AC17" i="62" s="1"/>
  <c r="H17" i="62"/>
  <c r="AK17" i="62" s="1"/>
  <c r="G17" i="62"/>
  <c r="AJ17" i="62" s="1"/>
  <c r="B17" i="62"/>
  <c r="Z16" i="62"/>
  <c r="AB16" i="62" s="1"/>
  <c r="AC16" i="62" s="1"/>
  <c r="H16" i="62"/>
  <c r="G16" i="62"/>
  <c r="AJ16" i="62" s="1"/>
  <c r="B16" i="62"/>
  <c r="Z15" i="62"/>
  <c r="AB15" i="62" s="1"/>
  <c r="AC15" i="62" s="1"/>
  <c r="H15" i="62"/>
  <c r="G15" i="62"/>
  <c r="AJ15" i="62" s="1"/>
  <c r="B15" i="62"/>
  <c r="Z14" i="62"/>
  <c r="AB14" i="62" s="1"/>
  <c r="AC14" i="62" s="1"/>
  <c r="H14" i="62"/>
  <c r="AK14" i="62" s="1"/>
  <c r="G14" i="62"/>
  <c r="AJ14" i="62" s="1"/>
  <c r="B14" i="62"/>
  <c r="AY13" i="62"/>
  <c r="Z13" i="62"/>
  <c r="AB13" i="62" s="1"/>
  <c r="AC13" i="62" s="1"/>
  <c r="H13" i="62"/>
  <c r="AK13" i="62" s="1"/>
  <c r="G13" i="62"/>
  <c r="B13" i="62"/>
  <c r="S12" i="62"/>
  <c r="R12" i="62"/>
  <c r="Q12" i="62"/>
  <c r="P12" i="62"/>
  <c r="O12" i="62"/>
  <c r="N12" i="62"/>
  <c r="M12" i="62"/>
  <c r="L12" i="62"/>
  <c r="K12" i="62"/>
  <c r="J12" i="62"/>
  <c r="I12" i="62"/>
  <c r="J11" i="62"/>
  <c r="K11" i="62" s="1"/>
  <c r="L11" i="62" s="1"/>
  <c r="M11" i="62" s="1"/>
  <c r="N11" i="62" s="1"/>
  <c r="O11" i="62" s="1"/>
  <c r="P11" i="62" s="1"/>
  <c r="Q11" i="62" s="1"/>
  <c r="R11" i="62" s="1"/>
  <c r="S11" i="62" s="1"/>
  <c r="G11" i="62"/>
  <c r="H11" i="62" s="1"/>
  <c r="I11" i="62" s="1"/>
  <c r="U54" i="62" l="1"/>
  <c r="U17" i="62"/>
  <c r="I54" i="62"/>
  <c r="I55" i="62"/>
  <c r="I57" i="62"/>
  <c r="I56" i="62"/>
  <c r="Q29" i="62"/>
  <c r="AT29" i="62" s="1"/>
  <c r="P30" i="62"/>
  <c r="AS30" i="62" s="1"/>
  <c r="I26" i="62"/>
  <c r="AL26" i="62" s="1"/>
  <c r="I30" i="62"/>
  <c r="AL30" i="62" s="1"/>
  <c r="Q32" i="62"/>
  <c r="AT32" i="62" s="1"/>
  <c r="I37" i="62"/>
  <c r="AL37" i="62" s="1"/>
  <c r="K29" i="62"/>
  <c r="AN29" i="62" s="1"/>
  <c r="L38" i="62"/>
  <c r="AO38" i="62" s="1"/>
  <c r="M13" i="62"/>
  <c r="AP13" i="62" s="1"/>
  <c r="J23" i="62"/>
  <c r="AM23" i="62" s="1"/>
  <c r="Q25" i="62"/>
  <c r="AT25" i="62" s="1"/>
  <c r="I28" i="62"/>
  <c r="AL28" i="62" s="1"/>
  <c r="P49" i="62"/>
  <c r="AS49" i="62" s="1"/>
  <c r="I22" i="62"/>
  <c r="AL22" i="62" s="1"/>
  <c r="M30" i="62"/>
  <c r="AP30" i="62" s="1"/>
  <c r="Q16" i="62"/>
  <c r="AT16" i="62" s="1"/>
  <c r="P20" i="62"/>
  <c r="AS20" i="62" s="1"/>
  <c r="M55" i="62"/>
  <c r="M21" i="62"/>
  <c r="AP21" i="62" s="1"/>
  <c r="M19" i="62"/>
  <c r="AP19" i="62" s="1"/>
  <c r="I24" i="62"/>
  <c r="AL24" i="62" s="1"/>
  <c r="R25" i="62"/>
  <c r="AU25" i="62" s="1"/>
  <c r="M48" i="62"/>
  <c r="AP48" i="62" s="1"/>
  <c r="N34" i="62"/>
  <c r="AQ34" i="62" s="1"/>
  <c r="I42" i="62"/>
  <c r="AL42" i="62" s="1"/>
  <c r="L14" i="62"/>
  <c r="AO14" i="62" s="1"/>
  <c r="M33" i="62"/>
  <c r="AP33" i="62" s="1"/>
  <c r="N17" i="62"/>
  <c r="AQ17" i="62" s="1"/>
  <c r="M52" i="62"/>
  <c r="AP52" i="62" s="1"/>
  <c r="O18" i="62"/>
  <c r="AR18" i="62" s="1"/>
  <c r="I21" i="62"/>
  <c r="AL21" i="62" s="1"/>
  <c r="I32" i="62"/>
  <c r="AL32" i="62" s="1"/>
  <c r="Q20" i="62"/>
  <c r="AT20" i="62" s="1"/>
  <c r="O21" i="62"/>
  <c r="AR21" i="62" s="1"/>
  <c r="Q24" i="62"/>
  <c r="AT24" i="62" s="1"/>
  <c r="O38" i="62"/>
  <c r="AR38" i="62" s="1"/>
  <c r="M49" i="62"/>
  <c r="AP49" i="62" s="1"/>
  <c r="M15" i="62"/>
  <c r="AP15" i="62" s="1"/>
  <c r="I17" i="62"/>
  <c r="AL17" i="62" s="1"/>
  <c r="Q21" i="62"/>
  <c r="AT21" i="62" s="1"/>
  <c r="L37" i="62"/>
  <c r="AO37" i="62" s="1"/>
  <c r="J14" i="62"/>
  <c r="AM14" i="62" s="1"/>
  <c r="O17" i="62"/>
  <c r="AR17" i="62" s="1"/>
  <c r="L18" i="62"/>
  <c r="AO18" i="62" s="1"/>
  <c r="M25" i="62"/>
  <c r="AP25" i="62" s="1"/>
  <c r="Q47" i="62"/>
  <c r="AT47" i="62" s="1"/>
  <c r="O54" i="62"/>
  <c r="S27" i="62"/>
  <c r="AV27" i="62" s="1"/>
  <c r="Q17" i="62"/>
  <c r="AT17" i="62" s="1"/>
  <c r="L22" i="62"/>
  <c r="AO22" i="62" s="1"/>
  <c r="O29" i="62"/>
  <c r="AR29" i="62" s="1"/>
  <c r="O56" i="62"/>
  <c r="S16" i="62"/>
  <c r="AV16" i="62" s="1"/>
  <c r="N23" i="62"/>
  <c r="AQ23" i="62" s="1"/>
  <c r="L13" i="62"/>
  <c r="AO13" i="62" s="1"/>
  <c r="M14" i="62"/>
  <c r="AP14" i="62" s="1"/>
  <c r="L17" i="62"/>
  <c r="AO17" i="62" s="1"/>
  <c r="L21" i="62"/>
  <c r="AO21" i="62" s="1"/>
  <c r="N28" i="62"/>
  <c r="AQ28" i="62" s="1"/>
  <c r="L29" i="62"/>
  <c r="AO29" i="62" s="1"/>
  <c r="S34" i="62"/>
  <c r="AV34" i="62" s="1"/>
  <c r="L41" i="62"/>
  <c r="AO41" i="62" s="1"/>
  <c r="L44" i="62"/>
  <c r="AO44" i="62" s="1"/>
  <c r="L48" i="62"/>
  <c r="AO48" i="62" s="1"/>
  <c r="O14" i="62"/>
  <c r="AR14" i="62" s="1"/>
  <c r="N21" i="62"/>
  <c r="AQ21" i="62" s="1"/>
  <c r="Q33" i="62"/>
  <c r="AT33" i="62" s="1"/>
  <c r="P41" i="62"/>
  <c r="AS41" i="62" s="1"/>
  <c r="P22" i="62"/>
  <c r="AS22" i="62" s="1"/>
  <c r="M23" i="62"/>
  <c r="AP23" i="62" s="1"/>
  <c r="O13" i="62"/>
  <c r="AR13" i="62" s="1"/>
  <c r="M18" i="62"/>
  <c r="AP18" i="62" s="1"/>
  <c r="I13" i="62"/>
  <c r="AL13" i="62" s="1"/>
  <c r="Q42" i="62"/>
  <c r="AT42" i="62" s="1"/>
  <c r="P13" i="62"/>
  <c r="AS13" i="62" s="1"/>
  <c r="N18" i="62"/>
  <c r="AQ18" i="62" s="1"/>
  <c r="O27" i="62"/>
  <c r="AR27" i="62" s="1"/>
  <c r="L30" i="62"/>
  <c r="AO30" i="62" s="1"/>
  <c r="L32" i="62"/>
  <c r="AO32" i="62" s="1"/>
  <c r="O55" i="62"/>
  <c r="K32" i="62"/>
  <c r="AN32" i="62" s="1"/>
  <c r="J22" i="62"/>
  <c r="AM22" i="62" s="1"/>
  <c r="R14" i="62"/>
  <c r="AU14" i="62" s="1"/>
  <c r="Q13" i="62"/>
  <c r="AT13" i="62" s="1"/>
  <c r="O24" i="62"/>
  <c r="AR24" i="62" s="1"/>
  <c r="O25" i="62"/>
  <c r="AR25" i="62" s="1"/>
  <c r="O39" i="62"/>
  <c r="AR39" i="62" s="1"/>
  <c r="N39" i="62"/>
  <c r="AQ39" i="62" s="1"/>
  <c r="Q39" i="62"/>
  <c r="AT39" i="62" s="1"/>
  <c r="I39" i="62"/>
  <c r="AL39" i="62" s="1"/>
  <c r="S39" i="62"/>
  <c r="K39" i="62"/>
  <c r="AN39" i="62" s="1"/>
  <c r="J39" i="62"/>
  <c r="AM39" i="62" s="1"/>
  <c r="M39" i="62"/>
  <c r="AP39" i="62" s="1"/>
  <c r="R39" i="62"/>
  <c r="AU39" i="62" s="1"/>
  <c r="P39" i="62"/>
  <c r="AS39" i="62" s="1"/>
  <c r="L39" i="62"/>
  <c r="AO39" i="62" s="1"/>
  <c r="K53" i="62"/>
  <c r="AN53" i="62" s="1"/>
  <c r="K55" i="62"/>
  <c r="K54" i="62"/>
  <c r="K45" i="62"/>
  <c r="AN45" i="62" s="1"/>
  <c r="K56" i="62"/>
  <c r="K46" i="62"/>
  <c r="AN46" i="62" s="1"/>
  <c r="K25" i="62"/>
  <c r="AN25" i="62" s="1"/>
  <c r="K40" i="62"/>
  <c r="AN40" i="62" s="1"/>
  <c r="K28" i="62"/>
  <c r="AN28" i="62" s="1"/>
  <c r="S55" i="62"/>
  <c r="S56" i="62"/>
  <c r="V56" i="62" s="1"/>
  <c r="W56" i="62" s="1"/>
  <c r="S54" i="62"/>
  <c r="S45" i="62"/>
  <c r="S53" i="62"/>
  <c r="S21" i="62"/>
  <c r="S49" i="62"/>
  <c r="S42" i="62"/>
  <c r="S22" i="62"/>
  <c r="S28" i="62"/>
  <c r="S24" i="62"/>
  <c r="S33" i="62"/>
  <c r="AV33" i="62" s="1"/>
  <c r="S25" i="62"/>
  <c r="O19" i="62"/>
  <c r="AR19" i="62" s="1"/>
  <c r="N19" i="62"/>
  <c r="AQ19" i="62" s="1"/>
  <c r="Q19" i="62"/>
  <c r="AT19" i="62" s="1"/>
  <c r="I19" i="62"/>
  <c r="AL19" i="62" s="1"/>
  <c r="S19" i="62"/>
  <c r="R19" i="62"/>
  <c r="AU19" i="62" s="1"/>
  <c r="P19" i="62"/>
  <c r="AS19" i="62" s="1"/>
  <c r="R20" i="62"/>
  <c r="AU20" i="62" s="1"/>
  <c r="K22" i="62"/>
  <c r="AN22" i="62" s="1"/>
  <c r="O35" i="62"/>
  <c r="AR35" i="62" s="1"/>
  <c r="Q35" i="62"/>
  <c r="AT35" i="62" s="1"/>
  <c r="I35" i="62"/>
  <c r="AL35" i="62" s="1"/>
  <c r="R35" i="62"/>
  <c r="AU35" i="62" s="1"/>
  <c r="P35" i="62"/>
  <c r="AS35" i="62" s="1"/>
  <c r="J35" i="62"/>
  <c r="AM35" i="62" s="1"/>
  <c r="M35" i="62"/>
  <c r="AP35" i="62" s="1"/>
  <c r="L35" i="62"/>
  <c r="AO35" i="62" s="1"/>
  <c r="S35" i="62"/>
  <c r="N35" i="62"/>
  <c r="AQ35" i="62" s="1"/>
  <c r="K35" i="62"/>
  <c r="AN35" i="62" s="1"/>
  <c r="M20" i="62"/>
  <c r="AP20" i="62" s="1"/>
  <c r="L20" i="62"/>
  <c r="AO20" i="62" s="1"/>
  <c r="O20" i="62"/>
  <c r="AR20" i="62" s="1"/>
  <c r="K20" i="62"/>
  <c r="AN20" i="62" s="1"/>
  <c r="J20" i="62"/>
  <c r="AM20" i="62" s="1"/>
  <c r="I20" i="62"/>
  <c r="S20" i="62"/>
  <c r="AK41" i="62"/>
  <c r="K50" i="62"/>
  <c r="AN50" i="62" s="1"/>
  <c r="K15" i="62"/>
  <c r="AN15" i="62" s="1"/>
  <c r="S31" i="62"/>
  <c r="P16" i="62"/>
  <c r="AS16" i="62" s="1"/>
  <c r="N27" i="62"/>
  <c r="AQ27" i="62" s="1"/>
  <c r="K19" i="62"/>
  <c r="AN19" i="62" s="1"/>
  <c r="O15" i="62"/>
  <c r="AR15" i="62" s="1"/>
  <c r="N15" i="62"/>
  <c r="AQ15" i="62" s="1"/>
  <c r="Q15" i="62"/>
  <c r="AT15" i="62" s="1"/>
  <c r="I15" i="62"/>
  <c r="AL15" i="62" s="1"/>
  <c r="J15" i="62"/>
  <c r="AM15" i="62" s="1"/>
  <c r="S15" i="62"/>
  <c r="R15" i="62"/>
  <c r="AU15" i="62" s="1"/>
  <c r="J47" i="62"/>
  <c r="AM47" i="62" s="1"/>
  <c r="J44" i="62"/>
  <c r="AM44" i="62" s="1"/>
  <c r="J55" i="62"/>
  <c r="J48" i="62"/>
  <c r="AM48" i="62" s="1"/>
  <c r="J34" i="62"/>
  <c r="AM34" i="62" s="1"/>
  <c r="J54" i="62"/>
  <c r="J52" i="62"/>
  <c r="AM52" i="62" s="1"/>
  <c r="J51" i="62"/>
  <c r="AM51" i="62" s="1"/>
  <c r="J21" i="62"/>
  <c r="AM21" i="62" s="1"/>
  <c r="J17" i="62"/>
  <c r="J13" i="62"/>
  <c r="J37" i="62"/>
  <c r="J42" i="62"/>
  <c r="AM42" i="62" s="1"/>
  <c r="J38" i="62"/>
  <c r="AM38" i="62" s="1"/>
  <c r="J40" i="62"/>
  <c r="AM40" i="62" s="1"/>
  <c r="J18" i="62"/>
  <c r="AM18" i="62" s="1"/>
  <c r="J30" i="62"/>
  <c r="AM30" i="62" s="1"/>
  <c r="R48" i="62"/>
  <c r="AU48" i="62" s="1"/>
  <c r="R55" i="62"/>
  <c r="R52" i="62"/>
  <c r="AU52" i="62" s="1"/>
  <c r="R34" i="62"/>
  <c r="AU34" i="62" s="1"/>
  <c r="R47" i="62"/>
  <c r="AU47" i="62" s="1"/>
  <c r="R38" i="62"/>
  <c r="AU38" i="62" s="1"/>
  <c r="R37" i="62"/>
  <c r="AU37" i="62" s="1"/>
  <c r="R17" i="62"/>
  <c r="AU17" i="62" s="1"/>
  <c r="R44" i="62"/>
  <c r="AU44" i="62" s="1"/>
  <c r="R30" i="62"/>
  <c r="AU30" i="62" s="1"/>
  <c r="R21" i="62"/>
  <c r="AU21" i="62" s="1"/>
  <c r="R13" i="62"/>
  <c r="R51" i="62"/>
  <c r="AU51" i="62" s="1"/>
  <c r="M16" i="62"/>
  <c r="AP16" i="62" s="1"/>
  <c r="L16" i="62"/>
  <c r="AO16" i="62" s="1"/>
  <c r="O16" i="62"/>
  <c r="AR16" i="62" s="1"/>
  <c r="N16" i="62"/>
  <c r="AQ16" i="62" s="1"/>
  <c r="J16" i="62"/>
  <c r="AM16" i="62" s="1"/>
  <c r="K16" i="62"/>
  <c r="AN16" i="62" s="1"/>
  <c r="I16" i="62"/>
  <c r="R27" i="62"/>
  <c r="AU27" i="62" s="1"/>
  <c r="J27" i="62"/>
  <c r="AM27" i="62" s="1"/>
  <c r="Q27" i="62"/>
  <c r="AT27" i="62" s="1"/>
  <c r="I27" i="62"/>
  <c r="L27" i="62"/>
  <c r="AO27" i="62" s="1"/>
  <c r="M27" i="62"/>
  <c r="AP27" i="62" s="1"/>
  <c r="K27" i="62"/>
  <c r="AN27" i="62" s="1"/>
  <c r="S17" i="62"/>
  <c r="AK30" i="62"/>
  <c r="M36" i="62"/>
  <c r="AP36" i="62" s="1"/>
  <c r="O36" i="62"/>
  <c r="AR36" i="62" s="1"/>
  <c r="P36" i="62"/>
  <c r="AS36" i="62" s="1"/>
  <c r="N36" i="62"/>
  <c r="AQ36" i="62" s="1"/>
  <c r="R36" i="62"/>
  <c r="AU36" i="62" s="1"/>
  <c r="Q36" i="62"/>
  <c r="AT36" i="62" s="1"/>
  <c r="L36" i="62"/>
  <c r="AO36" i="62" s="1"/>
  <c r="S36" i="62"/>
  <c r="K36" i="62"/>
  <c r="AN36" i="62" s="1"/>
  <c r="J36" i="62"/>
  <c r="AM36" i="62" s="1"/>
  <c r="I36" i="62"/>
  <c r="AK33" i="62"/>
  <c r="AK16" i="62"/>
  <c r="L15" i="62"/>
  <c r="AO15" i="62" s="1"/>
  <c r="R18" i="62"/>
  <c r="AU18" i="62" s="1"/>
  <c r="J19" i="62"/>
  <c r="AM19" i="62" s="1"/>
  <c r="J25" i="62"/>
  <c r="AM25" i="62" s="1"/>
  <c r="N29" i="62"/>
  <c r="AQ29" i="62" s="1"/>
  <c r="M29" i="62"/>
  <c r="AP29" i="62" s="1"/>
  <c r="P29" i="62"/>
  <c r="AS29" i="62" s="1"/>
  <c r="S29" i="62"/>
  <c r="R29" i="62"/>
  <c r="AU29" i="62" s="1"/>
  <c r="J29" i="62"/>
  <c r="AM29" i="62" s="1"/>
  <c r="I29" i="62"/>
  <c r="AL29" i="62" s="1"/>
  <c r="P15" i="62"/>
  <c r="AS15" i="62" s="1"/>
  <c r="R16" i="62"/>
  <c r="AU16" i="62" s="1"/>
  <c r="L19" i="62"/>
  <c r="AO19" i="62" s="1"/>
  <c r="N20" i="62"/>
  <c r="AQ20" i="62" s="1"/>
  <c r="K24" i="62"/>
  <c r="AN24" i="62" s="1"/>
  <c r="L26" i="62"/>
  <c r="AO26" i="62" s="1"/>
  <c r="S26" i="62"/>
  <c r="N26" i="62"/>
  <c r="AQ26" i="62" s="1"/>
  <c r="M26" i="62"/>
  <c r="AP26" i="62" s="1"/>
  <c r="K26" i="62"/>
  <c r="AN26" i="62" s="1"/>
  <c r="P26" i="62"/>
  <c r="AS26" i="62" s="1"/>
  <c r="R26" i="62"/>
  <c r="AU26" i="62" s="1"/>
  <c r="Q26" i="62"/>
  <c r="AT26" i="62" s="1"/>
  <c r="O26" i="62"/>
  <c r="AR26" i="62" s="1"/>
  <c r="J26" i="62"/>
  <c r="AM26" i="62" s="1"/>
  <c r="P27" i="62"/>
  <c r="AS27" i="62" s="1"/>
  <c r="R31" i="62"/>
  <c r="AU31" i="62" s="1"/>
  <c r="J31" i="62"/>
  <c r="AM31" i="62" s="1"/>
  <c r="Q31" i="62"/>
  <c r="AT31" i="62" s="1"/>
  <c r="I31" i="62"/>
  <c r="L31" i="62"/>
  <c r="AO31" i="62" s="1"/>
  <c r="K31" i="62"/>
  <c r="AN31" i="62" s="1"/>
  <c r="N31" i="62"/>
  <c r="AQ31" i="62" s="1"/>
  <c r="P31" i="62"/>
  <c r="AS31" i="62" s="1"/>
  <c r="M31" i="62"/>
  <c r="AP31" i="62" s="1"/>
  <c r="O31" i="62"/>
  <c r="AR31" i="62" s="1"/>
  <c r="J46" i="62"/>
  <c r="AM46" i="62" s="1"/>
  <c r="AK35" i="62"/>
  <c r="N55" i="62"/>
  <c r="N56" i="62"/>
  <c r="N38" i="62"/>
  <c r="AQ38" i="62" s="1"/>
  <c r="N52" i="62"/>
  <c r="AQ52" i="62" s="1"/>
  <c r="N37" i="62"/>
  <c r="AQ37" i="62" s="1"/>
  <c r="N48" i="62"/>
  <c r="AQ48" i="62" s="1"/>
  <c r="N46" i="62"/>
  <c r="AQ46" i="62" s="1"/>
  <c r="N45" i="62"/>
  <c r="AQ45" i="62" s="1"/>
  <c r="N44" i="62"/>
  <c r="AQ44" i="62" s="1"/>
  <c r="N53" i="62"/>
  <c r="AQ53" i="62" s="1"/>
  <c r="AJ13" i="62"/>
  <c r="P17" i="62"/>
  <c r="AS17" i="62" s="1"/>
  <c r="AK20" i="62"/>
  <c r="N24" i="62"/>
  <c r="AQ24" i="62" s="1"/>
  <c r="P32" i="62"/>
  <c r="AS32" i="62" s="1"/>
  <c r="O32" i="62"/>
  <c r="AR32" i="62" s="1"/>
  <c r="R32" i="62"/>
  <c r="AU32" i="62" s="1"/>
  <c r="J32" i="62"/>
  <c r="AM32" i="62" s="1"/>
  <c r="N32" i="62"/>
  <c r="AQ32" i="62" s="1"/>
  <c r="M32" i="62"/>
  <c r="AP32" i="62" s="1"/>
  <c r="S32" i="62"/>
  <c r="AK37" i="62"/>
  <c r="Q55" i="62"/>
  <c r="H59" i="62"/>
  <c r="S14" i="62"/>
  <c r="L23" i="62"/>
  <c r="AO23" i="62" s="1"/>
  <c r="R23" i="62"/>
  <c r="AU23" i="62" s="1"/>
  <c r="I23" i="62"/>
  <c r="AL23" i="62" s="1"/>
  <c r="Q23" i="62"/>
  <c r="AT23" i="62" s="1"/>
  <c r="K23" i="62"/>
  <c r="AN23" i="62" s="1"/>
  <c r="O23" i="62"/>
  <c r="AR23" i="62" s="1"/>
  <c r="P52" i="62"/>
  <c r="AS52" i="62" s="1"/>
  <c r="P56" i="62"/>
  <c r="P48" i="62"/>
  <c r="AS48" i="62" s="1"/>
  <c r="P38" i="62"/>
  <c r="AS38" i="62" s="1"/>
  <c r="P47" i="62"/>
  <c r="AS47" i="62" s="1"/>
  <c r="P55" i="62"/>
  <c r="P44" i="62"/>
  <c r="AS44" i="62" s="1"/>
  <c r="P18" i="62"/>
  <c r="AS18" i="62" s="1"/>
  <c r="P53" i="62"/>
  <c r="AS53" i="62" s="1"/>
  <c r="P37" i="62"/>
  <c r="AS37" i="62" s="1"/>
  <c r="P14" i="62"/>
  <c r="AS14" i="62" s="1"/>
  <c r="P51" i="62"/>
  <c r="AS51" i="62" s="1"/>
  <c r="N14" i="62"/>
  <c r="AQ14" i="62" s="1"/>
  <c r="AK15" i="62"/>
  <c r="S18" i="62"/>
  <c r="N22" i="62"/>
  <c r="AQ22" i="62" s="1"/>
  <c r="O22" i="62"/>
  <c r="AR22" i="62" s="1"/>
  <c r="M22" i="62"/>
  <c r="AP22" i="62" s="1"/>
  <c r="Q22" i="62"/>
  <c r="AT22" i="62" s="1"/>
  <c r="R22" i="62"/>
  <c r="AU22" i="62" s="1"/>
  <c r="P23" i="62"/>
  <c r="AS23" i="62" s="1"/>
  <c r="P34" i="62"/>
  <c r="AS34" i="62" s="1"/>
  <c r="Q40" i="62"/>
  <c r="AT40" i="62" s="1"/>
  <c r="J50" i="62"/>
  <c r="AM50" i="62" s="1"/>
  <c r="I48" i="62"/>
  <c r="AL48" i="62" s="1"/>
  <c r="I51" i="62"/>
  <c r="AL51" i="62" s="1"/>
  <c r="I38" i="62"/>
  <c r="AL38" i="62" s="1"/>
  <c r="I47" i="62"/>
  <c r="AL47" i="62" s="1"/>
  <c r="I34" i="62"/>
  <c r="I44" i="62"/>
  <c r="AL44" i="62" s="1"/>
  <c r="I18" i="62"/>
  <c r="I14" i="62"/>
  <c r="I43" i="62"/>
  <c r="AL43" i="62" s="1"/>
  <c r="Q48" i="62"/>
  <c r="AT48" i="62" s="1"/>
  <c r="Q56" i="62"/>
  <c r="Q38" i="62"/>
  <c r="AT38" i="62" s="1"/>
  <c r="Q37" i="62"/>
  <c r="AT37" i="62" s="1"/>
  <c r="Q18" i="62"/>
  <c r="AT18" i="62" s="1"/>
  <c r="Q14" i="62"/>
  <c r="AT14" i="62" s="1"/>
  <c r="Q51" i="62"/>
  <c r="AT51" i="62" s="1"/>
  <c r="Q30" i="62"/>
  <c r="AT30" i="62" s="1"/>
  <c r="Q57" i="62"/>
  <c r="Q44" i="62"/>
  <c r="AT44" i="62" s="1"/>
  <c r="AK19" i="62"/>
  <c r="S23" i="62"/>
  <c r="I25" i="62"/>
  <c r="AL25" i="62" s="1"/>
  <c r="Q28" i="62"/>
  <c r="AT28" i="62" s="1"/>
  <c r="L33" i="62"/>
  <c r="AO33" i="62" s="1"/>
  <c r="P33" i="62"/>
  <c r="AS33" i="62" s="1"/>
  <c r="O33" i="62"/>
  <c r="AR33" i="62" s="1"/>
  <c r="R33" i="62"/>
  <c r="AU33" i="62" s="1"/>
  <c r="I33" i="62"/>
  <c r="AL33" i="62" s="1"/>
  <c r="K33" i="62"/>
  <c r="AN33" i="62" s="1"/>
  <c r="J33" i="62"/>
  <c r="AM33" i="62" s="1"/>
  <c r="N33" i="62"/>
  <c r="AQ33" i="62" s="1"/>
  <c r="Q34" i="62"/>
  <c r="AT34" i="62" s="1"/>
  <c r="N51" i="62"/>
  <c r="AQ51" i="62" s="1"/>
  <c r="N43" i="62"/>
  <c r="AQ43" i="62" s="1"/>
  <c r="Q43" i="62"/>
  <c r="AT43" i="62" s="1"/>
  <c r="P43" i="62"/>
  <c r="AS43" i="62" s="1"/>
  <c r="S43" i="62"/>
  <c r="J43" i="62"/>
  <c r="AM43" i="62" s="1"/>
  <c r="K43" i="62"/>
  <c r="AN43" i="62" s="1"/>
  <c r="O43" i="62"/>
  <c r="AR43" i="62" s="1"/>
  <c r="R49" i="62"/>
  <c r="AU49" i="62" s="1"/>
  <c r="J49" i="62"/>
  <c r="AM49" i="62" s="1"/>
  <c r="Q49" i="62"/>
  <c r="AT49" i="62" s="1"/>
  <c r="I49" i="62"/>
  <c r="O49" i="62"/>
  <c r="AR49" i="62" s="1"/>
  <c r="L49" i="62"/>
  <c r="AO49" i="62" s="1"/>
  <c r="K49" i="62"/>
  <c r="AN49" i="62" s="1"/>
  <c r="N49" i="62"/>
  <c r="AQ49" i="62" s="1"/>
  <c r="I50" i="62"/>
  <c r="O52" i="62"/>
  <c r="AR52" i="62" s="1"/>
  <c r="O47" i="62"/>
  <c r="AR47" i="62" s="1"/>
  <c r="O44" i="62"/>
  <c r="AR44" i="62" s="1"/>
  <c r="O37" i="62"/>
  <c r="AR37" i="62" s="1"/>
  <c r="O51" i="62"/>
  <c r="AR51" i="62" s="1"/>
  <c r="N13" i="62"/>
  <c r="K14" i="62"/>
  <c r="AN14" i="62" s="1"/>
  <c r="M17" i="62"/>
  <c r="AP17" i="62" s="1"/>
  <c r="K18" i="62"/>
  <c r="O34" i="62"/>
  <c r="AR34" i="62" s="1"/>
  <c r="AK40" i="62"/>
  <c r="R43" i="62"/>
  <c r="AU43" i="62" s="1"/>
  <c r="P45" i="62"/>
  <c r="AS45" i="62" s="1"/>
  <c r="L45" i="62"/>
  <c r="AO45" i="62" s="1"/>
  <c r="L51" i="62"/>
  <c r="AO51" i="62" s="1"/>
  <c r="L47" i="62"/>
  <c r="AO47" i="62" s="1"/>
  <c r="L53" i="62"/>
  <c r="AO53" i="62" s="1"/>
  <c r="K13" i="62"/>
  <c r="S13" i="62"/>
  <c r="P24" i="62"/>
  <c r="AS24" i="62" s="1"/>
  <c r="R24" i="62"/>
  <c r="AU24" i="62" s="1"/>
  <c r="J24" i="62"/>
  <c r="AM24" i="62" s="1"/>
  <c r="L24" i="62"/>
  <c r="AO24" i="62" s="1"/>
  <c r="P28" i="62"/>
  <c r="AS28" i="62" s="1"/>
  <c r="O28" i="62"/>
  <c r="AR28" i="62" s="1"/>
  <c r="R28" i="62"/>
  <c r="AU28" i="62" s="1"/>
  <c r="J28" i="62"/>
  <c r="AM28" i="62" s="1"/>
  <c r="L28" i="62"/>
  <c r="AO28" i="62" s="1"/>
  <c r="P42" i="62"/>
  <c r="AS42" i="62" s="1"/>
  <c r="M42" i="62"/>
  <c r="AP42" i="62" s="1"/>
  <c r="L42" i="62"/>
  <c r="AO42" i="62" s="1"/>
  <c r="O42" i="62"/>
  <c r="AR42" i="62" s="1"/>
  <c r="N42" i="62"/>
  <c r="AQ42" i="62" s="1"/>
  <c r="K42" i="62"/>
  <c r="AN42" i="62" s="1"/>
  <c r="R42" i="62"/>
  <c r="AU42" i="62" s="1"/>
  <c r="L43" i="62"/>
  <c r="AO43" i="62" s="1"/>
  <c r="AK44" i="62"/>
  <c r="L46" i="62"/>
  <c r="AO46" i="62" s="1"/>
  <c r="N47" i="62"/>
  <c r="AQ47" i="62" s="1"/>
  <c r="O48" i="62"/>
  <c r="AR48" i="62" s="1"/>
  <c r="AK52" i="62"/>
  <c r="L57" i="62"/>
  <c r="P50" i="62"/>
  <c r="AS50" i="62" s="1"/>
  <c r="O50" i="62"/>
  <c r="AR50" i="62" s="1"/>
  <c r="M50" i="62"/>
  <c r="AP50" i="62" s="1"/>
  <c r="Q50" i="62"/>
  <c r="AT50" i="62" s="1"/>
  <c r="N50" i="62"/>
  <c r="AQ50" i="62" s="1"/>
  <c r="S50" i="62"/>
  <c r="R50" i="62"/>
  <c r="AU50" i="62" s="1"/>
  <c r="L50" i="62"/>
  <c r="AO50" i="62" s="1"/>
  <c r="M44" i="62"/>
  <c r="AP44" i="62" s="1"/>
  <c r="M38" i="62"/>
  <c r="AP38" i="62" s="1"/>
  <c r="M34" i="62"/>
  <c r="AP34" i="62" s="1"/>
  <c r="K17" i="62"/>
  <c r="AN17" i="62" s="1"/>
  <c r="P21" i="62"/>
  <c r="AS21" i="62" s="1"/>
  <c r="K21" i="62"/>
  <c r="AN21" i="62" s="1"/>
  <c r="M24" i="62"/>
  <c r="AP24" i="62" s="1"/>
  <c r="N25" i="62"/>
  <c r="AQ25" i="62" s="1"/>
  <c r="P25" i="62"/>
  <c r="AS25" i="62" s="1"/>
  <c r="L25" i="62"/>
  <c r="AO25" i="62" s="1"/>
  <c r="M28" i="62"/>
  <c r="AP28" i="62" s="1"/>
  <c r="O30" i="62"/>
  <c r="AR30" i="62" s="1"/>
  <c r="L34" i="62"/>
  <c r="AO34" i="62" s="1"/>
  <c r="L40" i="62"/>
  <c r="AO40" i="62" s="1"/>
  <c r="P40" i="62"/>
  <c r="AS40" i="62" s="1"/>
  <c r="O40" i="62"/>
  <c r="AR40" i="62" s="1"/>
  <c r="R40" i="62"/>
  <c r="AU40" i="62" s="1"/>
  <c r="I40" i="62"/>
  <c r="AL40" i="62" s="1"/>
  <c r="N40" i="62"/>
  <c r="AQ40" i="62" s="1"/>
  <c r="M40" i="62"/>
  <c r="AP40" i="62" s="1"/>
  <c r="S40" i="62"/>
  <c r="R41" i="62"/>
  <c r="AU41" i="62" s="1"/>
  <c r="J41" i="62"/>
  <c r="AM41" i="62" s="1"/>
  <c r="K41" i="62"/>
  <c r="AN41" i="62" s="1"/>
  <c r="S41" i="62"/>
  <c r="I41" i="62"/>
  <c r="AL41" i="62" s="1"/>
  <c r="M41" i="62"/>
  <c r="AP41" i="62" s="1"/>
  <c r="O41" i="62"/>
  <c r="AR41" i="62" s="1"/>
  <c r="N41" i="62"/>
  <c r="AQ41" i="62" s="1"/>
  <c r="Q41" i="62"/>
  <c r="AT41" i="62" s="1"/>
  <c r="M43" i="62"/>
  <c r="AP43" i="62" s="1"/>
  <c r="M57" i="62"/>
  <c r="N30" i="62"/>
  <c r="AQ30" i="62" s="1"/>
  <c r="AK36" i="62"/>
  <c r="R54" i="62"/>
  <c r="K30" i="62"/>
  <c r="AN30" i="62" s="1"/>
  <c r="S30" i="62"/>
  <c r="S37" i="62"/>
  <c r="S38" i="62"/>
  <c r="P46" i="62"/>
  <c r="AS46" i="62" s="1"/>
  <c r="O46" i="62"/>
  <c r="AR46" i="62" s="1"/>
  <c r="M46" i="62"/>
  <c r="AP46" i="62" s="1"/>
  <c r="R46" i="62"/>
  <c r="AU46" i="62" s="1"/>
  <c r="Q46" i="62"/>
  <c r="AT46" i="62" s="1"/>
  <c r="I46" i="62"/>
  <c r="S46" i="62"/>
  <c r="AK39" i="62"/>
  <c r="K34" i="62"/>
  <c r="AN34" i="62" s="1"/>
  <c r="M37" i="62"/>
  <c r="AP37" i="62" s="1"/>
  <c r="K38" i="62"/>
  <c r="AN38" i="62" s="1"/>
  <c r="R53" i="62"/>
  <c r="AU53" i="62" s="1"/>
  <c r="J53" i="62"/>
  <c r="AM53" i="62" s="1"/>
  <c r="Q53" i="62"/>
  <c r="AT53" i="62" s="1"/>
  <c r="I53" i="62"/>
  <c r="O53" i="62"/>
  <c r="AR53" i="62" s="1"/>
  <c r="M53" i="62"/>
  <c r="AP53" i="62" s="1"/>
  <c r="L52" i="62"/>
  <c r="AO52" i="62" s="1"/>
  <c r="Q54" i="62"/>
  <c r="P54" i="62"/>
  <c r="N54" i="62"/>
  <c r="L54" i="62"/>
  <c r="M56" i="62"/>
  <c r="S57" i="62"/>
  <c r="K57" i="62"/>
  <c r="R57" i="62"/>
  <c r="J57" i="62"/>
  <c r="P57" i="62"/>
  <c r="N57" i="62"/>
  <c r="K37" i="62"/>
  <c r="AN37" i="62" s="1"/>
  <c r="R45" i="62"/>
  <c r="AU45" i="62" s="1"/>
  <c r="J45" i="62"/>
  <c r="AM45" i="62" s="1"/>
  <c r="Q45" i="62"/>
  <c r="AT45" i="62" s="1"/>
  <c r="I45" i="62"/>
  <c r="O45" i="62"/>
  <c r="AR45" i="62" s="1"/>
  <c r="M45" i="62"/>
  <c r="AP45" i="62" s="1"/>
  <c r="M54" i="62"/>
  <c r="O57" i="62"/>
  <c r="K47" i="62"/>
  <c r="AN47" i="62" s="1"/>
  <c r="S47" i="62"/>
  <c r="K51" i="62"/>
  <c r="AN51" i="62" s="1"/>
  <c r="S51" i="62"/>
  <c r="I52" i="62"/>
  <c r="AL52" i="62" s="1"/>
  <c r="Q52" i="62"/>
  <c r="AT52" i="62" s="1"/>
  <c r="L55" i="62"/>
  <c r="J56" i="62"/>
  <c r="R56" i="62"/>
  <c r="K44" i="62"/>
  <c r="AN44" i="62" s="1"/>
  <c r="S44" i="62"/>
  <c r="M47" i="62"/>
  <c r="AP47" i="62" s="1"/>
  <c r="K48" i="62"/>
  <c r="AN48" i="62" s="1"/>
  <c r="S48" i="62"/>
  <c r="M51" i="62"/>
  <c r="AP51" i="62" s="1"/>
  <c r="K52" i="62"/>
  <c r="AN52" i="62" s="1"/>
  <c r="S52" i="62"/>
  <c r="L56" i="62"/>
  <c r="AV17" i="62" l="1"/>
  <c r="AN18" i="62"/>
  <c r="I59" i="62"/>
  <c r="V33" i="62"/>
  <c r="W33" i="62" s="1"/>
  <c r="AL53" i="62"/>
  <c r="AL31" i="62"/>
  <c r="AL27" i="62"/>
  <c r="AV15" i="62"/>
  <c r="AW15" i="62" s="1"/>
  <c r="AL46" i="62"/>
  <c r="V57" i="62"/>
  <c r="W57" i="62" s="1"/>
  <c r="AV37" i="62"/>
  <c r="AV42" i="62"/>
  <c r="AV30" i="62"/>
  <c r="AL36" i="62"/>
  <c r="AV49" i="62"/>
  <c r="S59" i="62"/>
  <c r="AV13" i="62"/>
  <c r="AV21" i="62"/>
  <c r="AV51" i="62"/>
  <c r="K59" i="62"/>
  <c r="AN13" i="62"/>
  <c r="AV29" i="62"/>
  <c r="AV25" i="62"/>
  <c r="AV44" i="62"/>
  <c r="AL34" i="62"/>
  <c r="AV36" i="62"/>
  <c r="R59" i="62"/>
  <c r="AU13" i="62"/>
  <c r="AV45" i="62"/>
  <c r="P59" i="62"/>
  <c r="AV47" i="62"/>
  <c r="AM37" i="62"/>
  <c r="AV35" i="62"/>
  <c r="V54" i="62"/>
  <c r="W54" i="62" s="1"/>
  <c r="AV52" i="62"/>
  <c r="AV40" i="62"/>
  <c r="AV43" i="62"/>
  <c r="AV23" i="62"/>
  <c r="AV14" i="62"/>
  <c r="J59" i="62"/>
  <c r="AM13" i="62"/>
  <c r="AV19" i="62"/>
  <c r="AV28" i="62"/>
  <c r="AV46" i="62"/>
  <c r="L59" i="62"/>
  <c r="AV48" i="62"/>
  <c r="N59" i="62"/>
  <c r="AQ13" i="62"/>
  <c r="AL14" i="62"/>
  <c r="F14" i="62"/>
  <c r="F13" i="62"/>
  <c r="AV41" i="62"/>
  <c r="AL18" i="62"/>
  <c r="F17" i="62"/>
  <c r="AV31" i="62"/>
  <c r="AV53" i="62"/>
  <c r="AL49" i="62"/>
  <c r="AV18" i="62"/>
  <c r="AV32" i="62"/>
  <c r="AL16" i="62"/>
  <c r="AW16" i="62" s="1"/>
  <c r="F16" i="62"/>
  <c r="AV20" i="62"/>
  <c r="AL45" i="62"/>
  <c r="AV50" i="62"/>
  <c r="AV26" i="62"/>
  <c r="AL20" i="62"/>
  <c r="AV24" i="62"/>
  <c r="AV38" i="62"/>
  <c r="AL50" i="62"/>
  <c r="F15" i="62"/>
  <c r="M59" i="62"/>
  <c r="Q59" i="62"/>
  <c r="AM17" i="62"/>
  <c r="O59" i="62"/>
  <c r="AV22" i="62"/>
  <c r="V55" i="62"/>
  <c r="W55" i="62" s="1"/>
  <c r="AV39" i="62"/>
  <c r="AW17" i="62" l="1"/>
  <c r="AD17" i="62" s="1"/>
  <c r="AE17" i="62" s="1"/>
  <c r="AW13" i="62"/>
  <c r="AX13" i="62" s="1"/>
  <c r="AX16" i="62"/>
  <c r="Y16" i="62"/>
  <c r="AD16" i="62" s="1"/>
  <c r="AE16" i="62" s="1"/>
  <c r="AW14" i="62"/>
  <c r="AX15" i="62"/>
  <c r="Y15" i="62"/>
  <c r="AD15" i="62" s="1"/>
  <c r="AE15" i="62" s="1"/>
  <c r="T15" i="62" l="1"/>
  <c r="T16" i="62"/>
  <c r="U15" i="62"/>
  <c r="V15" i="62" s="1"/>
  <c r="W15" i="62" s="1"/>
  <c r="U16" i="62"/>
  <c r="V16" i="62" s="1"/>
  <c r="W16" i="62" s="1"/>
  <c r="AX17" i="62"/>
  <c r="T17" i="62" s="1"/>
  <c r="Y13" i="62"/>
  <c r="AD13" i="62" s="1"/>
  <c r="T13" i="62" s="1"/>
  <c r="Y14" i="62"/>
  <c r="AD14" i="62" s="1"/>
  <c r="AE14" i="62" s="1"/>
  <c r="AX14" i="62"/>
  <c r="T14" i="62" l="1"/>
  <c r="U14" i="62"/>
  <c r="V14" i="62" s="1"/>
  <c r="W14" i="62" s="1"/>
  <c r="U13" i="62"/>
  <c r="AE13" i="62"/>
  <c r="V17" i="62"/>
  <c r="W17" i="62" s="1"/>
  <c r="V13" i="62" l="1"/>
  <c r="W13" i="62" s="1"/>
  <c r="Y59" i="50" l="1"/>
  <c r="Y58" i="50"/>
  <c r="Y57" i="50"/>
  <c r="Y56" i="50"/>
  <c r="V56" i="61"/>
  <c r="V57" i="61"/>
  <c r="V58" i="61"/>
  <c r="V59" i="61"/>
  <c r="C72" i="19"/>
  <c r="S6" i="59"/>
  <c r="S7" i="59"/>
  <c r="S8" i="59"/>
  <c r="S9" i="59"/>
  <c r="S10" i="59"/>
  <c r="S11" i="59"/>
  <c r="S12" i="59"/>
  <c r="S13" i="59"/>
  <c r="S14" i="59"/>
  <c r="S15" i="59"/>
  <c r="S16" i="59"/>
  <c r="S17" i="59"/>
  <c r="S18" i="59"/>
  <c r="S19" i="59"/>
  <c r="S20" i="59"/>
  <c r="S21" i="59"/>
  <c r="S22" i="59"/>
  <c r="S23" i="59"/>
  <c r="S24" i="59"/>
  <c r="S25" i="59"/>
  <c r="S26" i="59"/>
  <c r="S27" i="59"/>
  <c r="S28" i="59"/>
  <c r="S29" i="59"/>
  <c r="S30" i="59"/>
  <c r="S31" i="59"/>
  <c r="S32" i="59"/>
  <c r="S33" i="59"/>
  <c r="S34" i="59"/>
  <c r="S35" i="59"/>
  <c r="S36" i="59"/>
  <c r="S37" i="59"/>
  <c r="S38" i="59"/>
  <c r="S39" i="59"/>
  <c r="S40" i="59"/>
  <c r="S41" i="59"/>
  <c r="S42" i="59"/>
  <c r="S43" i="59"/>
  <c r="S44" i="59"/>
  <c r="S45" i="59"/>
  <c r="S46" i="59"/>
  <c r="S47" i="59"/>
  <c r="S48" i="59"/>
  <c r="S49" i="59"/>
  <c r="S50" i="59"/>
  <c r="S51" i="59"/>
  <c r="S52" i="59"/>
  <c r="S53" i="59"/>
  <c r="S54" i="59"/>
  <c r="S55" i="59"/>
  <c r="S56" i="59"/>
  <c r="S57" i="59"/>
  <c r="S58" i="59"/>
  <c r="S59" i="59"/>
  <c r="S60" i="59"/>
  <c r="S61" i="59"/>
  <c r="S62" i="59"/>
  <c r="S63" i="59"/>
  <c r="S64" i="59"/>
  <c r="S65" i="59"/>
  <c r="S66" i="59"/>
  <c r="S67" i="59"/>
  <c r="S68" i="59"/>
  <c r="S69" i="59"/>
  <c r="S70" i="59"/>
  <c r="S71" i="59"/>
  <c r="S72" i="59"/>
  <c r="S73" i="59"/>
  <c r="S5" i="59"/>
  <c r="H15" i="61"/>
  <c r="H16" i="61"/>
  <c r="H17" i="61"/>
  <c r="H18" i="61"/>
  <c r="H19" i="61"/>
  <c r="H20" i="61"/>
  <c r="H21" i="61"/>
  <c r="H22" i="61"/>
  <c r="H23" i="61"/>
  <c r="H24" i="61"/>
  <c r="H25" i="61"/>
  <c r="H26" i="61"/>
  <c r="H27" i="61"/>
  <c r="H28" i="61"/>
  <c r="H29" i="61"/>
  <c r="H30" i="61"/>
  <c r="H32" i="61"/>
  <c r="H33" i="61"/>
  <c r="H34" i="61"/>
  <c r="H35" i="61"/>
  <c r="H36" i="61"/>
  <c r="H37" i="61"/>
  <c r="H38" i="61"/>
  <c r="H39" i="61"/>
  <c r="H40" i="61"/>
  <c r="H41" i="61"/>
  <c r="H42" i="61"/>
  <c r="H43" i="61"/>
  <c r="H44" i="61"/>
  <c r="H45" i="61"/>
  <c r="H46" i="61"/>
  <c r="H47" i="61"/>
  <c r="H48" i="61"/>
  <c r="H49" i="61"/>
  <c r="H50" i="61"/>
  <c r="H51" i="61"/>
  <c r="H52" i="61"/>
  <c r="H53" i="61"/>
  <c r="H54" i="61"/>
  <c r="H55" i="61"/>
  <c r="H56" i="61"/>
  <c r="H57" i="61"/>
  <c r="H58" i="61"/>
  <c r="H59" i="61"/>
  <c r="H14" i="61"/>
  <c r="G15" i="61"/>
  <c r="G16" i="61"/>
  <c r="G17" i="61"/>
  <c r="G18" i="61"/>
  <c r="G19" i="61"/>
  <c r="G20" i="61"/>
  <c r="G21" i="61"/>
  <c r="G22" i="61"/>
  <c r="G23" i="61"/>
  <c r="G24" i="61"/>
  <c r="G25" i="61"/>
  <c r="G26" i="61"/>
  <c r="G27" i="61"/>
  <c r="G28" i="61"/>
  <c r="G29" i="61"/>
  <c r="G30" i="61"/>
  <c r="G32" i="61"/>
  <c r="G33" i="61"/>
  <c r="G34" i="61"/>
  <c r="G35" i="61"/>
  <c r="G36" i="61"/>
  <c r="G37" i="61"/>
  <c r="G38" i="61"/>
  <c r="G39" i="61"/>
  <c r="G14" i="61"/>
  <c r="E69" i="61"/>
  <c r="E68" i="61"/>
  <c r="B14" i="61"/>
  <c r="S13" i="61"/>
  <c r="S31" i="61" s="1"/>
  <c r="R13" i="61"/>
  <c r="R31" i="61" s="1"/>
  <c r="Q13" i="61"/>
  <c r="Q31" i="61" s="1"/>
  <c r="P13" i="61"/>
  <c r="P31" i="61" s="1"/>
  <c r="O13" i="61"/>
  <c r="O31" i="61" s="1"/>
  <c r="N13" i="61"/>
  <c r="N31" i="61" s="1"/>
  <c r="M13" i="61"/>
  <c r="M31" i="61" s="1"/>
  <c r="L13" i="61"/>
  <c r="L31" i="61" s="1"/>
  <c r="K13" i="61"/>
  <c r="K31" i="61" s="1"/>
  <c r="J13" i="61"/>
  <c r="J31" i="61" s="1"/>
  <c r="I13" i="61"/>
  <c r="I31" i="61" s="1"/>
  <c r="G12" i="61"/>
  <c r="H12" i="61" s="1"/>
  <c r="I12" i="61" s="1"/>
  <c r="J12" i="61" s="1"/>
  <c r="K12" i="61" s="1"/>
  <c r="L12" i="61" s="1"/>
  <c r="M12" i="61" s="1"/>
  <c r="N12" i="61" s="1"/>
  <c r="O12" i="61" s="1"/>
  <c r="P12" i="61" s="1"/>
  <c r="Q12" i="61" s="1"/>
  <c r="R12" i="61" s="1"/>
  <c r="S12" i="61" s="1"/>
  <c r="C1" i="61"/>
  <c r="F31" i="61" l="1"/>
  <c r="H61" i="61"/>
  <c r="N47" i="61"/>
  <c r="Q33" i="61"/>
  <c r="J33" i="61"/>
  <c r="S21" i="61"/>
  <c r="L49" i="61"/>
  <c r="O27" i="61"/>
  <c r="O34" i="61"/>
  <c r="L40" i="61"/>
  <c r="Q51" i="61"/>
  <c r="O54" i="61"/>
  <c r="M33" i="61"/>
  <c r="P14" i="61"/>
  <c r="L23" i="61"/>
  <c r="L29" i="61"/>
  <c r="Q35" i="61"/>
  <c r="Q41" i="61"/>
  <c r="L47" i="61"/>
  <c r="L33" i="61"/>
  <c r="R45" i="61"/>
  <c r="J28" i="61"/>
  <c r="K52" i="61"/>
  <c r="K17" i="61"/>
  <c r="S46" i="61"/>
  <c r="L18" i="61"/>
  <c r="P33" i="61"/>
  <c r="Q47" i="61"/>
  <c r="P21" i="61"/>
  <c r="K54" i="61"/>
  <c r="S25" i="61"/>
  <c r="P38" i="61"/>
  <c r="Q43" i="61"/>
  <c r="P41" i="61"/>
  <c r="Q18" i="61"/>
  <c r="P54" i="61"/>
  <c r="Q14" i="61"/>
  <c r="L41" i="61"/>
  <c r="L14" i="61"/>
  <c r="P53" i="61"/>
  <c r="P47" i="61"/>
  <c r="K15" i="61"/>
  <c r="Q39" i="61"/>
  <c r="K44" i="61"/>
  <c r="O50" i="61"/>
  <c r="S34" i="61"/>
  <c r="P23" i="61"/>
  <c r="L53" i="61"/>
  <c r="P35" i="61"/>
  <c r="L21" i="61"/>
  <c r="L35" i="61"/>
  <c r="S23" i="61"/>
  <c r="S40" i="61"/>
  <c r="P18" i="61"/>
  <c r="Q36" i="61"/>
  <c r="Q53" i="61"/>
  <c r="Q45" i="61"/>
  <c r="L36" i="61"/>
  <c r="P29" i="61"/>
  <c r="K19" i="61"/>
  <c r="K42" i="61"/>
  <c r="S48" i="61"/>
  <c r="M55" i="61"/>
  <c r="L45" i="61"/>
  <c r="L27" i="61"/>
  <c r="R23" i="61"/>
  <c r="R36" i="61"/>
  <c r="R21" i="61"/>
  <c r="R29" i="61"/>
  <c r="I30" i="61"/>
  <c r="J30" i="61"/>
  <c r="R30" i="61"/>
  <c r="K30" i="61"/>
  <c r="S30" i="61"/>
  <c r="L30" i="61"/>
  <c r="O30" i="61"/>
  <c r="P30" i="61"/>
  <c r="N55" i="61"/>
  <c r="R53" i="61"/>
  <c r="N52" i="61"/>
  <c r="R50" i="61"/>
  <c r="K46" i="61"/>
  <c r="O44" i="61"/>
  <c r="O42" i="61"/>
  <c r="O36" i="61"/>
  <c r="M30" i="61"/>
  <c r="O19" i="61"/>
  <c r="S17" i="61"/>
  <c r="S15" i="61"/>
  <c r="N20" i="61"/>
  <c r="P20" i="61"/>
  <c r="O20" i="61"/>
  <c r="K20" i="61"/>
  <c r="S20" i="61"/>
  <c r="L20" i="61"/>
  <c r="I25" i="61"/>
  <c r="L25" i="61"/>
  <c r="M25" i="61"/>
  <c r="N25" i="61"/>
  <c r="Q25" i="61"/>
  <c r="J25" i="61"/>
  <c r="R25" i="61"/>
  <c r="I32" i="61"/>
  <c r="P32" i="61"/>
  <c r="J32" i="61"/>
  <c r="Q32" i="61"/>
  <c r="R32" i="61"/>
  <c r="M32" i="61"/>
  <c r="N32" i="61"/>
  <c r="L38" i="61"/>
  <c r="M38" i="61"/>
  <c r="N38" i="61"/>
  <c r="Q38" i="61"/>
  <c r="J38" i="61"/>
  <c r="R38" i="61"/>
  <c r="I43" i="61"/>
  <c r="J43" i="61"/>
  <c r="R43" i="61"/>
  <c r="L43" i="61"/>
  <c r="K43" i="61"/>
  <c r="S43" i="61"/>
  <c r="O43" i="61"/>
  <c r="P43" i="61"/>
  <c r="I49" i="61"/>
  <c r="N49" i="61"/>
  <c r="O49" i="61"/>
  <c r="P49" i="61"/>
  <c r="K49" i="61"/>
  <c r="S49" i="61"/>
  <c r="L52" i="61"/>
  <c r="P50" i="61"/>
  <c r="J49" i="61"/>
  <c r="J46" i="61"/>
  <c r="L44" i="61"/>
  <c r="O40" i="61"/>
  <c r="O38" i="61"/>
  <c r="P34" i="61"/>
  <c r="S29" i="61"/>
  <c r="S27" i="61"/>
  <c r="P25" i="61"/>
  <c r="O23" i="61"/>
  <c r="O21" i="61"/>
  <c r="L19" i="61"/>
  <c r="P17" i="61"/>
  <c r="O15" i="61"/>
  <c r="J14" i="61"/>
  <c r="S54" i="61"/>
  <c r="M47" i="61"/>
  <c r="R41" i="61"/>
  <c r="K38" i="61"/>
  <c r="K36" i="61"/>
  <c r="S32" i="61"/>
  <c r="O25" i="61"/>
  <c r="K21" i="61"/>
  <c r="O17" i="61"/>
  <c r="L15" i="61"/>
  <c r="J23" i="61"/>
  <c r="J36" i="61"/>
  <c r="J21" i="61"/>
  <c r="J29" i="61"/>
  <c r="I24" i="61"/>
  <c r="N24" i="61"/>
  <c r="P24" i="61"/>
  <c r="O24" i="61"/>
  <c r="K24" i="61"/>
  <c r="S24" i="61"/>
  <c r="L24" i="61"/>
  <c r="I37" i="61"/>
  <c r="N37" i="61"/>
  <c r="P37" i="61"/>
  <c r="O37" i="61"/>
  <c r="K37" i="61"/>
  <c r="S37" i="61"/>
  <c r="L37" i="61"/>
  <c r="I48" i="61"/>
  <c r="P48" i="61"/>
  <c r="Q48" i="61"/>
  <c r="J48" i="61"/>
  <c r="R48" i="61"/>
  <c r="M48" i="61"/>
  <c r="I26" i="61"/>
  <c r="J26" i="61"/>
  <c r="R26" i="61"/>
  <c r="L26" i="61"/>
  <c r="K26" i="61"/>
  <c r="S26" i="61"/>
  <c r="O26" i="61"/>
  <c r="P26" i="61"/>
  <c r="I44" i="61"/>
  <c r="P44" i="61"/>
  <c r="J44" i="61"/>
  <c r="R44" i="61"/>
  <c r="Q44" i="61"/>
  <c r="M44" i="61"/>
  <c r="N44" i="61"/>
  <c r="I50" i="61"/>
  <c r="L50" i="61"/>
  <c r="M50" i="61"/>
  <c r="N50" i="61"/>
  <c r="Q50" i="61"/>
  <c r="R54" i="61"/>
  <c r="M53" i="61"/>
  <c r="K50" i="61"/>
  <c r="O48" i="61"/>
  <c r="K40" i="61"/>
  <c r="R37" i="61"/>
  <c r="K34" i="61"/>
  <c r="O32" i="61"/>
  <c r="O29" i="61"/>
  <c r="K25" i="61"/>
  <c r="K23" i="61"/>
  <c r="R20" i="61"/>
  <c r="N21" i="61"/>
  <c r="N29" i="61"/>
  <c r="N54" i="61"/>
  <c r="N23" i="61"/>
  <c r="N36" i="61"/>
  <c r="I16" i="61"/>
  <c r="N16" i="61"/>
  <c r="O16" i="61"/>
  <c r="P16" i="61"/>
  <c r="K16" i="61"/>
  <c r="S16" i="61"/>
  <c r="L16" i="61"/>
  <c r="I22" i="61"/>
  <c r="J22" i="61"/>
  <c r="R22" i="61"/>
  <c r="K22" i="61"/>
  <c r="S22" i="61"/>
  <c r="L22" i="61"/>
  <c r="O22" i="61"/>
  <c r="P22" i="61"/>
  <c r="P27" i="61"/>
  <c r="R27" i="61"/>
  <c r="Q27" i="61"/>
  <c r="J27" i="61"/>
  <c r="M27" i="61"/>
  <c r="N27" i="61"/>
  <c r="L34" i="61"/>
  <c r="M34" i="61"/>
  <c r="N34" i="61"/>
  <c r="Q34" i="61"/>
  <c r="J34" i="61"/>
  <c r="R34" i="61"/>
  <c r="P40" i="61"/>
  <c r="R40" i="61"/>
  <c r="Q40" i="61"/>
  <c r="J40" i="61"/>
  <c r="M40" i="61"/>
  <c r="N40" i="61"/>
  <c r="N45" i="61"/>
  <c r="P45" i="61"/>
  <c r="O45" i="61"/>
  <c r="K45" i="61"/>
  <c r="S45" i="61"/>
  <c r="I51" i="61"/>
  <c r="J51" i="61"/>
  <c r="R51" i="61"/>
  <c r="K51" i="61"/>
  <c r="S51" i="61"/>
  <c r="L51" i="61"/>
  <c r="O51" i="61"/>
  <c r="P51" i="61"/>
  <c r="J50" i="61"/>
  <c r="N48" i="61"/>
  <c r="M45" i="61"/>
  <c r="N43" i="61"/>
  <c r="Q37" i="61"/>
  <c r="R33" i="61"/>
  <c r="L32" i="61"/>
  <c r="K29" i="61"/>
  <c r="K27" i="61"/>
  <c r="R24" i="61"/>
  <c r="Q22" i="61"/>
  <c r="Q20" i="61"/>
  <c r="R16" i="61"/>
  <c r="I19" i="61"/>
  <c r="P19" i="61"/>
  <c r="J19" i="61"/>
  <c r="R19" i="61"/>
  <c r="Q19" i="61"/>
  <c r="M19" i="61"/>
  <c r="N19" i="61"/>
  <c r="I42" i="61"/>
  <c r="L42" i="61"/>
  <c r="N42" i="61"/>
  <c r="M42" i="61"/>
  <c r="Q42" i="61"/>
  <c r="J42" i="61"/>
  <c r="R42" i="61"/>
  <c r="I55" i="61"/>
  <c r="J55" i="61"/>
  <c r="R55" i="61"/>
  <c r="L55" i="61"/>
  <c r="K55" i="61"/>
  <c r="S55" i="61"/>
  <c r="O55" i="61"/>
  <c r="I15" i="61"/>
  <c r="P15" i="61"/>
  <c r="Q15" i="61"/>
  <c r="J15" i="61"/>
  <c r="R15" i="61"/>
  <c r="M15" i="61"/>
  <c r="N15" i="61"/>
  <c r="I39" i="61"/>
  <c r="J39" i="61"/>
  <c r="R39" i="61"/>
  <c r="L39" i="61"/>
  <c r="K39" i="61"/>
  <c r="S39" i="61"/>
  <c r="O39" i="61"/>
  <c r="P39" i="61"/>
  <c r="I17" i="61"/>
  <c r="L17" i="61"/>
  <c r="M17" i="61"/>
  <c r="N17" i="61"/>
  <c r="Q17" i="61"/>
  <c r="J17" i="61"/>
  <c r="R17" i="61"/>
  <c r="N28" i="61"/>
  <c r="O28" i="61"/>
  <c r="P28" i="61"/>
  <c r="K28" i="61"/>
  <c r="S28" i="61"/>
  <c r="L28" i="61"/>
  <c r="L46" i="61"/>
  <c r="M46" i="61"/>
  <c r="N46" i="61"/>
  <c r="Q46" i="61"/>
  <c r="I52" i="61"/>
  <c r="P52" i="61"/>
  <c r="J52" i="61"/>
  <c r="Q52" i="61"/>
  <c r="R52" i="61"/>
  <c r="M52" i="61"/>
  <c r="J53" i="61"/>
  <c r="N51" i="61"/>
  <c r="R49" i="61"/>
  <c r="L48" i="61"/>
  <c r="R46" i="61"/>
  <c r="M43" i="61"/>
  <c r="M41" i="61"/>
  <c r="N39" i="61"/>
  <c r="M37" i="61"/>
  <c r="N35" i="61"/>
  <c r="K32" i="61"/>
  <c r="R28" i="61"/>
  <c r="Q26" i="61"/>
  <c r="Q24" i="61"/>
  <c r="N22" i="61"/>
  <c r="M20" i="61"/>
  <c r="N18" i="61"/>
  <c r="Q16" i="61"/>
  <c r="N14" i="61"/>
  <c r="O35" i="61"/>
  <c r="K41" i="61"/>
  <c r="O47" i="61"/>
  <c r="N53" i="61"/>
  <c r="Q55" i="61"/>
  <c r="S52" i="61"/>
  <c r="M51" i="61"/>
  <c r="Q49" i="61"/>
  <c r="K48" i="61"/>
  <c r="P46" i="61"/>
  <c r="J45" i="61"/>
  <c r="S42" i="61"/>
  <c r="M39" i="61"/>
  <c r="J37" i="61"/>
  <c r="M35" i="61"/>
  <c r="Q30" i="61"/>
  <c r="Q28" i="61"/>
  <c r="N26" i="61"/>
  <c r="M24" i="61"/>
  <c r="M22" i="61"/>
  <c r="J20" i="61"/>
  <c r="M18" i="61"/>
  <c r="M16" i="61"/>
  <c r="M14" i="61"/>
  <c r="K18" i="61"/>
  <c r="M54" i="61"/>
  <c r="P55" i="61"/>
  <c r="J54" i="61"/>
  <c r="O52" i="61"/>
  <c r="S50" i="61"/>
  <c r="M49" i="61"/>
  <c r="O46" i="61"/>
  <c r="S44" i="61"/>
  <c r="P42" i="61"/>
  <c r="J41" i="61"/>
  <c r="S38" i="61"/>
  <c r="S36" i="61"/>
  <c r="N30" i="61"/>
  <c r="M28" i="61"/>
  <c r="M26" i="61"/>
  <c r="J24" i="61"/>
  <c r="S19" i="61"/>
  <c r="J16" i="61"/>
  <c r="I33" i="61"/>
  <c r="Q54" i="61"/>
  <c r="S53" i="61"/>
  <c r="K53" i="61"/>
  <c r="S41" i="61"/>
  <c r="M36" i="61"/>
  <c r="S33" i="61"/>
  <c r="K33" i="61"/>
  <c r="Q29" i="61"/>
  <c r="M23" i="61"/>
  <c r="Q21" i="61"/>
  <c r="O18" i="61"/>
  <c r="O14" i="61"/>
  <c r="I35" i="61"/>
  <c r="I41" i="61"/>
  <c r="I47" i="61"/>
  <c r="O53" i="61"/>
  <c r="S47" i="61"/>
  <c r="K47" i="61"/>
  <c r="O41" i="61"/>
  <c r="S35" i="61"/>
  <c r="K35" i="61"/>
  <c r="O33" i="61"/>
  <c r="M29" i="61"/>
  <c r="Q23" i="61"/>
  <c r="M21" i="61"/>
  <c r="S18" i="61"/>
  <c r="S14" i="61"/>
  <c r="K14" i="61"/>
  <c r="I34" i="61"/>
  <c r="I18" i="61"/>
  <c r="I36" i="61"/>
  <c r="I54" i="61"/>
  <c r="L54" i="61"/>
  <c r="R47" i="61"/>
  <c r="J47" i="61"/>
  <c r="N41" i="61"/>
  <c r="P36" i="61"/>
  <c r="R35" i="61"/>
  <c r="J35" i="61"/>
  <c r="N33" i="61"/>
  <c r="R18" i="61"/>
  <c r="J18" i="61"/>
  <c r="R14" i="61"/>
  <c r="I29" i="61"/>
  <c r="I45" i="61"/>
  <c r="I20" i="61"/>
  <c r="I40" i="61"/>
  <c r="I23" i="61"/>
  <c r="I38" i="61"/>
  <c r="I28" i="61"/>
  <c r="I27" i="61"/>
  <c r="I14" i="61"/>
  <c r="I46" i="61"/>
  <c r="I21" i="61"/>
  <c r="I53" i="61"/>
  <c r="Q56" i="61"/>
  <c r="L59" i="61"/>
  <c r="R57" i="61"/>
  <c r="J57" i="61"/>
  <c r="Q57" i="61"/>
  <c r="M57" i="61"/>
  <c r="S57" i="61"/>
  <c r="P57" i="61"/>
  <c r="K57" i="61"/>
  <c r="N57" i="61"/>
  <c r="L57" i="61"/>
  <c r="O57" i="61"/>
  <c r="K58" i="61"/>
  <c r="S58" i="61"/>
  <c r="J58" i="61"/>
  <c r="J59" i="61"/>
  <c r="R59" i="61"/>
  <c r="R58" i="61"/>
  <c r="P58" i="61"/>
  <c r="L58" i="61"/>
  <c r="Q58" i="61"/>
  <c r="M59" i="61"/>
  <c r="N58" i="61"/>
  <c r="S56" i="61"/>
  <c r="K56" i="61"/>
  <c r="R56" i="61"/>
  <c r="J56" i="61"/>
  <c r="N56" i="61"/>
  <c r="L56" i="61"/>
  <c r="P56" i="61"/>
  <c r="O56" i="61"/>
  <c r="M56" i="61"/>
  <c r="M58" i="61"/>
  <c r="O58" i="61"/>
  <c r="P59" i="61"/>
  <c r="O59" i="61"/>
  <c r="S59" i="61"/>
  <c r="K59" i="61"/>
  <c r="N59" i="61"/>
  <c r="Q59" i="61"/>
  <c r="N61" i="61" l="1"/>
  <c r="O61" i="61"/>
  <c r="S61" i="61"/>
  <c r="P61" i="61"/>
  <c r="Q61" i="61"/>
  <c r="J61" i="61"/>
  <c r="L61" i="61"/>
  <c r="R61" i="61"/>
  <c r="K61" i="61"/>
  <c r="M61" i="61"/>
  <c r="R62" i="61" l="1"/>
  <c r="P62" i="61"/>
  <c r="M62" i="61"/>
  <c r="O62" i="61"/>
  <c r="K62" i="61"/>
  <c r="L62" i="61"/>
  <c r="J62" i="61"/>
  <c r="Q62" i="61"/>
  <c r="N62" i="61"/>
  <c r="Z39" i="10"/>
  <c r="I36" i="49" s="1"/>
  <c r="X39" i="10"/>
  <c r="H36" i="49" s="1"/>
  <c r="W39" i="10"/>
  <c r="V39" i="10"/>
  <c r="Z68" i="10"/>
  <c r="X68" i="10"/>
  <c r="W68" i="10"/>
  <c r="V68" i="10"/>
  <c r="Y68" i="21"/>
  <c r="Y67" i="21"/>
  <c r="Z35" i="10" l="1"/>
  <c r="I31" i="49" s="1"/>
  <c r="Z36" i="10"/>
  <c r="I33" i="49" s="1"/>
  <c r="Z37" i="10"/>
  <c r="I34" i="49" s="1"/>
  <c r="Z38" i="10"/>
  <c r="I35" i="49" s="1"/>
  <c r="Z40" i="10"/>
  <c r="I37" i="49" s="1"/>
  <c r="Z41" i="10"/>
  <c r="I38" i="49" s="1"/>
  <c r="Z42" i="10"/>
  <c r="I39" i="49" s="1"/>
  <c r="Z43" i="10"/>
  <c r="I20" i="55" s="1"/>
  <c r="Z44" i="10"/>
  <c r="I16" i="52" s="1"/>
  <c r="Z45" i="10"/>
  <c r="I40" i="49" s="1"/>
  <c r="Z46" i="10"/>
  <c r="I17" i="52" s="1"/>
  <c r="Z47" i="10"/>
  <c r="I18" i="52" s="1"/>
  <c r="Z48" i="10"/>
  <c r="Z49" i="10"/>
  <c r="Z50" i="10"/>
  <c r="Z51" i="10"/>
  <c r="Z52" i="10"/>
  <c r="Z53" i="10"/>
  <c r="Z54" i="10"/>
  <c r="Z55" i="10"/>
  <c r="Z56" i="10"/>
  <c r="Z57" i="10"/>
  <c r="Z58" i="10"/>
  <c r="Z59" i="10"/>
  <c r="Z60" i="10"/>
  <c r="I21" i="55" s="1"/>
  <c r="Z61" i="10"/>
  <c r="Z62" i="10"/>
  <c r="Z63" i="10"/>
  <c r="Z64" i="10"/>
  <c r="Z65" i="10"/>
  <c r="Z66" i="10"/>
  <c r="Z67" i="10"/>
  <c r="Z70" i="10"/>
  <c r="Z71" i="10"/>
  <c r="I22" i="55" s="1"/>
  <c r="Z72" i="10"/>
  <c r="Z73" i="10"/>
  <c r="Z74" i="10"/>
  <c r="Z33" i="10"/>
  <c r="I30" i="49" s="1"/>
  <c r="Z32" i="10"/>
  <c r="Z10" i="10"/>
  <c r="I16" i="49" s="1"/>
  <c r="Z11" i="10"/>
  <c r="I14" i="55" s="1"/>
  <c r="Z12" i="10"/>
  <c r="I15" i="55" s="1"/>
  <c r="Z13" i="10"/>
  <c r="I17" i="49" s="1"/>
  <c r="Z14" i="10"/>
  <c r="I18" i="49" s="1"/>
  <c r="Z15" i="10"/>
  <c r="I16" i="55" s="1"/>
  <c r="Z16" i="10"/>
  <c r="I14" i="52" s="1"/>
  <c r="Z17" i="10"/>
  <c r="I19" i="49" s="1"/>
  <c r="Z18" i="10"/>
  <c r="I20" i="49" s="1"/>
  <c r="Z19" i="10"/>
  <c r="I21" i="49" s="1"/>
  <c r="Z20" i="10"/>
  <c r="I17" i="55" s="1"/>
  <c r="Z21" i="10"/>
  <c r="I22" i="49" s="1"/>
  <c r="Z22" i="10"/>
  <c r="I15" i="52" s="1"/>
  <c r="Z23" i="10"/>
  <c r="I23" i="49" s="1"/>
  <c r="Z24" i="10"/>
  <c r="I18" i="55" s="1"/>
  <c r="Z25" i="10"/>
  <c r="I24" i="49" s="1"/>
  <c r="Z26" i="10"/>
  <c r="I19" i="55" s="1"/>
  <c r="Z27" i="10"/>
  <c r="I25" i="49" s="1"/>
  <c r="Z28" i="10"/>
  <c r="I26" i="49" s="1"/>
  <c r="Z29" i="10"/>
  <c r="I27" i="49" s="1"/>
  <c r="Z30" i="10"/>
  <c r="I28" i="49" s="1"/>
  <c r="Z31" i="10"/>
  <c r="I29" i="49" s="1"/>
  <c r="Z9" i="10"/>
  <c r="I15" i="49" s="1"/>
  <c r="C2" i="48"/>
  <c r="D2" i="48"/>
  <c r="E2" i="48"/>
  <c r="F2" i="48"/>
  <c r="G2" i="48"/>
  <c r="H2" i="48"/>
  <c r="I2" i="48"/>
  <c r="J2" i="48"/>
  <c r="B2" i="48"/>
  <c r="Z5" i="10"/>
  <c r="P5" i="10"/>
  <c r="N5" i="10"/>
  <c r="O5" i="10"/>
  <c r="K13" i="49"/>
  <c r="I13" i="49"/>
  <c r="E153" i="37"/>
  <c r="I60" i="55" l="1"/>
  <c r="I61" i="55"/>
  <c r="E179" i="26"/>
  <c r="E178" i="26"/>
  <c r="E177" i="26"/>
  <c r="I122" i="26"/>
  <c r="H121" i="26"/>
  <c r="I121" i="26"/>
  <c r="J121" i="26" s="1"/>
  <c r="K121" i="26" s="1"/>
  <c r="L121" i="26" s="1"/>
  <c r="M121" i="26" s="1"/>
  <c r="N121" i="26" s="1"/>
  <c r="O121" i="26" s="1"/>
  <c r="P121" i="26" s="1"/>
  <c r="Q121" i="26" s="1"/>
  <c r="R121" i="26" s="1"/>
  <c r="S121" i="26" s="1"/>
  <c r="I67" i="26"/>
  <c r="H66" i="26"/>
  <c r="I66" i="26" s="1"/>
  <c r="J66" i="26" s="1"/>
  <c r="K66" i="26" s="1"/>
  <c r="L66" i="26" s="1"/>
  <c r="M66" i="26" s="1"/>
  <c r="N66" i="26" s="1"/>
  <c r="O66" i="26" s="1"/>
  <c r="P66" i="26" s="1"/>
  <c r="Q66" i="26" s="1"/>
  <c r="R66" i="26" s="1"/>
  <c r="S66" i="26" s="1"/>
  <c r="I12" i="26"/>
  <c r="H11" i="26"/>
  <c r="I11" i="26" s="1"/>
  <c r="J11" i="26" s="1"/>
  <c r="K11" i="26" s="1"/>
  <c r="L11" i="26" s="1"/>
  <c r="M11" i="26" s="1"/>
  <c r="N11" i="26" s="1"/>
  <c r="O11" i="26" s="1"/>
  <c r="P11" i="26" s="1"/>
  <c r="Q11" i="26" s="1"/>
  <c r="R11" i="26" s="1"/>
  <c r="S11" i="26" s="1"/>
  <c r="H11" i="51"/>
  <c r="I11" i="51" s="1"/>
  <c r="J11" i="51" s="1"/>
  <c r="K11" i="51" s="1"/>
  <c r="L11" i="51" s="1"/>
  <c r="M11" i="51" s="1"/>
  <c r="N11" i="51" s="1"/>
  <c r="O11" i="51" s="1"/>
  <c r="P11" i="51" s="1"/>
  <c r="Q11" i="51" s="1"/>
  <c r="R11" i="51" s="1"/>
  <c r="S11" i="51" s="1"/>
  <c r="I12" i="51"/>
  <c r="G69" i="37"/>
  <c r="H69" i="37"/>
  <c r="I12" i="37"/>
  <c r="I122" i="17"/>
  <c r="H121" i="17"/>
  <c r="I121" i="17" s="1"/>
  <c r="J121" i="17" s="1"/>
  <c r="K121" i="17" s="1"/>
  <c r="L121" i="17" s="1"/>
  <c r="M121" i="17" s="1"/>
  <c r="N121" i="17" s="1"/>
  <c r="O121" i="17" s="1"/>
  <c r="P121" i="17" s="1"/>
  <c r="Q121" i="17" s="1"/>
  <c r="R121" i="17" s="1"/>
  <c r="S121" i="17" s="1"/>
  <c r="H66" i="17"/>
  <c r="I66" i="17"/>
  <c r="J66" i="17" s="1"/>
  <c r="K66" i="17" s="1"/>
  <c r="L66" i="17" s="1"/>
  <c r="M66" i="17" s="1"/>
  <c r="N66" i="17" s="1"/>
  <c r="O66" i="17" s="1"/>
  <c r="P66" i="17" s="1"/>
  <c r="Q66" i="17" s="1"/>
  <c r="R66" i="17" s="1"/>
  <c r="S66" i="17" s="1"/>
  <c r="T66" i="17" s="1"/>
  <c r="U66" i="17" s="1"/>
  <c r="V66" i="17" s="1"/>
  <c r="W66" i="17" s="1"/>
  <c r="C5" i="13"/>
  <c r="C6" i="13"/>
  <c r="C7" i="13"/>
  <c r="C8" i="13"/>
  <c r="C9" i="13"/>
  <c r="C10" i="13"/>
  <c r="C11" i="13"/>
  <c r="C12" i="13"/>
  <c r="C13" i="13"/>
  <c r="C14" i="13"/>
  <c r="C15" i="13"/>
  <c r="C16" i="13"/>
  <c r="C17" i="13"/>
  <c r="C18" i="13"/>
  <c r="C19" i="13"/>
  <c r="C20" i="13"/>
  <c r="C21" i="13"/>
  <c r="C22" i="13"/>
  <c r="C23" i="13"/>
  <c r="C24" i="13"/>
  <c r="C25" i="13"/>
  <c r="C26" i="13"/>
  <c r="C27" i="13"/>
  <c r="C28" i="13"/>
  <c r="C29" i="13"/>
  <c r="C30" i="13"/>
  <c r="C31" i="13"/>
  <c r="C32" i="13"/>
  <c r="C33" i="13"/>
  <c r="C34" i="13"/>
  <c r="C35" i="13"/>
  <c r="C36" i="13"/>
  <c r="C37" i="13"/>
  <c r="C38" i="13"/>
  <c r="C39" i="13"/>
  <c r="C40" i="13"/>
  <c r="C41" i="13"/>
  <c r="C42" i="13"/>
  <c r="C43" i="13"/>
  <c r="C44" i="13"/>
  <c r="C45" i="13"/>
  <c r="C46" i="13"/>
  <c r="C47" i="13"/>
  <c r="C48" i="13"/>
  <c r="C49" i="13"/>
  <c r="C50" i="13"/>
  <c r="C51" i="13"/>
  <c r="C52" i="13"/>
  <c r="C53" i="13"/>
  <c r="C54" i="13"/>
  <c r="C55" i="13"/>
  <c r="C56" i="13"/>
  <c r="C57" i="13"/>
  <c r="C58" i="13"/>
  <c r="C59" i="13"/>
  <c r="C60" i="13"/>
  <c r="C61" i="13"/>
  <c r="C62" i="13"/>
  <c r="C63" i="13"/>
  <c r="C64" i="13"/>
  <c r="C65" i="13"/>
  <c r="C66" i="13"/>
  <c r="C67" i="13"/>
  <c r="C68" i="13"/>
  <c r="C69" i="13"/>
  <c r="C70" i="13"/>
  <c r="C71" i="13"/>
  <c r="C72" i="13"/>
  <c r="C73" i="13"/>
  <c r="C4" i="13"/>
  <c r="H11" i="17"/>
  <c r="I11" i="17"/>
  <c r="J11" i="17" s="1"/>
  <c r="K11" i="17" s="1"/>
  <c r="L11" i="17" s="1"/>
  <c r="M11" i="17" s="1"/>
  <c r="N11" i="17" s="1"/>
  <c r="O11" i="17" s="1"/>
  <c r="P11" i="17" s="1"/>
  <c r="Q11" i="17" s="1"/>
  <c r="R11" i="17" s="1"/>
  <c r="S11" i="17" s="1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5" i="2"/>
  <c r="I67" i="17"/>
  <c r="I12" i="17" l="1"/>
  <c r="E178" i="17"/>
  <c r="E177" i="17"/>
  <c r="H137" i="30"/>
  <c r="I137" i="30"/>
  <c r="I155" i="30" s="1"/>
  <c r="H136" i="30"/>
  <c r="I136" i="30" s="1"/>
  <c r="J136" i="30" s="1"/>
  <c r="K136" i="30" s="1"/>
  <c r="L136" i="30" s="1"/>
  <c r="M136" i="30" s="1"/>
  <c r="N136" i="30" s="1"/>
  <c r="O136" i="30" s="1"/>
  <c r="P136" i="30" s="1"/>
  <c r="Q136" i="30" s="1"/>
  <c r="R136" i="30" s="1"/>
  <c r="S136" i="30" s="1"/>
  <c r="H73" i="30"/>
  <c r="I73" i="30"/>
  <c r="J73" i="30"/>
  <c r="K73" i="30" s="1"/>
  <c r="L73" i="30" s="1"/>
  <c r="M73" i="30" s="1"/>
  <c r="N73" i="30" s="1"/>
  <c r="O73" i="30" s="1"/>
  <c r="P73" i="30" s="1"/>
  <c r="Q73" i="30" s="1"/>
  <c r="R73" i="30" s="1"/>
  <c r="S73" i="30" s="1"/>
  <c r="I74" i="30"/>
  <c r="I92" i="30" s="1"/>
  <c r="E1" i="39"/>
  <c r="E156" i="63" s="1"/>
  <c r="G71" i="46"/>
  <c r="H11" i="30" l="1"/>
  <c r="I11" i="30" s="1"/>
  <c r="J11" i="30" s="1"/>
  <c r="K11" i="30" s="1"/>
  <c r="L11" i="30" s="1"/>
  <c r="M11" i="30" s="1"/>
  <c r="N11" i="30" s="1"/>
  <c r="O11" i="30" s="1"/>
  <c r="P11" i="30" s="1"/>
  <c r="Q11" i="30" s="1"/>
  <c r="R11" i="30" s="1"/>
  <c r="S11" i="30" s="1"/>
  <c r="I13" i="50" l="1"/>
  <c r="I31" i="50" s="1"/>
  <c r="W52" i="10"/>
  <c r="V52" i="10"/>
  <c r="I71" i="46"/>
  <c r="E171" i="57" l="1"/>
  <c r="E172" i="57"/>
  <c r="E173" i="57"/>
  <c r="E174" i="57"/>
  <c r="E786" i="58"/>
  <c r="E787" i="58"/>
  <c r="E788" i="58"/>
  <c r="E789" i="58"/>
  <c r="A27" i="56"/>
  <c r="H13" i="46"/>
  <c r="I13" i="46"/>
  <c r="I31" i="46" s="1"/>
  <c r="I12" i="46"/>
  <c r="J12" i="46" s="1"/>
  <c r="K12" i="46" s="1"/>
  <c r="L12" i="46" s="1"/>
  <c r="M12" i="46" s="1"/>
  <c r="N12" i="46" s="1"/>
  <c r="O12" i="46" s="1"/>
  <c r="P12" i="46" s="1"/>
  <c r="Q12" i="46" s="1"/>
  <c r="R12" i="46" s="1"/>
  <c r="S12" i="46" s="1"/>
  <c r="G136" i="29"/>
  <c r="I136" i="29"/>
  <c r="I154" i="29" s="1"/>
  <c r="I73" i="29"/>
  <c r="I91" i="29" s="1"/>
  <c r="I135" i="29"/>
  <c r="J135" i="29" s="1"/>
  <c r="K135" i="29" s="1"/>
  <c r="L135" i="29" s="1"/>
  <c r="M135" i="29" s="1"/>
  <c r="N135" i="29" s="1"/>
  <c r="O135" i="29" s="1"/>
  <c r="P135" i="29" s="1"/>
  <c r="Q135" i="29" s="1"/>
  <c r="R135" i="29" s="1"/>
  <c r="S135" i="29" s="1"/>
  <c r="T135" i="29" s="1"/>
  <c r="I72" i="29"/>
  <c r="J72" i="29" s="1"/>
  <c r="K72" i="29" s="1"/>
  <c r="L72" i="29" s="1"/>
  <c r="M72" i="29" s="1"/>
  <c r="N72" i="29" s="1"/>
  <c r="O72" i="29" s="1"/>
  <c r="P72" i="29" s="1"/>
  <c r="Q72" i="29" s="1"/>
  <c r="R72" i="29" s="1"/>
  <c r="S72" i="29" s="1"/>
  <c r="T72" i="29" s="1"/>
  <c r="U72" i="29" s="1"/>
  <c r="V72" i="29" s="1"/>
  <c r="W72" i="29" s="1"/>
  <c r="J12" i="29"/>
  <c r="K12" i="29" s="1"/>
  <c r="L12" i="29" s="1"/>
  <c r="M12" i="29" s="1"/>
  <c r="N12" i="29" s="1"/>
  <c r="O12" i="29" s="1"/>
  <c r="P12" i="29" s="1"/>
  <c r="Q12" i="29" s="1"/>
  <c r="R12" i="29" s="1"/>
  <c r="S12" i="29" s="1"/>
  <c r="T12" i="29" s="1"/>
  <c r="U12" i="29" s="1"/>
  <c r="V12" i="29" s="1"/>
  <c r="W12" i="29" s="1"/>
  <c r="I12" i="29"/>
  <c r="G13" i="29"/>
  <c r="H13" i="29"/>
  <c r="I13" i="29"/>
  <c r="I31" i="29" s="1"/>
  <c r="C5" i="14"/>
  <c r="C6" i="14"/>
  <c r="C7" i="14"/>
  <c r="C8" i="14"/>
  <c r="C9" i="14"/>
  <c r="C10" i="14"/>
  <c r="C11" i="14"/>
  <c r="C12" i="14"/>
  <c r="C13" i="14"/>
  <c r="C14" i="14"/>
  <c r="C15" i="14"/>
  <c r="C16" i="14"/>
  <c r="C17" i="14"/>
  <c r="C18" i="14"/>
  <c r="C19" i="14"/>
  <c r="C20" i="14"/>
  <c r="C21" i="14"/>
  <c r="C22" i="14"/>
  <c r="C23" i="14"/>
  <c r="C24" i="14"/>
  <c r="C25" i="14"/>
  <c r="C26" i="14"/>
  <c r="C27" i="14"/>
  <c r="C28" i="14"/>
  <c r="C29" i="14"/>
  <c r="C30" i="14"/>
  <c r="C31" i="14"/>
  <c r="C32" i="14"/>
  <c r="C33" i="14"/>
  <c r="C34" i="14"/>
  <c r="C35" i="14"/>
  <c r="C36" i="14"/>
  <c r="C37" i="14"/>
  <c r="C38" i="14"/>
  <c r="C39" i="14"/>
  <c r="C40" i="14"/>
  <c r="C41" i="14"/>
  <c r="C42" i="14"/>
  <c r="C43" i="14"/>
  <c r="C44" i="14"/>
  <c r="C45" i="14"/>
  <c r="C46" i="14"/>
  <c r="C47" i="14"/>
  <c r="C48" i="14"/>
  <c r="C49" i="14"/>
  <c r="C50" i="14"/>
  <c r="C51" i="14"/>
  <c r="C52" i="14"/>
  <c r="C53" i="14"/>
  <c r="C54" i="14"/>
  <c r="C55" i="14"/>
  <c r="C56" i="14"/>
  <c r="C57" i="14"/>
  <c r="C58" i="14"/>
  <c r="C59" i="14"/>
  <c r="C60" i="14"/>
  <c r="C61" i="14"/>
  <c r="C62" i="14"/>
  <c r="C63" i="14"/>
  <c r="C64" i="14"/>
  <c r="C65" i="14"/>
  <c r="C66" i="14"/>
  <c r="C67" i="14"/>
  <c r="C68" i="14"/>
  <c r="C69" i="14"/>
  <c r="C70" i="14"/>
  <c r="C71" i="14"/>
  <c r="C72" i="14"/>
  <c r="C73" i="14"/>
  <c r="C4" i="14"/>
  <c r="C2" i="14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5" i="20"/>
  <c r="C6" i="20"/>
  <c r="C7" i="20"/>
  <c r="C8" i="20"/>
  <c r="C9" i="20"/>
  <c r="C10" i="20"/>
  <c r="C11" i="20"/>
  <c r="C12" i="20"/>
  <c r="C13" i="20"/>
  <c r="C14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4" i="20"/>
  <c r="C2" i="20"/>
  <c r="C5" i="18"/>
  <c r="C6" i="18"/>
  <c r="C7" i="18"/>
  <c r="C8" i="18"/>
  <c r="C9" i="18"/>
  <c r="C10" i="18"/>
  <c r="C11" i="18"/>
  <c r="C12" i="18"/>
  <c r="C13" i="18"/>
  <c r="C14" i="18"/>
  <c r="C15" i="18"/>
  <c r="C16" i="18"/>
  <c r="C17" i="18"/>
  <c r="C18" i="18"/>
  <c r="C19" i="18"/>
  <c r="C20" i="18"/>
  <c r="C21" i="18"/>
  <c r="C22" i="18"/>
  <c r="C23" i="18"/>
  <c r="C24" i="18"/>
  <c r="C25" i="18"/>
  <c r="C26" i="18"/>
  <c r="C27" i="18"/>
  <c r="C28" i="18"/>
  <c r="C29" i="18"/>
  <c r="C30" i="18"/>
  <c r="C31" i="18"/>
  <c r="C32" i="18"/>
  <c r="C33" i="18"/>
  <c r="C34" i="18"/>
  <c r="C35" i="18"/>
  <c r="C36" i="18"/>
  <c r="C37" i="18"/>
  <c r="C38" i="18"/>
  <c r="C39" i="18"/>
  <c r="C40" i="18"/>
  <c r="C41" i="18"/>
  <c r="C42" i="18"/>
  <c r="C43" i="18"/>
  <c r="C44" i="18"/>
  <c r="C45" i="18"/>
  <c r="C46" i="18"/>
  <c r="C47" i="18"/>
  <c r="C48" i="18"/>
  <c r="C49" i="18"/>
  <c r="C50" i="18"/>
  <c r="C51" i="18"/>
  <c r="C52" i="18"/>
  <c r="C53" i="18"/>
  <c r="C54" i="18"/>
  <c r="C55" i="18"/>
  <c r="C56" i="18"/>
  <c r="C57" i="18"/>
  <c r="C58" i="18"/>
  <c r="C59" i="18"/>
  <c r="C60" i="18"/>
  <c r="C61" i="18"/>
  <c r="C62" i="18"/>
  <c r="C63" i="18"/>
  <c r="C64" i="18"/>
  <c r="C65" i="18"/>
  <c r="C66" i="18"/>
  <c r="C67" i="18"/>
  <c r="C68" i="18"/>
  <c r="C69" i="18"/>
  <c r="C70" i="18"/>
  <c r="C71" i="18"/>
  <c r="C72" i="18"/>
  <c r="C4" i="18"/>
  <c r="C2" i="18"/>
  <c r="C5" i="19"/>
  <c r="C6" i="19"/>
  <c r="C7" i="19"/>
  <c r="C8" i="19"/>
  <c r="C9" i="19"/>
  <c r="C10" i="19"/>
  <c r="C11" i="19"/>
  <c r="C12" i="19"/>
  <c r="C13" i="19"/>
  <c r="C14" i="19"/>
  <c r="C15" i="19"/>
  <c r="C16" i="19"/>
  <c r="C17" i="19"/>
  <c r="C18" i="19"/>
  <c r="C19" i="19"/>
  <c r="C20" i="19"/>
  <c r="C21" i="19"/>
  <c r="C22" i="19"/>
  <c r="C23" i="19"/>
  <c r="C24" i="19"/>
  <c r="C25" i="19"/>
  <c r="C26" i="19"/>
  <c r="C27" i="19"/>
  <c r="C28" i="19"/>
  <c r="C29" i="19"/>
  <c r="C30" i="19"/>
  <c r="C31" i="19"/>
  <c r="C32" i="19"/>
  <c r="C33" i="19"/>
  <c r="C34" i="19"/>
  <c r="C35" i="19"/>
  <c r="C36" i="19"/>
  <c r="C37" i="19"/>
  <c r="C38" i="19"/>
  <c r="C39" i="19"/>
  <c r="C40" i="19"/>
  <c r="C41" i="19"/>
  <c r="C42" i="19"/>
  <c r="C43" i="19"/>
  <c r="C44" i="19"/>
  <c r="C45" i="19"/>
  <c r="C46" i="19"/>
  <c r="C47" i="19"/>
  <c r="C48" i="19"/>
  <c r="C49" i="19"/>
  <c r="C50" i="19"/>
  <c r="C51" i="19"/>
  <c r="C52" i="19"/>
  <c r="C53" i="19"/>
  <c r="C54" i="19"/>
  <c r="C55" i="19"/>
  <c r="C56" i="19"/>
  <c r="C57" i="19"/>
  <c r="C58" i="19"/>
  <c r="C59" i="19"/>
  <c r="C60" i="19"/>
  <c r="C61" i="19"/>
  <c r="C62" i="19"/>
  <c r="C63" i="19"/>
  <c r="C64" i="19"/>
  <c r="C65" i="19"/>
  <c r="C66" i="19"/>
  <c r="C67" i="19"/>
  <c r="C68" i="19"/>
  <c r="C69" i="19"/>
  <c r="C70" i="19"/>
  <c r="C71" i="19"/>
  <c r="C4" i="19"/>
  <c r="C2" i="19"/>
  <c r="C5" i="11"/>
  <c r="C6" i="11"/>
  <c r="C7" i="11"/>
  <c r="C8" i="11"/>
  <c r="C9" i="11"/>
  <c r="C10" i="11"/>
  <c r="C11" i="11"/>
  <c r="C12" i="11"/>
  <c r="C13" i="11"/>
  <c r="C14" i="11"/>
  <c r="C15" i="11"/>
  <c r="C16" i="11"/>
  <c r="C17" i="11"/>
  <c r="C18" i="11"/>
  <c r="C19" i="11"/>
  <c r="C20" i="11"/>
  <c r="C21" i="11"/>
  <c r="C22" i="11"/>
  <c r="C23" i="11"/>
  <c r="C24" i="11"/>
  <c r="C25" i="11"/>
  <c r="C26" i="11"/>
  <c r="C27" i="11"/>
  <c r="C28" i="11"/>
  <c r="C29" i="11"/>
  <c r="C30" i="11"/>
  <c r="C31" i="11"/>
  <c r="C32" i="11"/>
  <c r="C33" i="11"/>
  <c r="C34" i="11"/>
  <c r="C35" i="11"/>
  <c r="C36" i="11"/>
  <c r="C37" i="11"/>
  <c r="C38" i="11"/>
  <c r="C39" i="11"/>
  <c r="C40" i="11"/>
  <c r="C41" i="11"/>
  <c r="C42" i="11"/>
  <c r="C43" i="11"/>
  <c r="C44" i="11"/>
  <c r="C45" i="11"/>
  <c r="C46" i="11"/>
  <c r="C47" i="11"/>
  <c r="C48" i="11"/>
  <c r="C49" i="11"/>
  <c r="C50" i="11"/>
  <c r="C51" i="11"/>
  <c r="C52" i="11"/>
  <c r="C53" i="11"/>
  <c r="C54" i="11"/>
  <c r="C55" i="11"/>
  <c r="C56" i="11"/>
  <c r="C57" i="11"/>
  <c r="C58" i="11"/>
  <c r="C59" i="11"/>
  <c r="C60" i="11"/>
  <c r="C61" i="11"/>
  <c r="C62" i="11"/>
  <c r="C63" i="11"/>
  <c r="C64" i="11"/>
  <c r="C65" i="11"/>
  <c r="C66" i="11"/>
  <c r="C67" i="11"/>
  <c r="C68" i="11"/>
  <c r="C69" i="11"/>
  <c r="C70" i="11"/>
  <c r="C71" i="11"/>
  <c r="C72" i="11"/>
  <c r="C73" i="11"/>
  <c r="C4" i="11"/>
  <c r="C2" i="11"/>
  <c r="C2" i="13"/>
  <c r="C7" i="21"/>
  <c r="D7" i="21"/>
  <c r="E7" i="21"/>
  <c r="F7" i="21"/>
  <c r="G7" i="21"/>
  <c r="H7" i="21"/>
  <c r="I7" i="21"/>
  <c r="J7" i="21"/>
  <c r="C8" i="21"/>
  <c r="D8" i="21"/>
  <c r="E8" i="21"/>
  <c r="F8" i="21"/>
  <c r="G8" i="21"/>
  <c r="H8" i="21"/>
  <c r="I8" i="21"/>
  <c r="J8" i="21"/>
  <c r="C9" i="21"/>
  <c r="D9" i="21"/>
  <c r="E9" i="21"/>
  <c r="F9" i="21"/>
  <c r="G9" i="21"/>
  <c r="H9" i="21"/>
  <c r="I9" i="21"/>
  <c r="J9" i="21"/>
  <c r="C10" i="21"/>
  <c r="D10" i="21"/>
  <c r="E10" i="21"/>
  <c r="F10" i="21"/>
  <c r="G10" i="21"/>
  <c r="H10" i="21"/>
  <c r="I10" i="21"/>
  <c r="J10" i="21"/>
  <c r="C11" i="21"/>
  <c r="D11" i="21"/>
  <c r="E11" i="21"/>
  <c r="F11" i="21"/>
  <c r="G11" i="21"/>
  <c r="H11" i="21"/>
  <c r="I11" i="21"/>
  <c r="J11" i="21"/>
  <c r="C12" i="21"/>
  <c r="D12" i="21"/>
  <c r="E12" i="21"/>
  <c r="F12" i="21"/>
  <c r="G12" i="21"/>
  <c r="H12" i="21"/>
  <c r="I12" i="21"/>
  <c r="J12" i="21"/>
  <c r="C13" i="21"/>
  <c r="D13" i="21"/>
  <c r="E13" i="21"/>
  <c r="F13" i="21"/>
  <c r="G13" i="21"/>
  <c r="H13" i="21"/>
  <c r="I13" i="21"/>
  <c r="J13" i="21"/>
  <c r="C14" i="21"/>
  <c r="D14" i="21"/>
  <c r="E14" i="21"/>
  <c r="F14" i="21"/>
  <c r="G14" i="21"/>
  <c r="H14" i="21"/>
  <c r="I14" i="21"/>
  <c r="J14" i="21"/>
  <c r="C15" i="21"/>
  <c r="D15" i="21"/>
  <c r="E15" i="21"/>
  <c r="F15" i="21"/>
  <c r="G15" i="21"/>
  <c r="H15" i="21"/>
  <c r="I15" i="21"/>
  <c r="J15" i="21"/>
  <c r="C16" i="21"/>
  <c r="D16" i="21"/>
  <c r="E16" i="21"/>
  <c r="F16" i="21"/>
  <c r="G16" i="21"/>
  <c r="H16" i="21"/>
  <c r="I16" i="21"/>
  <c r="J16" i="21"/>
  <c r="C17" i="21"/>
  <c r="D17" i="21"/>
  <c r="E17" i="21"/>
  <c r="F17" i="21"/>
  <c r="G17" i="21"/>
  <c r="H17" i="21"/>
  <c r="I17" i="21"/>
  <c r="J17" i="21"/>
  <c r="C18" i="21"/>
  <c r="D18" i="21"/>
  <c r="E18" i="21"/>
  <c r="F18" i="21"/>
  <c r="G18" i="21"/>
  <c r="H18" i="21"/>
  <c r="I18" i="21"/>
  <c r="J18" i="21"/>
  <c r="C19" i="21"/>
  <c r="D19" i="21"/>
  <c r="E19" i="21"/>
  <c r="F19" i="21"/>
  <c r="G19" i="21"/>
  <c r="H19" i="21"/>
  <c r="I19" i="21"/>
  <c r="J19" i="21"/>
  <c r="C20" i="21"/>
  <c r="D20" i="21"/>
  <c r="E20" i="21"/>
  <c r="F20" i="21"/>
  <c r="G20" i="21"/>
  <c r="H20" i="21"/>
  <c r="I20" i="21"/>
  <c r="J20" i="21"/>
  <c r="C21" i="21"/>
  <c r="D21" i="21"/>
  <c r="E21" i="21"/>
  <c r="F21" i="21"/>
  <c r="G21" i="21"/>
  <c r="H21" i="21"/>
  <c r="I21" i="21"/>
  <c r="J21" i="21"/>
  <c r="C22" i="21"/>
  <c r="D22" i="21"/>
  <c r="E22" i="21"/>
  <c r="F22" i="21"/>
  <c r="G22" i="21"/>
  <c r="H22" i="21"/>
  <c r="I22" i="21"/>
  <c r="J22" i="21"/>
  <c r="C23" i="21"/>
  <c r="D23" i="21"/>
  <c r="E23" i="21"/>
  <c r="F23" i="21"/>
  <c r="G23" i="21"/>
  <c r="H23" i="21"/>
  <c r="I23" i="21"/>
  <c r="J23" i="21"/>
  <c r="C24" i="21"/>
  <c r="D24" i="21"/>
  <c r="E24" i="21"/>
  <c r="F24" i="21"/>
  <c r="G24" i="21"/>
  <c r="H24" i="21"/>
  <c r="I24" i="21"/>
  <c r="J24" i="21"/>
  <c r="C25" i="21"/>
  <c r="D25" i="21"/>
  <c r="E25" i="21"/>
  <c r="F25" i="21"/>
  <c r="G25" i="21"/>
  <c r="H25" i="21"/>
  <c r="I25" i="21"/>
  <c r="J25" i="21"/>
  <c r="C26" i="21"/>
  <c r="D26" i="21"/>
  <c r="E26" i="21"/>
  <c r="F26" i="21"/>
  <c r="G26" i="21"/>
  <c r="H26" i="21"/>
  <c r="I26" i="21"/>
  <c r="J26" i="21"/>
  <c r="C27" i="21"/>
  <c r="D27" i="21"/>
  <c r="E27" i="21"/>
  <c r="F27" i="21"/>
  <c r="G27" i="21"/>
  <c r="H27" i="21"/>
  <c r="I27" i="21"/>
  <c r="J27" i="21"/>
  <c r="C28" i="21"/>
  <c r="D28" i="21"/>
  <c r="E28" i="21"/>
  <c r="F28" i="21"/>
  <c r="G28" i="21"/>
  <c r="H28" i="21"/>
  <c r="I28" i="21"/>
  <c r="J28" i="21"/>
  <c r="C29" i="21"/>
  <c r="D29" i="21"/>
  <c r="E29" i="21"/>
  <c r="F29" i="21"/>
  <c r="G29" i="21"/>
  <c r="H29" i="21"/>
  <c r="I29" i="21"/>
  <c r="J29" i="21"/>
  <c r="C30" i="21"/>
  <c r="D30" i="21"/>
  <c r="E30" i="21"/>
  <c r="F30" i="21"/>
  <c r="G30" i="21"/>
  <c r="H30" i="21"/>
  <c r="I30" i="21"/>
  <c r="J30" i="21"/>
  <c r="C31" i="21"/>
  <c r="D31" i="21"/>
  <c r="E31" i="21"/>
  <c r="F31" i="21"/>
  <c r="G31" i="21"/>
  <c r="H31" i="21"/>
  <c r="I31" i="21"/>
  <c r="J31" i="21"/>
  <c r="C32" i="21"/>
  <c r="D32" i="21"/>
  <c r="E32" i="21"/>
  <c r="F32" i="21"/>
  <c r="G32" i="21"/>
  <c r="H32" i="21"/>
  <c r="I32" i="21"/>
  <c r="J32" i="21"/>
  <c r="C33" i="21"/>
  <c r="D33" i="21"/>
  <c r="E33" i="21"/>
  <c r="F33" i="21"/>
  <c r="G33" i="21"/>
  <c r="H33" i="21"/>
  <c r="I33" i="21"/>
  <c r="J33" i="21"/>
  <c r="C34" i="21"/>
  <c r="D34" i="21"/>
  <c r="E34" i="21"/>
  <c r="F34" i="21"/>
  <c r="G34" i="21"/>
  <c r="H34" i="21"/>
  <c r="I34" i="21"/>
  <c r="J34" i="21"/>
  <c r="C35" i="21"/>
  <c r="D35" i="21"/>
  <c r="E35" i="21"/>
  <c r="F35" i="21"/>
  <c r="G35" i="21"/>
  <c r="H35" i="21"/>
  <c r="I35" i="21"/>
  <c r="J35" i="21"/>
  <c r="C36" i="21"/>
  <c r="D36" i="21"/>
  <c r="E36" i="21"/>
  <c r="F36" i="21"/>
  <c r="G36" i="21"/>
  <c r="H36" i="21"/>
  <c r="I36" i="21"/>
  <c r="J36" i="21"/>
  <c r="C37" i="21"/>
  <c r="D37" i="21"/>
  <c r="E37" i="21"/>
  <c r="F37" i="21"/>
  <c r="G37" i="21"/>
  <c r="H37" i="21"/>
  <c r="I37" i="21"/>
  <c r="J37" i="21"/>
  <c r="C38" i="21"/>
  <c r="D38" i="21"/>
  <c r="E38" i="21"/>
  <c r="F38" i="21"/>
  <c r="G38" i="21"/>
  <c r="H38" i="21"/>
  <c r="I38" i="21"/>
  <c r="J38" i="21"/>
  <c r="C39" i="21"/>
  <c r="D39" i="21"/>
  <c r="E39" i="21"/>
  <c r="F39" i="21"/>
  <c r="G39" i="21"/>
  <c r="H39" i="21"/>
  <c r="I39" i="21"/>
  <c r="J39" i="21"/>
  <c r="C40" i="21"/>
  <c r="D40" i="21"/>
  <c r="E40" i="21"/>
  <c r="F40" i="21"/>
  <c r="G40" i="21"/>
  <c r="H40" i="21"/>
  <c r="I40" i="21"/>
  <c r="J40" i="21"/>
  <c r="C41" i="21"/>
  <c r="D41" i="21"/>
  <c r="E41" i="21"/>
  <c r="F41" i="21"/>
  <c r="G41" i="21"/>
  <c r="H41" i="21"/>
  <c r="I41" i="21"/>
  <c r="J41" i="21"/>
  <c r="C42" i="21"/>
  <c r="D42" i="21"/>
  <c r="E42" i="21"/>
  <c r="F42" i="21"/>
  <c r="G42" i="21"/>
  <c r="H42" i="21"/>
  <c r="I42" i="21"/>
  <c r="J42" i="21"/>
  <c r="C43" i="21"/>
  <c r="D43" i="21"/>
  <c r="E43" i="21"/>
  <c r="F43" i="21"/>
  <c r="G43" i="21"/>
  <c r="H43" i="21"/>
  <c r="I43" i="21"/>
  <c r="J43" i="21"/>
  <c r="C44" i="21"/>
  <c r="D44" i="21"/>
  <c r="E44" i="21"/>
  <c r="F44" i="21"/>
  <c r="G44" i="21"/>
  <c r="H44" i="21"/>
  <c r="I44" i="21"/>
  <c r="J44" i="21"/>
  <c r="C45" i="21"/>
  <c r="D45" i="21"/>
  <c r="E45" i="21"/>
  <c r="F45" i="21"/>
  <c r="G45" i="21"/>
  <c r="H45" i="21"/>
  <c r="I45" i="21"/>
  <c r="J45" i="21"/>
  <c r="C46" i="21"/>
  <c r="D46" i="21"/>
  <c r="E46" i="21"/>
  <c r="F46" i="21"/>
  <c r="G46" i="21"/>
  <c r="H46" i="21"/>
  <c r="I46" i="21"/>
  <c r="J46" i="21"/>
  <c r="C47" i="21"/>
  <c r="D47" i="21"/>
  <c r="E47" i="21"/>
  <c r="F47" i="21"/>
  <c r="G47" i="21"/>
  <c r="H47" i="21"/>
  <c r="I47" i="21"/>
  <c r="J47" i="21"/>
  <c r="C48" i="21"/>
  <c r="D48" i="21"/>
  <c r="E48" i="21"/>
  <c r="F48" i="21"/>
  <c r="G48" i="21"/>
  <c r="H48" i="21"/>
  <c r="I48" i="21"/>
  <c r="J48" i="21"/>
  <c r="C49" i="21"/>
  <c r="D49" i="21"/>
  <c r="E49" i="21"/>
  <c r="F49" i="21"/>
  <c r="G49" i="21"/>
  <c r="H49" i="21"/>
  <c r="I49" i="21"/>
  <c r="J49" i="21"/>
  <c r="C50" i="21"/>
  <c r="D50" i="21"/>
  <c r="E50" i="21"/>
  <c r="F50" i="21"/>
  <c r="G50" i="21"/>
  <c r="H50" i="21"/>
  <c r="I50" i="21"/>
  <c r="J50" i="21"/>
  <c r="C51" i="21"/>
  <c r="D51" i="21"/>
  <c r="E51" i="21"/>
  <c r="F51" i="21"/>
  <c r="G51" i="21"/>
  <c r="H51" i="21"/>
  <c r="I51" i="21"/>
  <c r="J51" i="21"/>
  <c r="C52" i="21"/>
  <c r="D52" i="21"/>
  <c r="E52" i="21"/>
  <c r="F52" i="21"/>
  <c r="G52" i="21"/>
  <c r="H52" i="21"/>
  <c r="I52" i="21"/>
  <c r="J52" i="21"/>
  <c r="C53" i="21"/>
  <c r="D53" i="21"/>
  <c r="E53" i="21"/>
  <c r="F53" i="21"/>
  <c r="G53" i="21"/>
  <c r="H53" i="21"/>
  <c r="I53" i="21"/>
  <c r="J53" i="21"/>
  <c r="C54" i="21"/>
  <c r="D54" i="21"/>
  <c r="E54" i="21"/>
  <c r="F54" i="21"/>
  <c r="G54" i="21"/>
  <c r="H54" i="21"/>
  <c r="I54" i="21"/>
  <c r="J54" i="21"/>
  <c r="C55" i="21"/>
  <c r="D55" i="21"/>
  <c r="E55" i="21"/>
  <c r="F55" i="21"/>
  <c r="G55" i="21"/>
  <c r="H55" i="21"/>
  <c r="I55" i="21"/>
  <c r="J55" i="21"/>
  <c r="C56" i="21"/>
  <c r="D56" i="21"/>
  <c r="E56" i="21"/>
  <c r="F56" i="21"/>
  <c r="G56" i="21"/>
  <c r="H56" i="21"/>
  <c r="I56" i="21"/>
  <c r="J56" i="21"/>
  <c r="C57" i="21"/>
  <c r="D57" i="21"/>
  <c r="E57" i="21"/>
  <c r="F57" i="21"/>
  <c r="G57" i="21"/>
  <c r="H57" i="21"/>
  <c r="I57" i="21"/>
  <c r="J57" i="21"/>
  <c r="C58" i="21"/>
  <c r="D58" i="21"/>
  <c r="E58" i="21"/>
  <c r="F58" i="21"/>
  <c r="G58" i="21"/>
  <c r="H58" i="21"/>
  <c r="I58" i="21"/>
  <c r="J58" i="21"/>
  <c r="C59" i="21"/>
  <c r="D59" i="21"/>
  <c r="E59" i="21"/>
  <c r="F59" i="21"/>
  <c r="G59" i="21"/>
  <c r="H59" i="21"/>
  <c r="I59" i="21"/>
  <c r="J59" i="21"/>
  <c r="C60" i="21"/>
  <c r="D60" i="21"/>
  <c r="E60" i="21"/>
  <c r="F60" i="21"/>
  <c r="G60" i="21"/>
  <c r="H60" i="21"/>
  <c r="I60" i="21"/>
  <c r="J60" i="21"/>
  <c r="C61" i="21"/>
  <c r="D61" i="21"/>
  <c r="E61" i="21"/>
  <c r="F61" i="21"/>
  <c r="G61" i="21"/>
  <c r="H61" i="21"/>
  <c r="I61" i="21"/>
  <c r="J61" i="21"/>
  <c r="C62" i="21"/>
  <c r="D62" i="21"/>
  <c r="E62" i="21"/>
  <c r="F62" i="21"/>
  <c r="G62" i="21"/>
  <c r="H62" i="21"/>
  <c r="I62" i="21"/>
  <c r="J62" i="21"/>
  <c r="C63" i="21"/>
  <c r="D63" i="21"/>
  <c r="E63" i="21"/>
  <c r="F63" i="21"/>
  <c r="G63" i="21"/>
  <c r="H63" i="21"/>
  <c r="I63" i="21"/>
  <c r="J63" i="21"/>
  <c r="C64" i="21"/>
  <c r="D64" i="21"/>
  <c r="E64" i="21"/>
  <c r="F64" i="21"/>
  <c r="G64" i="21"/>
  <c r="H64" i="21"/>
  <c r="I64" i="21"/>
  <c r="J64" i="21"/>
  <c r="C65" i="21"/>
  <c r="D65" i="21"/>
  <c r="E65" i="21"/>
  <c r="F65" i="21"/>
  <c r="G65" i="21"/>
  <c r="H65" i="21"/>
  <c r="I65" i="21"/>
  <c r="J65" i="21"/>
  <c r="C66" i="21"/>
  <c r="D66" i="21"/>
  <c r="E66" i="21"/>
  <c r="F66" i="21"/>
  <c r="G66" i="21"/>
  <c r="H66" i="21"/>
  <c r="I66" i="21"/>
  <c r="J66" i="21"/>
  <c r="C67" i="21"/>
  <c r="D67" i="21"/>
  <c r="E67" i="21"/>
  <c r="F67" i="21"/>
  <c r="G67" i="21"/>
  <c r="H67" i="21"/>
  <c r="I67" i="21"/>
  <c r="J67" i="21"/>
  <c r="C68" i="21"/>
  <c r="D68" i="21"/>
  <c r="E68" i="21"/>
  <c r="F68" i="21"/>
  <c r="G68" i="21"/>
  <c r="H68" i="21"/>
  <c r="I68" i="21"/>
  <c r="J68" i="21"/>
  <c r="C69" i="21"/>
  <c r="D69" i="21"/>
  <c r="E69" i="21"/>
  <c r="F69" i="21"/>
  <c r="G69" i="21"/>
  <c r="H69" i="21"/>
  <c r="I69" i="21"/>
  <c r="J69" i="21"/>
  <c r="C70" i="21"/>
  <c r="D70" i="21"/>
  <c r="E70" i="21"/>
  <c r="F70" i="21"/>
  <c r="G70" i="21"/>
  <c r="H70" i="21"/>
  <c r="I70" i="21"/>
  <c r="J70" i="21"/>
  <c r="C71" i="21"/>
  <c r="D71" i="21"/>
  <c r="E71" i="21"/>
  <c r="F71" i="21"/>
  <c r="G71" i="21"/>
  <c r="H71" i="21"/>
  <c r="I71" i="21"/>
  <c r="J71" i="21"/>
  <c r="C72" i="21"/>
  <c r="D72" i="21"/>
  <c r="E72" i="21"/>
  <c r="F72" i="21"/>
  <c r="G72" i="21"/>
  <c r="H72" i="21"/>
  <c r="I72" i="21"/>
  <c r="J72" i="21"/>
  <c r="C73" i="21"/>
  <c r="D73" i="21"/>
  <c r="E73" i="21"/>
  <c r="F73" i="21"/>
  <c r="G73" i="21"/>
  <c r="H73" i="21"/>
  <c r="I73" i="21"/>
  <c r="J73" i="21"/>
  <c r="C6" i="21"/>
  <c r="D6" i="21"/>
  <c r="E6" i="21"/>
  <c r="F6" i="21"/>
  <c r="G6" i="21"/>
  <c r="H6" i="21"/>
  <c r="I6" i="21"/>
  <c r="J6" i="21"/>
  <c r="E5" i="21"/>
  <c r="F5" i="21"/>
  <c r="G5" i="21"/>
  <c r="H5" i="21"/>
  <c r="I5" i="21"/>
  <c r="J5" i="21"/>
  <c r="D5" i="21"/>
  <c r="C5" i="21"/>
  <c r="F33" i="61" l="1"/>
  <c r="F16" i="61"/>
  <c r="F30" i="61"/>
  <c r="F37" i="61"/>
  <c r="F29" i="61"/>
  <c r="F23" i="61"/>
  <c r="F18" i="61"/>
  <c r="F17" i="61"/>
  <c r="F36" i="61"/>
  <c r="F28" i="61"/>
  <c r="F15" i="61"/>
  <c r="F24" i="61"/>
  <c r="F20" i="61"/>
  <c r="F38" i="61"/>
  <c r="F27" i="61"/>
  <c r="F26" i="61"/>
  <c r="F32" i="61"/>
  <c r="F19" i="61"/>
  <c r="F35" i="61"/>
  <c r="F22" i="61"/>
  <c r="F14" i="61"/>
  <c r="I61" i="61"/>
  <c r="F39" i="61"/>
  <c r="F34" i="61"/>
  <c r="F25" i="61"/>
  <c r="F21" i="61"/>
  <c r="E41" i="10"/>
  <c r="D37" i="61" l="1"/>
  <c r="D36" i="30"/>
  <c r="I62" i="61"/>
  <c r="H62" i="61"/>
  <c r="Q73" i="59"/>
  <c r="P73" i="59"/>
  <c r="O73" i="59"/>
  <c r="N73" i="59"/>
  <c r="M73" i="59"/>
  <c r="L73" i="59"/>
  <c r="Q72" i="59"/>
  <c r="P72" i="59"/>
  <c r="O72" i="59"/>
  <c r="N72" i="59"/>
  <c r="M72" i="59"/>
  <c r="L72" i="59"/>
  <c r="Q71" i="59"/>
  <c r="P71" i="59"/>
  <c r="O71" i="59"/>
  <c r="N71" i="59"/>
  <c r="M71" i="59"/>
  <c r="L71" i="59"/>
  <c r="Q70" i="59"/>
  <c r="P70" i="59"/>
  <c r="O70" i="59"/>
  <c r="N70" i="59"/>
  <c r="M70" i="59"/>
  <c r="L70" i="59"/>
  <c r="Q69" i="59"/>
  <c r="P69" i="59"/>
  <c r="O69" i="59"/>
  <c r="N69" i="59"/>
  <c r="M69" i="59"/>
  <c r="L69" i="59"/>
  <c r="Q68" i="59"/>
  <c r="P68" i="59"/>
  <c r="O68" i="59"/>
  <c r="N68" i="59"/>
  <c r="M68" i="59"/>
  <c r="L68" i="59"/>
  <c r="Q67" i="59"/>
  <c r="P67" i="59"/>
  <c r="O67" i="59"/>
  <c r="N67" i="59"/>
  <c r="M67" i="59"/>
  <c r="L67" i="59"/>
  <c r="Q66" i="59"/>
  <c r="P66" i="59"/>
  <c r="O66" i="59"/>
  <c r="N66" i="59"/>
  <c r="M66" i="59"/>
  <c r="L66" i="59"/>
  <c r="Q65" i="59"/>
  <c r="P65" i="59"/>
  <c r="O65" i="59"/>
  <c r="N65" i="59"/>
  <c r="M65" i="59"/>
  <c r="L65" i="59"/>
  <c r="Q64" i="59"/>
  <c r="P64" i="59"/>
  <c r="O64" i="59"/>
  <c r="N64" i="59"/>
  <c r="M64" i="59"/>
  <c r="L64" i="59"/>
  <c r="Q63" i="59"/>
  <c r="P63" i="59"/>
  <c r="O63" i="59"/>
  <c r="N63" i="59"/>
  <c r="M63" i="59"/>
  <c r="L63" i="59"/>
  <c r="Q62" i="59"/>
  <c r="P62" i="59"/>
  <c r="O62" i="59"/>
  <c r="N62" i="59"/>
  <c r="M62" i="59"/>
  <c r="L62" i="59"/>
  <c r="Q61" i="59"/>
  <c r="P61" i="59"/>
  <c r="O61" i="59"/>
  <c r="N61" i="59"/>
  <c r="M61" i="59"/>
  <c r="L61" i="59"/>
  <c r="Q60" i="59"/>
  <c r="P60" i="59"/>
  <c r="O60" i="59"/>
  <c r="N60" i="59"/>
  <c r="M60" i="59"/>
  <c r="L60" i="59"/>
  <c r="Q59" i="59"/>
  <c r="P59" i="59"/>
  <c r="O59" i="59"/>
  <c r="N59" i="59"/>
  <c r="M59" i="59"/>
  <c r="L59" i="59"/>
  <c r="Q58" i="59"/>
  <c r="P58" i="59"/>
  <c r="O58" i="59"/>
  <c r="N58" i="59"/>
  <c r="M58" i="59"/>
  <c r="L58" i="59"/>
  <c r="Q57" i="59"/>
  <c r="P57" i="59"/>
  <c r="O57" i="59"/>
  <c r="N57" i="59"/>
  <c r="M57" i="59"/>
  <c r="L57" i="59"/>
  <c r="Q56" i="59"/>
  <c r="P56" i="59"/>
  <c r="O56" i="59"/>
  <c r="N56" i="59"/>
  <c r="M56" i="59"/>
  <c r="L56" i="59"/>
  <c r="Q55" i="59"/>
  <c r="P55" i="59"/>
  <c r="O55" i="59"/>
  <c r="N55" i="59"/>
  <c r="M55" i="59"/>
  <c r="L55" i="59"/>
  <c r="Q54" i="59"/>
  <c r="P54" i="59"/>
  <c r="O54" i="59"/>
  <c r="N54" i="59"/>
  <c r="M54" i="59"/>
  <c r="L54" i="59"/>
  <c r="Q53" i="59"/>
  <c r="P53" i="59"/>
  <c r="O53" i="59"/>
  <c r="N53" i="59"/>
  <c r="M53" i="59"/>
  <c r="L53" i="59"/>
  <c r="Q52" i="59"/>
  <c r="P52" i="59"/>
  <c r="O52" i="59"/>
  <c r="N52" i="59"/>
  <c r="M52" i="59"/>
  <c r="L52" i="59"/>
  <c r="Q51" i="59"/>
  <c r="P51" i="59"/>
  <c r="O51" i="59"/>
  <c r="N51" i="59"/>
  <c r="M51" i="59"/>
  <c r="L51" i="59"/>
  <c r="Q50" i="59"/>
  <c r="P50" i="59"/>
  <c r="O50" i="59"/>
  <c r="N50" i="59"/>
  <c r="M50" i="59"/>
  <c r="L50" i="59"/>
  <c r="Q49" i="59"/>
  <c r="P49" i="59"/>
  <c r="O49" i="59"/>
  <c r="N49" i="59"/>
  <c r="M49" i="59"/>
  <c r="L49" i="59"/>
  <c r="Q48" i="59"/>
  <c r="P48" i="59"/>
  <c r="O48" i="59"/>
  <c r="N48" i="59"/>
  <c r="M48" i="59"/>
  <c r="L48" i="59"/>
  <c r="Q47" i="59"/>
  <c r="P47" i="59"/>
  <c r="O47" i="59"/>
  <c r="N47" i="59"/>
  <c r="M47" i="59"/>
  <c r="L47" i="59"/>
  <c r="Q46" i="59"/>
  <c r="P46" i="59"/>
  <c r="O46" i="59"/>
  <c r="N46" i="59"/>
  <c r="M46" i="59"/>
  <c r="L46" i="59"/>
  <c r="Q45" i="59"/>
  <c r="P45" i="59"/>
  <c r="O45" i="59"/>
  <c r="N45" i="59"/>
  <c r="M45" i="59"/>
  <c r="L45" i="59"/>
  <c r="Q44" i="59"/>
  <c r="P44" i="59"/>
  <c r="O44" i="59"/>
  <c r="N44" i="59"/>
  <c r="M44" i="59"/>
  <c r="L44" i="59"/>
  <c r="Q43" i="59"/>
  <c r="P43" i="59"/>
  <c r="O43" i="59"/>
  <c r="N43" i="59"/>
  <c r="M43" i="59"/>
  <c r="L43" i="59"/>
  <c r="Q42" i="59"/>
  <c r="P42" i="59"/>
  <c r="O42" i="59"/>
  <c r="N42" i="59"/>
  <c r="M42" i="59"/>
  <c r="L42" i="59"/>
  <c r="Q41" i="59"/>
  <c r="P41" i="59"/>
  <c r="O41" i="59"/>
  <c r="N41" i="59"/>
  <c r="M41" i="59"/>
  <c r="L41" i="59"/>
  <c r="Q40" i="59"/>
  <c r="P40" i="59"/>
  <c r="O40" i="59"/>
  <c r="N40" i="59"/>
  <c r="M40" i="59"/>
  <c r="L40" i="59"/>
  <c r="Q39" i="59"/>
  <c r="P39" i="59"/>
  <c r="O39" i="59"/>
  <c r="N39" i="59"/>
  <c r="M39" i="59"/>
  <c r="L39" i="59"/>
  <c r="Q38" i="59"/>
  <c r="P38" i="59"/>
  <c r="O38" i="59"/>
  <c r="N38" i="59"/>
  <c r="M38" i="59"/>
  <c r="L38" i="59"/>
  <c r="Q37" i="59"/>
  <c r="P37" i="59"/>
  <c r="O37" i="59"/>
  <c r="N37" i="59"/>
  <c r="M37" i="59"/>
  <c r="L37" i="59"/>
  <c r="Q36" i="59"/>
  <c r="P36" i="59"/>
  <c r="O36" i="59"/>
  <c r="N36" i="59"/>
  <c r="M36" i="59"/>
  <c r="L36" i="59"/>
  <c r="Q35" i="59"/>
  <c r="P35" i="59"/>
  <c r="O35" i="59"/>
  <c r="N35" i="59"/>
  <c r="M35" i="59"/>
  <c r="L35" i="59"/>
  <c r="Q34" i="59"/>
  <c r="P34" i="59"/>
  <c r="O34" i="59"/>
  <c r="N34" i="59"/>
  <c r="M34" i="59"/>
  <c r="L34" i="59"/>
  <c r="Q33" i="59"/>
  <c r="P33" i="59"/>
  <c r="O33" i="59"/>
  <c r="N33" i="59"/>
  <c r="M33" i="59"/>
  <c r="L33" i="59"/>
  <c r="Q32" i="59"/>
  <c r="P32" i="59"/>
  <c r="O32" i="59"/>
  <c r="N32" i="59"/>
  <c r="M32" i="59"/>
  <c r="L32" i="59"/>
  <c r="Q31" i="59"/>
  <c r="P31" i="59"/>
  <c r="O31" i="59"/>
  <c r="N31" i="59"/>
  <c r="M31" i="59"/>
  <c r="L31" i="59"/>
  <c r="Q30" i="59"/>
  <c r="P30" i="59"/>
  <c r="O30" i="59"/>
  <c r="N30" i="59"/>
  <c r="M30" i="59"/>
  <c r="L30" i="59"/>
  <c r="Q29" i="59"/>
  <c r="P29" i="59"/>
  <c r="O29" i="59"/>
  <c r="N29" i="59"/>
  <c r="M29" i="59"/>
  <c r="L29" i="59"/>
  <c r="Q28" i="59"/>
  <c r="P28" i="59"/>
  <c r="O28" i="59"/>
  <c r="N28" i="59"/>
  <c r="M28" i="59"/>
  <c r="L28" i="59"/>
  <c r="Q27" i="59"/>
  <c r="P27" i="59"/>
  <c r="O27" i="59"/>
  <c r="N27" i="59"/>
  <c r="M27" i="59"/>
  <c r="L27" i="59"/>
  <c r="Q26" i="59"/>
  <c r="P26" i="59"/>
  <c r="O26" i="59"/>
  <c r="N26" i="59"/>
  <c r="M26" i="59"/>
  <c r="L26" i="59"/>
  <c r="Q25" i="59"/>
  <c r="P25" i="59"/>
  <c r="O25" i="59"/>
  <c r="N25" i="59"/>
  <c r="M25" i="59"/>
  <c r="L25" i="59"/>
  <c r="Q24" i="59"/>
  <c r="P24" i="59"/>
  <c r="O24" i="59"/>
  <c r="N24" i="59"/>
  <c r="M24" i="59"/>
  <c r="L24" i="59"/>
  <c r="Q23" i="59"/>
  <c r="P23" i="59"/>
  <c r="O23" i="59"/>
  <c r="N23" i="59"/>
  <c r="M23" i="59"/>
  <c r="L23" i="59"/>
  <c r="Q22" i="59"/>
  <c r="P22" i="59"/>
  <c r="O22" i="59"/>
  <c r="N22" i="59"/>
  <c r="M22" i="59"/>
  <c r="L22" i="59"/>
  <c r="Q21" i="59"/>
  <c r="P21" i="59"/>
  <c r="O21" i="59"/>
  <c r="N21" i="59"/>
  <c r="M21" i="59"/>
  <c r="L21" i="59"/>
  <c r="Q20" i="59"/>
  <c r="P20" i="59"/>
  <c r="O20" i="59"/>
  <c r="N20" i="59"/>
  <c r="M20" i="59"/>
  <c r="L20" i="59"/>
  <c r="Q19" i="59"/>
  <c r="P19" i="59"/>
  <c r="O19" i="59"/>
  <c r="N19" i="59"/>
  <c r="M19" i="59"/>
  <c r="L19" i="59"/>
  <c r="Q18" i="59"/>
  <c r="P18" i="59"/>
  <c r="O18" i="59"/>
  <c r="N18" i="59"/>
  <c r="M18" i="59"/>
  <c r="L18" i="59"/>
  <c r="Q17" i="59"/>
  <c r="P17" i="59"/>
  <c r="O17" i="59"/>
  <c r="N17" i="59"/>
  <c r="M17" i="59"/>
  <c r="L17" i="59"/>
  <c r="Q16" i="59"/>
  <c r="P16" i="59"/>
  <c r="O16" i="59"/>
  <c r="N16" i="59"/>
  <c r="M16" i="59"/>
  <c r="L16" i="59"/>
  <c r="Q15" i="59"/>
  <c r="P15" i="59"/>
  <c r="O15" i="59"/>
  <c r="N15" i="59"/>
  <c r="M15" i="59"/>
  <c r="L15" i="59"/>
  <c r="Q14" i="59"/>
  <c r="P14" i="59"/>
  <c r="O14" i="59"/>
  <c r="N14" i="59"/>
  <c r="M14" i="59"/>
  <c r="L14" i="59"/>
  <c r="Q13" i="59"/>
  <c r="P13" i="59"/>
  <c r="O13" i="59"/>
  <c r="N13" i="59"/>
  <c r="M13" i="59"/>
  <c r="L13" i="59"/>
  <c r="Q12" i="59"/>
  <c r="P12" i="59"/>
  <c r="O12" i="59"/>
  <c r="N12" i="59"/>
  <c r="M12" i="59"/>
  <c r="L12" i="59"/>
  <c r="Q11" i="59"/>
  <c r="P11" i="59"/>
  <c r="O11" i="59"/>
  <c r="N11" i="59"/>
  <c r="M11" i="59"/>
  <c r="L11" i="59"/>
  <c r="Q10" i="59"/>
  <c r="P10" i="59"/>
  <c r="O10" i="59"/>
  <c r="N10" i="59"/>
  <c r="M10" i="59"/>
  <c r="L10" i="59"/>
  <c r="Q9" i="59"/>
  <c r="P9" i="59"/>
  <c r="O9" i="59"/>
  <c r="N9" i="59"/>
  <c r="M9" i="59"/>
  <c r="L9" i="59"/>
  <c r="Q8" i="59"/>
  <c r="P8" i="59"/>
  <c r="O8" i="59"/>
  <c r="N8" i="59"/>
  <c r="M8" i="59"/>
  <c r="L8" i="59"/>
  <c r="Q7" i="59"/>
  <c r="P7" i="59"/>
  <c r="O7" i="59"/>
  <c r="N7" i="59"/>
  <c r="M7" i="59"/>
  <c r="L7" i="59"/>
  <c r="Q6" i="59"/>
  <c r="P6" i="59"/>
  <c r="O6" i="59"/>
  <c r="N6" i="59"/>
  <c r="M6" i="59"/>
  <c r="L6" i="59"/>
  <c r="A2" i="59"/>
  <c r="D161" i="30" l="1"/>
  <c r="D98" i="30"/>
  <c r="E785" i="58" l="1"/>
  <c r="E784" i="58"/>
  <c r="E783" i="58"/>
  <c r="E782" i="58"/>
  <c r="E781" i="58"/>
  <c r="E780" i="58"/>
  <c r="E779" i="58"/>
  <c r="E778" i="58"/>
  <c r="E777" i="58"/>
  <c r="E776" i="58"/>
  <c r="E775" i="58"/>
  <c r="E774" i="58"/>
  <c r="E773" i="58"/>
  <c r="E772" i="58"/>
  <c r="E771" i="58"/>
  <c r="E770" i="58"/>
  <c r="E769" i="58"/>
  <c r="E768" i="58"/>
  <c r="E767" i="58"/>
  <c r="E766" i="58"/>
  <c r="E765" i="58"/>
  <c r="E764" i="58"/>
  <c r="E763" i="58"/>
  <c r="E762" i="58"/>
  <c r="E761" i="58"/>
  <c r="E760" i="58"/>
  <c r="E759" i="58"/>
  <c r="E758" i="58"/>
  <c r="E757" i="58"/>
  <c r="E756" i="58"/>
  <c r="E755" i="58"/>
  <c r="E754" i="58"/>
  <c r="E753" i="58"/>
  <c r="E752" i="58"/>
  <c r="E751" i="58"/>
  <c r="E750" i="58"/>
  <c r="E749" i="58"/>
  <c r="E748" i="58"/>
  <c r="E747" i="58"/>
  <c r="E746" i="58"/>
  <c r="E745" i="58"/>
  <c r="E744" i="58"/>
  <c r="E743" i="58"/>
  <c r="E742" i="58"/>
  <c r="E741" i="58"/>
  <c r="E740" i="58"/>
  <c r="E739" i="58"/>
  <c r="E738" i="58"/>
  <c r="E737" i="58"/>
  <c r="E736" i="58"/>
  <c r="E735" i="58"/>
  <c r="E734" i="58"/>
  <c r="E733" i="58"/>
  <c r="E732" i="58"/>
  <c r="E731" i="58"/>
  <c r="E730" i="58"/>
  <c r="E729" i="58"/>
  <c r="E728" i="58"/>
  <c r="E727" i="58"/>
  <c r="E726" i="58"/>
  <c r="E725" i="58"/>
  <c r="E724" i="58"/>
  <c r="E723" i="58"/>
  <c r="E722" i="58"/>
  <c r="E721" i="58"/>
  <c r="E720" i="58"/>
  <c r="E719" i="58"/>
  <c r="E718" i="58"/>
  <c r="E717" i="58"/>
  <c r="E716" i="58"/>
  <c r="E715" i="58"/>
  <c r="E714" i="58"/>
  <c r="E713" i="58"/>
  <c r="E712" i="58"/>
  <c r="E711" i="58"/>
  <c r="E710" i="58"/>
  <c r="E709" i="58"/>
  <c r="E708" i="58"/>
  <c r="E707" i="58"/>
  <c r="E706" i="58"/>
  <c r="E705" i="58"/>
  <c r="E704" i="58"/>
  <c r="E703" i="58"/>
  <c r="E702" i="58"/>
  <c r="E701" i="58"/>
  <c r="E700" i="58"/>
  <c r="E699" i="58"/>
  <c r="E698" i="58"/>
  <c r="E697" i="58"/>
  <c r="E696" i="58"/>
  <c r="E695" i="58"/>
  <c r="E694" i="58"/>
  <c r="E693" i="58"/>
  <c r="E692" i="58"/>
  <c r="E691" i="58"/>
  <c r="E690" i="58"/>
  <c r="E689" i="58"/>
  <c r="E688" i="58"/>
  <c r="E687" i="58"/>
  <c r="E686" i="58"/>
  <c r="E685" i="58"/>
  <c r="E684" i="58"/>
  <c r="E683" i="58"/>
  <c r="E682" i="58"/>
  <c r="E681" i="58"/>
  <c r="E680" i="58"/>
  <c r="E679" i="58"/>
  <c r="E678" i="58"/>
  <c r="E677" i="58"/>
  <c r="E676" i="58"/>
  <c r="E675" i="58"/>
  <c r="E674" i="58"/>
  <c r="E673" i="58"/>
  <c r="E672" i="58"/>
  <c r="E671" i="58"/>
  <c r="E670" i="58"/>
  <c r="E669" i="58"/>
  <c r="E668" i="58"/>
  <c r="E667" i="58"/>
  <c r="E666" i="58"/>
  <c r="E665" i="58"/>
  <c r="E664" i="58"/>
  <c r="E663" i="58"/>
  <c r="E662" i="58"/>
  <c r="E661" i="58"/>
  <c r="E660" i="58"/>
  <c r="E659" i="58"/>
  <c r="E658" i="58"/>
  <c r="E657" i="58"/>
  <c r="E656" i="58"/>
  <c r="E655" i="58"/>
  <c r="E654" i="58"/>
  <c r="E653" i="58"/>
  <c r="E652" i="58"/>
  <c r="E651" i="58"/>
  <c r="E650" i="58"/>
  <c r="E649" i="58"/>
  <c r="E648" i="58"/>
  <c r="E647" i="58"/>
  <c r="E646" i="58"/>
  <c r="E645" i="58"/>
  <c r="E644" i="58"/>
  <c r="E643" i="58"/>
  <c r="E642" i="58"/>
  <c r="E641" i="58"/>
  <c r="E640" i="58"/>
  <c r="E639" i="58"/>
  <c r="E638" i="58"/>
  <c r="E637" i="58"/>
  <c r="E636" i="58"/>
  <c r="E635" i="58"/>
  <c r="E634" i="58"/>
  <c r="E633" i="58"/>
  <c r="E632" i="58"/>
  <c r="E631" i="58"/>
  <c r="E630" i="58"/>
  <c r="E629" i="58"/>
  <c r="E628" i="58"/>
  <c r="E627" i="58"/>
  <c r="E626" i="58"/>
  <c r="E625" i="58"/>
  <c r="E624" i="58"/>
  <c r="E623" i="58"/>
  <c r="E616" i="58"/>
  <c r="E615" i="58"/>
  <c r="E614" i="58"/>
  <c r="E613" i="58"/>
  <c r="E612" i="58"/>
  <c r="E611" i="58"/>
  <c r="E610" i="58"/>
  <c r="E609" i="58"/>
  <c r="E608" i="58"/>
  <c r="E607" i="58"/>
  <c r="E606" i="58"/>
  <c r="E605" i="58"/>
  <c r="E604" i="58"/>
  <c r="E603" i="58"/>
  <c r="E602" i="58"/>
  <c r="E601" i="58"/>
  <c r="E600" i="58"/>
  <c r="E599" i="58"/>
  <c r="E598" i="58"/>
  <c r="E597" i="58"/>
  <c r="E596" i="58"/>
  <c r="E595" i="58"/>
  <c r="E594" i="58"/>
  <c r="E593" i="58"/>
  <c r="E592" i="58"/>
  <c r="E591" i="58"/>
  <c r="E590" i="58"/>
  <c r="E589" i="58"/>
  <c r="E588" i="58"/>
  <c r="E587" i="58"/>
  <c r="E586" i="58"/>
  <c r="E585" i="58"/>
  <c r="E584" i="58"/>
  <c r="E583" i="58"/>
  <c r="E582" i="58"/>
  <c r="E581" i="58"/>
  <c r="E580" i="58"/>
  <c r="E579" i="58"/>
  <c r="E578" i="58"/>
  <c r="E577" i="58"/>
  <c r="E576" i="58"/>
  <c r="E575" i="58"/>
  <c r="E574" i="58"/>
  <c r="E573" i="58"/>
  <c r="E572" i="58"/>
  <c r="E571" i="58"/>
  <c r="E570" i="58"/>
  <c r="E569" i="58"/>
  <c r="E568" i="58"/>
  <c r="E567" i="58"/>
  <c r="E566" i="58"/>
  <c r="E565" i="58"/>
  <c r="E564" i="58"/>
  <c r="E563" i="58"/>
  <c r="E562" i="58"/>
  <c r="E561" i="58"/>
  <c r="E560" i="58"/>
  <c r="E559" i="58"/>
  <c r="E558" i="58"/>
  <c r="E557" i="58"/>
  <c r="E556" i="58"/>
  <c r="E555" i="58"/>
  <c r="E554" i="58"/>
  <c r="E553" i="58"/>
  <c r="E552" i="58"/>
  <c r="E551" i="58"/>
  <c r="E550" i="58"/>
  <c r="E549" i="58"/>
  <c r="E548" i="58"/>
  <c r="E547" i="58"/>
  <c r="E546" i="58"/>
  <c r="E545" i="58"/>
  <c r="E544" i="58"/>
  <c r="E543" i="58"/>
  <c r="E542" i="58"/>
  <c r="E541" i="58"/>
  <c r="E540" i="58"/>
  <c r="E539" i="58"/>
  <c r="E538" i="58"/>
  <c r="E537" i="58"/>
  <c r="E536" i="58"/>
  <c r="E535" i="58"/>
  <c r="E534" i="58"/>
  <c r="E533" i="58"/>
  <c r="E532" i="58"/>
  <c r="E531" i="58"/>
  <c r="E530" i="58"/>
  <c r="E529" i="58"/>
  <c r="E528" i="58"/>
  <c r="E527" i="58"/>
  <c r="E526" i="58"/>
  <c r="E525" i="58"/>
  <c r="E524" i="58"/>
  <c r="E523" i="58"/>
  <c r="E522" i="58"/>
  <c r="E521" i="58"/>
  <c r="E520" i="58"/>
  <c r="E519" i="58"/>
  <c r="E518" i="58"/>
  <c r="E517" i="58"/>
  <c r="E516" i="58"/>
  <c r="E515" i="58"/>
  <c r="E514" i="58"/>
  <c r="E513" i="58"/>
  <c r="E512" i="58"/>
  <c r="E511" i="58"/>
  <c r="E510" i="58"/>
  <c r="E509" i="58"/>
  <c r="E508" i="58"/>
  <c r="E507" i="58"/>
  <c r="E506" i="58"/>
  <c r="E505" i="58"/>
  <c r="E504" i="58"/>
  <c r="E503" i="58"/>
  <c r="E502" i="58"/>
  <c r="E501" i="58"/>
  <c r="E500" i="58"/>
  <c r="E499" i="58"/>
  <c r="E498" i="58"/>
  <c r="E497" i="58"/>
  <c r="E496" i="58"/>
  <c r="E495" i="58"/>
  <c r="E494" i="58"/>
  <c r="E493" i="58"/>
  <c r="E492" i="58"/>
  <c r="E491" i="58"/>
  <c r="E490" i="58"/>
  <c r="E489" i="58"/>
  <c r="E488" i="58"/>
  <c r="E487" i="58"/>
  <c r="E486" i="58"/>
  <c r="E485" i="58"/>
  <c r="E484" i="58"/>
  <c r="E483" i="58"/>
  <c r="E482" i="58"/>
  <c r="E481" i="58"/>
  <c r="E480" i="58"/>
  <c r="E479" i="58"/>
  <c r="E478" i="58"/>
  <c r="E477" i="58"/>
  <c r="E476" i="58"/>
  <c r="E475" i="58"/>
  <c r="E474" i="58"/>
  <c r="E473" i="58"/>
  <c r="E472" i="58"/>
  <c r="E471" i="58"/>
  <c r="E470" i="58"/>
  <c r="E469" i="58"/>
  <c r="E468" i="58"/>
  <c r="E467" i="58"/>
  <c r="E466" i="58"/>
  <c r="E465" i="58"/>
  <c r="E464" i="58"/>
  <c r="E463" i="58"/>
  <c r="E462" i="58"/>
  <c r="E461" i="58"/>
  <c r="E460" i="58"/>
  <c r="E459" i="58"/>
  <c r="E458" i="58"/>
  <c r="E457" i="58"/>
  <c r="E456" i="58"/>
  <c r="E455" i="58"/>
  <c r="E454" i="58"/>
  <c r="E453" i="58"/>
  <c r="E452" i="58"/>
  <c r="E451" i="58"/>
  <c r="E450" i="58"/>
  <c r="E449" i="58"/>
  <c r="E448" i="58"/>
  <c r="E447" i="58"/>
  <c r="E446" i="58"/>
  <c r="E445" i="58"/>
  <c r="E444" i="58"/>
  <c r="E443" i="58"/>
  <c r="E442" i="58"/>
  <c r="E441" i="58"/>
  <c r="E440" i="58"/>
  <c r="E439" i="58"/>
  <c r="E438" i="58"/>
  <c r="E437" i="58"/>
  <c r="E436" i="58"/>
  <c r="E435" i="58"/>
  <c r="E434" i="58"/>
  <c r="E433" i="58"/>
  <c r="E432" i="58"/>
  <c r="E431" i="58"/>
  <c r="E430" i="58"/>
  <c r="E429" i="58"/>
  <c r="E428" i="58"/>
  <c r="E427" i="58"/>
  <c r="E426" i="58"/>
  <c r="E425" i="58"/>
  <c r="E424" i="58"/>
  <c r="E423" i="58"/>
  <c r="E422" i="58"/>
  <c r="E421" i="58"/>
  <c r="E420" i="58"/>
  <c r="E419" i="58"/>
  <c r="E418" i="58"/>
  <c r="E417" i="58"/>
  <c r="E416" i="58"/>
  <c r="E415" i="58"/>
  <c r="E414" i="58"/>
  <c r="E413" i="58"/>
  <c r="E412" i="58"/>
  <c r="E411" i="58"/>
  <c r="E410" i="58"/>
  <c r="E409" i="58"/>
  <c r="E408" i="58"/>
  <c r="E407" i="58"/>
  <c r="E406" i="58"/>
  <c r="E405" i="58"/>
  <c r="E404" i="58"/>
  <c r="E403" i="58"/>
  <c r="E402" i="58"/>
  <c r="E401" i="58"/>
  <c r="E400" i="58"/>
  <c r="E399" i="58"/>
  <c r="E398" i="58"/>
  <c r="E397" i="58"/>
  <c r="E396" i="58"/>
  <c r="E395" i="58"/>
  <c r="E394" i="58"/>
  <c r="E393" i="58"/>
  <c r="E392" i="58"/>
  <c r="E391" i="58"/>
  <c r="E390" i="58"/>
  <c r="E389" i="58"/>
  <c r="E388" i="58"/>
  <c r="E387" i="58"/>
  <c r="E386" i="58"/>
  <c r="E385" i="58"/>
  <c r="E384" i="58"/>
  <c r="E383" i="58"/>
  <c r="E382" i="58"/>
  <c r="E381" i="58"/>
  <c r="E380" i="58"/>
  <c r="E379" i="58"/>
  <c r="E378" i="58"/>
  <c r="E377" i="58"/>
  <c r="E376" i="58"/>
  <c r="E375" i="58"/>
  <c r="E374" i="58"/>
  <c r="E373" i="58"/>
  <c r="E372" i="58"/>
  <c r="E371" i="58"/>
  <c r="E370" i="58"/>
  <c r="E369" i="58"/>
  <c r="E368" i="58"/>
  <c r="E367" i="58"/>
  <c r="E366" i="58"/>
  <c r="E365" i="58"/>
  <c r="E364" i="58"/>
  <c r="E363" i="58"/>
  <c r="E362" i="58"/>
  <c r="E361" i="58"/>
  <c r="E360" i="58"/>
  <c r="E359" i="58"/>
  <c r="E358" i="58"/>
  <c r="E357" i="58"/>
  <c r="E356" i="58"/>
  <c r="E355" i="58"/>
  <c r="E354" i="58"/>
  <c r="E353" i="58"/>
  <c r="E352" i="58"/>
  <c r="E351" i="58"/>
  <c r="E350" i="58"/>
  <c r="E349" i="58"/>
  <c r="E348" i="58"/>
  <c r="E347" i="58"/>
  <c r="E346" i="58"/>
  <c r="E345" i="58"/>
  <c r="E344" i="58"/>
  <c r="E343" i="58"/>
  <c r="E342" i="58"/>
  <c r="E341" i="58"/>
  <c r="E340" i="58"/>
  <c r="E339" i="58"/>
  <c r="E338" i="58"/>
  <c r="E337" i="58"/>
  <c r="E336" i="58"/>
  <c r="E335" i="58"/>
  <c r="E334" i="58"/>
  <c r="E333" i="58"/>
  <c r="E332" i="58"/>
  <c r="E331" i="58"/>
  <c r="E330" i="58"/>
  <c r="E329" i="58"/>
  <c r="E328" i="58"/>
  <c r="E327" i="58"/>
  <c r="E326" i="58"/>
  <c r="E325" i="58"/>
  <c r="E324" i="58"/>
  <c r="E323" i="58"/>
  <c r="E322" i="58"/>
  <c r="E321" i="58"/>
  <c r="E320" i="58"/>
  <c r="E319" i="58"/>
  <c r="E318" i="58"/>
  <c r="E317" i="58"/>
  <c r="E316" i="58"/>
  <c r="E315" i="58"/>
  <c r="E314" i="58"/>
  <c r="E313" i="58"/>
  <c r="E312" i="58"/>
  <c r="E311" i="58"/>
  <c r="E310" i="58"/>
  <c r="E309" i="58"/>
  <c r="E308" i="58"/>
  <c r="E307" i="58"/>
  <c r="E306" i="58"/>
  <c r="E305" i="58"/>
  <c r="E304" i="58"/>
  <c r="E303" i="58"/>
  <c r="E302" i="58"/>
  <c r="E301" i="58"/>
  <c r="E300" i="58"/>
  <c r="E299" i="58"/>
  <c r="E298" i="58"/>
  <c r="E297" i="58"/>
  <c r="E296" i="58"/>
  <c r="E295" i="58"/>
  <c r="E294" i="58"/>
  <c r="E293" i="58"/>
  <c r="E292" i="58"/>
  <c r="E291" i="58"/>
  <c r="E290" i="58"/>
  <c r="E289" i="58"/>
  <c r="E288" i="58"/>
  <c r="E287" i="58"/>
  <c r="E286" i="58"/>
  <c r="E285" i="58"/>
  <c r="E284" i="58"/>
  <c r="E283" i="58"/>
  <c r="E282" i="58"/>
  <c r="E281" i="58"/>
  <c r="E280" i="58"/>
  <c r="E279" i="58"/>
  <c r="E278" i="58"/>
  <c r="E277" i="58"/>
  <c r="E276" i="58"/>
  <c r="E275" i="58"/>
  <c r="E274" i="58"/>
  <c r="E273" i="58"/>
  <c r="E272" i="58"/>
  <c r="E271" i="58"/>
  <c r="E270" i="58"/>
  <c r="E269" i="58"/>
  <c r="E268" i="58"/>
  <c r="E267" i="58"/>
  <c r="E266" i="58"/>
  <c r="E265" i="58"/>
  <c r="E264" i="58"/>
  <c r="E263" i="58"/>
  <c r="E262" i="58"/>
  <c r="E261" i="58"/>
  <c r="E260" i="58"/>
  <c r="E259" i="58"/>
  <c r="E258" i="58"/>
  <c r="E257" i="58"/>
  <c r="E256" i="58"/>
  <c r="E255" i="58"/>
  <c r="E254" i="58"/>
  <c r="E253" i="58"/>
  <c r="E252" i="58"/>
  <c r="E251" i="58"/>
  <c r="E250" i="58"/>
  <c r="E249" i="58"/>
  <c r="E248" i="58"/>
  <c r="E247" i="58"/>
  <c r="E246" i="58"/>
  <c r="E245" i="58"/>
  <c r="E244" i="58"/>
  <c r="E243" i="58"/>
  <c r="E242" i="58"/>
  <c r="E241" i="58"/>
  <c r="E240" i="58"/>
  <c r="E239" i="58"/>
  <c r="E238" i="58"/>
  <c r="E237" i="58"/>
  <c r="E236" i="58"/>
  <c r="E235" i="58"/>
  <c r="E234" i="58"/>
  <c r="E233" i="58"/>
  <c r="E232" i="58"/>
  <c r="E231" i="58"/>
  <c r="E230" i="58"/>
  <c r="E229" i="58"/>
  <c r="E228" i="58"/>
  <c r="E227" i="58"/>
  <c r="E226" i="58"/>
  <c r="E225" i="58"/>
  <c r="E224" i="58"/>
  <c r="E223" i="58"/>
  <c r="E222" i="58"/>
  <c r="E221" i="58"/>
  <c r="E220" i="58"/>
  <c r="E219" i="58"/>
  <c r="E218" i="58"/>
  <c r="E217" i="58"/>
  <c r="E216" i="58"/>
  <c r="E215" i="58"/>
  <c r="E214" i="58"/>
  <c r="E213" i="58"/>
  <c r="E212" i="58"/>
  <c r="E211" i="58"/>
  <c r="E210" i="58"/>
  <c r="E209" i="58"/>
  <c r="E208" i="58"/>
  <c r="E207" i="58"/>
  <c r="E206" i="58"/>
  <c r="E205" i="58"/>
  <c r="E204" i="58"/>
  <c r="E203" i="58"/>
  <c r="E202" i="58"/>
  <c r="E201" i="58"/>
  <c r="E200" i="58"/>
  <c r="E199" i="58"/>
  <c r="E198" i="58"/>
  <c r="E197" i="58"/>
  <c r="E196" i="58"/>
  <c r="E195" i="58"/>
  <c r="E194" i="58"/>
  <c r="E193" i="58"/>
  <c r="E192" i="58"/>
  <c r="E191" i="58"/>
  <c r="E190" i="58"/>
  <c r="E189" i="58"/>
  <c r="E188" i="58"/>
  <c r="E187" i="58"/>
  <c r="E186" i="58"/>
  <c r="E185" i="58"/>
  <c r="E184" i="58"/>
  <c r="E183" i="58"/>
  <c r="E182" i="58"/>
  <c r="E181" i="58"/>
  <c r="E180" i="58"/>
  <c r="E179" i="58"/>
  <c r="E178" i="58"/>
  <c r="E177" i="58"/>
  <c r="E176" i="58"/>
  <c r="E175" i="58"/>
  <c r="E174" i="58"/>
  <c r="E173" i="58"/>
  <c r="E172" i="58"/>
  <c r="E171" i="58"/>
  <c r="E170" i="58"/>
  <c r="E169" i="58"/>
  <c r="E168" i="58"/>
  <c r="E167" i="58"/>
  <c r="E166" i="58"/>
  <c r="E165" i="58"/>
  <c r="E164" i="58"/>
  <c r="E163" i="58"/>
  <c r="E162" i="58"/>
  <c r="E161" i="58"/>
  <c r="E160" i="58"/>
  <c r="E159" i="58"/>
  <c r="E158" i="58"/>
  <c r="E157" i="58"/>
  <c r="E156" i="58"/>
  <c r="E155" i="58"/>
  <c r="E154" i="58"/>
  <c r="E153" i="58"/>
  <c r="E152" i="58"/>
  <c r="E151" i="58"/>
  <c r="E150" i="58"/>
  <c r="E149" i="58"/>
  <c r="E148" i="58"/>
  <c r="E147" i="58"/>
  <c r="E146" i="58"/>
  <c r="E145" i="58"/>
  <c r="E144" i="58"/>
  <c r="E143" i="58"/>
  <c r="E142" i="58"/>
  <c r="E141" i="58"/>
  <c r="E140" i="58"/>
  <c r="E139" i="58"/>
  <c r="E138" i="58"/>
  <c r="E137" i="58"/>
  <c r="E136" i="58"/>
  <c r="E135" i="58"/>
  <c r="E134" i="58"/>
  <c r="E133" i="58"/>
  <c r="E132" i="58"/>
  <c r="E131" i="58"/>
  <c r="E130" i="58"/>
  <c r="E129" i="58"/>
  <c r="E128" i="58"/>
  <c r="E127" i="58"/>
  <c r="E126" i="58"/>
  <c r="E125" i="58"/>
  <c r="E124" i="58"/>
  <c r="E123" i="58"/>
  <c r="E122" i="58"/>
  <c r="E121" i="58"/>
  <c r="E120" i="58"/>
  <c r="E119" i="58"/>
  <c r="E118" i="58"/>
  <c r="E117" i="58"/>
  <c r="E116" i="58"/>
  <c r="E115" i="58"/>
  <c r="E114" i="58"/>
  <c r="E113" i="58"/>
  <c r="E112" i="58"/>
  <c r="E111" i="58"/>
  <c r="E110" i="58"/>
  <c r="E109" i="58"/>
  <c r="E108" i="58"/>
  <c r="E107" i="58"/>
  <c r="E106" i="58"/>
  <c r="E105" i="58"/>
  <c r="E104" i="58"/>
  <c r="E103" i="58"/>
  <c r="E102" i="58"/>
  <c r="E101" i="58"/>
  <c r="E100" i="58"/>
  <c r="E99" i="58"/>
  <c r="E98" i="58"/>
  <c r="E97" i="58"/>
  <c r="E96" i="58"/>
  <c r="E95" i="58"/>
  <c r="E94" i="58"/>
  <c r="E93" i="58"/>
  <c r="E92" i="58"/>
  <c r="E91" i="58"/>
  <c r="E90" i="58"/>
  <c r="E89" i="58"/>
  <c r="E88" i="58"/>
  <c r="E87" i="58"/>
  <c r="E86" i="58"/>
  <c r="E85" i="58"/>
  <c r="E84" i="58"/>
  <c r="E83" i="58"/>
  <c r="E82" i="58"/>
  <c r="E81" i="58"/>
  <c r="E80" i="58"/>
  <c r="E79" i="58"/>
  <c r="E78" i="58"/>
  <c r="E77" i="58"/>
  <c r="E76" i="58"/>
  <c r="E75" i="58"/>
  <c r="E74" i="58"/>
  <c r="E73" i="58"/>
  <c r="E72" i="58"/>
  <c r="E71" i="58"/>
  <c r="E70" i="58"/>
  <c r="E69" i="58"/>
  <c r="E68" i="58"/>
  <c r="E67" i="58"/>
  <c r="E66" i="58"/>
  <c r="E65" i="58"/>
  <c r="E64" i="58"/>
  <c r="E63" i="58"/>
  <c r="E62" i="58"/>
  <c r="E61" i="58"/>
  <c r="E60" i="58"/>
  <c r="E59" i="58"/>
  <c r="E58" i="58"/>
  <c r="E57" i="58"/>
  <c r="E56" i="58"/>
  <c r="E55" i="58"/>
  <c r="E54" i="58"/>
  <c r="E53" i="58"/>
  <c r="E52" i="58"/>
  <c r="E51" i="58"/>
  <c r="E50" i="58"/>
  <c r="E49" i="58"/>
  <c r="E48" i="58"/>
  <c r="E47" i="58"/>
  <c r="E46" i="58"/>
  <c r="E45" i="58"/>
  <c r="E44" i="58"/>
  <c r="E43" i="58"/>
  <c r="E42" i="58"/>
  <c r="E41" i="58"/>
  <c r="E40" i="58"/>
  <c r="E39" i="58"/>
  <c r="E38" i="58"/>
  <c r="E37" i="58"/>
  <c r="E36" i="58"/>
  <c r="E35" i="58"/>
  <c r="E34" i="58"/>
  <c r="E33" i="58"/>
  <c r="E32" i="58"/>
  <c r="E31" i="58"/>
  <c r="E30" i="58"/>
  <c r="E29" i="58"/>
  <c r="E28" i="58"/>
  <c r="E27" i="58"/>
  <c r="E26" i="58"/>
  <c r="E25" i="58"/>
  <c r="E24" i="58"/>
  <c r="E23" i="58"/>
  <c r="E22" i="58"/>
  <c r="E21" i="58"/>
  <c r="E20" i="58"/>
  <c r="E19" i="58"/>
  <c r="E18" i="58"/>
  <c r="E17" i="58"/>
  <c r="E16" i="58"/>
  <c r="E15" i="58"/>
  <c r="E14" i="58"/>
  <c r="E13" i="58"/>
  <c r="E12" i="58"/>
  <c r="E11" i="58"/>
  <c r="E10" i="58"/>
  <c r="E9" i="58"/>
  <c r="E8" i="58"/>
  <c r="E4" i="58"/>
  <c r="E170" i="57"/>
  <c r="E169" i="57"/>
  <c r="E168" i="57"/>
  <c r="E167" i="57"/>
  <c r="E166" i="57"/>
  <c r="E165" i="57"/>
  <c r="E164" i="57"/>
  <c r="E163" i="57"/>
  <c r="E162" i="57"/>
  <c r="E161" i="57"/>
  <c r="E160" i="57"/>
  <c r="E159" i="57"/>
  <c r="E158" i="57"/>
  <c r="E157" i="57"/>
  <c r="E156" i="57"/>
  <c r="E155" i="57"/>
  <c r="E154" i="57"/>
  <c r="E153" i="57"/>
  <c r="E152" i="57"/>
  <c r="E151" i="57"/>
  <c r="E150" i="57"/>
  <c r="E149" i="57"/>
  <c r="E148" i="57"/>
  <c r="E147" i="57"/>
  <c r="E146" i="57"/>
  <c r="E145" i="57"/>
  <c r="E144" i="57"/>
  <c r="E143" i="57"/>
  <c r="E142" i="57"/>
  <c r="E141" i="57"/>
  <c r="E140" i="57"/>
  <c r="E139" i="57"/>
  <c r="E138" i="57"/>
  <c r="E137" i="57"/>
  <c r="E136" i="57"/>
  <c r="E135" i="57"/>
  <c r="E134" i="57"/>
  <c r="E133" i="57"/>
  <c r="E132" i="57"/>
  <c r="E131" i="57"/>
  <c r="E130" i="57"/>
  <c r="E129" i="57"/>
  <c r="E128" i="57"/>
  <c r="E127" i="57"/>
  <c r="E126" i="57"/>
  <c r="E125" i="57"/>
  <c r="E124" i="57"/>
  <c r="E123" i="57"/>
  <c r="E122" i="57"/>
  <c r="E121" i="57"/>
  <c r="E120" i="57"/>
  <c r="E119" i="57"/>
  <c r="E118" i="57"/>
  <c r="E117" i="57"/>
  <c r="E116" i="57"/>
  <c r="E115" i="57"/>
  <c r="E114" i="57"/>
  <c r="E113" i="57"/>
  <c r="E112" i="57"/>
  <c r="E111" i="57"/>
  <c r="E110" i="57"/>
  <c r="E109" i="57"/>
  <c r="E108" i="57"/>
  <c r="E107" i="57"/>
  <c r="E106" i="57"/>
  <c r="E105" i="57"/>
  <c r="E104" i="57"/>
  <c r="E103" i="57"/>
  <c r="E102" i="57"/>
  <c r="E101" i="57"/>
  <c r="E100" i="57"/>
  <c r="E99" i="57"/>
  <c r="E98" i="57"/>
  <c r="E97" i="57"/>
  <c r="E96" i="57"/>
  <c r="E95" i="57"/>
  <c r="E94" i="57"/>
  <c r="E93" i="57"/>
  <c r="E92" i="57"/>
  <c r="E91" i="57"/>
  <c r="E90" i="57"/>
  <c r="E89" i="57"/>
  <c r="E88" i="57"/>
  <c r="E87" i="57"/>
  <c r="E86" i="57"/>
  <c r="E85" i="57"/>
  <c r="E84" i="57"/>
  <c r="E83" i="57"/>
  <c r="E82" i="57"/>
  <c r="E81" i="57"/>
  <c r="E80" i="57"/>
  <c r="E79" i="57"/>
  <c r="E78" i="57"/>
  <c r="E77" i="57"/>
  <c r="E76" i="57"/>
  <c r="E75" i="57"/>
  <c r="E74" i="57"/>
  <c r="E73" i="57"/>
  <c r="E72" i="57"/>
  <c r="E71" i="57"/>
  <c r="E70" i="57"/>
  <c r="E69" i="57"/>
  <c r="E68" i="57"/>
  <c r="E67" i="57"/>
  <c r="E66" i="57"/>
  <c r="E65" i="57"/>
  <c r="E64" i="57"/>
  <c r="E63" i="57"/>
  <c r="E62" i="57"/>
  <c r="E61" i="57"/>
  <c r="E60" i="57"/>
  <c r="E59" i="57"/>
  <c r="E58" i="57"/>
  <c r="E57" i="57"/>
  <c r="E56" i="57"/>
  <c r="E55" i="57"/>
  <c r="E54" i="57"/>
  <c r="E53" i="57"/>
  <c r="E52" i="57"/>
  <c r="E51" i="57"/>
  <c r="E50" i="57"/>
  <c r="E49" i="57"/>
  <c r="E48" i="57"/>
  <c r="E47" i="57"/>
  <c r="E46" i="57"/>
  <c r="E45" i="57"/>
  <c r="E44" i="57"/>
  <c r="E43" i="57"/>
  <c r="E42" i="57"/>
  <c r="E41" i="57"/>
  <c r="E40" i="57"/>
  <c r="E39" i="57"/>
  <c r="E38" i="57"/>
  <c r="E37" i="57"/>
  <c r="E36" i="57"/>
  <c r="E35" i="57"/>
  <c r="E34" i="57"/>
  <c r="E33" i="57"/>
  <c r="E32" i="57"/>
  <c r="E31" i="57"/>
  <c r="E30" i="57"/>
  <c r="E29" i="57"/>
  <c r="E28" i="57"/>
  <c r="E27" i="57"/>
  <c r="E26" i="57"/>
  <c r="E25" i="57"/>
  <c r="E24" i="57"/>
  <c r="E23" i="57"/>
  <c r="E22" i="57"/>
  <c r="E21" i="57"/>
  <c r="E20" i="57"/>
  <c r="E19" i="57"/>
  <c r="E18" i="57"/>
  <c r="E17" i="57"/>
  <c r="E16" i="57"/>
  <c r="E15" i="57"/>
  <c r="E14" i="57"/>
  <c r="E13" i="57"/>
  <c r="E12" i="57"/>
  <c r="E11" i="57"/>
  <c r="E10" i="57"/>
  <c r="E9" i="57"/>
  <c r="E8" i="57"/>
  <c r="E7" i="57"/>
  <c r="A14" i="56"/>
  <c r="A13" i="56"/>
  <c r="D23" i="56" l="1"/>
  <c r="D27" i="56"/>
  <c r="D13" i="56"/>
  <c r="E17" i="56"/>
  <c r="E27" i="56"/>
  <c r="E24" i="56"/>
  <c r="D25" i="56"/>
  <c r="D19" i="56"/>
  <c r="E14" i="56"/>
  <c r="E19" i="56"/>
  <c r="E20" i="56"/>
  <c r="E15" i="56"/>
  <c r="D21" i="56"/>
  <c r="E26" i="56"/>
  <c r="D15" i="56"/>
  <c r="E25" i="56"/>
  <c r="I63" i="63" s="1"/>
  <c r="E16" i="56"/>
  <c r="E21" i="56"/>
  <c r="D17" i="56"/>
  <c r="E22" i="56"/>
  <c r="E13" i="56"/>
  <c r="E18" i="56"/>
  <c r="E23" i="56"/>
  <c r="K63" i="63" s="1"/>
  <c r="D26" i="56"/>
  <c r="A15" i="56"/>
  <c r="D14" i="56"/>
  <c r="F14" i="56" s="1"/>
  <c r="D16" i="56"/>
  <c r="R62" i="63" s="1"/>
  <c r="D18" i="56"/>
  <c r="D20" i="56"/>
  <c r="D22" i="56"/>
  <c r="D24" i="56"/>
  <c r="A16" i="56"/>
  <c r="J63" i="37" l="1"/>
  <c r="J63" i="63"/>
  <c r="S63" i="37"/>
  <c r="S63" i="63"/>
  <c r="Q63" i="37"/>
  <c r="Q63" i="63"/>
  <c r="H63" i="37"/>
  <c r="H63" i="63"/>
  <c r="L63" i="37"/>
  <c r="L63" i="63"/>
  <c r="N63" i="37"/>
  <c r="N63" i="63"/>
  <c r="P63" i="37"/>
  <c r="P63" i="63"/>
  <c r="M63" i="37"/>
  <c r="M63" i="63"/>
  <c r="O63" i="37"/>
  <c r="O63" i="63"/>
  <c r="G63" i="37"/>
  <c r="G63" i="63"/>
  <c r="R63" i="37"/>
  <c r="R63" i="63"/>
  <c r="R64" i="63" s="1"/>
  <c r="R70" i="63" s="1"/>
  <c r="S62" i="37"/>
  <c r="S64" i="37" s="1"/>
  <c r="S62" i="63"/>
  <c r="N62" i="37"/>
  <c r="N62" i="63"/>
  <c r="M62" i="37"/>
  <c r="M62" i="63"/>
  <c r="M64" i="63" s="1"/>
  <c r="M70" i="63" s="1"/>
  <c r="J62" i="37"/>
  <c r="J64" i="37" s="1"/>
  <c r="J62" i="63"/>
  <c r="J64" i="63" s="1"/>
  <c r="J70" i="63" s="1"/>
  <c r="P62" i="37"/>
  <c r="P64" i="37" s="1"/>
  <c r="P62" i="63"/>
  <c r="Q62" i="37"/>
  <c r="Q62" i="63"/>
  <c r="Q64" i="63" s="1"/>
  <c r="Q70" i="63" s="1"/>
  <c r="H62" i="37"/>
  <c r="H62" i="63"/>
  <c r="I62" i="37"/>
  <c r="I64" i="37" s="1"/>
  <c r="I62" i="63"/>
  <c r="I64" i="63" s="1"/>
  <c r="I70" i="63" s="1"/>
  <c r="G62" i="37"/>
  <c r="G64" i="37" s="1"/>
  <c r="G62" i="63"/>
  <c r="F27" i="56"/>
  <c r="O62" i="37"/>
  <c r="O64" i="37" s="1"/>
  <c r="O62" i="63"/>
  <c r="O64" i="63" s="1"/>
  <c r="O70" i="63" s="1"/>
  <c r="L62" i="37"/>
  <c r="L64" i="37" s="1"/>
  <c r="L62" i="63"/>
  <c r="L64" i="63" s="1"/>
  <c r="L70" i="63" s="1"/>
  <c r="K62" i="37"/>
  <c r="K62" i="63"/>
  <c r="K64" i="63" s="1"/>
  <c r="K70" i="63" s="1"/>
  <c r="F25" i="56"/>
  <c r="I63" i="37"/>
  <c r="F23" i="56"/>
  <c r="K63" i="37"/>
  <c r="Q64" i="37"/>
  <c r="F16" i="56"/>
  <c r="R62" i="37"/>
  <c r="R64" i="37" s="1"/>
  <c r="F24" i="56"/>
  <c r="F17" i="56"/>
  <c r="F13" i="56"/>
  <c r="F26" i="56"/>
  <c r="I72" i="46"/>
  <c r="F19" i="56"/>
  <c r="F20" i="56"/>
  <c r="F21" i="56"/>
  <c r="F15" i="56"/>
  <c r="F22" i="56"/>
  <c r="F18" i="56"/>
  <c r="E29" i="56"/>
  <c r="D29" i="56"/>
  <c r="A17" i="56"/>
  <c r="H64" i="37" l="1"/>
  <c r="N64" i="63"/>
  <c r="N70" i="63" s="1"/>
  <c r="F63" i="63"/>
  <c r="N64" i="37"/>
  <c r="M64" i="37"/>
  <c r="P64" i="63"/>
  <c r="P70" i="63" s="1"/>
  <c r="S64" i="63"/>
  <c r="S70" i="63" s="1"/>
  <c r="H64" i="63"/>
  <c r="H77" i="63"/>
  <c r="K64" i="37"/>
  <c r="F62" i="63"/>
  <c r="G64" i="63"/>
  <c r="F63" i="37"/>
  <c r="F62" i="37"/>
  <c r="H70" i="37"/>
  <c r="F29" i="56"/>
  <c r="A18" i="56"/>
  <c r="G70" i="63" l="1"/>
  <c r="F64" i="63"/>
  <c r="H70" i="63"/>
  <c r="H66" i="63"/>
  <c r="H78" i="63" s="1"/>
  <c r="F64" i="37"/>
  <c r="A19" i="56"/>
  <c r="A20" i="56" s="1"/>
  <c r="A21" i="56" s="1"/>
  <c r="H74" i="63" l="1"/>
  <c r="F70" i="63"/>
  <c r="A22" i="56"/>
  <c r="A23" i="56" s="1"/>
  <c r="A24" i="56" s="1"/>
  <c r="A25" i="56" l="1"/>
  <c r="A26" i="56" s="1"/>
  <c r="A29" i="56" s="1"/>
  <c r="C1" i="55" l="1"/>
  <c r="C1" i="54"/>
  <c r="C1" i="51"/>
  <c r="C1" i="52"/>
  <c r="D14" i="55" l="1"/>
  <c r="E68" i="54"/>
  <c r="F66" i="55"/>
  <c r="F65" i="55"/>
  <c r="D59" i="55"/>
  <c r="E58" i="55"/>
  <c r="D58" i="55" s="1"/>
  <c r="A58" i="55"/>
  <c r="B58" i="55" s="1"/>
  <c r="G58" i="55" s="1"/>
  <c r="E57" i="55"/>
  <c r="D57" i="55"/>
  <c r="A57" i="55"/>
  <c r="B57" i="55" s="1"/>
  <c r="E56" i="55"/>
  <c r="D56" i="55" s="1"/>
  <c r="B56" i="55"/>
  <c r="G56" i="55" s="1"/>
  <c r="A56" i="55"/>
  <c r="E55" i="55"/>
  <c r="D55" i="55" s="1"/>
  <c r="A55" i="55"/>
  <c r="B55" i="55" s="1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X13" i="55"/>
  <c r="W13" i="55"/>
  <c r="V13" i="55"/>
  <c r="U13" i="55"/>
  <c r="U12" i="55"/>
  <c r="H12" i="55"/>
  <c r="I12" i="55" s="1"/>
  <c r="G12" i="55"/>
  <c r="E67" i="54"/>
  <c r="C58" i="54"/>
  <c r="B57" i="54"/>
  <c r="B56" i="54"/>
  <c r="B55" i="54"/>
  <c r="B54" i="54"/>
  <c r="B53" i="54"/>
  <c r="B52" i="54"/>
  <c r="B51" i="54"/>
  <c r="B50" i="54"/>
  <c r="B49" i="54"/>
  <c r="B48" i="54"/>
  <c r="B47" i="54"/>
  <c r="B46" i="54"/>
  <c r="B45" i="54"/>
  <c r="B44" i="54"/>
  <c r="B43" i="54"/>
  <c r="B42" i="54"/>
  <c r="B41" i="54"/>
  <c r="B40" i="54"/>
  <c r="B39" i="54"/>
  <c r="B38" i="54"/>
  <c r="B37" i="54"/>
  <c r="B36" i="54"/>
  <c r="B35" i="54"/>
  <c r="B34" i="54"/>
  <c r="B33" i="54"/>
  <c r="B32" i="54"/>
  <c r="B31" i="54"/>
  <c r="B30" i="54"/>
  <c r="B29" i="54"/>
  <c r="B28" i="54"/>
  <c r="B27" i="54"/>
  <c r="B26" i="54"/>
  <c r="B25" i="54"/>
  <c r="B24" i="54"/>
  <c r="B23" i="54"/>
  <c r="B22" i="54"/>
  <c r="B21" i="54"/>
  <c r="B20" i="54"/>
  <c r="B19" i="54"/>
  <c r="B18" i="54"/>
  <c r="B17" i="54"/>
  <c r="B16" i="54"/>
  <c r="B15" i="54"/>
  <c r="B14" i="54"/>
  <c r="B13" i="54"/>
  <c r="E108" i="46"/>
  <c r="S24" i="54" l="1"/>
  <c r="K24" i="54"/>
  <c r="N24" i="54"/>
  <c r="M24" i="54"/>
  <c r="L24" i="54"/>
  <c r="J24" i="54"/>
  <c r="R24" i="54"/>
  <c r="Q24" i="54"/>
  <c r="P24" i="54"/>
  <c r="O24" i="54"/>
  <c r="I24" i="54"/>
  <c r="L56" i="54"/>
  <c r="S56" i="54"/>
  <c r="K56" i="54"/>
  <c r="R56" i="54"/>
  <c r="Q56" i="54"/>
  <c r="P56" i="54"/>
  <c r="O56" i="54"/>
  <c r="N56" i="54"/>
  <c r="M56" i="54"/>
  <c r="J56" i="54"/>
  <c r="I56" i="54"/>
  <c r="L41" i="54"/>
  <c r="S41" i="54"/>
  <c r="K41" i="54"/>
  <c r="N41" i="54"/>
  <c r="M41" i="54"/>
  <c r="J41" i="54"/>
  <c r="I41" i="54"/>
  <c r="Q41" i="54"/>
  <c r="P41" i="54"/>
  <c r="O41" i="54"/>
  <c r="R41" i="54"/>
  <c r="S18" i="54"/>
  <c r="K18" i="54"/>
  <c r="R18" i="54"/>
  <c r="I18" i="54"/>
  <c r="Q18" i="54"/>
  <c r="P18" i="54"/>
  <c r="O18" i="54"/>
  <c r="J18" i="54"/>
  <c r="N18" i="54"/>
  <c r="L18" i="54"/>
  <c r="M18" i="54"/>
  <c r="S26" i="54"/>
  <c r="K26" i="54"/>
  <c r="R26" i="54"/>
  <c r="I26" i="54"/>
  <c r="Q26" i="54"/>
  <c r="P26" i="54"/>
  <c r="O26" i="54"/>
  <c r="N26" i="54"/>
  <c r="L26" i="54"/>
  <c r="M26" i="54"/>
  <c r="J26" i="54"/>
  <c r="L34" i="54"/>
  <c r="S34" i="54"/>
  <c r="K34" i="54"/>
  <c r="R34" i="54"/>
  <c r="Q34" i="54"/>
  <c r="P34" i="54"/>
  <c r="O34" i="54"/>
  <c r="I34" i="54"/>
  <c r="J34" i="54"/>
  <c r="N34" i="54"/>
  <c r="M34" i="54"/>
  <c r="L42" i="54"/>
  <c r="S42" i="54"/>
  <c r="K42" i="54"/>
  <c r="R42" i="54"/>
  <c r="N42" i="54"/>
  <c r="Q42" i="54"/>
  <c r="P42" i="54"/>
  <c r="O42" i="54"/>
  <c r="I42" i="54"/>
  <c r="M42" i="54"/>
  <c r="J42" i="54"/>
  <c r="L50" i="54"/>
  <c r="S50" i="54"/>
  <c r="K50" i="54"/>
  <c r="R50" i="54"/>
  <c r="N50" i="54"/>
  <c r="Q50" i="54"/>
  <c r="P50" i="54"/>
  <c r="O50" i="54"/>
  <c r="I50" i="54"/>
  <c r="M50" i="54"/>
  <c r="J50" i="54"/>
  <c r="L33" i="54"/>
  <c r="S33" i="54"/>
  <c r="K33" i="54"/>
  <c r="N33" i="54"/>
  <c r="M33" i="54"/>
  <c r="J33" i="54"/>
  <c r="I33" i="54"/>
  <c r="R33" i="54"/>
  <c r="Q33" i="54"/>
  <c r="P33" i="54"/>
  <c r="O33" i="54"/>
  <c r="S19" i="54"/>
  <c r="K19" i="54"/>
  <c r="L19" i="54"/>
  <c r="J19" i="54"/>
  <c r="R19" i="54"/>
  <c r="I19" i="54"/>
  <c r="Q19" i="54"/>
  <c r="P19" i="54"/>
  <c r="O19" i="54"/>
  <c r="N19" i="54"/>
  <c r="M19" i="54"/>
  <c r="L43" i="54"/>
  <c r="S43" i="54"/>
  <c r="K43" i="54"/>
  <c r="N43" i="54"/>
  <c r="M43" i="54"/>
  <c r="R43" i="54"/>
  <c r="J43" i="54"/>
  <c r="I43" i="54"/>
  <c r="P43" i="54"/>
  <c r="O43" i="54"/>
  <c r="Q43" i="54"/>
  <c r="L36" i="54"/>
  <c r="S36" i="54"/>
  <c r="K36" i="54"/>
  <c r="R36" i="54"/>
  <c r="Q36" i="54"/>
  <c r="P36" i="54"/>
  <c r="O36" i="54"/>
  <c r="M36" i="54"/>
  <c r="J36" i="54"/>
  <c r="N36" i="54"/>
  <c r="I36" i="54"/>
  <c r="L52" i="54"/>
  <c r="S52" i="54"/>
  <c r="K52" i="54"/>
  <c r="R52" i="54"/>
  <c r="Q52" i="54"/>
  <c r="P52" i="54"/>
  <c r="O52" i="54"/>
  <c r="N52" i="54"/>
  <c r="M52" i="54"/>
  <c r="J52" i="54"/>
  <c r="I52" i="54"/>
  <c r="S21" i="54"/>
  <c r="K21" i="54"/>
  <c r="P21" i="54"/>
  <c r="O21" i="54"/>
  <c r="N21" i="54"/>
  <c r="M21" i="54"/>
  <c r="J21" i="54"/>
  <c r="R21" i="54"/>
  <c r="L21" i="54"/>
  <c r="I21" i="54"/>
  <c r="Q21" i="54"/>
  <c r="S29" i="54"/>
  <c r="K29" i="54"/>
  <c r="P29" i="54"/>
  <c r="O29" i="54"/>
  <c r="N29" i="54"/>
  <c r="M29" i="54"/>
  <c r="R29" i="54"/>
  <c r="J29" i="54"/>
  <c r="I29" i="54"/>
  <c r="Q29" i="54"/>
  <c r="L29" i="54"/>
  <c r="L37" i="54"/>
  <c r="S37" i="54"/>
  <c r="K37" i="54"/>
  <c r="N37" i="54"/>
  <c r="M37" i="54"/>
  <c r="J37" i="54"/>
  <c r="I37" i="54"/>
  <c r="Q37" i="54"/>
  <c r="P37" i="54"/>
  <c r="R37" i="54"/>
  <c r="O37" i="54"/>
  <c r="L45" i="54"/>
  <c r="S45" i="54"/>
  <c r="K45" i="54"/>
  <c r="N45" i="54"/>
  <c r="M45" i="54"/>
  <c r="R45" i="54"/>
  <c r="J45" i="54"/>
  <c r="I45" i="54"/>
  <c r="P45" i="54"/>
  <c r="Q45" i="54"/>
  <c r="O45" i="54"/>
  <c r="L53" i="54"/>
  <c r="S53" i="54"/>
  <c r="K53" i="54"/>
  <c r="N53" i="54"/>
  <c r="R53" i="54"/>
  <c r="M53" i="54"/>
  <c r="J53" i="54"/>
  <c r="I53" i="54"/>
  <c r="O53" i="54"/>
  <c r="Q53" i="54"/>
  <c r="P53" i="54"/>
  <c r="S16" i="54"/>
  <c r="N16" i="54"/>
  <c r="M16" i="54"/>
  <c r="L16" i="54"/>
  <c r="K16" i="54"/>
  <c r="R16" i="54"/>
  <c r="Q16" i="54"/>
  <c r="O16" i="54"/>
  <c r="P16" i="54"/>
  <c r="J16" i="54"/>
  <c r="I16" i="54"/>
  <c r="L40" i="54"/>
  <c r="S40" i="54"/>
  <c r="K40" i="54"/>
  <c r="R40" i="54"/>
  <c r="Q40" i="54"/>
  <c r="P40" i="54"/>
  <c r="O40" i="54"/>
  <c r="J40" i="54"/>
  <c r="I40" i="54"/>
  <c r="N40" i="54"/>
  <c r="M40" i="54"/>
  <c r="S17" i="54"/>
  <c r="K17" i="54"/>
  <c r="P17" i="54"/>
  <c r="O17" i="54"/>
  <c r="N17" i="54"/>
  <c r="M17" i="54"/>
  <c r="L17" i="54"/>
  <c r="J17" i="54"/>
  <c r="R17" i="54"/>
  <c r="Q17" i="54"/>
  <c r="I17" i="54"/>
  <c r="L49" i="54"/>
  <c r="S49" i="54"/>
  <c r="K49" i="54"/>
  <c r="N49" i="54"/>
  <c r="M49" i="54"/>
  <c r="R49" i="54"/>
  <c r="J49" i="54"/>
  <c r="I49" i="54"/>
  <c r="O49" i="54"/>
  <c r="Q49" i="54"/>
  <c r="P49" i="54"/>
  <c r="S27" i="54"/>
  <c r="K27" i="54"/>
  <c r="L27" i="54"/>
  <c r="J27" i="54"/>
  <c r="R27" i="54"/>
  <c r="I27" i="54"/>
  <c r="Q27" i="54"/>
  <c r="P27" i="54"/>
  <c r="O27" i="54"/>
  <c r="M27" i="54"/>
  <c r="N27" i="54"/>
  <c r="L51" i="54"/>
  <c r="S51" i="54"/>
  <c r="K51" i="54"/>
  <c r="N51" i="54"/>
  <c r="M51" i="54"/>
  <c r="J51" i="54"/>
  <c r="I51" i="54"/>
  <c r="R51" i="54"/>
  <c r="P51" i="54"/>
  <c r="O51" i="54"/>
  <c r="Q51" i="54"/>
  <c r="S28" i="54"/>
  <c r="K28" i="54"/>
  <c r="N28" i="54"/>
  <c r="M28" i="54"/>
  <c r="L28" i="54"/>
  <c r="J28" i="54"/>
  <c r="R28" i="54"/>
  <c r="O28" i="54"/>
  <c r="Q28" i="54"/>
  <c r="I28" i="54"/>
  <c r="P28" i="54"/>
  <c r="L44" i="54"/>
  <c r="S44" i="54"/>
  <c r="K44" i="54"/>
  <c r="R44" i="54"/>
  <c r="N44" i="54"/>
  <c r="Q44" i="54"/>
  <c r="P44" i="54"/>
  <c r="O44" i="54"/>
  <c r="I44" i="54"/>
  <c r="M44" i="54"/>
  <c r="J44" i="54"/>
  <c r="N13" i="54"/>
  <c r="M13" i="54"/>
  <c r="L13" i="54"/>
  <c r="S13" i="54"/>
  <c r="K13" i="54"/>
  <c r="R13" i="54"/>
  <c r="O13" i="54"/>
  <c r="J13" i="54"/>
  <c r="Q13" i="54"/>
  <c r="P13" i="54"/>
  <c r="I13" i="54"/>
  <c r="N14" i="54"/>
  <c r="M14" i="54"/>
  <c r="L14" i="54"/>
  <c r="S14" i="54"/>
  <c r="K14" i="54"/>
  <c r="R14" i="54"/>
  <c r="Q14" i="54"/>
  <c r="P14" i="54"/>
  <c r="O14" i="54"/>
  <c r="J14" i="54"/>
  <c r="I14" i="54"/>
  <c r="S22" i="54"/>
  <c r="K22" i="54"/>
  <c r="R22" i="54"/>
  <c r="I22" i="54"/>
  <c r="Q22" i="54"/>
  <c r="P22" i="54"/>
  <c r="O22" i="54"/>
  <c r="L22" i="54"/>
  <c r="J22" i="54"/>
  <c r="N22" i="54"/>
  <c r="M22" i="54"/>
  <c r="S30" i="54"/>
  <c r="K30" i="54"/>
  <c r="R30" i="54"/>
  <c r="I30" i="54"/>
  <c r="Q30" i="54"/>
  <c r="P30" i="54"/>
  <c r="O30" i="54"/>
  <c r="N30" i="54"/>
  <c r="L30" i="54"/>
  <c r="J30" i="54"/>
  <c r="M30" i="54"/>
  <c r="L38" i="54"/>
  <c r="S38" i="54"/>
  <c r="K38" i="54"/>
  <c r="R38" i="54"/>
  <c r="Q38" i="54"/>
  <c r="P38" i="54"/>
  <c r="O38" i="54"/>
  <c r="N38" i="54"/>
  <c r="M38" i="54"/>
  <c r="J38" i="54"/>
  <c r="I38" i="54"/>
  <c r="L46" i="54"/>
  <c r="S46" i="54"/>
  <c r="K46" i="54"/>
  <c r="R46" i="54"/>
  <c r="Q46" i="54"/>
  <c r="N46" i="54"/>
  <c r="P46" i="54"/>
  <c r="O46" i="54"/>
  <c r="I46" i="54"/>
  <c r="J46" i="54"/>
  <c r="M46" i="54"/>
  <c r="L54" i="54"/>
  <c r="S54" i="54"/>
  <c r="K54" i="54"/>
  <c r="R54" i="54"/>
  <c r="N54" i="54"/>
  <c r="Q54" i="54"/>
  <c r="P54" i="54"/>
  <c r="O54" i="54"/>
  <c r="I54" i="54"/>
  <c r="J54" i="54"/>
  <c r="M54" i="54"/>
  <c r="L32" i="54"/>
  <c r="S32" i="54"/>
  <c r="K32" i="54"/>
  <c r="R32" i="54"/>
  <c r="Q32" i="54"/>
  <c r="P32" i="54"/>
  <c r="O32" i="54"/>
  <c r="M32" i="54"/>
  <c r="N32" i="54"/>
  <c r="J32" i="54"/>
  <c r="I32" i="54"/>
  <c r="L48" i="54"/>
  <c r="S48" i="54"/>
  <c r="K48" i="54"/>
  <c r="R48" i="54"/>
  <c r="Q48" i="54"/>
  <c r="P48" i="54"/>
  <c r="O48" i="54"/>
  <c r="N48" i="54"/>
  <c r="M48" i="54"/>
  <c r="J48" i="54"/>
  <c r="I48" i="54"/>
  <c r="S25" i="54"/>
  <c r="K25" i="54"/>
  <c r="P25" i="54"/>
  <c r="O25" i="54"/>
  <c r="N25" i="54"/>
  <c r="M25" i="54"/>
  <c r="L25" i="54"/>
  <c r="R25" i="54"/>
  <c r="Q25" i="54"/>
  <c r="J25" i="54"/>
  <c r="I25" i="54"/>
  <c r="L57" i="54"/>
  <c r="S57" i="54"/>
  <c r="K57" i="54"/>
  <c r="N57" i="54"/>
  <c r="R57" i="54"/>
  <c r="M57" i="54"/>
  <c r="J57" i="54"/>
  <c r="I57" i="54"/>
  <c r="P57" i="54"/>
  <c r="O57" i="54"/>
  <c r="Q57" i="54"/>
  <c r="L35" i="54"/>
  <c r="S35" i="54"/>
  <c r="K35" i="54"/>
  <c r="N35" i="54"/>
  <c r="M35" i="54"/>
  <c r="J35" i="54"/>
  <c r="I35" i="54"/>
  <c r="O35" i="54"/>
  <c r="R35" i="54"/>
  <c r="P35" i="54"/>
  <c r="Q35" i="54"/>
  <c r="S20" i="54"/>
  <c r="K20" i="54"/>
  <c r="N20" i="54"/>
  <c r="M20" i="54"/>
  <c r="L20" i="54"/>
  <c r="J20" i="54"/>
  <c r="R20" i="54"/>
  <c r="O20" i="54"/>
  <c r="Q20" i="54"/>
  <c r="P20" i="54"/>
  <c r="I20" i="54"/>
  <c r="N15" i="54"/>
  <c r="M15" i="54"/>
  <c r="L15" i="54"/>
  <c r="S15" i="54"/>
  <c r="K15" i="54"/>
  <c r="R15" i="54"/>
  <c r="O15" i="54"/>
  <c r="J15" i="54"/>
  <c r="Q15" i="54"/>
  <c r="P15" i="54"/>
  <c r="I15" i="54"/>
  <c r="S23" i="54"/>
  <c r="K23" i="54"/>
  <c r="L23" i="54"/>
  <c r="J23" i="54"/>
  <c r="R23" i="54"/>
  <c r="I23" i="54"/>
  <c r="Q23" i="54"/>
  <c r="P23" i="54"/>
  <c r="O23" i="54"/>
  <c r="M23" i="54"/>
  <c r="N23" i="54"/>
  <c r="L31" i="54"/>
  <c r="S31" i="54"/>
  <c r="K31" i="54"/>
  <c r="N31" i="54"/>
  <c r="M31" i="54"/>
  <c r="J31" i="54"/>
  <c r="I31" i="54"/>
  <c r="R31" i="54"/>
  <c r="P31" i="54"/>
  <c r="O31" i="54"/>
  <c r="Q31" i="54"/>
  <c r="L39" i="54"/>
  <c r="S39" i="54"/>
  <c r="K39" i="54"/>
  <c r="N39" i="54"/>
  <c r="M39" i="54"/>
  <c r="J39" i="54"/>
  <c r="I39" i="54"/>
  <c r="O39" i="54"/>
  <c r="R39" i="54"/>
  <c r="Q39" i="54"/>
  <c r="P39" i="54"/>
  <c r="L47" i="54"/>
  <c r="S47" i="54"/>
  <c r="K47" i="54"/>
  <c r="N47" i="54"/>
  <c r="M47" i="54"/>
  <c r="J47" i="54"/>
  <c r="I47" i="54"/>
  <c r="R47" i="54"/>
  <c r="P47" i="54"/>
  <c r="Q47" i="54"/>
  <c r="O47" i="54"/>
  <c r="L55" i="54"/>
  <c r="S55" i="54"/>
  <c r="K55" i="54"/>
  <c r="N55" i="54"/>
  <c r="M55" i="54"/>
  <c r="J55" i="54"/>
  <c r="I55" i="54"/>
  <c r="R55" i="54"/>
  <c r="P55" i="54"/>
  <c r="O55" i="54"/>
  <c r="Q55" i="54"/>
  <c r="E156" i="37"/>
  <c r="G55" i="55"/>
  <c r="G57" i="55"/>
  <c r="D15" i="55"/>
  <c r="E178" i="53"/>
  <c r="E177" i="53"/>
  <c r="E175" i="53"/>
  <c r="F47" i="54" l="1"/>
  <c r="F15" i="54"/>
  <c r="F22" i="54"/>
  <c r="F27" i="54"/>
  <c r="F45" i="54"/>
  <c r="F26" i="54"/>
  <c r="P59" i="54"/>
  <c r="Q59" i="54"/>
  <c r="N59" i="54"/>
  <c r="F49" i="54"/>
  <c r="F17" i="54"/>
  <c r="F52" i="54"/>
  <c r="F33" i="54"/>
  <c r="F34" i="54"/>
  <c r="F23" i="54"/>
  <c r="F35" i="54"/>
  <c r="F32" i="54"/>
  <c r="F46" i="54"/>
  <c r="J59" i="54"/>
  <c r="F43" i="54"/>
  <c r="F50" i="54"/>
  <c r="F56" i="54"/>
  <c r="M59" i="54"/>
  <c r="F20" i="54"/>
  <c r="O59" i="54"/>
  <c r="F41" i="54"/>
  <c r="F14" i="54"/>
  <c r="F44" i="54"/>
  <c r="F37" i="54"/>
  <c r="F36" i="54"/>
  <c r="F55" i="54"/>
  <c r="F30" i="54"/>
  <c r="K59" i="54"/>
  <c r="F53" i="54"/>
  <c r="F29" i="54"/>
  <c r="F42" i="54"/>
  <c r="F24" i="54"/>
  <c r="F39" i="54"/>
  <c r="F38" i="54"/>
  <c r="F18" i="54"/>
  <c r="F57" i="54"/>
  <c r="F31" i="54"/>
  <c r="S59" i="54"/>
  <c r="F28" i="54"/>
  <c r="F40" i="54"/>
  <c r="F25" i="54"/>
  <c r="R59" i="54"/>
  <c r="F51" i="54"/>
  <c r="F48" i="54"/>
  <c r="F54" i="54"/>
  <c r="I59" i="54"/>
  <c r="F13" i="54"/>
  <c r="L59" i="54"/>
  <c r="F16" i="54"/>
  <c r="F21" i="54"/>
  <c r="F19" i="54"/>
  <c r="D16" i="55"/>
  <c r="E174" i="53"/>
  <c r="C168" i="53"/>
  <c r="A167" i="53"/>
  <c r="G167" i="53" s="1"/>
  <c r="A166" i="53"/>
  <c r="G166" i="53" s="1"/>
  <c r="A165" i="53"/>
  <c r="G165" i="53" s="1"/>
  <c r="A164" i="53"/>
  <c r="G164" i="53" s="1"/>
  <c r="A163" i="53"/>
  <c r="G163" i="53" s="1"/>
  <c r="A162" i="53"/>
  <c r="G162" i="53" s="1"/>
  <c r="A161" i="53"/>
  <c r="A160" i="53"/>
  <c r="G160" i="53" s="1"/>
  <c r="A159" i="53"/>
  <c r="A158" i="53"/>
  <c r="G158" i="53" s="1"/>
  <c r="A157" i="53"/>
  <c r="G157" i="53" s="1"/>
  <c r="A156" i="53"/>
  <c r="G156" i="53" s="1"/>
  <c r="A155" i="53"/>
  <c r="G155" i="53" s="1"/>
  <c r="A154" i="53"/>
  <c r="G154" i="53" s="1"/>
  <c r="A153" i="53"/>
  <c r="G153" i="53" s="1"/>
  <c r="A152" i="53"/>
  <c r="G152" i="53" s="1"/>
  <c r="A151" i="53"/>
  <c r="A150" i="53"/>
  <c r="G150" i="53" s="1"/>
  <c r="A149" i="53"/>
  <c r="G149" i="53" s="1"/>
  <c r="A148" i="53"/>
  <c r="G148" i="53" s="1"/>
  <c r="A147" i="53"/>
  <c r="G147" i="53" s="1"/>
  <c r="A146" i="53"/>
  <c r="G146" i="53" s="1"/>
  <c r="A145" i="53"/>
  <c r="A144" i="53"/>
  <c r="G144" i="53" s="1"/>
  <c r="A143" i="53"/>
  <c r="G143" i="53" s="1"/>
  <c r="A142" i="53"/>
  <c r="G142" i="53" s="1"/>
  <c r="A141" i="53"/>
  <c r="G141" i="53" s="1"/>
  <c r="A140" i="53"/>
  <c r="G140" i="53" s="1"/>
  <c r="A139" i="53"/>
  <c r="G139" i="53" s="1"/>
  <c r="A138" i="53"/>
  <c r="G138" i="53" s="1"/>
  <c r="A137" i="53"/>
  <c r="G137" i="53" s="1"/>
  <c r="A136" i="53"/>
  <c r="G136" i="53" s="1"/>
  <c r="A135" i="53"/>
  <c r="G135" i="53" s="1"/>
  <c r="A134" i="53"/>
  <c r="G134" i="53" s="1"/>
  <c r="A133" i="53"/>
  <c r="A132" i="53"/>
  <c r="A131" i="53"/>
  <c r="A130" i="53"/>
  <c r="A129" i="53"/>
  <c r="A128" i="53"/>
  <c r="A127" i="53"/>
  <c r="A126" i="53"/>
  <c r="B126" i="53" s="1"/>
  <c r="A125" i="53"/>
  <c r="A124" i="53"/>
  <c r="A123" i="53"/>
  <c r="C113" i="53"/>
  <c r="A112" i="53"/>
  <c r="A111" i="53"/>
  <c r="A110" i="53"/>
  <c r="A109" i="53"/>
  <c r="A108" i="53"/>
  <c r="A107" i="53"/>
  <c r="A106" i="53"/>
  <c r="A105" i="53"/>
  <c r="A104" i="53"/>
  <c r="A103" i="53"/>
  <c r="A102" i="53"/>
  <c r="A101" i="53"/>
  <c r="A100" i="53"/>
  <c r="A99" i="53"/>
  <c r="A98" i="53"/>
  <c r="A97" i="53"/>
  <c r="A96" i="53"/>
  <c r="A95" i="53"/>
  <c r="A94" i="53"/>
  <c r="A93" i="53"/>
  <c r="A92" i="53"/>
  <c r="A91" i="53"/>
  <c r="A90" i="53"/>
  <c r="A89" i="53"/>
  <c r="A88" i="53"/>
  <c r="A87" i="53"/>
  <c r="A86" i="53"/>
  <c r="A85" i="53"/>
  <c r="A84" i="53"/>
  <c r="A83" i="53"/>
  <c r="A82" i="53"/>
  <c r="A81" i="53"/>
  <c r="A80" i="53"/>
  <c r="A79" i="53"/>
  <c r="A78" i="53"/>
  <c r="A77" i="53"/>
  <c r="A76" i="53"/>
  <c r="A75" i="53"/>
  <c r="A74" i="53"/>
  <c r="A73" i="53"/>
  <c r="A72" i="53"/>
  <c r="A71" i="53"/>
  <c r="A70" i="53"/>
  <c r="A69" i="53"/>
  <c r="A68" i="53"/>
  <c r="C58" i="53"/>
  <c r="B57" i="53"/>
  <c r="B56" i="53"/>
  <c r="B55" i="53"/>
  <c r="B54" i="53"/>
  <c r="B50" i="53"/>
  <c r="B49" i="53"/>
  <c r="B48" i="53"/>
  <c r="B47" i="53"/>
  <c r="B46" i="53"/>
  <c r="B42" i="53"/>
  <c r="B41" i="53"/>
  <c r="B40" i="53"/>
  <c r="B39" i="53"/>
  <c r="B38" i="53"/>
  <c r="B34" i="53"/>
  <c r="B33" i="53"/>
  <c r="B32" i="53"/>
  <c r="B31" i="53"/>
  <c r="B30" i="53"/>
  <c r="B26" i="53"/>
  <c r="B25" i="53"/>
  <c r="B24" i="53"/>
  <c r="B23" i="53"/>
  <c r="B21" i="53"/>
  <c r="B20" i="53"/>
  <c r="B19" i="53"/>
  <c r="B18" i="53"/>
  <c r="B17" i="53"/>
  <c r="B16" i="53"/>
  <c r="B15" i="53"/>
  <c r="B14" i="53"/>
  <c r="B13" i="53"/>
  <c r="E68" i="51"/>
  <c r="F66" i="52"/>
  <c r="F65" i="52"/>
  <c r="D59" i="52"/>
  <c r="E58" i="52"/>
  <c r="D58" i="52" s="1"/>
  <c r="A58" i="52"/>
  <c r="E57" i="52"/>
  <c r="D57" i="52" s="1"/>
  <c r="A57" i="52"/>
  <c r="E56" i="52"/>
  <c r="D56" i="52" s="1"/>
  <c r="A56" i="52"/>
  <c r="E55" i="52"/>
  <c r="D55" i="52" s="1"/>
  <c r="A55" i="52"/>
  <c r="B41" i="52"/>
  <c r="B20" i="52"/>
  <c r="D14" i="52"/>
  <c r="X13" i="52"/>
  <c r="W13" i="52"/>
  <c r="V13" i="52"/>
  <c r="U13" i="52"/>
  <c r="U12" i="52"/>
  <c r="G12" i="52"/>
  <c r="H12" i="52" s="1"/>
  <c r="I12" i="52" s="1"/>
  <c r="K12" i="52" s="1"/>
  <c r="E67" i="51"/>
  <c r="C58" i="51"/>
  <c r="B57" i="51"/>
  <c r="I57" i="51" s="1"/>
  <c r="B56" i="51"/>
  <c r="I56" i="51" s="1"/>
  <c r="B55" i="51"/>
  <c r="I55" i="51" s="1"/>
  <c r="B54" i="51"/>
  <c r="I54" i="51" s="1"/>
  <c r="B53" i="51"/>
  <c r="I53" i="51" s="1"/>
  <c r="AL53" i="51" s="1"/>
  <c r="B52" i="51"/>
  <c r="I52" i="51" s="1"/>
  <c r="AL52" i="51" s="1"/>
  <c r="B51" i="51"/>
  <c r="I51" i="51" s="1"/>
  <c r="AL51" i="51" s="1"/>
  <c r="B50" i="51"/>
  <c r="I50" i="51" s="1"/>
  <c r="AL50" i="51" s="1"/>
  <c r="B49" i="51"/>
  <c r="I49" i="51" s="1"/>
  <c r="AL49" i="51" s="1"/>
  <c r="B48" i="51"/>
  <c r="I48" i="51" s="1"/>
  <c r="AL48" i="51" s="1"/>
  <c r="B47" i="51"/>
  <c r="I47" i="51" s="1"/>
  <c r="AL47" i="51" s="1"/>
  <c r="B46" i="51"/>
  <c r="I46" i="51" s="1"/>
  <c r="AL46" i="51" s="1"/>
  <c r="B45" i="51"/>
  <c r="I45" i="51" s="1"/>
  <c r="AL45" i="51" s="1"/>
  <c r="B44" i="51"/>
  <c r="I44" i="51" s="1"/>
  <c r="AL44" i="51" s="1"/>
  <c r="B43" i="51"/>
  <c r="I43" i="51" s="1"/>
  <c r="AL43" i="51" s="1"/>
  <c r="B42" i="51"/>
  <c r="I42" i="51" s="1"/>
  <c r="AL42" i="51" s="1"/>
  <c r="B41" i="51"/>
  <c r="I41" i="51" s="1"/>
  <c r="AL41" i="51" s="1"/>
  <c r="B40" i="51"/>
  <c r="I40" i="51" s="1"/>
  <c r="AL40" i="51" s="1"/>
  <c r="B39" i="51"/>
  <c r="I39" i="51" s="1"/>
  <c r="AL39" i="51" s="1"/>
  <c r="B38" i="51"/>
  <c r="I38" i="51" s="1"/>
  <c r="AL38" i="51" s="1"/>
  <c r="B37" i="51"/>
  <c r="I37" i="51" s="1"/>
  <c r="AL37" i="51" s="1"/>
  <c r="B36" i="51"/>
  <c r="I36" i="51" s="1"/>
  <c r="AL36" i="51" s="1"/>
  <c r="B35" i="51"/>
  <c r="I35" i="51" s="1"/>
  <c r="AL35" i="51" s="1"/>
  <c r="B34" i="51"/>
  <c r="I34" i="51" s="1"/>
  <c r="AL34" i="51" s="1"/>
  <c r="B33" i="51"/>
  <c r="I33" i="51" s="1"/>
  <c r="AL33" i="51" s="1"/>
  <c r="B32" i="51"/>
  <c r="I32" i="51" s="1"/>
  <c r="AL32" i="51" s="1"/>
  <c r="B31" i="51"/>
  <c r="I31" i="51" s="1"/>
  <c r="AL31" i="51" s="1"/>
  <c r="B30" i="51"/>
  <c r="I30" i="51" s="1"/>
  <c r="AL30" i="51" s="1"/>
  <c r="B29" i="51"/>
  <c r="I29" i="51" s="1"/>
  <c r="AL29" i="51" s="1"/>
  <c r="B28" i="51"/>
  <c r="I28" i="51" s="1"/>
  <c r="AL28" i="51" s="1"/>
  <c r="B27" i="51"/>
  <c r="I27" i="51" s="1"/>
  <c r="AL27" i="51" s="1"/>
  <c r="B26" i="51"/>
  <c r="I26" i="51" s="1"/>
  <c r="AL26" i="51" s="1"/>
  <c r="B25" i="51"/>
  <c r="I25" i="51" s="1"/>
  <c r="AL25" i="51" s="1"/>
  <c r="B24" i="51"/>
  <c r="I24" i="51" s="1"/>
  <c r="AL24" i="51" s="1"/>
  <c r="B23" i="51"/>
  <c r="I23" i="51" s="1"/>
  <c r="AL23" i="51" s="1"/>
  <c r="B22" i="51"/>
  <c r="I22" i="51" s="1"/>
  <c r="AL22" i="51" s="1"/>
  <c r="B21" i="51"/>
  <c r="I21" i="51" s="1"/>
  <c r="AL21" i="51" s="1"/>
  <c r="B20" i="51"/>
  <c r="I20" i="51" s="1"/>
  <c r="AL20" i="51" s="1"/>
  <c r="B19" i="51"/>
  <c r="I19" i="51" s="1"/>
  <c r="AL19" i="51" s="1"/>
  <c r="B18" i="51"/>
  <c r="I18" i="51" s="1"/>
  <c r="AL18" i="51" s="1"/>
  <c r="G17" i="51"/>
  <c r="AJ17" i="51" s="1"/>
  <c r="B17" i="51"/>
  <c r="I17" i="51" s="1"/>
  <c r="AL17" i="51" s="1"/>
  <c r="G16" i="51"/>
  <c r="AJ16" i="51" s="1"/>
  <c r="B16" i="51"/>
  <c r="I16" i="51" s="1"/>
  <c r="AL16" i="51" s="1"/>
  <c r="G15" i="51"/>
  <c r="AJ15" i="51" s="1"/>
  <c r="B15" i="51"/>
  <c r="I15" i="51" s="1"/>
  <c r="AL15" i="51" s="1"/>
  <c r="G14" i="51"/>
  <c r="AJ14" i="51" s="1"/>
  <c r="B14" i="51"/>
  <c r="I14" i="51" s="1"/>
  <c r="AL14" i="51" s="1"/>
  <c r="G13" i="51"/>
  <c r="AJ13" i="51" s="1"/>
  <c r="B13" i="51"/>
  <c r="I13" i="51" s="1"/>
  <c r="AL13" i="51" s="1"/>
  <c r="S12" i="51"/>
  <c r="R12" i="51"/>
  <c r="Q12" i="51"/>
  <c r="P12" i="51"/>
  <c r="O12" i="51"/>
  <c r="N12" i="51"/>
  <c r="M12" i="51"/>
  <c r="L12" i="51"/>
  <c r="K12" i="51"/>
  <c r="J12" i="51"/>
  <c r="G11" i="51"/>
  <c r="G15" i="50"/>
  <c r="G16" i="50"/>
  <c r="G17" i="50"/>
  <c r="G18" i="50"/>
  <c r="G19" i="50"/>
  <c r="G20" i="50"/>
  <c r="G21" i="50"/>
  <c r="G22" i="50"/>
  <c r="G23" i="50"/>
  <c r="G24" i="50"/>
  <c r="G25" i="50"/>
  <c r="G26" i="50"/>
  <c r="G27" i="50"/>
  <c r="G28" i="50"/>
  <c r="G29" i="50"/>
  <c r="G30" i="50"/>
  <c r="G32" i="50"/>
  <c r="G33" i="50"/>
  <c r="G34" i="50"/>
  <c r="G35" i="50"/>
  <c r="G36" i="50"/>
  <c r="G37" i="50"/>
  <c r="G38" i="50"/>
  <c r="G39" i="50"/>
  <c r="K13" i="50"/>
  <c r="K31" i="50" s="1"/>
  <c r="L13" i="50"/>
  <c r="L31" i="50" s="1"/>
  <c r="M13" i="50"/>
  <c r="M31" i="50" s="1"/>
  <c r="N13" i="50"/>
  <c r="N31" i="50" s="1"/>
  <c r="O13" i="50"/>
  <c r="O31" i="50" s="1"/>
  <c r="P13" i="50"/>
  <c r="P31" i="50" s="1"/>
  <c r="Q13" i="50"/>
  <c r="Q31" i="50" s="1"/>
  <c r="R13" i="50"/>
  <c r="R31" i="50" s="1"/>
  <c r="S13" i="50"/>
  <c r="S31" i="50" s="1"/>
  <c r="G14" i="50"/>
  <c r="B15" i="50"/>
  <c r="I15" i="50" s="1"/>
  <c r="B16" i="50"/>
  <c r="I16" i="50" s="1"/>
  <c r="B17" i="50"/>
  <c r="I17" i="50" s="1"/>
  <c r="B18" i="50"/>
  <c r="I18" i="50" s="1"/>
  <c r="B19" i="50"/>
  <c r="I19" i="50" s="1"/>
  <c r="B20" i="50"/>
  <c r="I20" i="50" s="1"/>
  <c r="B21" i="50"/>
  <c r="I21" i="50" s="1"/>
  <c r="B22" i="50"/>
  <c r="I22" i="50" s="1"/>
  <c r="B23" i="50"/>
  <c r="I23" i="50" s="1"/>
  <c r="B24" i="50"/>
  <c r="I24" i="50" s="1"/>
  <c r="B25" i="50"/>
  <c r="I25" i="50" s="1"/>
  <c r="B26" i="50"/>
  <c r="I26" i="50" s="1"/>
  <c r="B27" i="50"/>
  <c r="I27" i="50" s="1"/>
  <c r="B28" i="50"/>
  <c r="I28" i="50" s="1"/>
  <c r="B29" i="50"/>
  <c r="I29" i="50" s="1"/>
  <c r="B30" i="50"/>
  <c r="I30" i="50" s="1"/>
  <c r="B32" i="50"/>
  <c r="I32" i="50" s="1"/>
  <c r="B33" i="50"/>
  <c r="I33" i="50" s="1"/>
  <c r="B34" i="50"/>
  <c r="I34" i="50" s="1"/>
  <c r="B35" i="50"/>
  <c r="I35" i="50" s="1"/>
  <c r="B36" i="50"/>
  <c r="I36" i="50" s="1"/>
  <c r="B37" i="50"/>
  <c r="I37" i="50" s="1"/>
  <c r="B38" i="50"/>
  <c r="I38" i="50" s="1"/>
  <c r="B39" i="50"/>
  <c r="I39" i="50" s="1"/>
  <c r="B40" i="50"/>
  <c r="I40" i="50" s="1"/>
  <c r="B41" i="50"/>
  <c r="I41" i="50" s="1"/>
  <c r="B42" i="50"/>
  <c r="I42" i="50" s="1"/>
  <c r="B43" i="50"/>
  <c r="I43" i="50" s="1"/>
  <c r="B44" i="50"/>
  <c r="I44" i="50" s="1"/>
  <c r="B45" i="50"/>
  <c r="I45" i="50" s="1"/>
  <c r="B46" i="50"/>
  <c r="I46" i="50" s="1"/>
  <c r="B47" i="50"/>
  <c r="I47" i="50" s="1"/>
  <c r="B48" i="50"/>
  <c r="I48" i="50" s="1"/>
  <c r="B49" i="50"/>
  <c r="I49" i="50" s="1"/>
  <c r="B50" i="50"/>
  <c r="I50" i="50" s="1"/>
  <c r="B51" i="50"/>
  <c r="I51" i="50" s="1"/>
  <c r="B52" i="50"/>
  <c r="I52" i="50" s="1"/>
  <c r="B53" i="50"/>
  <c r="I53" i="50" s="1"/>
  <c r="B54" i="50"/>
  <c r="I54" i="50" s="1"/>
  <c r="B55" i="50"/>
  <c r="I55" i="50" s="1"/>
  <c r="B56" i="50"/>
  <c r="B57" i="50"/>
  <c r="B58" i="50"/>
  <c r="B59" i="50"/>
  <c r="B14" i="50"/>
  <c r="I14" i="50" s="1"/>
  <c r="J13" i="50"/>
  <c r="J31" i="50" s="1"/>
  <c r="E67" i="50"/>
  <c r="E66" i="50"/>
  <c r="C60" i="50"/>
  <c r="G12" i="50"/>
  <c r="H12" i="50" s="1"/>
  <c r="I12" i="50" s="1"/>
  <c r="J12" i="50" s="1"/>
  <c r="K12" i="50" s="1"/>
  <c r="L12" i="50" s="1"/>
  <c r="M12" i="50" s="1"/>
  <c r="N12" i="50" s="1"/>
  <c r="O12" i="50" s="1"/>
  <c r="P12" i="50" s="1"/>
  <c r="Q12" i="50" s="1"/>
  <c r="R12" i="50" s="1"/>
  <c r="S12" i="50" s="1"/>
  <c r="C1" i="50"/>
  <c r="E78" i="24"/>
  <c r="D78" i="24"/>
  <c r="E77" i="24"/>
  <c r="D77" i="24"/>
  <c r="E76" i="24"/>
  <c r="D76" i="24"/>
  <c r="E75" i="24"/>
  <c r="D75" i="24"/>
  <c r="E74" i="24"/>
  <c r="D74" i="24"/>
  <c r="E73" i="24"/>
  <c r="D73" i="24"/>
  <c r="E72" i="24"/>
  <c r="D72" i="24"/>
  <c r="E71" i="24"/>
  <c r="D71" i="24"/>
  <c r="E70" i="24"/>
  <c r="D70" i="24"/>
  <c r="E69" i="24"/>
  <c r="D69" i="24"/>
  <c r="E68" i="24"/>
  <c r="D68" i="24"/>
  <c r="E67" i="24"/>
  <c r="D67" i="24"/>
  <c r="E66" i="24"/>
  <c r="D66" i="24"/>
  <c r="E65" i="24"/>
  <c r="D65" i="24"/>
  <c r="E64" i="24"/>
  <c r="D64" i="24"/>
  <c r="E63" i="24"/>
  <c r="D63" i="24"/>
  <c r="E62" i="24"/>
  <c r="D62" i="24"/>
  <c r="E61" i="24"/>
  <c r="D61" i="24"/>
  <c r="E60" i="24"/>
  <c r="D60" i="24"/>
  <c r="E59" i="24"/>
  <c r="D59" i="24"/>
  <c r="E58" i="24"/>
  <c r="D58" i="24"/>
  <c r="E57" i="24"/>
  <c r="D57" i="24"/>
  <c r="E56" i="24"/>
  <c r="D56" i="24"/>
  <c r="E55" i="24"/>
  <c r="D55" i="24"/>
  <c r="E54" i="24"/>
  <c r="D54" i="24"/>
  <c r="E53" i="24"/>
  <c r="D53" i="24"/>
  <c r="E52" i="24"/>
  <c r="D52" i="24"/>
  <c r="E51" i="24"/>
  <c r="D51" i="24"/>
  <c r="E50" i="24"/>
  <c r="D50" i="24"/>
  <c r="B49" i="24"/>
  <c r="E48" i="24"/>
  <c r="D48" i="24"/>
  <c r="A48" i="24"/>
  <c r="E47" i="24"/>
  <c r="D47" i="24"/>
  <c r="A47" i="24"/>
  <c r="E78" i="23"/>
  <c r="D78" i="23"/>
  <c r="E77" i="23"/>
  <c r="D77" i="23"/>
  <c r="E76" i="23"/>
  <c r="D76" i="23"/>
  <c r="E75" i="23"/>
  <c r="D75" i="23"/>
  <c r="E74" i="23"/>
  <c r="D74" i="23"/>
  <c r="E73" i="23"/>
  <c r="D73" i="23"/>
  <c r="E72" i="23"/>
  <c r="D72" i="23"/>
  <c r="E71" i="23"/>
  <c r="D71" i="23"/>
  <c r="E70" i="23"/>
  <c r="D70" i="23"/>
  <c r="E69" i="23"/>
  <c r="D69" i="23"/>
  <c r="E68" i="23"/>
  <c r="D68" i="23"/>
  <c r="E67" i="23"/>
  <c r="D67" i="23"/>
  <c r="E66" i="23"/>
  <c r="D66" i="23"/>
  <c r="E65" i="23"/>
  <c r="D65" i="23"/>
  <c r="E64" i="23"/>
  <c r="D64" i="23"/>
  <c r="E63" i="23"/>
  <c r="D63" i="23"/>
  <c r="E62" i="23"/>
  <c r="D62" i="23"/>
  <c r="E61" i="23"/>
  <c r="D61" i="23"/>
  <c r="E60" i="23"/>
  <c r="D60" i="23"/>
  <c r="E59" i="23"/>
  <c r="D59" i="23"/>
  <c r="E58" i="23"/>
  <c r="D58" i="23"/>
  <c r="E57" i="23"/>
  <c r="D57" i="23"/>
  <c r="E56" i="23"/>
  <c r="D56" i="23"/>
  <c r="E55" i="23"/>
  <c r="D55" i="23"/>
  <c r="E54" i="23"/>
  <c r="D54" i="23"/>
  <c r="E53" i="23"/>
  <c r="D53" i="23"/>
  <c r="E52" i="23"/>
  <c r="D52" i="23"/>
  <c r="E51" i="23"/>
  <c r="D51" i="23"/>
  <c r="E50" i="23"/>
  <c r="D50" i="23"/>
  <c r="B49" i="23"/>
  <c r="E48" i="23"/>
  <c r="D48" i="23"/>
  <c r="A48" i="23"/>
  <c r="E47" i="23"/>
  <c r="D47" i="23"/>
  <c r="A47" i="23"/>
  <c r="E79" i="22"/>
  <c r="D79" i="22"/>
  <c r="E78" i="22"/>
  <c r="D78" i="22"/>
  <c r="E77" i="22"/>
  <c r="D77" i="22"/>
  <c r="E76" i="22"/>
  <c r="D76" i="22"/>
  <c r="E75" i="22"/>
  <c r="D75" i="22"/>
  <c r="E74" i="22"/>
  <c r="D74" i="22"/>
  <c r="E73" i="22"/>
  <c r="D73" i="22"/>
  <c r="E72" i="22"/>
  <c r="D72" i="22"/>
  <c r="E71" i="22"/>
  <c r="D71" i="22"/>
  <c r="E70" i="22"/>
  <c r="D70" i="22"/>
  <c r="E69" i="22"/>
  <c r="D69" i="22"/>
  <c r="E68" i="22"/>
  <c r="D68" i="22"/>
  <c r="E67" i="22"/>
  <c r="D67" i="22"/>
  <c r="E66" i="22"/>
  <c r="D66" i="22"/>
  <c r="E65" i="22"/>
  <c r="D65" i="22"/>
  <c r="E64" i="22"/>
  <c r="D64" i="22"/>
  <c r="E63" i="22"/>
  <c r="D63" i="22"/>
  <c r="E62" i="22"/>
  <c r="D62" i="22"/>
  <c r="E61" i="22"/>
  <c r="D61" i="22"/>
  <c r="E60" i="22"/>
  <c r="D60" i="22"/>
  <c r="E59" i="22"/>
  <c r="D59" i="22"/>
  <c r="E58" i="22"/>
  <c r="D58" i="22"/>
  <c r="E57" i="22"/>
  <c r="D57" i="22"/>
  <c r="E56" i="22"/>
  <c r="D56" i="22"/>
  <c r="E55" i="22"/>
  <c r="D55" i="22"/>
  <c r="E54" i="22"/>
  <c r="D54" i="22"/>
  <c r="E53" i="22"/>
  <c r="D53" i="22"/>
  <c r="E52" i="22"/>
  <c r="D52" i="22"/>
  <c r="E51" i="22"/>
  <c r="D51" i="22"/>
  <c r="D50" i="22"/>
  <c r="B50" i="22"/>
  <c r="E49" i="22"/>
  <c r="D49" i="22"/>
  <c r="A49" i="22"/>
  <c r="E48" i="22"/>
  <c r="D48" i="22"/>
  <c r="A48" i="22"/>
  <c r="E78" i="38"/>
  <c r="D78" i="38"/>
  <c r="A78" i="38"/>
  <c r="E77" i="38"/>
  <c r="D77" i="38"/>
  <c r="A77" i="38"/>
  <c r="E76" i="38"/>
  <c r="D76" i="38"/>
  <c r="A76" i="38"/>
  <c r="E75" i="38"/>
  <c r="D75" i="38"/>
  <c r="A75" i="38"/>
  <c r="E74" i="38"/>
  <c r="D74" i="38"/>
  <c r="A74" i="38"/>
  <c r="E73" i="38"/>
  <c r="D73" i="38"/>
  <c r="A73" i="38"/>
  <c r="E72" i="38"/>
  <c r="D72" i="38"/>
  <c r="A72" i="38"/>
  <c r="E71" i="38"/>
  <c r="D71" i="38"/>
  <c r="A71" i="38"/>
  <c r="E70" i="38"/>
  <c r="D70" i="38"/>
  <c r="A70" i="38"/>
  <c r="E69" i="38"/>
  <c r="D69" i="38"/>
  <c r="A69" i="38"/>
  <c r="E68" i="38"/>
  <c r="D68" i="38"/>
  <c r="A68" i="38"/>
  <c r="E67" i="38"/>
  <c r="D67" i="38"/>
  <c r="A67" i="38"/>
  <c r="E66" i="38"/>
  <c r="D66" i="38"/>
  <c r="A66" i="38"/>
  <c r="E65" i="38"/>
  <c r="D65" i="38"/>
  <c r="A65" i="38"/>
  <c r="E64" i="38"/>
  <c r="D64" i="38"/>
  <c r="A64" i="38"/>
  <c r="E63" i="38"/>
  <c r="D63" i="38"/>
  <c r="A63" i="38"/>
  <c r="E62" i="38"/>
  <c r="D62" i="38"/>
  <c r="A62" i="38"/>
  <c r="E61" i="38"/>
  <c r="D61" i="38"/>
  <c r="A61" i="38"/>
  <c r="E60" i="38"/>
  <c r="D60" i="38"/>
  <c r="A60" i="38"/>
  <c r="E59" i="38"/>
  <c r="D59" i="38"/>
  <c r="A59" i="38"/>
  <c r="E58" i="38"/>
  <c r="D58" i="38"/>
  <c r="A58" i="38"/>
  <c r="E57" i="38"/>
  <c r="D57" i="38"/>
  <c r="A57" i="38"/>
  <c r="E56" i="38"/>
  <c r="D56" i="38"/>
  <c r="A56" i="38"/>
  <c r="E55" i="38"/>
  <c r="D55" i="38"/>
  <c r="A55" i="38"/>
  <c r="E54" i="38"/>
  <c r="D54" i="38"/>
  <c r="A54" i="38"/>
  <c r="E53" i="38"/>
  <c r="D53" i="38"/>
  <c r="A53" i="38"/>
  <c r="E52" i="38"/>
  <c r="D52" i="38"/>
  <c r="A52" i="38"/>
  <c r="E51" i="38"/>
  <c r="D51" i="38"/>
  <c r="A51" i="38"/>
  <c r="E50" i="38"/>
  <c r="D50" i="38"/>
  <c r="A50" i="38"/>
  <c r="B49" i="38"/>
  <c r="E48" i="38"/>
  <c r="D48" i="38"/>
  <c r="A48" i="38"/>
  <c r="E47" i="38"/>
  <c r="D47" i="38"/>
  <c r="A47" i="38"/>
  <c r="E78" i="15"/>
  <c r="D78" i="15"/>
  <c r="E77" i="15"/>
  <c r="D77" i="15"/>
  <c r="E76" i="15"/>
  <c r="D76" i="15"/>
  <c r="E75" i="15"/>
  <c r="D75" i="15"/>
  <c r="E74" i="15"/>
  <c r="D74" i="15"/>
  <c r="E73" i="15"/>
  <c r="D73" i="15"/>
  <c r="E72" i="15"/>
  <c r="D72" i="15"/>
  <c r="E71" i="15"/>
  <c r="D71" i="15"/>
  <c r="E70" i="15"/>
  <c r="D70" i="15"/>
  <c r="E69" i="15"/>
  <c r="D69" i="15"/>
  <c r="E68" i="15"/>
  <c r="D68" i="15"/>
  <c r="E67" i="15"/>
  <c r="D67" i="15"/>
  <c r="E66" i="15"/>
  <c r="D66" i="15"/>
  <c r="E65" i="15"/>
  <c r="D65" i="15"/>
  <c r="E64" i="15"/>
  <c r="D64" i="15"/>
  <c r="E63" i="15"/>
  <c r="D63" i="15"/>
  <c r="E62" i="15"/>
  <c r="D62" i="15"/>
  <c r="E61" i="15"/>
  <c r="D61" i="15"/>
  <c r="E60" i="15"/>
  <c r="D60" i="15"/>
  <c r="E59" i="15"/>
  <c r="D59" i="15"/>
  <c r="E58" i="15"/>
  <c r="D58" i="15"/>
  <c r="E57" i="15"/>
  <c r="D57" i="15"/>
  <c r="E56" i="15"/>
  <c r="D56" i="15"/>
  <c r="E55" i="15"/>
  <c r="D55" i="15"/>
  <c r="E54" i="15"/>
  <c r="D54" i="15"/>
  <c r="E53" i="15"/>
  <c r="D53" i="15"/>
  <c r="E52" i="15"/>
  <c r="D52" i="15"/>
  <c r="E51" i="15"/>
  <c r="D51" i="15"/>
  <c r="E50" i="15"/>
  <c r="D50" i="15"/>
  <c r="E49" i="15"/>
  <c r="B49" i="15"/>
  <c r="E48" i="15"/>
  <c r="D48" i="15"/>
  <c r="A48" i="15"/>
  <c r="E47" i="15"/>
  <c r="D47" i="15"/>
  <c r="A47" i="15"/>
  <c r="G72" i="2"/>
  <c r="J72" i="2" s="1"/>
  <c r="M72" i="2" s="1"/>
  <c r="F72" i="2"/>
  <c r="I72" i="2" s="1"/>
  <c r="L72" i="2" s="1"/>
  <c r="O72" i="2" s="1"/>
  <c r="H72" i="2"/>
  <c r="K72" i="2" s="1"/>
  <c r="N72" i="2" s="1"/>
  <c r="G71" i="2"/>
  <c r="J71" i="2" s="1"/>
  <c r="M71" i="2" s="1"/>
  <c r="F71" i="2"/>
  <c r="I71" i="2" s="1"/>
  <c r="L71" i="2" s="1"/>
  <c r="O71" i="2" s="1"/>
  <c r="H71" i="2"/>
  <c r="K71" i="2" s="1"/>
  <c r="N71" i="2" s="1"/>
  <c r="G63" i="2"/>
  <c r="J63" i="2" s="1"/>
  <c r="M63" i="2" s="1"/>
  <c r="F63" i="2"/>
  <c r="I63" i="2" s="1"/>
  <c r="L63" i="2" s="1"/>
  <c r="O63" i="2" s="1"/>
  <c r="H63" i="2"/>
  <c r="K63" i="2" s="1"/>
  <c r="N63" i="2" s="1"/>
  <c r="G54" i="2"/>
  <c r="J54" i="2" s="1"/>
  <c r="M54" i="2" s="1"/>
  <c r="F54" i="2"/>
  <c r="I54" i="2" s="1"/>
  <c r="L54" i="2" s="1"/>
  <c r="O54" i="2" s="1"/>
  <c r="H54" i="2"/>
  <c r="K54" i="2" s="1"/>
  <c r="N54" i="2" s="1"/>
  <c r="B50" i="2"/>
  <c r="B52" i="53" s="1"/>
  <c r="A49" i="2"/>
  <c r="A48" i="2"/>
  <c r="E78" i="3"/>
  <c r="D78" i="3"/>
  <c r="E77" i="3"/>
  <c r="D77" i="3"/>
  <c r="E76" i="3"/>
  <c r="D76" i="3"/>
  <c r="E75" i="3"/>
  <c r="D75" i="3"/>
  <c r="E74" i="3"/>
  <c r="D74" i="3"/>
  <c r="E73" i="3"/>
  <c r="D73" i="3"/>
  <c r="E72" i="3"/>
  <c r="D72" i="3"/>
  <c r="E71" i="3"/>
  <c r="D71" i="3"/>
  <c r="E70" i="3"/>
  <c r="D70" i="3"/>
  <c r="E69" i="3"/>
  <c r="D69" i="3"/>
  <c r="E68" i="3"/>
  <c r="D68" i="3"/>
  <c r="E67" i="3"/>
  <c r="D67" i="3"/>
  <c r="E66" i="3"/>
  <c r="D66" i="3"/>
  <c r="E65" i="3"/>
  <c r="D65" i="3"/>
  <c r="E64" i="3"/>
  <c r="D64" i="3"/>
  <c r="E63" i="3"/>
  <c r="D63" i="3"/>
  <c r="E62" i="3"/>
  <c r="D62" i="3"/>
  <c r="E61" i="3"/>
  <c r="D61" i="3"/>
  <c r="E60" i="3"/>
  <c r="D60" i="3"/>
  <c r="E59" i="3"/>
  <c r="D59" i="3"/>
  <c r="E58" i="3"/>
  <c r="D58" i="3"/>
  <c r="E57" i="3"/>
  <c r="D57" i="3"/>
  <c r="E56" i="3"/>
  <c r="D56" i="3"/>
  <c r="E55" i="3"/>
  <c r="D55" i="3"/>
  <c r="E54" i="3"/>
  <c r="D54" i="3"/>
  <c r="E53" i="3"/>
  <c r="D53" i="3"/>
  <c r="E52" i="3"/>
  <c r="D52" i="3"/>
  <c r="E51" i="3"/>
  <c r="D51" i="3"/>
  <c r="E50" i="3"/>
  <c r="D50" i="3"/>
  <c r="B49" i="3"/>
  <c r="E48" i="3"/>
  <c r="D48" i="3"/>
  <c r="A48" i="3"/>
  <c r="E47" i="3"/>
  <c r="D47" i="3"/>
  <c r="A47" i="3"/>
  <c r="E159" i="37"/>
  <c r="E158" i="37"/>
  <c r="F67" i="49"/>
  <c r="F68" i="49"/>
  <c r="B18" i="49"/>
  <c r="B25" i="49"/>
  <c r="B34" i="49"/>
  <c r="B35" i="49"/>
  <c r="B45" i="49"/>
  <c r="B50" i="49"/>
  <c r="B51" i="49"/>
  <c r="B58" i="49"/>
  <c r="B15" i="49"/>
  <c r="B52" i="52"/>
  <c r="G13" i="49"/>
  <c r="H13" i="49" s="1"/>
  <c r="U13" i="49" s="1"/>
  <c r="E57" i="49"/>
  <c r="D57" i="49" s="1"/>
  <c r="D61" i="49"/>
  <c r="A60" i="49"/>
  <c r="B60" i="49" s="1"/>
  <c r="A59" i="49"/>
  <c r="B59" i="49" s="1"/>
  <c r="A58" i="49"/>
  <c r="A57" i="49"/>
  <c r="B57" i="49" s="1"/>
  <c r="X14" i="49"/>
  <c r="W14" i="49"/>
  <c r="V14" i="49"/>
  <c r="U14" i="49"/>
  <c r="C1" i="49"/>
  <c r="E111" i="46"/>
  <c r="E110" i="46"/>
  <c r="E106" i="46"/>
  <c r="E105" i="46"/>
  <c r="E154" i="37"/>
  <c r="F59" i="54" l="1"/>
  <c r="H79" i="53"/>
  <c r="G79" i="53"/>
  <c r="H87" i="53"/>
  <c r="G87" i="53"/>
  <c r="H95" i="53"/>
  <c r="G95" i="53"/>
  <c r="H103" i="53"/>
  <c r="G103" i="53"/>
  <c r="H111" i="53"/>
  <c r="G111" i="53"/>
  <c r="H72" i="53"/>
  <c r="H88" i="53"/>
  <c r="G88" i="53"/>
  <c r="G104" i="53"/>
  <c r="H104" i="53"/>
  <c r="B159" i="53"/>
  <c r="L159" i="53" s="1"/>
  <c r="G159" i="53"/>
  <c r="G81" i="53"/>
  <c r="H81" i="53"/>
  <c r="G89" i="53"/>
  <c r="H89" i="53"/>
  <c r="H105" i="53"/>
  <c r="G105" i="53"/>
  <c r="H74" i="53"/>
  <c r="G82" i="53"/>
  <c r="H82" i="53"/>
  <c r="G90" i="53"/>
  <c r="H90" i="53"/>
  <c r="G98" i="53"/>
  <c r="H98" i="53"/>
  <c r="G106" i="53"/>
  <c r="H106" i="53"/>
  <c r="H123" i="53"/>
  <c r="B129" i="53"/>
  <c r="N129" i="53" s="1"/>
  <c r="H129" i="53"/>
  <c r="B145" i="53"/>
  <c r="P145" i="53" s="1"/>
  <c r="G145" i="53"/>
  <c r="B161" i="53"/>
  <c r="J161" i="53" s="1"/>
  <c r="G161" i="53"/>
  <c r="H70" i="53"/>
  <c r="G86" i="53"/>
  <c r="H86" i="53"/>
  <c r="G102" i="53"/>
  <c r="H102" i="53"/>
  <c r="G110" i="53"/>
  <c r="H110" i="53"/>
  <c r="H133" i="53"/>
  <c r="G133" i="53"/>
  <c r="B71" i="53"/>
  <c r="O71" i="53" s="1"/>
  <c r="H71" i="53"/>
  <c r="H80" i="53"/>
  <c r="G80" i="53"/>
  <c r="G112" i="53"/>
  <c r="H112" i="53"/>
  <c r="B151" i="53"/>
  <c r="O151" i="53" s="1"/>
  <c r="G151" i="53"/>
  <c r="H73" i="53"/>
  <c r="G97" i="53"/>
  <c r="H97" i="53"/>
  <c r="H128" i="53"/>
  <c r="H75" i="53"/>
  <c r="H83" i="53"/>
  <c r="G83" i="53"/>
  <c r="H91" i="53"/>
  <c r="G91" i="53"/>
  <c r="H99" i="53"/>
  <c r="G99" i="53"/>
  <c r="H107" i="53"/>
  <c r="G107" i="53"/>
  <c r="B123" i="53"/>
  <c r="S123" i="53" s="1"/>
  <c r="H130" i="53"/>
  <c r="G78" i="53"/>
  <c r="H78" i="53"/>
  <c r="G94" i="53"/>
  <c r="H94" i="53"/>
  <c r="H126" i="53"/>
  <c r="B68" i="53"/>
  <c r="M68" i="53" s="1"/>
  <c r="H68" i="53"/>
  <c r="H76" i="53"/>
  <c r="G84" i="53"/>
  <c r="H84" i="53"/>
  <c r="G92" i="53"/>
  <c r="H92" i="53"/>
  <c r="H100" i="53"/>
  <c r="G100" i="53"/>
  <c r="H108" i="53"/>
  <c r="G108" i="53"/>
  <c r="B124" i="53"/>
  <c r="L124" i="53" s="1"/>
  <c r="H124" i="53"/>
  <c r="B131" i="53"/>
  <c r="M131" i="53" s="1"/>
  <c r="H131" i="53"/>
  <c r="H96" i="53"/>
  <c r="G96" i="53"/>
  <c r="B127" i="53"/>
  <c r="R127" i="53" s="1"/>
  <c r="H127" i="53"/>
  <c r="H69" i="53"/>
  <c r="H77" i="53"/>
  <c r="G77" i="53"/>
  <c r="H85" i="53"/>
  <c r="G85" i="53"/>
  <c r="H93" i="53"/>
  <c r="G93" i="53"/>
  <c r="H101" i="53"/>
  <c r="G101" i="53"/>
  <c r="H109" i="53"/>
  <c r="G109" i="53"/>
  <c r="H125" i="53"/>
  <c r="H132" i="53"/>
  <c r="G132" i="53"/>
  <c r="M16" i="53"/>
  <c r="L16" i="53"/>
  <c r="S16" i="53"/>
  <c r="K16" i="53"/>
  <c r="R16" i="53"/>
  <c r="J16" i="53"/>
  <c r="Q16" i="53"/>
  <c r="P16" i="53"/>
  <c r="N16" i="53"/>
  <c r="I16" i="53"/>
  <c r="O16" i="53"/>
  <c r="L25" i="53"/>
  <c r="N25" i="53"/>
  <c r="M25" i="53"/>
  <c r="K25" i="53"/>
  <c r="S25" i="53"/>
  <c r="J25" i="53"/>
  <c r="I25" i="53"/>
  <c r="P25" i="53"/>
  <c r="R25" i="53"/>
  <c r="Q25" i="53"/>
  <c r="O25" i="53"/>
  <c r="L39" i="53"/>
  <c r="M39" i="53"/>
  <c r="K39" i="53"/>
  <c r="N39" i="53"/>
  <c r="J39" i="53"/>
  <c r="I39" i="53"/>
  <c r="S39" i="53"/>
  <c r="R39" i="53"/>
  <c r="O39" i="53"/>
  <c r="Q39" i="53"/>
  <c r="P39" i="53"/>
  <c r="O50" i="53"/>
  <c r="M50" i="53"/>
  <c r="L50" i="53"/>
  <c r="N50" i="53"/>
  <c r="K50" i="53"/>
  <c r="S50" i="53"/>
  <c r="R50" i="53"/>
  <c r="Q50" i="53"/>
  <c r="I50" i="53"/>
  <c r="P50" i="53"/>
  <c r="J50" i="53"/>
  <c r="O17" i="53"/>
  <c r="N17" i="53"/>
  <c r="M17" i="53"/>
  <c r="L17" i="53"/>
  <c r="R17" i="53"/>
  <c r="I17" i="53"/>
  <c r="S17" i="53"/>
  <c r="Q17" i="53"/>
  <c r="K17" i="53"/>
  <c r="P17" i="53"/>
  <c r="J17" i="53"/>
  <c r="N26" i="53"/>
  <c r="M26" i="53"/>
  <c r="S26" i="53"/>
  <c r="I26" i="53"/>
  <c r="Q26" i="53"/>
  <c r="R26" i="53"/>
  <c r="P26" i="53"/>
  <c r="K26" i="53"/>
  <c r="J26" i="53"/>
  <c r="O26" i="53"/>
  <c r="L26" i="53"/>
  <c r="N40" i="53"/>
  <c r="Q40" i="53"/>
  <c r="P40" i="53"/>
  <c r="I40" i="53"/>
  <c r="S40" i="53"/>
  <c r="R40" i="53"/>
  <c r="O40" i="53"/>
  <c r="K40" i="53"/>
  <c r="J40" i="53"/>
  <c r="M40" i="53"/>
  <c r="L40" i="53"/>
  <c r="O54" i="53"/>
  <c r="M54" i="53"/>
  <c r="R54" i="53"/>
  <c r="L54" i="53"/>
  <c r="K54" i="53"/>
  <c r="S54" i="53"/>
  <c r="Q54" i="53"/>
  <c r="P54" i="53"/>
  <c r="N54" i="53"/>
  <c r="J54" i="53"/>
  <c r="I54" i="53"/>
  <c r="S126" i="53"/>
  <c r="K126" i="53"/>
  <c r="R126" i="53"/>
  <c r="J126" i="53"/>
  <c r="P126" i="53"/>
  <c r="O126" i="53"/>
  <c r="N126" i="53"/>
  <c r="L126" i="53"/>
  <c r="Q126" i="53"/>
  <c r="M126" i="53"/>
  <c r="N30" i="53"/>
  <c r="M30" i="53"/>
  <c r="O30" i="53"/>
  <c r="L30" i="53"/>
  <c r="K30" i="53"/>
  <c r="J30" i="53"/>
  <c r="S30" i="53"/>
  <c r="R30" i="53"/>
  <c r="P30" i="53"/>
  <c r="I30" i="53"/>
  <c r="Q30" i="53"/>
  <c r="R42" i="53"/>
  <c r="J42" i="53"/>
  <c r="O42" i="53"/>
  <c r="N42" i="53"/>
  <c r="P42" i="53"/>
  <c r="M42" i="53"/>
  <c r="L42" i="53"/>
  <c r="K42" i="53"/>
  <c r="S42" i="53"/>
  <c r="Q42" i="53"/>
  <c r="I42" i="53"/>
  <c r="R32" i="53"/>
  <c r="J32" i="53"/>
  <c r="Q32" i="53"/>
  <c r="I32" i="53"/>
  <c r="O32" i="53"/>
  <c r="N32" i="53"/>
  <c r="M32" i="53"/>
  <c r="L32" i="53"/>
  <c r="P32" i="53"/>
  <c r="K32" i="53"/>
  <c r="S32" i="53"/>
  <c r="M57" i="53"/>
  <c r="S57" i="53"/>
  <c r="K57" i="53"/>
  <c r="R57" i="53"/>
  <c r="Q57" i="53"/>
  <c r="P57" i="53"/>
  <c r="O57" i="53"/>
  <c r="N57" i="53"/>
  <c r="J57" i="53"/>
  <c r="L57" i="53"/>
  <c r="I57" i="53"/>
  <c r="O13" i="53"/>
  <c r="N13" i="53"/>
  <c r="M13" i="53"/>
  <c r="L13" i="53"/>
  <c r="R13" i="53"/>
  <c r="Q13" i="53"/>
  <c r="I13" i="53"/>
  <c r="P13" i="53"/>
  <c r="K13" i="53"/>
  <c r="J13" i="53"/>
  <c r="S13" i="53"/>
  <c r="L21" i="53"/>
  <c r="P21" i="53"/>
  <c r="N21" i="53"/>
  <c r="O21" i="53"/>
  <c r="M21" i="53"/>
  <c r="S21" i="53"/>
  <c r="R21" i="53"/>
  <c r="K21" i="53"/>
  <c r="Q21" i="53"/>
  <c r="J21" i="53"/>
  <c r="I21" i="53"/>
  <c r="L33" i="53"/>
  <c r="S33" i="53"/>
  <c r="K33" i="53"/>
  <c r="M33" i="53"/>
  <c r="J33" i="53"/>
  <c r="I33" i="53"/>
  <c r="R33" i="53"/>
  <c r="Q33" i="53"/>
  <c r="P33" i="53"/>
  <c r="N33" i="53"/>
  <c r="O33" i="53"/>
  <c r="L47" i="53"/>
  <c r="Q47" i="53"/>
  <c r="P47" i="53"/>
  <c r="M47" i="53"/>
  <c r="K47" i="53"/>
  <c r="J47" i="53"/>
  <c r="I47" i="53"/>
  <c r="R47" i="53"/>
  <c r="O47" i="53"/>
  <c r="N47" i="53"/>
  <c r="S47" i="53"/>
  <c r="P41" i="53"/>
  <c r="K41" i="53"/>
  <c r="S41" i="53"/>
  <c r="J41" i="53"/>
  <c r="Q41" i="53"/>
  <c r="O41" i="53"/>
  <c r="N41" i="53"/>
  <c r="M41" i="53"/>
  <c r="I41" i="53"/>
  <c r="R41" i="53"/>
  <c r="L41" i="53"/>
  <c r="P31" i="53"/>
  <c r="O31" i="53"/>
  <c r="S31" i="53"/>
  <c r="I31" i="53"/>
  <c r="R31" i="53"/>
  <c r="Q31" i="53"/>
  <c r="N31" i="53"/>
  <c r="J31" i="53"/>
  <c r="M31" i="53"/>
  <c r="K31" i="53"/>
  <c r="L31" i="53"/>
  <c r="R46" i="53"/>
  <c r="J46" i="53"/>
  <c r="M46" i="53"/>
  <c r="L46" i="53"/>
  <c r="Q46" i="53"/>
  <c r="P46" i="53"/>
  <c r="O46" i="53"/>
  <c r="N46" i="53"/>
  <c r="I46" i="53"/>
  <c r="S46" i="53"/>
  <c r="K46" i="53"/>
  <c r="Q14" i="53"/>
  <c r="I14" i="53"/>
  <c r="P14" i="53"/>
  <c r="O14" i="53"/>
  <c r="N14" i="53"/>
  <c r="R14" i="53"/>
  <c r="M14" i="53"/>
  <c r="K14" i="53"/>
  <c r="J14" i="53"/>
  <c r="L14" i="53"/>
  <c r="S14" i="53"/>
  <c r="P23" i="53"/>
  <c r="N23" i="53"/>
  <c r="M23" i="53"/>
  <c r="L23" i="53"/>
  <c r="K23" i="53"/>
  <c r="R23" i="53"/>
  <c r="Q23" i="53"/>
  <c r="J23" i="53"/>
  <c r="I23" i="53"/>
  <c r="S23" i="53"/>
  <c r="O23" i="53"/>
  <c r="N34" i="53"/>
  <c r="M34" i="53"/>
  <c r="S34" i="53"/>
  <c r="I34" i="53"/>
  <c r="R34" i="53"/>
  <c r="Q34" i="53"/>
  <c r="P34" i="53"/>
  <c r="J34" i="53"/>
  <c r="K34" i="53"/>
  <c r="O34" i="53"/>
  <c r="L34" i="53"/>
  <c r="N48" i="53"/>
  <c r="L48" i="53"/>
  <c r="K48" i="53"/>
  <c r="J48" i="53"/>
  <c r="I48" i="53"/>
  <c r="S48" i="53"/>
  <c r="R48" i="53"/>
  <c r="M48" i="53"/>
  <c r="Q48" i="53"/>
  <c r="P48" i="53"/>
  <c r="O48" i="53"/>
  <c r="Q18" i="53"/>
  <c r="I18" i="53"/>
  <c r="P18" i="53"/>
  <c r="O18" i="53"/>
  <c r="N18" i="53"/>
  <c r="R18" i="53"/>
  <c r="S18" i="53"/>
  <c r="M18" i="53"/>
  <c r="K18" i="53"/>
  <c r="J18" i="53"/>
  <c r="L18" i="53"/>
  <c r="Q55" i="53"/>
  <c r="I55" i="53"/>
  <c r="O55" i="53"/>
  <c r="M55" i="53"/>
  <c r="J55" i="53"/>
  <c r="S55" i="53"/>
  <c r="R55" i="53"/>
  <c r="P55" i="53"/>
  <c r="N55" i="53"/>
  <c r="L55" i="53"/>
  <c r="K55" i="53"/>
  <c r="S52" i="53"/>
  <c r="K52" i="53"/>
  <c r="Q52" i="53"/>
  <c r="I52" i="53"/>
  <c r="O52" i="53"/>
  <c r="R52" i="53"/>
  <c r="P52" i="53"/>
  <c r="N52" i="53"/>
  <c r="M52" i="53"/>
  <c r="J52" i="53"/>
  <c r="L52" i="53"/>
  <c r="S19" i="53"/>
  <c r="K19" i="53"/>
  <c r="I19" i="53"/>
  <c r="R19" i="53"/>
  <c r="J19" i="53"/>
  <c r="Q19" i="53"/>
  <c r="P19" i="53"/>
  <c r="O19" i="53"/>
  <c r="N19" i="53"/>
  <c r="M19" i="53"/>
  <c r="L19" i="53"/>
  <c r="S56" i="53"/>
  <c r="K56" i="53"/>
  <c r="Q56" i="53"/>
  <c r="I56" i="53"/>
  <c r="J56" i="53"/>
  <c r="R56" i="53"/>
  <c r="P56" i="53"/>
  <c r="O56" i="53"/>
  <c r="N56" i="53"/>
  <c r="M56" i="53"/>
  <c r="L56" i="53"/>
  <c r="M20" i="53"/>
  <c r="K20" i="53"/>
  <c r="L20" i="53"/>
  <c r="S20" i="53"/>
  <c r="R20" i="53"/>
  <c r="J20" i="53"/>
  <c r="Q20" i="53"/>
  <c r="I20" i="53"/>
  <c r="P20" i="53"/>
  <c r="N20" i="53"/>
  <c r="O20" i="53"/>
  <c r="S15" i="53"/>
  <c r="K15" i="53"/>
  <c r="R15" i="53"/>
  <c r="J15" i="53"/>
  <c r="I15" i="53"/>
  <c r="Q15" i="53"/>
  <c r="P15" i="53"/>
  <c r="O15" i="53"/>
  <c r="N15" i="53"/>
  <c r="L15" i="53"/>
  <c r="M15" i="53"/>
  <c r="R24" i="53"/>
  <c r="J24" i="53"/>
  <c r="S24" i="53"/>
  <c r="I24" i="53"/>
  <c r="Q24" i="53"/>
  <c r="P24" i="53"/>
  <c r="O24" i="53"/>
  <c r="M24" i="53"/>
  <c r="L24" i="53"/>
  <c r="K24" i="53"/>
  <c r="N24" i="53"/>
  <c r="R38" i="53"/>
  <c r="J38" i="53"/>
  <c r="Q38" i="53"/>
  <c r="P38" i="53"/>
  <c r="N38" i="53"/>
  <c r="M38" i="53"/>
  <c r="L38" i="53"/>
  <c r="K38" i="53"/>
  <c r="S38" i="53"/>
  <c r="O38" i="53"/>
  <c r="I38" i="53"/>
  <c r="M49" i="53"/>
  <c r="S49" i="53"/>
  <c r="Q49" i="53"/>
  <c r="P49" i="53"/>
  <c r="O49" i="53"/>
  <c r="R49" i="53"/>
  <c r="N49" i="53"/>
  <c r="K49" i="53"/>
  <c r="J49" i="53"/>
  <c r="L49" i="53"/>
  <c r="I49" i="53"/>
  <c r="B58" i="52"/>
  <c r="K58" i="52"/>
  <c r="H58" i="52"/>
  <c r="I58" i="52"/>
  <c r="B55" i="52"/>
  <c r="G55" i="52" s="1"/>
  <c r="K55" i="52"/>
  <c r="I55" i="52"/>
  <c r="H55" i="52"/>
  <c r="B56" i="52"/>
  <c r="K56" i="52"/>
  <c r="H56" i="52"/>
  <c r="I56" i="52"/>
  <c r="B57" i="52"/>
  <c r="K57" i="52"/>
  <c r="H57" i="52"/>
  <c r="I57" i="52"/>
  <c r="F31" i="50"/>
  <c r="G52" i="52"/>
  <c r="G20" i="52"/>
  <c r="G41" i="52"/>
  <c r="G15" i="49"/>
  <c r="B46" i="49"/>
  <c r="B28" i="49"/>
  <c r="B28" i="52"/>
  <c r="B49" i="52"/>
  <c r="B42" i="49"/>
  <c r="B33" i="52"/>
  <c r="G33" i="52" s="1"/>
  <c r="B56" i="49"/>
  <c r="B38" i="49"/>
  <c r="B21" i="49"/>
  <c r="B15" i="52"/>
  <c r="B36" i="52"/>
  <c r="B14" i="52"/>
  <c r="B31" i="52"/>
  <c r="B50" i="52"/>
  <c r="B23" i="49"/>
  <c r="B53" i="52"/>
  <c r="B53" i="49"/>
  <c r="B37" i="49"/>
  <c r="G37" i="49" s="1"/>
  <c r="B20" i="49"/>
  <c r="B18" i="52"/>
  <c r="B37" i="52"/>
  <c r="B23" i="52"/>
  <c r="B44" i="52"/>
  <c r="B48" i="49"/>
  <c r="B31" i="49"/>
  <c r="G31" i="49" s="1"/>
  <c r="B25" i="52"/>
  <c r="B45" i="52"/>
  <c r="I61" i="50"/>
  <c r="B101" i="53"/>
  <c r="B99" i="53"/>
  <c r="E49" i="3"/>
  <c r="B102" i="53"/>
  <c r="A49" i="38"/>
  <c r="D49" i="38"/>
  <c r="B82" i="53"/>
  <c r="B90" i="53"/>
  <c r="B110" i="53"/>
  <c r="D49" i="23"/>
  <c r="B75" i="53"/>
  <c r="B111" i="53"/>
  <c r="B143" i="53"/>
  <c r="B21" i="52"/>
  <c r="B34" i="52"/>
  <c r="B47" i="52"/>
  <c r="B76" i="53"/>
  <c r="B54" i="49"/>
  <c r="B43" i="49"/>
  <c r="B29" i="49"/>
  <c r="B17" i="49"/>
  <c r="D49" i="15"/>
  <c r="D49" i="24"/>
  <c r="B26" i="52"/>
  <c r="B39" i="52"/>
  <c r="B79" i="53"/>
  <c r="B87" i="53"/>
  <c r="B147" i="53"/>
  <c r="B22" i="55"/>
  <c r="B14" i="55"/>
  <c r="B54" i="55"/>
  <c r="B50" i="55"/>
  <c r="B46" i="55"/>
  <c r="B42" i="55"/>
  <c r="B38" i="55"/>
  <c r="B31" i="55"/>
  <c r="B27" i="55"/>
  <c r="B21" i="55"/>
  <c r="B20" i="55"/>
  <c r="B53" i="55"/>
  <c r="B49" i="55"/>
  <c r="B45" i="55"/>
  <c r="B41" i="55"/>
  <c r="B37" i="55"/>
  <c r="B34" i="55"/>
  <c r="B30" i="55"/>
  <c r="B26" i="55"/>
  <c r="B19" i="55"/>
  <c r="B18" i="55"/>
  <c r="B52" i="55"/>
  <c r="B48" i="55"/>
  <c r="B44" i="55"/>
  <c r="B40" i="55"/>
  <c r="B36" i="55"/>
  <c r="B33" i="55"/>
  <c r="B29" i="55"/>
  <c r="B25" i="55"/>
  <c r="B17" i="55"/>
  <c r="B24" i="55"/>
  <c r="B16" i="55"/>
  <c r="B51" i="55"/>
  <c r="B47" i="55"/>
  <c r="B43" i="55"/>
  <c r="B39" i="55"/>
  <c r="B35" i="55"/>
  <c r="B32" i="55"/>
  <c r="B28" i="55"/>
  <c r="B23" i="55"/>
  <c r="B15" i="55"/>
  <c r="B48" i="52"/>
  <c r="B40" i="52"/>
  <c r="B32" i="52"/>
  <c r="B24" i="52"/>
  <c r="B16" i="52"/>
  <c r="B22" i="49"/>
  <c r="B30" i="49"/>
  <c r="B39" i="49"/>
  <c r="B47" i="49"/>
  <c r="B55" i="49"/>
  <c r="B54" i="52"/>
  <c r="B46" i="52"/>
  <c r="B38" i="52"/>
  <c r="B30" i="52"/>
  <c r="B22" i="52"/>
  <c r="B16" i="49"/>
  <c r="B24" i="49"/>
  <c r="B33" i="49"/>
  <c r="B41" i="49"/>
  <c r="B49" i="49"/>
  <c r="B51" i="52"/>
  <c r="B43" i="52"/>
  <c r="B35" i="52"/>
  <c r="B27" i="52"/>
  <c r="B19" i="52"/>
  <c r="B19" i="49"/>
  <c r="B27" i="49"/>
  <c r="G27" i="49" s="1"/>
  <c r="B36" i="49"/>
  <c r="G36" i="49" s="1"/>
  <c r="B44" i="49"/>
  <c r="B52" i="49"/>
  <c r="B40" i="49"/>
  <c r="B26" i="49"/>
  <c r="B17" i="52"/>
  <c r="B29" i="52"/>
  <c r="B42" i="52"/>
  <c r="B22" i="53"/>
  <c r="B28" i="53"/>
  <c r="B36" i="53"/>
  <c r="B44" i="53"/>
  <c r="B100" i="53"/>
  <c r="B29" i="53"/>
  <c r="B37" i="53"/>
  <c r="B45" i="53"/>
  <c r="B53" i="53"/>
  <c r="B109" i="53"/>
  <c r="B27" i="53"/>
  <c r="B35" i="53"/>
  <c r="B43" i="53"/>
  <c r="B51" i="53"/>
  <c r="B167" i="53"/>
  <c r="G49" i="52"/>
  <c r="D17" i="55"/>
  <c r="D18" i="55" s="1"/>
  <c r="G31" i="52"/>
  <c r="O57" i="50"/>
  <c r="O49" i="50"/>
  <c r="O41" i="50"/>
  <c r="O33" i="50"/>
  <c r="O24" i="50"/>
  <c r="O16" i="50"/>
  <c r="R14" i="50"/>
  <c r="B92" i="53"/>
  <c r="B150" i="53"/>
  <c r="B135" i="53"/>
  <c r="B140" i="53"/>
  <c r="B155" i="53"/>
  <c r="B160" i="53"/>
  <c r="B78" i="53"/>
  <c r="B85" i="53"/>
  <c r="B139" i="53"/>
  <c r="B91" i="53"/>
  <c r="B95" i="53"/>
  <c r="B104" i="53"/>
  <c r="B108" i="53"/>
  <c r="B142" i="53"/>
  <c r="B93" i="53"/>
  <c r="B103" i="53"/>
  <c r="B107" i="53"/>
  <c r="B134" i="53"/>
  <c r="B163" i="53"/>
  <c r="B158" i="53"/>
  <c r="B83" i="53"/>
  <c r="B86" i="53"/>
  <c r="B144" i="53"/>
  <c r="B152" i="53"/>
  <c r="B166" i="53"/>
  <c r="B136" i="53"/>
  <c r="B156" i="53"/>
  <c r="B164" i="53"/>
  <c r="B84" i="53"/>
  <c r="B94" i="53"/>
  <c r="B96" i="53"/>
  <c r="B112" i="53"/>
  <c r="B128" i="53"/>
  <c r="B73" i="53"/>
  <c r="B70" i="53"/>
  <c r="B72" i="53"/>
  <c r="G56" i="52"/>
  <c r="B132" i="53"/>
  <c r="B148" i="53"/>
  <c r="B137" i="53"/>
  <c r="B74" i="53"/>
  <c r="B153" i="53"/>
  <c r="B165" i="53"/>
  <c r="B69" i="53"/>
  <c r="B77" i="53"/>
  <c r="B98" i="53"/>
  <c r="B105" i="53"/>
  <c r="B80" i="53"/>
  <c r="B88" i="53"/>
  <c r="B157" i="53"/>
  <c r="B162" i="53"/>
  <c r="B125" i="53"/>
  <c r="B97" i="53"/>
  <c r="B81" i="53"/>
  <c r="B89" i="53"/>
  <c r="B130" i="53"/>
  <c r="B141" i="53"/>
  <c r="B146" i="53"/>
  <c r="B106" i="53"/>
  <c r="B133" i="53"/>
  <c r="B138" i="53"/>
  <c r="B149" i="53"/>
  <c r="B154" i="53"/>
  <c r="G57" i="52"/>
  <c r="D15" i="52"/>
  <c r="G58" i="52"/>
  <c r="O51" i="51"/>
  <c r="AR51" i="51" s="1"/>
  <c r="P20" i="51"/>
  <c r="AS20" i="51" s="1"/>
  <c r="P28" i="51"/>
  <c r="AS28" i="51" s="1"/>
  <c r="P36" i="51"/>
  <c r="AS36" i="51" s="1"/>
  <c r="P44" i="51"/>
  <c r="AS44" i="51" s="1"/>
  <c r="P52" i="51"/>
  <c r="AS52" i="51" s="1"/>
  <c r="P18" i="51"/>
  <c r="AS18" i="51" s="1"/>
  <c r="P26" i="51"/>
  <c r="AS26" i="51" s="1"/>
  <c r="P34" i="51"/>
  <c r="AS34" i="51" s="1"/>
  <c r="N56" i="51"/>
  <c r="P13" i="51"/>
  <c r="AS13" i="51" s="1"/>
  <c r="P21" i="51"/>
  <c r="AS21" i="51" s="1"/>
  <c r="P29" i="51"/>
  <c r="AS29" i="51" s="1"/>
  <c r="P37" i="51"/>
  <c r="AS37" i="51" s="1"/>
  <c r="P45" i="51"/>
  <c r="AS45" i="51" s="1"/>
  <c r="P53" i="51"/>
  <c r="AS53" i="51" s="1"/>
  <c r="P17" i="51"/>
  <c r="AS17" i="51" s="1"/>
  <c r="P42" i="51"/>
  <c r="AS42" i="51" s="1"/>
  <c r="P50" i="51"/>
  <c r="AS50" i="51" s="1"/>
  <c r="P55" i="51"/>
  <c r="P57" i="51"/>
  <c r="P15" i="51"/>
  <c r="AS15" i="51" s="1"/>
  <c r="P23" i="51"/>
  <c r="AS23" i="51" s="1"/>
  <c r="P31" i="51"/>
  <c r="AS31" i="51" s="1"/>
  <c r="P39" i="51"/>
  <c r="AS39" i="51" s="1"/>
  <c r="P47" i="51"/>
  <c r="AS47" i="51" s="1"/>
  <c r="P25" i="51"/>
  <c r="AS25" i="51" s="1"/>
  <c r="P33" i="51"/>
  <c r="AS33" i="51" s="1"/>
  <c r="P41" i="51"/>
  <c r="AS41" i="51" s="1"/>
  <c r="P14" i="51"/>
  <c r="AS14" i="51" s="1"/>
  <c r="P22" i="51"/>
  <c r="AS22" i="51" s="1"/>
  <c r="P30" i="51"/>
  <c r="AS30" i="51" s="1"/>
  <c r="P38" i="51"/>
  <c r="AS38" i="51" s="1"/>
  <c r="P46" i="51"/>
  <c r="AS46" i="51" s="1"/>
  <c r="P54" i="51"/>
  <c r="P56" i="51"/>
  <c r="P49" i="51"/>
  <c r="AS49" i="51" s="1"/>
  <c r="P19" i="51"/>
  <c r="AS19" i="51" s="1"/>
  <c r="P27" i="51"/>
  <c r="AS27" i="51" s="1"/>
  <c r="P35" i="51"/>
  <c r="AS35" i="51" s="1"/>
  <c r="P43" i="51"/>
  <c r="AS43" i="51" s="1"/>
  <c r="P51" i="51"/>
  <c r="AS51" i="51" s="1"/>
  <c r="M57" i="51"/>
  <c r="P16" i="51"/>
  <c r="AS16" i="51" s="1"/>
  <c r="P24" i="51"/>
  <c r="AS24" i="51" s="1"/>
  <c r="P32" i="51"/>
  <c r="AS32" i="51" s="1"/>
  <c r="P40" i="51"/>
  <c r="AS40" i="51" s="1"/>
  <c r="P48" i="51"/>
  <c r="AS48" i="51" s="1"/>
  <c r="O14" i="51"/>
  <c r="AR14" i="51" s="1"/>
  <c r="O16" i="51"/>
  <c r="AR16" i="51" s="1"/>
  <c r="O18" i="51"/>
  <c r="AR18" i="51" s="1"/>
  <c r="O20" i="51"/>
  <c r="AR20" i="51" s="1"/>
  <c r="O22" i="51"/>
  <c r="AR22" i="51" s="1"/>
  <c r="O24" i="51"/>
  <c r="AR24" i="51" s="1"/>
  <c r="O33" i="51"/>
  <c r="AR33" i="51" s="1"/>
  <c r="O35" i="51"/>
  <c r="AR35" i="51" s="1"/>
  <c r="O37" i="51"/>
  <c r="AR37" i="51" s="1"/>
  <c r="O39" i="51"/>
  <c r="AR39" i="51" s="1"/>
  <c r="O41" i="51"/>
  <c r="AR41" i="51" s="1"/>
  <c r="O43" i="51"/>
  <c r="AR43" i="51" s="1"/>
  <c r="O45" i="51"/>
  <c r="AR45" i="51" s="1"/>
  <c r="O47" i="51"/>
  <c r="AR47" i="51" s="1"/>
  <c r="O57" i="51"/>
  <c r="N13" i="51"/>
  <c r="AQ13" i="51" s="1"/>
  <c r="N17" i="51"/>
  <c r="AQ17" i="51" s="1"/>
  <c r="N24" i="51"/>
  <c r="AQ24" i="51" s="1"/>
  <c r="N28" i="51"/>
  <c r="AQ28" i="51" s="1"/>
  <c r="N34" i="51"/>
  <c r="AQ34" i="51" s="1"/>
  <c r="N35" i="51"/>
  <c r="AQ35" i="51" s="1"/>
  <c r="N36" i="51"/>
  <c r="AQ36" i="51" s="1"/>
  <c r="N39" i="51"/>
  <c r="AQ39" i="51" s="1"/>
  <c r="N40" i="51"/>
  <c r="AQ40" i="51" s="1"/>
  <c r="N41" i="51"/>
  <c r="AQ41" i="51" s="1"/>
  <c r="N50" i="51"/>
  <c r="AQ50" i="51" s="1"/>
  <c r="N51" i="51"/>
  <c r="AQ51" i="51" s="1"/>
  <c r="N52" i="51"/>
  <c r="AQ52" i="51" s="1"/>
  <c r="N55" i="51"/>
  <c r="M17" i="51"/>
  <c r="AP17" i="51" s="1"/>
  <c r="M19" i="51"/>
  <c r="AP19" i="51" s="1"/>
  <c r="M22" i="51"/>
  <c r="AP22" i="51" s="1"/>
  <c r="M30" i="51"/>
  <c r="AP30" i="51" s="1"/>
  <c r="M37" i="51"/>
  <c r="AP37" i="51" s="1"/>
  <c r="M40" i="51"/>
  <c r="AP40" i="51" s="1"/>
  <c r="M42" i="51"/>
  <c r="AP42" i="51" s="1"/>
  <c r="M46" i="51"/>
  <c r="AP46" i="51" s="1"/>
  <c r="M49" i="51"/>
  <c r="AP49" i="51" s="1"/>
  <c r="M51" i="51"/>
  <c r="AP51" i="51" s="1"/>
  <c r="M53" i="51"/>
  <c r="AP53" i="51" s="1"/>
  <c r="M54" i="51"/>
  <c r="M55" i="51"/>
  <c r="L13" i="51"/>
  <c r="AO13" i="51" s="1"/>
  <c r="L14" i="51"/>
  <c r="AO14" i="51" s="1"/>
  <c r="L15" i="51"/>
  <c r="AO15" i="51" s="1"/>
  <c r="L17" i="51"/>
  <c r="AO17" i="51" s="1"/>
  <c r="L19" i="51"/>
  <c r="AO19" i="51" s="1"/>
  <c r="L21" i="51"/>
  <c r="AO21" i="51" s="1"/>
  <c r="L23" i="51"/>
  <c r="AO23" i="51" s="1"/>
  <c r="L25" i="51"/>
  <c r="AO25" i="51" s="1"/>
  <c r="L27" i="51"/>
  <c r="AO27" i="51" s="1"/>
  <c r="L29" i="51"/>
  <c r="AO29" i="51" s="1"/>
  <c r="L31" i="51"/>
  <c r="AO31" i="51" s="1"/>
  <c r="L33" i="51"/>
  <c r="AO33" i="51" s="1"/>
  <c r="L35" i="51"/>
  <c r="AO35" i="51" s="1"/>
  <c r="L37" i="51"/>
  <c r="AO37" i="51" s="1"/>
  <c r="L40" i="51"/>
  <c r="AO40" i="51" s="1"/>
  <c r="L41" i="51"/>
  <c r="AO41" i="51" s="1"/>
  <c r="L44" i="51"/>
  <c r="AO44" i="51" s="1"/>
  <c r="L46" i="51"/>
  <c r="AO46" i="51" s="1"/>
  <c r="L48" i="51"/>
  <c r="AO48" i="51" s="1"/>
  <c r="L51" i="51"/>
  <c r="AO51" i="51" s="1"/>
  <c r="K13" i="51"/>
  <c r="AN13" i="51" s="1"/>
  <c r="S13" i="51"/>
  <c r="K14" i="51"/>
  <c r="AN14" i="51" s="1"/>
  <c r="S14" i="51"/>
  <c r="K15" i="51"/>
  <c r="AN15" i="51" s="1"/>
  <c r="S15" i="51"/>
  <c r="K16" i="51"/>
  <c r="AN16" i="51" s="1"/>
  <c r="S16" i="51"/>
  <c r="K17" i="51"/>
  <c r="AN17" i="51" s="1"/>
  <c r="S17" i="51"/>
  <c r="K18" i="51"/>
  <c r="S18" i="51"/>
  <c r="K19" i="51"/>
  <c r="AN19" i="51" s="1"/>
  <c r="S19" i="51"/>
  <c r="K20" i="51"/>
  <c r="AN20" i="51" s="1"/>
  <c r="S20" i="51"/>
  <c r="K21" i="51"/>
  <c r="AN21" i="51" s="1"/>
  <c r="S21" i="51"/>
  <c r="K22" i="51"/>
  <c r="AN22" i="51" s="1"/>
  <c r="S22" i="51"/>
  <c r="K23" i="51"/>
  <c r="AN23" i="51" s="1"/>
  <c r="S23" i="51"/>
  <c r="K24" i="51"/>
  <c r="AN24" i="51" s="1"/>
  <c r="S24" i="51"/>
  <c r="K25" i="51"/>
  <c r="AN25" i="51" s="1"/>
  <c r="S25" i="51"/>
  <c r="K26" i="51"/>
  <c r="AN26" i="51" s="1"/>
  <c r="S26" i="51"/>
  <c r="K27" i="51"/>
  <c r="AN27" i="51" s="1"/>
  <c r="S27" i="51"/>
  <c r="K28" i="51"/>
  <c r="AN28" i="51" s="1"/>
  <c r="S28" i="51"/>
  <c r="K29" i="51"/>
  <c r="AN29" i="51" s="1"/>
  <c r="S29" i="51"/>
  <c r="K30" i="51"/>
  <c r="AN30" i="51" s="1"/>
  <c r="S30" i="51"/>
  <c r="K31" i="51"/>
  <c r="AN31" i="51" s="1"/>
  <c r="S31" i="51"/>
  <c r="K32" i="51"/>
  <c r="AN32" i="51" s="1"/>
  <c r="S32" i="51"/>
  <c r="K33" i="51"/>
  <c r="AN33" i="51" s="1"/>
  <c r="S33" i="51"/>
  <c r="K34" i="51"/>
  <c r="AN34" i="51" s="1"/>
  <c r="S34" i="51"/>
  <c r="K35" i="51"/>
  <c r="AN35" i="51" s="1"/>
  <c r="S35" i="51"/>
  <c r="K36" i="51"/>
  <c r="AN36" i="51" s="1"/>
  <c r="S36" i="51"/>
  <c r="K37" i="51"/>
  <c r="AN37" i="51" s="1"/>
  <c r="S37" i="51"/>
  <c r="K38" i="51"/>
  <c r="AN38" i="51" s="1"/>
  <c r="S38" i="51"/>
  <c r="K39" i="51"/>
  <c r="AN39" i="51" s="1"/>
  <c r="S39" i="51"/>
  <c r="K40" i="51"/>
  <c r="AN40" i="51" s="1"/>
  <c r="S40" i="51"/>
  <c r="K41" i="51"/>
  <c r="AN41" i="51" s="1"/>
  <c r="S41" i="51"/>
  <c r="K42" i="51"/>
  <c r="AN42" i="51" s="1"/>
  <c r="S42" i="51"/>
  <c r="K43" i="51"/>
  <c r="AN43" i="51" s="1"/>
  <c r="S43" i="51"/>
  <c r="K44" i="51"/>
  <c r="AN44" i="51" s="1"/>
  <c r="S44" i="51"/>
  <c r="K45" i="51"/>
  <c r="AN45" i="51" s="1"/>
  <c r="S45" i="51"/>
  <c r="K46" i="51"/>
  <c r="AN46" i="51" s="1"/>
  <c r="S46" i="51"/>
  <c r="K47" i="51"/>
  <c r="AN47" i="51" s="1"/>
  <c r="S47" i="51"/>
  <c r="K48" i="51"/>
  <c r="AN48" i="51" s="1"/>
  <c r="S48" i="51"/>
  <c r="K49" i="51"/>
  <c r="AN49" i="51" s="1"/>
  <c r="S49" i="51"/>
  <c r="K50" i="51"/>
  <c r="AN50" i="51" s="1"/>
  <c r="S50" i="51"/>
  <c r="K51" i="51"/>
  <c r="AN51" i="51" s="1"/>
  <c r="S51" i="51"/>
  <c r="K52" i="51"/>
  <c r="AN52" i="51" s="1"/>
  <c r="S52" i="51"/>
  <c r="K53" i="51"/>
  <c r="AN53" i="51" s="1"/>
  <c r="S53" i="51"/>
  <c r="K54" i="51"/>
  <c r="S54" i="51"/>
  <c r="K55" i="51"/>
  <c r="S55" i="51"/>
  <c r="K56" i="51"/>
  <c r="S56" i="51"/>
  <c r="K57" i="51"/>
  <c r="S57" i="51"/>
  <c r="O17" i="51"/>
  <c r="AR17" i="51" s="1"/>
  <c r="O19" i="51"/>
  <c r="AR19" i="51" s="1"/>
  <c r="O21" i="51"/>
  <c r="AR21" i="51" s="1"/>
  <c r="O23" i="51"/>
  <c r="AR23" i="51" s="1"/>
  <c r="O25" i="51"/>
  <c r="AR25" i="51" s="1"/>
  <c r="O27" i="51"/>
  <c r="AR27" i="51" s="1"/>
  <c r="O29" i="51"/>
  <c r="AR29" i="51" s="1"/>
  <c r="O31" i="51"/>
  <c r="AR31" i="51" s="1"/>
  <c r="O49" i="51"/>
  <c r="AR49" i="51" s="1"/>
  <c r="O50" i="51"/>
  <c r="AR50" i="51" s="1"/>
  <c r="O53" i="51"/>
  <c r="AR53" i="51" s="1"/>
  <c r="O54" i="51"/>
  <c r="O55" i="51"/>
  <c r="O56" i="51"/>
  <c r="N21" i="51"/>
  <c r="AQ21" i="51" s="1"/>
  <c r="N38" i="51"/>
  <c r="AQ38" i="51" s="1"/>
  <c r="N42" i="51"/>
  <c r="AQ42" i="51" s="1"/>
  <c r="N43" i="51"/>
  <c r="AQ43" i="51" s="1"/>
  <c r="N46" i="51"/>
  <c r="AQ46" i="51" s="1"/>
  <c r="N47" i="51"/>
  <c r="AQ47" i="51" s="1"/>
  <c r="N48" i="51"/>
  <c r="AQ48" i="51" s="1"/>
  <c r="N54" i="51"/>
  <c r="M16" i="51"/>
  <c r="AP16" i="51" s="1"/>
  <c r="M18" i="51"/>
  <c r="AP18" i="51" s="1"/>
  <c r="M24" i="51"/>
  <c r="AP24" i="51" s="1"/>
  <c r="M26" i="51"/>
  <c r="AP26" i="51" s="1"/>
  <c r="M28" i="51"/>
  <c r="AP28" i="51" s="1"/>
  <c r="M32" i="51"/>
  <c r="AP32" i="51" s="1"/>
  <c r="M34" i="51"/>
  <c r="AP34" i="51" s="1"/>
  <c r="M36" i="51"/>
  <c r="AP36" i="51" s="1"/>
  <c r="M39" i="51"/>
  <c r="AP39" i="51" s="1"/>
  <c r="M44" i="51"/>
  <c r="AP44" i="51" s="1"/>
  <c r="M48" i="51"/>
  <c r="AP48" i="51" s="1"/>
  <c r="M50" i="51"/>
  <c r="AP50" i="51" s="1"/>
  <c r="M56" i="51"/>
  <c r="L16" i="51"/>
  <c r="AO16" i="51" s="1"/>
  <c r="L18" i="51"/>
  <c r="AO18" i="51" s="1"/>
  <c r="L20" i="51"/>
  <c r="AO20" i="51" s="1"/>
  <c r="L22" i="51"/>
  <c r="AO22" i="51" s="1"/>
  <c r="L24" i="51"/>
  <c r="AO24" i="51" s="1"/>
  <c r="L26" i="51"/>
  <c r="AO26" i="51" s="1"/>
  <c r="L28" i="51"/>
  <c r="AO28" i="51" s="1"/>
  <c r="L30" i="51"/>
  <c r="AO30" i="51" s="1"/>
  <c r="L32" i="51"/>
  <c r="AO32" i="51" s="1"/>
  <c r="L34" i="51"/>
  <c r="AO34" i="51" s="1"/>
  <c r="L36" i="51"/>
  <c r="AO36" i="51" s="1"/>
  <c r="L38" i="51"/>
  <c r="AO38" i="51" s="1"/>
  <c r="L39" i="51"/>
  <c r="AO39" i="51" s="1"/>
  <c r="L42" i="51"/>
  <c r="AO42" i="51" s="1"/>
  <c r="L43" i="51"/>
  <c r="AO43" i="51" s="1"/>
  <c r="L45" i="51"/>
  <c r="AO45" i="51" s="1"/>
  <c r="L47" i="51"/>
  <c r="AO47" i="51" s="1"/>
  <c r="L49" i="51"/>
  <c r="AO49" i="51" s="1"/>
  <c r="L50" i="51"/>
  <c r="AO50" i="51" s="1"/>
  <c r="L52" i="51"/>
  <c r="AO52" i="51" s="1"/>
  <c r="L53" i="51"/>
  <c r="AO53" i="51" s="1"/>
  <c r="L54" i="51"/>
  <c r="L55" i="51"/>
  <c r="L56" i="51"/>
  <c r="L57" i="51"/>
  <c r="J13" i="51"/>
  <c r="AM13" i="51" s="1"/>
  <c r="R13" i="51"/>
  <c r="AU13" i="51" s="1"/>
  <c r="J14" i="51"/>
  <c r="AM14" i="51" s="1"/>
  <c r="R14" i="51"/>
  <c r="AU14" i="51" s="1"/>
  <c r="J15" i="51"/>
  <c r="AM15" i="51" s="1"/>
  <c r="R15" i="51"/>
  <c r="AU15" i="51" s="1"/>
  <c r="J16" i="51"/>
  <c r="AM16" i="51" s="1"/>
  <c r="R16" i="51"/>
  <c r="AU16" i="51" s="1"/>
  <c r="J17" i="51"/>
  <c r="AM17" i="51" s="1"/>
  <c r="R17" i="51"/>
  <c r="AU17" i="51" s="1"/>
  <c r="J18" i="51"/>
  <c r="AM18" i="51" s="1"/>
  <c r="R18" i="51"/>
  <c r="AU18" i="51" s="1"/>
  <c r="J19" i="51"/>
  <c r="AM19" i="51" s="1"/>
  <c r="R19" i="51"/>
  <c r="AU19" i="51" s="1"/>
  <c r="J20" i="51"/>
  <c r="AM20" i="51" s="1"/>
  <c r="R20" i="51"/>
  <c r="AU20" i="51" s="1"/>
  <c r="J21" i="51"/>
  <c r="AM21" i="51" s="1"/>
  <c r="R21" i="51"/>
  <c r="AU21" i="51" s="1"/>
  <c r="J22" i="51"/>
  <c r="AM22" i="51" s="1"/>
  <c r="R22" i="51"/>
  <c r="AU22" i="51" s="1"/>
  <c r="J23" i="51"/>
  <c r="AM23" i="51" s="1"/>
  <c r="R23" i="51"/>
  <c r="AU23" i="51" s="1"/>
  <c r="J24" i="51"/>
  <c r="AM24" i="51" s="1"/>
  <c r="R24" i="51"/>
  <c r="AU24" i="51" s="1"/>
  <c r="J25" i="51"/>
  <c r="AM25" i="51" s="1"/>
  <c r="R25" i="51"/>
  <c r="AU25" i="51" s="1"/>
  <c r="J26" i="51"/>
  <c r="AM26" i="51" s="1"/>
  <c r="R26" i="51"/>
  <c r="AU26" i="51" s="1"/>
  <c r="J27" i="51"/>
  <c r="AM27" i="51" s="1"/>
  <c r="R27" i="51"/>
  <c r="AU27" i="51" s="1"/>
  <c r="J28" i="51"/>
  <c r="AM28" i="51" s="1"/>
  <c r="R28" i="51"/>
  <c r="AU28" i="51" s="1"/>
  <c r="J29" i="51"/>
  <c r="AM29" i="51" s="1"/>
  <c r="R29" i="51"/>
  <c r="AU29" i="51" s="1"/>
  <c r="J30" i="51"/>
  <c r="AM30" i="51" s="1"/>
  <c r="R30" i="51"/>
  <c r="AU30" i="51" s="1"/>
  <c r="J31" i="51"/>
  <c r="AM31" i="51" s="1"/>
  <c r="R31" i="51"/>
  <c r="AU31" i="51" s="1"/>
  <c r="J32" i="51"/>
  <c r="AM32" i="51" s="1"/>
  <c r="R32" i="51"/>
  <c r="AU32" i="51" s="1"/>
  <c r="J33" i="51"/>
  <c r="AM33" i="51" s="1"/>
  <c r="R33" i="51"/>
  <c r="AU33" i="51" s="1"/>
  <c r="J34" i="51"/>
  <c r="AM34" i="51" s="1"/>
  <c r="R34" i="51"/>
  <c r="AU34" i="51" s="1"/>
  <c r="J35" i="51"/>
  <c r="AM35" i="51" s="1"/>
  <c r="R35" i="51"/>
  <c r="AU35" i="51" s="1"/>
  <c r="J36" i="51"/>
  <c r="AM36" i="51" s="1"/>
  <c r="R36" i="51"/>
  <c r="AU36" i="51" s="1"/>
  <c r="J37" i="51"/>
  <c r="AM37" i="51" s="1"/>
  <c r="R37" i="51"/>
  <c r="AU37" i="51" s="1"/>
  <c r="J38" i="51"/>
  <c r="AM38" i="51" s="1"/>
  <c r="R38" i="51"/>
  <c r="AU38" i="51" s="1"/>
  <c r="J39" i="51"/>
  <c r="AM39" i="51" s="1"/>
  <c r="R39" i="51"/>
  <c r="AU39" i="51" s="1"/>
  <c r="J40" i="51"/>
  <c r="AM40" i="51" s="1"/>
  <c r="R40" i="51"/>
  <c r="AU40" i="51" s="1"/>
  <c r="J41" i="51"/>
  <c r="AM41" i="51" s="1"/>
  <c r="R41" i="51"/>
  <c r="AU41" i="51" s="1"/>
  <c r="J42" i="51"/>
  <c r="AM42" i="51" s="1"/>
  <c r="R42" i="51"/>
  <c r="AU42" i="51" s="1"/>
  <c r="J43" i="51"/>
  <c r="AM43" i="51" s="1"/>
  <c r="R43" i="51"/>
  <c r="AU43" i="51" s="1"/>
  <c r="J44" i="51"/>
  <c r="AM44" i="51" s="1"/>
  <c r="R44" i="51"/>
  <c r="AU44" i="51" s="1"/>
  <c r="J45" i="51"/>
  <c r="AM45" i="51" s="1"/>
  <c r="R45" i="51"/>
  <c r="AU45" i="51" s="1"/>
  <c r="J46" i="51"/>
  <c r="AM46" i="51" s="1"/>
  <c r="R46" i="51"/>
  <c r="AU46" i="51" s="1"/>
  <c r="J47" i="51"/>
  <c r="AM47" i="51" s="1"/>
  <c r="R47" i="51"/>
  <c r="AU47" i="51" s="1"/>
  <c r="J48" i="51"/>
  <c r="AM48" i="51" s="1"/>
  <c r="R48" i="51"/>
  <c r="AU48" i="51" s="1"/>
  <c r="J49" i="51"/>
  <c r="AM49" i="51" s="1"/>
  <c r="R49" i="51"/>
  <c r="AU49" i="51" s="1"/>
  <c r="J50" i="51"/>
  <c r="AM50" i="51" s="1"/>
  <c r="R50" i="51"/>
  <c r="AU50" i="51" s="1"/>
  <c r="J51" i="51"/>
  <c r="AM51" i="51" s="1"/>
  <c r="R51" i="51"/>
  <c r="AU51" i="51" s="1"/>
  <c r="J52" i="51"/>
  <c r="AM52" i="51" s="1"/>
  <c r="R52" i="51"/>
  <c r="AU52" i="51" s="1"/>
  <c r="J53" i="51"/>
  <c r="AM53" i="51" s="1"/>
  <c r="R53" i="51"/>
  <c r="AU53" i="51" s="1"/>
  <c r="J54" i="51"/>
  <c r="R54" i="51"/>
  <c r="J55" i="51"/>
  <c r="R55" i="51"/>
  <c r="J56" i="51"/>
  <c r="R56" i="51"/>
  <c r="J57" i="51"/>
  <c r="R57" i="51"/>
  <c r="O13" i="51"/>
  <c r="AR13" i="51" s="1"/>
  <c r="O15" i="51"/>
  <c r="AR15" i="51" s="1"/>
  <c r="O26" i="51"/>
  <c r="AR26" i="51" s="1"/>
  <c r="O28" i="51"/>
  <c r="AR28" i="51" s="1"/>
  <c r="O48" i="51"/>
  <c r="AR48" i="51" s="1"/>
  <c r="O52" i="51"/>
  <c r="AR52" i="51" s="1"/>
  <c r="N14" i="51"/>
  <c r="AQ14" i="51" s="1"/>
  <c r="N15" i="51"/>
  <c r="AQ15" i="51" s="1"/>
  <c r="N16" i="51"/>
  <c r="AQ16" i="51" s="1"/>
  <c r="N20" i="51"/>
  <c r="AQ20" i="51" s="1"/>
  <c r="N25" i="51"/>
  <c r="AQ25" i="51" s="1"/>
  <c r="N29" i="51"/>
  <c r="AQ29" i="51" s="1"/>
  <c r="N57" i="51"/>
  <c r="M13" i="51"/>
  <c r="AP13" i="51" s="1"/>
  <c r="M15" i="51"/>
  <c r="AP15" i="51" s="1"/>
  <c r="M21" i="51"/>
  <c r="AP21" i="51" s="1"/>
  <c r="M23" i="51"/>
  <c r="AP23" i="51" s="1"/>
  <c r="M27" i="51"/>
  <c r="AP27" i="51" s="1"/>
  <c r="M29" i="51"/>
  <c r="AP29" i="51" s="1"/>
  <c r="M31" i="51"/>
  <c r="AP31" i="51" s="1"/>
  <c r="M33" i="51"/>
  <c r="AP33" i="51" s="1"/>
  <c r="M35" i="51"/>
  <c r="AP35" i="51" s="1"/>
  <c r="M38" i="51"/>
  <c r="AP38" i="51" s="1"/>
  <c r="M43" i="51"/>
  <c r="AP43" i="51" s="1"/>
  <c r="M45" i="51"/>
  <c r="AP45" i="51" s="1"/>
  <c r="M47" i="51"/>
  <c r="AP47" i="51" s="1"/>
  <c r="M52" i="51"/>
  <c r="AP52" i="51" s="1"/>
  <c r="Q13" i="51"/>
  <c r="AT13" i="51" s="1"/>
  <c r="Q14" i="51"/>
  <c r="AT14" i="51" s="1"/>
  <c r="Q15" i="51"/>
  <c r="AT15" i="51" s="1"/>
  <c r="Q16" i="51"/>
  <c r="AT16" i="51" s="1"/>
  <c r="Q17" i="51"/>
  <c r="AT17" i="51" s="1"/>
  <c r="Q18" i="51"/>
  <c r="AT18" i="51" s="1"/>
  <c r="Q19" i="51"/>
  <c r="AT19" i="51" s="1"/>
  <c r="Q20" i="51"/>
  <c r="AT20" i="51" s="1"/>
  <c r="Q21" i="51"/>
  <c r="AT21" i="51" s="1"/>
  <c r="Q22" i="51"/>
  <c r="AT22" i="51" s="1"/>
  <c r="Q23" i="51"/>
  <c r="AT23" i="51" s="1"/>
  <c r="Q24" i="51"/>
  <c r="AT24" i="51" s="1"/>
  <c r="Q25" i="51"/>
  <c r="AT25" i="51" s="1"/>
  <c r="Q26" i="51"/>
  <c r="AT26" i="51" s="1"/>
  <c r="Q27" i="51"/>
  <c r="AT27" i="51" s="1"/>
  <c r="Q28" i="51"/>
  <c r="AT28" i="51" s="1"/>
  <c r="Q29" i="51"/>
  <c r="AT29" i="51" s="1"/>
  <c r="Q30" i="51"/>
  <c r="AT30" i="51" s="1"/>
  <c r="Q31" i="51"/>
  <c r="AT31" i="51" s="1"/>
  <c r="Q32" i="51"/>
  <c r="AT32" i="51" s="1"/>
  <c r="Q33" i="51"/>
  <c r="AT33" i="51" s="1"/>
  <c r="Q34" i="51"/>
  <c r="AT34" i="51" s="1"/>
  <c r="Q35" i="51"/>
  <c r="AT35" i="51" s="1"/>
  <c r="Q36" i="51"/>
  <c r="AT36" i="51" s="1"/>
  <c r="Q37" i="51"/>
  <c r="AT37" i="51" s="1"/>
  <c r="Q38" i="51"/>
  <c r="AT38" i="51" s="1"/>
  <c r="Q39" i="51"/>
  <c r="AT39" i="51" s="1"/>
  <c r="Q40" i="51"/>
  <c r="AT40" i="51" s="1"/>
  <c r="Q41" i="51"/>
  <c r="AT41" i="51" s="1"/>
  <c r="Q42" i="51"/>
  <c r="AT42" i="51" s="1"/>
  <c r="Q43" i="51"/>
  <c r="AT43" i="51" s="1"/>
  <c r="Q44" i="51"/>
  <c r="AT44" i="51" s="1"/>
  <c r="Q45" i="51"/>
  <c r="AT45" i="51" s="1"/>
  <c r="Q46" i="51"/>
  <c r="AT46" i="51" s="1"/>
  <c r="Q47" i="51"/>
  <c r="AT47" i="51" s="1"/>
  <c r="Q48" i="51"/>
  <c r="AT48" i="51" s="1"/>
  <c r="Q49" i="51"/>
  <c r="AT49" i="51" s="1"/>
  <c r="Q50" i="51"/>
  <c r="AT50" i="51" s="1"/>
  <c r="Q51" i="51"/>
  <c r="AT51" i="51" s="1"/>
  <c r="Q52" i="51"/>
  <c r="AT52" i="51" s="1"/>
  <c r="Q53" i="51"/>
  <c r="AT53" i="51" s="1"/>
  <c r="Q54" i="51"/>
  <c r="Q55" i="51"/>
  <c r="Q56" i="51"/>
  <c r="Q57" i="51"/>
  <c r="O30" i="51"/>
  <c r="AR30" i="51" s="1"/>
  <c r="O32" i="51"/>
  <c r="AR32" i="51" s="1"/>
  <c r="O34" i="51"/>
  <c r="AR34" i="51" s="1"/>
  <c r="O36" i="51"/>
  <c r="AR36" i="51" s="1"/>
  <c r="O38" i="51"/>
  <c r="AR38" i="51" s="1"/>
  <c r="O40" i="51"/>
  <c r="AR40" i="51" s="1"/>
  <c r="O42" i="51"/>
  <c r="AR42" i="51" s="1"/>
  <c r="O44" i="51"/>
  <c r="AR44" i="51" s="1"/>
  <c r="O46" i="51"/>
  <c r="AR46" i="51" s="1"/>
  <c r="N18" i="51"/>
  <c r="AQ18" i="51" s="1"/>
  <c r="N19" i="51"/>
  <c r="AQ19" i="51" s="1"/>
  <c r="N22" i="51"/>
  <c r="AQ22" i="51" s="1"/>
  <c r="N23" i="51"/>
  <c r="AQ23" i="51" s="1"/>
  <c r="N26" i="51"/>
  <c r="AQ26" i="51" s="1"/>
  <c r="N27" i="51"/>
  <c r="AQ27" i="51" s="1"/>
  <c r="N30" i="51"/>
  <c r="AQ30" i="51" s="1"/>
  <c r="N31" i="51"/>
  <c r="AQ31" i="51" s="1"/>
  <c r="N32" i="51"/>
  <c r="AQ32" i="51" s="1"/>
  <c r="N33" i="51"/>
  <c r="AQ33" i="51" s="1"/>
  <c r="N37" i="51"/>
  <c r="AQ37" i="51" s="1"/>
  <c r="N44" i="51"/>
  <c r="AQ44" i="51" s="1"/>
  <c r="N45" i="51"/>
  <c r="AQ45" i="51" s="1"/>
  <c r="N49" i="51"/>
  <c r="AQ49" i="51" s="1"/>
  <c r="N53" i="51"/>
  <c r="AQ53" i="51" s="1"/>
  <c r="M14" i="51"/>
  <c r="AP14" i="51" s="1"/>
  <c r="M20" i="51"/>
  <c r="AP20" i="51" s="1"/>
  <c r="M25" i="51"/>
  <c r="AP25" i="51" s="1"/>
  <c r="M41" i="51"/>
  <c r="AP41" i="51" s="1"/>
  <c r="K16" i="50"/>
  <c r="O25" i="50"/>
  <c r="O53" i="50"/>
  <c r="O45" i="50"/>
  <c r="O37" i="50"/>
  <c r="O28" i="50"/>
  <c r="M54" i="50"/>
  <c r="M46" i="50"/>
  <c r="M38" i="50"/>
  <c r="M29" i="50"/>
  <c r="M21" i="50"/>
  <c r="L22" i="50"/>
  <c r="J40" i="50"/>
  <c r="N50" i="50"/>
  <c r="N34" i="50"/>
  <c r="P33" i="50"/>
  <c r="Q16" i="50"/>
  <c r="K59" i="50"/>
  <c r="K51" i="50"/>
  <c r="K43" i="50"/>
  <c r="K35" i="50"/>
  <c r="K26" i="50"/>
  <c r="L57" i="50"/>
  <c r="N25" i="50"/>
  <c r="R15" i="50"/>
  <c r="P57" i="50"/>
  <c r="O29" i="50"/>
  <c r="L47" i="50"/>
  <c r="O50" i="50"/>
  <c r="K37" i="50"/>
  <c r="O46" i="50"/>
  <c r="J17" i="50"/>
  <c r="L16" i="50"/>
  <c r="O20" i="50"/>
  <c r="S33" i="50"/>
  <c r="K24" i="50"/>
  <c r="S49" i="50"/>
  <c r="P16" i="50"/>
  <c r="J15" i="50"/>
  <c r="P53" i="50"/>
  <c r="K41" i="50"/>
  <c r="L39" i="50"/>
  <c r="S53" i="50"/>
  <c r="L41" i="50"/>
  <c r="S28" i="50"/>
  <c r="M58" i="50"/>
  <c r="M50" i="50"/>
  <c r="M42" i="50"/>
  <c r="M34" i="50"/>
  <c r="M25" i="50"/>
  <c r="N54" i="50"/>
  <c r="P41" i="50"/>
  <c r="N29" i="50"/>
  <c r="P35" i="50"/>
  <c r="Q36" i="50"/>
  <c r="Q57" i="50"/>
  <c r="Q25" i="50"/>
  <c r="S57" i="50"/>
  <c r="O54" i="50"/>
  <c r="Q50" i="50"/>
  <c r="J48" i="50"/>
  <c r="P43" i="50"/>
  <c r="S37" i="50"/>
  <c r="K20" i="50"/>
  <c r="M17" i="50"/>
  <c r="L59" i="50"/>
  <c r="K57" i="50"/>
  <c r="K53" i="50"/>
  <c r="Q49" i="50"/>
  <c r="N46" i="50"/>
  <c r="O42" i="50"/>
  <c r="O35" i="50"/>
  <c r="L33" i="50"/>
  <c r="P28" i="50"/>
  <c r="S24" i="50"/>
  <c r="O21" i="50"/>
  <c r="Q17" i="50"/>
  <c r="Q44" i="50"/>
  <c r="P59" i="50"/>
  <c r="J23" i="50"/>
  <c r="K55" i="50"/>
  <c r="K47" i="50"/>
  <c r="K39" i="50"/>
  <c r="K30" i="50"/>
  <c r="K22" i="50"/>
  <c r="M32" i="50"/>
  <c r="N58" i="50"/>
  <c r="Q54" i="50"/>
  <c r="L51" i="50"/>
  <c r="K49" i="50"/>
  <c r="K45" i="50"/>
  <c r="Q41" i="50"/>
  <c r="N38" i="50"/>
  <c r="O34" i="50"/>
  <c r="L30" i="50"/>
  <c r="O26" i="50"/>
  <c r="L24" i="50"/>
  <c r="P20" i="50"/>
  <c r="S16" i="50"/>
  <c r="O59" i="50"/>
  <c r="Q42" i="50"/>
  <c r="Q21" i="50"/>
  <c r="Q52" i="50"/>
  <c r="Q19" i="50"/>
  <c r="Q46" i="50"/>
  <c r="L43" i="50"/>
  <c r="Q33" i="50"/>
  <c r="O43" i="50"/>
  <c r="Q29" i="50"/>
  <c r="Q56" i="50"/>
  <c r="Q48" i="50"/>
  <c r="Q40" i="50"/>
  <c r="Q32" i="50"/>
  <c r="Q23" i="50"/>
  <c r="Q15" i="50"/>
  <c r="O58" i="50"/>
  <c r="L55" i="50"/>
  <c r="O51" i="50"/>
  <c r="L49" i="50"/>
  <c r="P45" i="50"/>
  <c r="S41" i="50"/>
  <c r="O38" i="50"/>
  <c r="Q34" i="50"/>
  <c r="J32" i="50"/>
  <c r="P26" i="50"/>
  <c r="P24" i="50"/>
  <c r="S20" i="50"/>
  <c r="N17" i="50"/>
  <c r="Q27" i="50"/>
  <c r="P37" i="50"/>
  <c r="L26" i="50"/>
  <c r="Q58" i="50"/>
  <c r="J56" i="50"/>
  <c r="P51" i="50"/>
  <c r="P49" i="50"/>
  <c r="S45" i="50"/>
  <c r="N42" i="50"/>
  <c r="Q38" i="50"/>
  <c r="L35" i="50"/>
  <c r="K33" i="50"/>
  <c r="K28" i="50"/>
  <c r="Q24" i="50"/>
  <c r="N21" i="50"/>
  <c r="O17" i="50"/>
  <c r="K14" i="50"/>
  <c r="R40" i="50"/>
  <c r="R36" i="50"/>
  <c r="J36" i="50"/>
  <c r="M59" i="50"/>
  <c r="S56" i="50"/>
  <c r="K56" i="50"/>
  <c r="M55" i="50"/>
  <c r="Q53" i="50"/>
  <c r="S52" i="50"/>
  <c r="K52" i="50"/>
  <c r="M51" i="50"/>
  <c r="S48" i="50"/>
  <c r="K48" i="50"/>
  <c r="M47" i="50"/>
  <c r="Q45" i="50"/>
  <c r="S44" i="50"/>
  <c r="K44" i="50"/>
  <c r="M43" i="50"/>
  <c r="S40" i="50"/>
  <c r="K40" i="50"/>
  <c r="M39" i="50"/>
  <c r="Q37" i="50"/>
  <c r="S36" i="50"/>
  <c r="K36" i="50"/>
  <c r="M35" i="50"/>
  <c r="S32" i="50"/>
  <c r="K32" i="50"/>
  <c r="M30" i="50"/>
  <c r="Q28" i="50"/>
  <c r="S27" i="50"/>
  <c r="K27" i="50"/>
  <c r="M26" i="50"/>
  <c r="S23" i="50"/>
  <c r="K23" i="50"/>
  <c r="M22" i="50"/>
  <c r="Q20" i="50"/>
  <c r="S19" i="50"/>
  <c r="K19" i="50"/>
  <c r="S15" i="50"/>
  <c r="K15" i="50"/>
  <c r="N59" i="50"/>
  <c r="P58" i="50"/>
  <c r="R57" i="50"/>
  <c r="J57" i="50"/>
  <c r="L56" i="50"/>
  <c r="N55" i="50"/>
  <c r="P54" i="50"/>
  <c r="R53" i="50"/>
  <c r="J53" i="50"/>
  <c r="L52" i="50"/>
  <c r="N51" i="50"/>
  <c r="P50" i="50"/>
  <c r="R49" i="50"/>
  <c r="J49" i="50"/>
  <c r="L48" i="50"/>
  <c r="N47" i="50"/>
  <c r="P46" i="50"/>
  <c r="R45" i="50"/>
  <c r="J45" i="50"/>
  <c r="L44" i="50"/>
  <c r="N43" i="50"/>
  <c r="P42" i="50"/>
  <c r="R41" i="50"/>
  <c r="J41" i="50"/>
  <c r="L40" i="50"/>
  <c r="N39" i="50"/>
  <c r="P38" i="50"/>
  <c r="R37" i="50"/>
  <c r="J37" i="50"/>
  <c r="L36" i="50"/>
  <c r="N35" i="50"/>
  <c r="P34" i="50"/>
  <c r="R33" i="50"/>
  <c r="J33" i="50"/>
  <c r="L32" i="50"/>
  <c r="N30" i="50"/>
  <c r="P29" i="50"/>
  <c r="R28" i="50"/>
  <c r="J28" i="50"/>
  <c r="L27" i="50"/>
  <c r="N26" i="50"/>
  <c r="P25" i="50"/>
  <c r="R24" i="50"/>
  <c r="J24" i="50"/>
  <c r="L23" i="50"/>
  <c r="N22" i="50"/>
  <c r="P21" i="50"/>
  <c r="R20" i="50"/>
  <c r="J20" i="50"/>
  <c r="L19" i="50"/>
  <c r="P17" i="50"/>
  <c r="R16" i="50"/>
  <c r="J16" i="50"/>
  <c r="L15" i="50"/>
  <c r="R27" i="50"/>
  <c r="R19" i="50"/>
  <c r="J19" i="50"/>
  <c r="O47" i="50"/>
  <c r="M40" i="50"/>
  <c r="M36" i="50"/>
  <c r="M23" i="50"/>
  <c r="O22" i="50"/>
  <c r="M19" i="50"/>
  <c r="M15" i="50"/>
  <c r="P55" i="50"/>
  <c r="R54" i="50"/>
  <c r="L53" i="50"/>
  <c r="N52" i="50"/>
  <c r="R46" i="50"/>
  <c r="R42" i="50"/>
  <c r="J42" i="50"/>
  <c r="N40" i="50"/>
  <c r="P30" i="50"/>
  <c r="R29" i="50"/>
  <c r="J29" i="50"/>
  <c r="L28" i="50"/>
  <c r="N27" i="50"/>
  <c r="R25" i="50"/>
  <c r="N23" i="50"/>
  <c r="P22" i="50"/>
  <c r="R21" i="50"/>
  <c r="J21" i="50"/>
  <c r="L20" i="50"/>
  <c r="N19" i="50"/>
  <c r="Q59" i="50"/>
  <c r="S58" i="50"/>
  <c r="K58" i="50"/>
  <c r="M57" i="50"/>
  <c r="O56" i="50"/>
  <c r="Q55" i="50"/>
  <c r="S54" i="50"/>
  <c r="K54" i="50"/>
  <c r="M53" i="50"/>
  <c r="O52" i="50"/>
  <c r="Q51" i="50"/>
  <c r="S50" i="50"/>
  <c r="K50" i="50"/>
  <c r="M49" i="50"/>
  <c r="O48" i="50"/>
  <c r="Q47" i="50"/>
  <c r="S46" i="50"/>
  <c r="K46" i="50"/>
  <c r="M45" i="50"/>
  <c r="O44" i="50"/>
  <c r="Q43" i="50"/>
  <c r="S42" i="50"/>
  <c r="K42" i="50"/>
  <c r="M41" i="50"/>
  <c r="O40" i="50"/>
  <c r="Q39" i="50"/>
  <c r="S38" i="50"/>
  <c r="K38" i="50"/>
  <c r="M37" i="50"/>
  <c r="O36" i="50"/>
  <c r="Q35" i="50"/>
  <c r="S34" i="50"/>
  <c r="K34" i="50"/>
  <c r="M33" i="50"/>
  <c r="O32" i="50"/>
  <c r="Q30" i="50"/>
  <c r="S29" i="50"/>
  <c r="K29" i="50"/>
  <c r="M28" i="50"/>
  <c r="O27" i="50"/>
  <c r="Q26" i="50"/>
  <c r="S25" i="50"/>
  <c r="K25" i="50"/>
  <c r="M24" i="50"/>
  <c r="O23" i="50"/>
  <c r="Q22" i="50"/>
  <c r="S21" i="50"/>
  <c r="K21" i="50"/>
  <c r="M20" i="50"/>
  <c r="O19" i="50"/>
  <c r="S17" i="50"/>
  <c r="K17" i="50"/>
  <c r="M16" i="50"/>
  <c r="O15" i="50"/>
  <c r="R48" i="50"/>
  <c r="R44" i="50"/>
  <c r="J44" i="50"/>
  <c r="R23" i="50"/>
  <c r="O55" i="50"/>
  <c r="M52" i="50"/>
  <c r="M48" i="50"/>
  <c r="M44" i="50"/>
  <c r="O30" i="50"/>
  <c r="R58" i="50"/>
  <c r="J58" i="50"/>
  <c r="N56" i="50"/>
  <c r="J54" i="50"/>
  <c r="R50" i="50"/>
  <c r="J50" i="50"/>
  <c r="N48" i="50"/>
  <c r="P47" i="50"/>
  <c r="J46" i="50"/>
  <c r="L45" i="50"/>
  <c r="N44" i="50"/>
  <c r="P39" i="50"/>
  <c r="R38" i="50"/>
  <c r="J38" i="50"/>
  <c r="L37" i="50"/>
  <c r="N36" i="50"/>
  <c r="R34" i="50"/>
  <c r="J34" i="50"/>
  <c r="N32" i="50"/>
  <c r="J25" i="50"/>
  <c r="R17" i="50"/>
  <c r="N15" i="50"/>
  <c r="R59" i="50"/>
  <c r="J59" i="50"/>
  <c r="L58" i="50"/>
  <c r="N57" i="50"/>
  <c r="P56" i="50"/>
  <c r="R55" i="50"/>
  <c r="J55" i="50"/>
  <c r="L54" i="50"/>
  <c r="N53" i="50"/>
  <c r="P52" i="50"/>
  <c r="R51" i="50"/>
  <c r="J51" i="50"/>
  <c r="L50" i="50"/>
  <c r="N49" i="50"/>
  <c r="P48" i="50"/>
  <c r="R47" i="50"/>
  <c r="J47" i="50"/>
  <c r="L46" i="50"/>
  <c r="N45" i="50"/>
  <c r="P44" i="50"/>
  <c r="R43" i="50"/>
  <c r="J43" i="50"/>
  <c r="L42" i="50"/>
  <c r="N41" i="50"/>
  <c r="P40" i="50"/>
  <c r="R39" i="50"/>
  <c r="J39" i="50"/>
  <c r="L38" i="50"/>
  <c r="N37" i="50"/>
  <c r="P36" i="50"/>
  <c r="R35" i="50"/>
  <c r="J35" i="50"/>
  <c r="L34" i="50"/>
  <c r="N33" i="50"/>
  <c r="P32" i="50"/>
  <c r="R30" i="50"/>
  <c r="J30" i="50"/>
  <c r="L29" i="50"/>
  <c r="N28" i="50"/>
  <c r="P27" i="50"/>
  <c r="R26" i="50"/>
  <c r="J26" i="50"/>
  <c r="L25" i="50"/>
  <c r="N24" i="50"/>
  <c r="P23" i="50"/>
  <c r="R22" i="50"/>
  <c r="J22" i="50"/>
  <c r="L21" i="50"/>
  <c r="N20" i="50"/>
  <c r="P19" i="50"/>
  <c r="J18" i="50"/>
  <c r="L17" i="50"/>
  <c r="N16" i="50"/>
  <c r="P15" i="50"/>
  <c r="R56" i="50"/>
  <c r="R52" i="50"/>
  <c r="J52" i="50"/>
  <c r="R32" i="50"/>
  <c r="J27" i="50"/>
  <c r="M56" i="50"/>
  <c r="O39" i="50"/>
  <c r="M27" i="50"/>
  <c r="S59" i="50"/>
  <c r="S55" i="50"/>
  <c r="S51" i="50"/>
  <c r="S47" i="50"/>
  <c r="S43" i="50"/>
  <c r="S39" i="50"/>
  <c r="S35" i="50"/>
  <c r="S30" i="50"/>
  <c r="S26" i="50"/>
  <c r="S22" i="50"/>
  <c r="N14" i="50"/>
  <c r="O14" i="50"/>
  <c r="M14" i="50"/>
  <c r="P14" i="50"/>
  <c r="S14" i="50"/>
  <c r="Q14" i="50"/>
  <c r="L14" i="50"/>
  <c r="J14" i="50"/>
  <c r="E49" i="24"/>
  <c r="E49" i="23"/>
  <c r="E50" i="22"/>
  <c r="E49" i="38"/>
  <c r="G51" i="3"/>
  <c r="G62" i="3"/>
  <c r="G70" i="3"/>
  <c r="G53" i="3"/>
  <c r="G71" i="3"/>
  <c r="G68" i="3"/>
  <c r="D49" i="3"/>
  <c r="G60" i="49"/>
  <c r="G57" i="49"/>
  <c r="G58" i="49"/>
  <c r="G50" i="49"/>
  <c r="G34" i="49"/>
  <c r="G25" i="49"/>
  <c r="G45" i="49"/>
  <c r="G59" i="49"/>
  <c r="G51" i="49"/>
  <c r="G35" i="49"/>
  <c r="G18" i="49"/>
  <c r="E60" i="49"/>
  <c r="D60" i="49" s="1"/>
  <c r="E59" i="49"/>
  <c r="D59" i="49" s="1"/>
  <c r="E58" i="49"/>
  <c r="D58" i="49" s="1"/>
  <c r="C1" i="46"/>
  <c r="S71" i="46"/>
  <c r="S72" i="46" s="1"/>
  <c r="R71" i="46"/>
  <c r="R72" i="46" s="1"/>
  <c r="Q71" i="46"/>
  <c r="Q72" i="46" s="1"/>
  <c r="P71" i="46"/>
  <c r="P72" i="46" s="1"/>
  <c r="O71" i="46"/>
  <c r="O72" i="46" s="1"/>
  <c r="N71" i="46"/>
  <c r="N72" i="46" s="1"/>
  <c r="M71" i="46"/>
  <c r="M72" i="46" s="1"/>
  <c r="L71" i="46"/>
  <c r="L72" i="46" s="1"/>
  <c r="K71" i="46"/>
  <c r="K72" i="46" s="1"/>
  <c r="J71" i="46"/>
  <c r="J72" i="46" s="1"/>
  <c r="H71" i="46"/>
  <c r="H72" i="46" s="1"/>
  <c r="G72" i="46"/>
  <c r="C60" i="46"/>
  <c r="I59" i="46"/>
  <c r="I58" i="46"/>
  <c r="I57" i="46"/>
  <c r="I56" i="46"/>
  <c r="B30" i="46"/>
  <c r="B29" i="46"/>
  <c r="B28" i="46"/>
  <c r="B27" i="46"/>
  <c r="B26" i="46"/>
  <c r="B25" i="46"/>
  <c r="B24" i="46"/>
  <c r="B23" i="46"/>
  <c r="B22" i="46"/>
  <c r="B21" i="46"/>
  <c r="B20" i="46"/>
  <c r="B19" i="46"/>
  <c r="B18" i="46"/>
  <c r="B17" i="46"/>
  <c r="B16" i="46"/>
  <c r="B15" i="46"/>
  <c r="B14" i="46"/>
  <c r="S13" i="46"/>
  <c r="S31" i="46" s="1"/>
  <c r="R13" i="46"/>
  <c r="R31" i="46" s="1"/>
  <c r="Q13" i="46"/>
  <c r="Q31" i="46" s="1"/>
  <c r="P13" i="46"/>
  <c r="P31" i="46" s="1"/>
  <c r="O13" i="46"/>
  <c r="O31" i="46" s="1"/>
  <c r="N13" i="46"/>
  <c r="N31" i="46" s="1"/>
  <c r="M13" i="46"/>
  <c r="M31" i="46" s="1"/>
  <c r="L13" i="46"/>
  <c r="L31" i="46" s="1"/>
  <c r="K13" i="46"/>
  <c r="K31" i="46" s="1"/>
  <c r="J13" i="46"/>
  <c r="J31" i="46" s="1"/>
  <c r="G12" i="46"/>
  <c r="H12" i="46" s="1"/>
  <c r="Y32" i="10"/>
  <c r="Y5" i="10"/>
  <c r="AD9" i="10"/>
  <c r="Q7" i="21"/>
  <c r="Q8" i="21"/>
  <c r="Q9" i="21"/>
  <c r="Q10" i="21"/>
  <c r="Q11" i="21"/>
  <c r="Q12" i="21"/>
  <c r="Q13" i="21"/>
  <c r="Q14" i="21"/>
  <c r="Q15" i="21"/>
  <c r="Q16" i="21"/>
  <c r="Q17" i="21"/>
  <c r="Q18" i="21"/>
  <c r="Q19" i="21"/>
  <c r="Q20" i="21"/>
  <c r="Q21" i="21"/>
  <c r="Q22" i="21"/>
  <c r="Q23" i="21"/>
  <c r="Q24" i="21"/>
  <c r="Q25" i="21"/>
  <c r="Q26" i="21"/>
  <c r="Q27" i="21"/>
  <c r="Q28" i="21"/>
  <c r="Q29" i="21"/>
  <c r="Q30" i="21"/>
  <c r="Q31" i="21"/>
  <c r="Q32" i="21"/>
  <c r="Q33" i="21"/>
  <c r="Q34" i="21"/>
  <c r="Q35" i="21"/>
  <c r="Q36" i="21"/>
  <c r="Q37" i="21"/>
  <c r="Q38" i="21"/>
  <c r="Q39" i="21"/>
  <c r="Q40" i="21"/>
  <c r="Q41" i="21"/>
  <c r="Q42" i="21"/>
  <c r="Q43" i="21"/>
  <c r="Q44" i="21"/>
  <c r="Q45" i="21"/>
  <c r="Q46" i="21"/>
  <c r="Q47" i="21"/>
  <c r="Q48" i="21"/>
  <c r="Q49" i="21"/>
  <c r="Q50" i="21"/>
  <c r="Q51" i="21"/>
  <c r="Q52" i="21"/>
  <c r="Q53" i="21"/>
  <c r="Q54" i="21"/>
  <c r="Q55" i="21"/>
  <c r="Q56" i="21"/>
  <c r="Q57" i="21"/>
  <c r="Q58" i="21"/>
  <c r="Q59" i="21"/>
  <c r="Q60" i="21"/>
  <c r="Q61" i="21"/>
  <c r="Q62" i="21"/>
  <c r="Q63" i="21"/>
  <c r="Q64" i="21"/>
  <c r="Q65" i="21"/>
  <c r="Q66" i="21"/>
  <c r="Q67" i="21"/>
  <c r="Q68" i="21"/>
  <c r="Q69" i="21"/>
  <c r="Q70" i="21"/>
  <c r="Q71" i="21"/>
  <c r="Q72" i="21"/>
  <c r="Q73" i="21"/>
  <c r="Q6" i="21"/>
  <c r="B14" i="37"/>
  <c r="B15" i="37"/>
  <c r="B16" i="37"/>
  <c r="B17" i="37"/>
  <c r="B18" i="37"/>
  <c r="B19" i="37"/>
  <c r="B20" i="37"/>
  <c r="B21" i="37"/>
  <c r="B22" i="37"/>
  <c r="B23" i="37"/>
  <c r="B24" i="37"/>
  <c r="I24" i="37" s="1"/>
  <c r="B25" i="37"/>
  <c r="I25" i="37" s="1"/>
  <c r="B26" i="37"/>
  <c r="I26" i="37" s="1"/>
  <c r="B27" i="37"/>
  <c r="I27" i="37" s="1"/>
  <c r="B28" i="37"/>
  <c r="I28" i="37" s="1"/>
  <c r="B29" i="37"/>
  <c r="I29" i="37" s="1"/>
  <c r="B30" i="37"/>
  <c r="I30" i="37" s="1"/>
  <c r="B31" i="37"/>
  <c r="I31" i="37" s="1"/>
  <c r="B32" i="37"/>
  <c r="I32" i="37" s="1"/>
  <c r="B33" i="37"/>
  <c r="I33" i="37" s="1"/>
  <c r="B34" i="37"/>
  <c r="I34" i="37" s="1"/>
  <c r="B35" i="37"/>
  <c r="I35" i="37" s="1"/>
  <c r="B36" i="37"/>
  <c r="I36" i="37" s="1"/>
  <c r="B37" i="37"/>
  <c r="I37" i="37" s="1"/>
  <c r="B38" i="37"/>
  <c r="I38" i="37" s="1"/>
  <c r="B39" i="37"/>
  <c r="I39" i="37" s="1"/>
  <c r="B40" i="37"/>
  <c r="I40" i="37" s="1"/>
  <c r="B41" i="37"/>
  <c r="I41" i="37" s="1"/>
  <c r="B42" i="37"/>
  <c r="I42" i="37" s="1"/>
  <c r="B43" i="37"/>
  <c r="I43" i="37" s="1"/>
  <c r="B44" i="37"/>
  <c r="I44" i="37" s="1"/>
  <c r="B45" i="37"/>
  <c r="I45" i="37" s="1"/>
  <c r="B46" i="37"/>
  <c r="I46" i="37" s="1"/>
  <c r="B47" i="37"/>
  <c r="I47" i="37" s="1"/>
  <c r="B48" i="37"/>
  <c r="I48" i="37" s="1"/>
  <c r="B49" i="37"/>
  <c r="I49" i="37" s="1"/>
  <c r="B50" i="37"/>
  <c r="I50" i="37" s="1"/>
  <c r="B51" i="37"/>
  <c r="I51" i="37" s="1"/>
  <c r="B52" i="37"/>
  <c r="I52" i="37" s="1"/>
  <c r="B53" i="37"/>
  <c r="I53" i="37" s="1"/>
  <c r="B54" i="37"/>
  <c r="I54" i="37" s="1"/>
  <c r="B55" i="37"/>
  <c r="I55" i="37" s="1"/>
  <c r="B56" i="37"/>
  <c r="I56" i="37" s="1"/>
  <c r="B57" i="37"/>
  <c r="I57" i="37" s="1"/>
  <c r="B13" i="37"/>
  <c r="N127" i="53" l="1"/>
  <c r="O159" i="53"/>
  <c r="Q159" i="53"/>
  <c r="N159" i="53"/>
  <c r="R159" i="53"/>
  <c r="I159" i="53"/>
  <c r="S159" i="53"/>
  <c r="L161" i="53"/>
  <c r="M161" i="53"/>
  <c r="J159" i="53"/>
  <c r="M159" i="53"/>
  <c r="K159" i="53"/>
  <c r="P159" i="53"/>
  <c r="R161" i="53"/>
  <c r="K161" i="53"/>
  <c r="O161" i="53"/>
  <c r="N161" i="53"/>
  <c r="P161" i="53"/>
  <c r="I161" i="53"/>
  <c r="S161" i="53"/>
  <c r="Q161" i="53"/>
  <c r="N123" i="53"/>
  <c r="P123" i="53"/>
  <c r="N68" i="53"/>
  <c r="N71" i="53"/>
  <c r="S127" i="53"/>
  <c r="S129" i="53"/>
  <c r="P131" i="53"/>
  <c r="K151" i="53"/>
  <c r="J124" i="53"/>
  <c r="Q131" i="53"/>
  <c r="Q123" i="53"/>
  <c r="J123" i="53"/>
  <c r="O145" i="53"/>
  <c r="J131" i="53"/>
  <c r="S68" i="53"/>
  <c r="M124" i="53"/>
  <c r="R123" i="53"/>
  <c r="S145" i="53"/>
  <c r="K123" i="53"/>
  <c r="L123" i="53"/>
  <c r="L68" i="53"/>
  <c r="O123" i="53"/>
  <c r="M123" i="53"/>
  <c r="J145" i="53"/>
  <c r="K68" i="53"/>
  <c r="J68" i="53"/>
  <c r="Q145" i="53"/>
  <c r="M151" i="53"/>
  <c r="S131" i="53"/>
  <c r="R68" i="53"/>
  <c r="K129" i="53"/>
  <c r="R145" i="53"/>
  <c r="Q151" i="53"/>
  <c r="P124" i="53"/>
  <c r="N124" i="53"/>
  <c r="J129" i="53"/>
  <c r="P129" i="53"/>
  <c r="K127" i="53"/>
  <c r="L127" i="53"/>
  <c r="J71" i="53"/>
  <c r="Q71" i="53"/>
  <c r="F15" i="53"/>
  <c r="F52" i="53"/>
  <c r="J151" i="53"/>
  <c r="F55" i="53"/>
  <c r="N131" i="53"/>
  <c r="R124" i="53"/>
  <c r="O124" i="53"/>
  <c r="Q68" i="53"/>
  <c r="O129" i="53"/>
  <c r="Q129" i="53"/>
  <c r="I145" i="53"/>
  <c r="O127" i="53"/>
  <c r="M127" i="53"/>
  <c r="R71" i="53"/>
  <c r="F54" i="53"/>
  <c r="P71" i="53"/>
  <c r="F47" i="53"/>
  <c r="P151" i="53"/>
  <c r="L151" i="53"/>
  <c r="R131" i="53"/>
  <c r="K124" i="53"/>
  <c r="O68" i="53"/>
  <c r="R129" i="53"/>
  <c r="F41" i="53"/>
  <c r="N145" i="53"/>
  <c r="L145" i="53"/>
  <c r="Q127" i="53"/>
  <c r="L71" i="53"/>
  <c r="H169" i="53"/>
  <c r="H170" i="53"/>
  <c r="F30" i="53"/>
  <c r="L129" i="53"/>
  <c r="R151" i="53"/>
  <c r="N151" i="53"/>
  <c r="K131" i="53"/>
  <c r="L131" i="53"/>
  <c r="S124" i="53"/>
  <c r="P68" i="53"/>
  <c r="F34" i="53"/>
  <c r="F14" i="53"/>
  <c r="M129" i="53"/>
  <c r="K145" i="53"/>
  <c r="M145" i="53"/>
  <c r="J127" i="53"/>
  <c r="M71" i="53"/>
  <c r="H114" i="53"/>
  <c r="H115" i="53"/>
  <c r="S151" i="53"/>
  <c r="Q124" i="53"/>
  <c r="P127" i="53"/>
  <c r="K71" i="53"/>
  <c r="I151" i="53"/>
  <c r="O131" i="53"/>
  <c r="S71" i="53"/>
  <c r="N148" i="53"/>
  <c r="M148" i="53"/>
  <c r="S148" i="53"/>
  <c r="K148" i="53"/>
  <c r="R148" i="53"/>
  <c r="J148" i="53"/>
  <c r="P148" i="53"/>
  <c r="L148" i="53"/>
  <c r="O148" i="53"/>
  <c r="Q148" i="53"/>
  <c r="I148" i="53"/>
  <c r="R93" i="53"/>
  <c r="J93" i="53"/>
  <c r="Q93" i="53"/>
  <c r="P93" i="53"/>
  <c r="M93" i="53"/>
  <c r="K93" i="53"/>
  <c r="N93" i="53"/>
  <c r="L93" i="53"/>
  <c r="I93" i="53"/>
  <c r="S93" i="53"/>
  <c r="O93" i="53"/>
  <c r="O132" i="53"/>
  <c r="N132" i="53"/>
  <c r="L132" i="53"/>
  <c r="S132" i="53"/>
  <c r="K132" i="53"/>
  <c r="I132" i="53"/>
  <c r="Q132" i="53"/>
  <c r="M132" i="53"/>
  <c r="P132" i="53"/>
  <c r="R132" i="53"/>
  <c r="J132" i="53"/>
  <c r="R160" i="53"/>
  <c r="J160" i="53"/>
  <c r="Q160" i="53"/>
  <c r="I160" i="53"/>
  <c r="O160" i="53"/>
  <c r="N160" i="53"/>
  <c r="P160" i="53"/>
  <c r="M160" i="53"/>
  <c r="K160" i="53"/>
  <c r="L160" i="53"/>
  <c r="S160" i="53"/>
  <c r="Q77" i="53"/>
  <c r="I77" i="53"/>
  <c r="P77" i="53"/>
  <c r="M77" i="53"/>
  <c r="S77" i="53"/>
  <c r="K77" i="53"/>
  <c r="J77" i="53"/>
  <c r="L77" i="53"/>
  <c r="R77" i="53"/>
  <c r="N77" i="53"/>
  <c r="O77" i="53"/>
  <c r="M69" i="53"/>
  <c r="S69" i="53"/>
  <c r="K69" i="53"/>
  <c r="J69" i="53"/>
  <c r="P69" i="53"/>
  <c r="O69" i="53"/>
  <c r="R69" i="53"/>
  <c r="Q69" i="53"/>
  <c r="N69" i="53"/>
  <c r="L69" i="53"/>
  <c r="N104" i="53"/>
  <c r="L104" i="53"/>
  <c r="J104" i="53"/>
  <c r="S104" i="53"/>
  <c r="I104" i="53"/>
  <c r="P104" i="53"/>
  <c r="M104" i="53"/>
  <c r="K104" i="53"/>
  <c r="Q104" i="53"/>
  <c r="O104" i="53"/>
  <c r="R104" i="53"/>
  <c r="R106" i="53"/>
  <c r="J106" i="53"/>
  <c r="P106" i="53"/>
  <c r="O106" i="53"/>
  <c r="N106" i="53"/>
  <c r="K106" i="53"/>
  <c r="S106" i="53"/>
  <c r="L106" i="53"/>
  <c r="I106" i="53"/>
  <c r="Q106" i="53"/>
  <c r="M106" i="53"/>
  <c r="P162" i="53"/>
  <c r="O162" i="53"/>
  <c r="M162" i="53"/>
  <c r="L162" i="53"/>
  <c r="S162" i="53"/>
  <c r="R162" i="53"/>
  <c r="K162" i="53"/>
  <c r="I162" i="53"/>
  <c r="N162" i="53"/>
  <c r="Q162" i="53"/>
  <c r="J162" i="53"/>
  <c r="Q165" i="53"/>
  <c r="I165" i="53"/>
  <c r="P165" i="53"/>
  <c r="N165" i="53"/>
  <c r="M165" i="53"/>
  <c r="J165" i="53"/>
  <c r="R165" i="53"/>
  <c r="L165" i="53"/>
  <c r="K165" i="53"/>
  <c r="S165" i="53"/>
  <c r="O165" i="53"/>
  <c r="O70" i="53"/>
  <c r="M70" i="53"/>
  <c r="R70" i="53"/>
  <c r="Q70" i="53"/>
  <c r="P70" i="53"/>
  <c r="L70" i="53"/>
  <c r="K70" i="53"/>
  <c r="S70" i="53"/>
  <c r="N70" i="53"/>
  <c r="J70" i="53"/>
  <c r="N156" i="53"/>
  <c r="M156" i="53"/>
  <c r="S156" i="53"/>
  <c r="K156" i="53"/>
  <c r="R156" i="53"/>
  <c r="J156" i="53"/>
  <c r="P156" i="53"/>
  <c r="L156" i="53"/>
  <c r="O156" i="53"/>
  <c r="Q156" i="53"/>
  <c r="I156" i="53"/>
  <c r="S163" i="53"/>
  <c r="K163" i="53"/>
  <c r="R163" i="53"/>
  <c r="J163" i="53"/>
  <c r="P163" i="53"/>
  <c r="O163" i="53"/>
  <c r="M163" i="53"/>
  <c r="I163" i="53"/>
  <c r="N163" i="53"/>
  <c r="L163" i="53"/>
  <c r="Q163" i="53"/>
  <c r="P95" i="53"/>
  <c r="N95" i="53"/>
  <c r="R95" i="53"/>
  <c r="Q95" i="53"/>
  <c r="L95" i="53"/>
  <c r="J95" i="53"/>
  <c r="S95" i="53"/>
  <c r="I95" i="53"/>
  <c r="K95" i="53"/>
  <c r="O95" i="53"/>
  <c r="M95" i="53"/>
  <c r="O135" i="53"/>
  <c r="N135" i="53"/>
  <c r="L135" i="53"/>
  <c r="S135" i="53"/>
  <c r="K135" i="53"/>
  <c r="M135" i="53"/>
  <c r="J135" i="53"/>
  <c r="Q135" i="53"/>
  <c r="I135" i="53"/>
  <c r="R135" i="53"/>
  <c r="P135" i="53"/>
  <c r="P35" i="53"/>
  <c r="O35" i="53"/>
  <c r="M35" i="53"/>
  <c r="L35" i="53"/>
  <c r="K35" i="53"/>
  <c r="J35" i="53"/>
  <c r="R35" i="53"/>
  <c r="N35" i="53"/>
  <c r="I35" i="53"/>
  <c r="S35" i="53"/>
  <c r="Q35" i="53"/>
  <c r="N44" i="53"/>
  <c r="O44" i="53"/>
  <c r="M44" i="53"/>
  <c r="K44" i="53"/>
  <c r="J44" i="53"/>
  <c r="I44" i="53"/>
  <c r="S44" i="53"/>
  <c r="L44" i="53"/>
  <c r="R44" i="53"/>
  <c r="P44" i="53"/>
  <c r="Q44" i="53"/>
  <c r="S147" i="53"/>
  <c r="K147" i="53"/>
  <c r="R147" i="53"/>
  <c r="J147" i="53"/>
  <c r="P147" i="53"/>
  <c r="O147" i="53"/>
  <c r="M147" i="53"/>
  <c r="I147" i="53"/>
  <c r="N147" i="53"/>
  <c r="L147" i="53"/>
  <c r="Q147" i="53"/>
  <c r="O111" i="53"/>
  <c r="L111" i="53"/>
  <c r="S111" i="53"/>
  <c r="K111" i="53"/>
  <c r="J111" i="53"/>
  <c r="R111" i="53"/>
  <c r="P111" i="53"/>
  <c r="N111" i="53"/>
  <c r="I111" i="53"/>
  <c r="Q111" i="53"/>
  <c r="M111" i="53"/>
  <c r="R102" i="53"/>
  <c r="J102" i="53"/>
  <c r="P102" i="53"/>
  <c r="O102" i="53"/>
  <c r="N102" i="53"/>
  <c r="K102" i="53"/>
  <c r="S102" i="53"/>
  <c r="Q102" i="53"/>
  <c r="M102" i="53"/>
  <c r="L102" i="53"/>
  <c r="I102" i="53"/>
  <c r="F38" i="53"/>
  <c r="F48" i="53"/>
  <c r="F33" i="53"/>
  <c r="F39" i="53"/>
  <c r="P154" i="53"/>
  <c r="O154" i="53"/>
  <c r="M154" i="53"/>
  <c r="L154" i="53"/>
  <c r="S154" i="53"/>
  <c r="R154" i="53"/>
  <c r="K154" i="53"/>
  <c r="I154" i="53"/>
  <c r="N154" i="53"/>
  <c r="J154" i="53"/>
  <c r="Q154" i="53"/>
  <c r="R144" i="53"/>
  <c r="J144" i="53"/>
  <c r="Q144" i="53"/>
  <c r="I144" i="53"/>
  <c r="O144" i="53"/>
  <c r="N144" i="53"/>
  <c r="P144" i="53"/>
  <c r="M144" i="53"/>
  <c r="K144" i="53"/>
  <c r="S144" i="53"/>
  <c r="L144" i="53"/>
  <c r="S90" i="53"/>
  <c r="K90" i="53"/>
  <c r="R90" i="53"/>
  <c r="J90" i="53"/>
  <c r="O90" i="53"/>
  <c r="M90" i="53"/>
  <c r="I90" i="53"/>
  <c r="Q90" i="53"/>
  <c r="P90" i="53"/>
  <c r="N90" i="53"/>
  <c r="L90" i="53"/>
  <c r="M81" i="53"/>
  <c r="L81" i="53"/>
  <c r="Q81" i="53"/>
  <c r="I81" i="53"/>
  <c r="O81" i="53"/>
  <c r="N81" i="53"/>
  <c r="K81" i="53"/>
  <c r="J81" i="53"/>
  <c r="S81" i="53"/>
  <c r="R81" i="53"/>
  <c r="P81" i="53"/>
  <c r="S86" i="53"/>
  <c r="K86" i="53"/>
  <c r="R86" i="53"/>
  <c r="J86" i="53"/>
  <c r="O86" i="53"/>
  <c r="M86" i="53"/>
  <c r="I86" i="53"/>
  <c r="L86" i="53"/>
  <c r="P86" i="53"/>
  <c r="N86" i="53"/>
  <c r="Q86" i="53"/>
  <c r="S82" i="53"/>
  <c r="K82" i="53"/>
  <c r="R82" i="53"/>
  <c r="J82" i="53"/>
  <c r="O82" i="53"/>
  <c r="M82" i="53"/>
  <c r="I82" i="53"/>
  <c r="Q82" i="53"/>
  <c r="P82" i="53"/>
  <c r="N82" i="53"/>
  <c r="L82" i="53"/>
  <c r="F42" i="53"/>
  <c r="L97" i="53"/>
  <c r="R97" i="53"/>
  <c r="J97" i="53"/>
  <c r="N97" i="53"/>
  <c r="M97" i="53"/>
  <c r="S97" i="53"/>
  <c r="P97" i="53"/>
  <c r="Q97" i="53"/>
  <c r="O97" i="53"/>
  <c r="I97" i="53"/>
  <c r="K97" i="53"/>
  <c r="Q83" i="53"/>
  <c r="I83" i="53"/>
  <c r="P83" i="53"/>
  <c r="M83" i="53"/>
  <c r="S83" i="53"/>
  <c r="K83" i="53"/>
  <c r="R83" i="53"/>
  <c r="O83" i="53"/>
  <c r="N83" i="53"/>
  <c r="J83" i="53"/>
  <c r="L83" i="53"/>
  <c r="Q51" i="53"/>
  <c r="I51" i="53"/>
  <c r="O51" i="53"/>
  <c r="S51" i="53"/>
  <c r="J51" i="53"/>
  <c r="R51" i="53"/>
  <c r="P51" i="53"/>
  <c r="N51" i="53"/>
  <c r="M51" i="53"/>
  <c r="L51" i="53"/>
  <c r="K51" i="53"/>
  <c r="F56" i="53"/>
  <c r="Q125" i="53"/>
  <c r="P125" i="53"/>
  <c r="N125" i="53"/>
  <c r="M125" i="53"/>
  <c r="R125" i="53"/>
  <c r="L125" i="53"/>
  <c r="S125" i="53"/>
  <c r="K125" i="53"/>
  <c r="O125" i="53"/>
  <c r="J125" i="53"/>
  <c r="L158" i="53"/>
  <c r="S158" i="53"/>
  <c r="K158" i="53"/>
  <c r="Q158" i="53"/>
  <c r="I158" i="53"/>
  <c r="P158" i="53"/>
  <c r="J158" i="53"/>
  <c r="R158" i="53"/>
  <c r="N158" i="53"/>
  <c r="M158" i="53"/>
  <c r="O158" i="53"/>
  <c r="N100" i="53"/>
  <c r="L100" i="53"/>
  <c r="J100" i="53"/>
  <c r="S100" i="53"/>
  <c r="I100" i="53"/>
  <c r="P100" i="53"/>
  <c r="M100" i="53"/>
  <c r="K100" i="53"/>
  <c r="Q100" i="53"/>
  <c r="O100" i="53"/>
  <c r="R100" i="53"/>
  <c r="F20" i="53"/>
  <c r="P146" i="53"/>
  <c r="O146" i="53"/>
  <c r="M146" i="53"/>
  <c r="L146" i="53"/>
  <c r="S146" i="53"/>
  <c r="R146" i="53"/>
  <c r="K146" i="53"/>
  <c r="I146" i="53"/>
  <c r="N146" i="53"/>
  <c r="Q146" i="53"/>
  <c r="J146" i="53"/>
  <c r="Q157" i="53"/>
  <c r="I157" i="53"/>
  <c r="P157" i="53"/>
  <c r="N157" i="53"/>
  <c r="M157" i="53"/>
  <c r="J157" i="53"/>
  <c r="R157" i="53"/>
  <c r="L157" i="53"/>
  <c r="K157" i="53"/>
  <c r="S157" i="53"/>
  <c r="O157" i="53"/>
  <c r="M153" i="53"/>
  <c r="L153" i="53"/>
  <c r="R153" i="53"/>
  <c r="J153" i="53"/>
  <c r="Q153" i="53"/>
  <c r="I153" i="53"/>
  <c r="S153" i="53"/>
  <c r="P153" i="53"/>
  <c r="K153" i="53"/>
  <c r="N153" i="53"/>
  <c r="O153" i="53"/>
  <c r="M73" i="53"/>
  <c r="S73" i="53"/>
  <c r="K73" i="53"/>
  <c r="Q73" i="53"/>
  <c r="P73" i="53"/>
  <c r="O73" i="53"/>
  <c r="N73" i="53"/>
  <c r="L73" i="53"/>
  <c r="R73" i="53"/>
  <c r="J73" i="53"/>
  <c r="R136" i="53"/>
  <c r="J136" i="53"/>
  <c r="Q136" i="53"/>
  <c r="I136" i="53"/>
  <c r="O136" i="53"/>
  <c r="N136" i="53"/>
  <c r="P136" i="53"/>
  <c r="M136" i="53"/>
  <c r="K136" i="53"/>
  <c r="S136" i="53"/>
  <c r="L136" i="53"/>
  <c r="L134" i="53"/>
  <c r="S134" i="53"/>
  <c r="K134" i="53"/>
  <c r="Q134" i="53"/>
  <c r="I134" i="53"/>
  <c r="P134" i="53"/>
  <c r="J134" i="53"/>
  <c r="R134" i="53"/>
  <c r="N134" i="53"/>
  <c r="O134" i="53"/>
  <c r="M134" i="53"/>
  <c r="Q91" i="53"/>
  <c r="I91" i="53"/>
  <c r="P91" i="53"/>
  <c r="M91" i="53"/>
  <c r="S91" i="53"/>
  <c r="K91" i="53"/>
  <c r="R91" i="53"/>
  <c r="O91" i="53"/>
  <c r="N91" i="53"/>
  <c r="J91" i="53"/>
  <c r="L91" i="53"/>
  <c r="L150" i="53"/>
  <c r="S150" i="53"/>
  <c r="K150" i="53"/>
  <c r="Q150" i="53"/>
  <c r="I150" i="53"/>
  <c r="P150" i="53"/>
  <c r="J150" i="53"/>
  <c r="R150" i="53"/>
  <c r="N150" i="53"/>
  <c r="O150" i="53"/>
  <c r="M150" i="53"/>
  <c r="P27" i="53"/>
  <c r="O27" i="53"/>
  <c r="M27" i="53"/>
  <c r="L27" i="53"/>
  <c r="K27" i="53"/>
  <c r="J27" i="53"/>
  <c r="Q27" i="53"/>
  <c r="N27" i="53"/>
  <c r="S27" i="53"/>
  <c r="R27" i="53"/>
  <c r="I27" i="53"/>
  <c r="N36" i="53"/>
  <c r="S36" i="53"/>
  <c r="J36" i="53"/>
  <c r="R36" i="53"/>
  <c r="I36" i="53"/>
  <c r="K36" i="53"/>
  <c r="Q36" i="53"/>
  <c r="O36" i="53"/>
  <c r="P36" i="53"/>
  <c r="L36" i="53"/>
  <c r="M36" i="53"/>
  <c r="Q87" i="53"/>
  <c r="I87" i="53"/>
  <c r="P87" i="53"/>
  <c r="M87" i="53"/>
  <c r="S87" i="53"/>
  <c r="K87" i="53"/>
  <c r="R87" i="53"/>
  <c r="J87" i="53"/>
  <c r="N87" i="53"/>
  <c r="L87" i="53"/>
  <c r="O87" i="53"/>
  <c r="L75" i="53"/>
  <c r="Q75" i="53"/>
  <c r="O75" i="53"/>
  <c r="K75" i="53"/>
  <c r="J75" i="53"/>
  <c r="S75" i="53"/>
  <c r="R75" i="53"/>
  <c r="P75" i="53"/>
  <c r="N75" i="53"/>
  <c r="M75" i="53"/>
  <c r="F32" i="53"/>
  <c r="F26" i="53"/>
  <c r="L105" i="53"/>
  <c r="R105" i="53"/>
  <c r="J105" i="53"/>
  <c r="N105" i="53"/>
  <c r="M105" i="53"/>
  <c r="S105" i="53"/>
  <c r="P105" i="53"/>
  <c r="I105" i="53"/>
  <c r="Q105" i="53"/>
  <c r="O105" i="53"/>
  <c r="K105" i="53"/>
  <c r="S78" i="53"/>
  <c r="K78" i="53"/>
  <c r="R78" i="53"/>
  <c r="J78" i="53"/>
  <c r="O78" i="53"/>
  <c r="M78" i="53"/>
  <c r="I78" i="53"/>
  <c r="N78" i="53"/>
  <c r="L78" i="53"/>
  <c r="Q78" i="53"/>
  <c r="P78" i="53"/>
  <c r="Q149" i="53"/>
  <c r="I149" i="53"/>
  <c r="P149" i="53"/>
  <c r="N149" i="53"/>
  <c r="M149" i="53"/>
  <c r="J149" i="53"/>
  <c r="R149" i="53"/>
  <c r="L149" i="53"/>
  <c r="K149" i="53"/>
  <c r="S149" i="53"/>
  <c r="O149" i="53"/>
  <c r="P94" i="53"/>
  <c r="Q94" i="53"/>
  <c r="O94" i="53"/>
  <c r="L94" i="53"/>
  <c r="S94" i="53"/>
  <c r="J94" i="53"/>
  <c r="I94" i="53"/>
  <c r="N94" i="53"/>
  <c r="K94" i="53"/>
  <c r="R94" i="53"/>
  <c r="M94" i="53"/>
  <c r="O167" i="53"/>
  <c r="N167" i="53"/>
  <c r="L167" i="53"/>
  <c r="S167" i="53"/>
  <c r="K167" i="53"/>
  <c r="M167" i="53"/>
  <c r="J167" i="53"/>
  <c r="Q167" i="53"/>
  <c r="I167" i="53"/>
  <c r="R167" i="53"/>
  <c r="P167" i="53"/>
  <c r="F49" i="53"/>
  <c r="P138" i="53"/>
  <c r="O138" i="53"/>
  <c r="M138" i="53"/>
  <c r="L138" i="53"/>
  <c r="S138" i="53"/>
  <c r="R138" i="53"/>
  <c r="K138" i="53"/>
  <c r="I138" i="53"/>
  <c r="N138" i="53"/>
  <c r="Q138" i="53"/>
  <c r="J138" i="53"/>
  <c r="N108" i="53"/>
  <c r="L108" i="53"/>
  <c r="J108" i="53"/>
  <c r="S108" i="53"/>
  <c r="I108" i="53"/>
  <c r="P108" i="53"/>
  <c r="M108" i="53"/>
  <c r="R108" i="53"/>
  <c r="Q108" i="53"/>
  <c r="O108" i="53"/>
  <c r="K108" i="53"/>
  <c r="F40" i="53"/>
  <c r="S72" i="53"/>
  <c r="K72" i="53"/>
  <c r="Q72" i="53"/>
  <c r="J72" i="53"/>
  <c r="R72" i="53"/>
  <c r="N72" i="53"/>
  <c r="M72" i="53"/>
  <c r="P72" i="53"/>
  <c r="O72" i="53"/>
  <c r="L72" i="53"/>
  <c r="N140" i="53"/>
  <c r="M140" i="53"/>
  <c r="S140" i="53"/>
  <c r="K140" i="53"/>
  <c r="R140" i="53"/>
  <c r="J140" i="53"/>
  <c r="P140" i="53"/>
  <c r="L140" i="53"/>
  <c r="O140" i="53"/>
  <c r="Q140" i="53"/>
  <c r="I140" i="53"/>
  <c r="O143" i="53"/>
  <c r="N143" i="53"/>
  <c r="L143" i="53"/>
  <c r="S143" i="53"/>
  <c r="K143" i="53"/>
  <c r="M143" i="53"/>
  <c r="J143" i="53"/>
  <c r="Q143" i="53"/>
  <c r="I143" i="53"/>
  <c r="R143" i="53"/>
  <c r="P143" i="53"/>
  <c r="Q141" i="53"/>
  <c r="I141" i="53"/>
  <c r="P141" i="53"/>
  <c r="N141" i="53"/>
  <c r="M141" i="53"/>
  <c r="J141" i="53"/>
  <c r="R141" i="53"/>
  <c r="L141" i="53"/>
  <c r="K141" i="53"/>
  <c r="S141" i="53"/>
  <c r="O141" i="53"/>
  <c r="O88" i="53"/>
  <c r="N88" i="53"/>
  <c r="S88" i="53"/>
  <c r="K88" i="53"/>
  <c r="Q88" i="53"/>
  <c r="I88" i="53"/>
  <c r="R88" i="53"/>
  <c r="P88" i="53"/>
  <c r="M88" i="53"/>
  <c r="L88" i="53"/>
  <c r="J88" i="53"/>
  <c r="R74" i="53"/>
  <c r="J74" i="53"/>
  <c r="O74" i="53"/>
  <c r="M74" i="53"/>
  <c r="N74" i="53"/>
  <c r="L74" i="53"/>
  <c r="K74" i="53"/>
  <c r="S74" i="53"/>
  <c r="Q74" i="53"/>
  <c r="P74" i="53"/>
  <c r="O128" i="53"/>
  <c r="N128" i="53"/>
  <c r="L128" i="53"/>
  <c r="S128" i="53"/>
  <c r="K128" i="53"/>
  <c r="Q128" i="53"/>
  <c r="M128" i="53"/>
  <c r="J128" i="53"/>
  <c r="R128" i="53"/>
  <c r="P128" i="53"/>
  <c r="L166" i="53"/>
  <c r="S166" i="53"/>
  <c r="K166" i="53"/>
  <c r="Q166" i="53"/>
  <c r="I166" i="53"/>
  <c r="P166" i="53"/>
  <c r="J166" i="53"/>
  <c r="R166" i="53"/>
  <c r="N166" i="53"/>
  <c r="O166" i="53"/>
  <c r="M166" i="53"/>
  <c r="P107" i="53"/>
  <c r="N107" i="53"/>
  <c r="R107" i="53"/>
  <c r="Q107" i="53"/>
  <c r="L107" i="53"/>
  <c r="J107" i="53"/>
  <c r="S107" i="53"/>
  <c r="M107" i="53"/>
  <c r="K107" i="53"/>
  <c r="I107" i="53"/>
  <c r="O107" i="53"/>
  <c r="S139" i="53"/>
  <c r="K139" i="53"/>
  <c r="R139" i="53"/>
  <c r="J139" i="53"/>
  <c r="P139" i="53"/>
  <c r="O139" i="53"/>
  <c r="M139" i="53"/>
  <c r="I139" i="53"/>
  <c r="N139" i="53"/>
  <c r="L139" i="53"/>
  <c r="Q139" i="53"/>
  <c r="L92" i="53"/>
  <c r="Q92" i="53"/>
  <c r="P92" i="53"/>
  <c r="M92" i="53"/>
  <c r="S92" i="53"/>
  <c r="J92" i="53"/>
  <c r="R92" i="53"/>
  <c r="O92" i="53"/>
  <c r="N92" i="53"/>
  <c r="K92" i="53"/>
  <c r="I92" i="53"/>
  <c r="O109" i="53"/>
  <c r="L109" i="53"/>
  <c r="S109" i="53"/>
  <c r="J109" i="53"/>
  <c r="N109" i="53"/>
  <c r="M109" i="53"/>
  <c r="Q109" i="53"/>
  <c r="I109" i="53"/>
  <c r="K109" i="53"/>
  <c r="P109" i="53"/>
  <c r="R109" i="53"/>
  <c r="R28" i="53"/>
  <c r="J28" i="53"/>
  <c r="Q28" i="53"/>
  <c r="I28" i="53"/>
  <c r="K28" i="53"/>
  <c r="S28" i="53"/>
  <c r="P28" i="53"/>
  <c r="O28" i="53"/>
  <c r="N28" i="53"/>
  <c r="L28" i="53"/>
  <c r="M28" i="53"/>
  <c r="Q79" i="53"/>
  <c r="I79" i="53"/>
  <c r="P79" i="53"/>
  <c r="M79" i="53"/>
  <c r="S79" i="53"/>
  <c r="K79" i="53"/>
  <c r="R79" i="53"/>
  <c r="J79" i="53"/>
  <c r="O79" i="53"/>
  <c r="N79" i="53"/>
  <c r="L79" i="53"/>
  <c r="P99" i="53"/>
  <c r="N99" i="53"/>
  <c r="R99" i="53"/>
  <c r="Q99" i="53"/>
  <c r="L99" i="53"/>
  <c r="J99" i="53"/>
  <c r="S99" i="53"/>
  <c r="O99" i="53"/>
  <c r="M99" i="53"/>
  <c r="K99" i="53"/>
  <c r="I99" i="53"/>
  <c r="F24" i="53"/>
  <c r="F19" i="53"/>
  <c r="F23" i="53"/>
  <c r="F17" i="53"/>
  <c r="F50" i="53"/>
  <c r="F25" i="53"/>
  <c r="F16" i="53"/>
  <c r="M89" i="53"/>
  <c r="L89" i="53"/>
  <c r="Q89" i="53"/>
  <c r="I89" i="53"/>
  <c r="O89" i="53"/>
  <c r="N89" i="53"/>
  <c r="K89" i="53"/>
  <c r="J89" i="53"/>
  <c r="S89" i="53"/>
  <c r="R89" i="53"/>
  <c r="P89" i="53"/>
  <c r="N96" i="53"/>
  <c r="L96" i="53"/>
  <c r="J96" i="53"/>
  <c r="S96" i="53"/>
  <c r="I96" i="53"/>
  <c r="P96" i="53"/>
  <c r="M96" i="53"/>
  <c r="Q96" i="53"/>
  <c r="O96" i="53"/>
  <c r="K96" i="53"/>
  <c r="R96" i="53"/>
  <c r="P45" i="53"/>
  <c r="R45" i="53"/>
  <c r="I45" i="53"/>
  <c r="Q45" i="53"/>
  <c r="S45" i="53"/>
  <c r="O45" i="53"/>
  <c r="N45" i="53"/>
  <c r="L45" i="53"/>
  <c r="K45" i="53"/>
  <c r="J45" i="53"/>
  <c r="M45" i="53"/>
  <c r="R98" i="53"/>
  <c r="J98" i="53"/>
  <c r="P98" i="53"/>
  <c r="O98" i="53"/>
  <c r="N98" i="53"/>
  <c r="K98" i="53"/>
  <c r="S98" i="53"/>
  <c r="Q98" i="53"/>
  <c r="M98" i="53"/>
  <c r="L98" i="53"/>
  <c r="I98" i="53"/>
  <c r="L142" i="53"/>
  <c r="S142" i="53"/>
  <c r="K142" i="53"/>
  <c r="Q142" i="53"/>
  <c r="I142" i="53"/>
  <c r="P142" i="53"/>
  <c r="J142" i="53"/>
  <c r="R142" i="53"/>
  <c r="N142" i="53"/>
  <c r="M142" i="53"/>
  <c r="O142" i="53"/>
  <c r="P37" i="53"/>
  <c r="M37" i="53"/>
  <c r="L37" i="53"/>
  <c r="S37" i="53"/>
  <c r="R37" i="53"/>
  <c r="Q37" i="53"/>
  <c r="O37" i="53"/>
  <c r="J37" i="53"/>
  <c r="I37" i="53"/>
  <c r="K37" i="53"/>
  <c r="N37" i="53"/>
  <c r="F13" i="53"/>
  <c r="O84" i="53"/>
  <c r="N84" i="53"/>
  <c r="S84" i="53"/>
  <c r="K84" i="53"/>
  <c r="Q84" i="53"/>
  <c r="I84" i="53"/>
  <c r="R84" i="53"/>
  <c r="P84" i="53"/>
  <c r="M84" i="53"/>
  <c r="L84" i="53"/>
  <c r="J84" i="53"/>
  <c r="S155" i="53"/>
  <c r="K155" i="53"/>
  <c r="R155" i="53"/>
  <c r="J155" i="53"/>
  <c r="P155" i="53"/>
  <c r="O155" i="53"/>
  <c r="M155" i="53"/>
  <c r="I155" i="53"/>
  <c r="N155" i="53"/>
  <c r="L155" i="53"/>
  <c r="Q155" i="53"/>
  <c r="L29" i="53"/>
  <c r="S29" i="53"/>
  <c r="K29" i="53"/>
  <c r="Q29" i="53"/>
  <c r="P29" i="53"/>
  <c r="O29" i="53"/>
  <c r="N29" i="53"/>
  <c r="M29" i="53"/>
  <c r="I29" i="53"/>
  <c r="R29" i="53"/>
  <c r="J29" i="53"/>
  <c r="F21" i="53"/>
  <c r="Q133" i="53"/>
  <c r="I133" i="53"/>
  <c r="P133" i="53"/>
  <c r="N133" i="53"/>
  <c r="M133" i="53"/>
  <c r="J133" i="53"/>
  <c r="R133" i="53"/>
  <c r="L133" i="53"/>
  <c r="K133" i="53"/>
  <c r="S133" i="53"/>
  <c r="O133" i="53"/>
  <c r="N164" i="53"/>
  <c r="M164" i="53"/>
  <c r="S164" i="53"/>
  <c r="K164" i="53"/>
  <c r="R164" i="53"/>
  <c r="J164" i="53"/>
  <c r="P164" i="53"/>
  <c r="L164" i="53"/>
  <c r="O164" i="53"/>
  <c r="I164" i="53"/>
  <c r="Q164" i="53"/>
  <c r="L43" i="53"/>
  <c r="S43" i="53"/>
  <c r="J43" i="53"/>
  <c r="R43" i="53"/>
  <c r="I43" i="53"/>
  <c r="N43" i="53"/>
  <c r="M43" i="53"/>
  <c r="K43" i="53"/>
  <c r="P43" i="53"/>
  <c r="O43" i="53"/>
  <c r="Q43" i="53"/>
  <c r="F18" i="53"/>
  <c r="F57" i="53"/>
  <c r="S130" i="53"/>
  <c r="K130" i="53"/>
  <c r="R130" i="53"/>
  <c r="J130" i="53"/>
  <c r="P130" i="53"/>
  <c r="O130" i="53"/>
  <c r="N130" i="53"/>
  <c r="L130" i="53"/>
  <c r="Q130" i="53"/>
  <c r="M130" i="53"/>
  <c r="O80" i="53"/>
  <c r="N80" i="53"/>
  <c r="S80" i="53"/>
  <c r="K80" i="53"/>
  <c r="Q80" i="53"/>
  <c r="I80" i="53"/>
  <c r="R80" i="53"/>
  <c r="P80" i="53"/>
  <c r="M80" i="53"/>
  <c r="L80" i="53"/>
  <c r="J80" i="53"/>
  <c r="M137" i="53"/>
  <c r="L137" i="53"/>
  <c r="R137" i="53"/>
  <c r="J137" i="53"/>
  <c r="Q137" i="53"/>
  <c r="I137" i="53"/>
  <c r="S137" i="53"/>
  <c r="P137" i="53"/>
  <c r="K137" i="53"/>
  <c r="N137" i="53"/>
  <c r="O137" i="53"/>
  <c r="M112" i="53"/>
  <c r="R112" i="53"/>
  <c r="J112" i="53"/>
  <c r="Q112" i="53"/>
  <c r="I112" i="53"/>
  <c r="S112" i="53"/>
  <c r="N112" i="53"/>
  <c r="K112" i="53"/>
  <c r="P112" i="53"/>
  <c r="L112" i="53"/>
  <c r="O112" i="53"/>
  <c r="R152" i="53"/>
  <c r="J152" i="53"/>
  <c r="Q152" i="53"/>
  <c r="I152" i="53"/>
  <c r="O152" i="53"/>
  <c r="N152" i="53"/>
  <c r="P152" i="53"/>
  <c r="M152" i="53"/>
  <c r="K152" i="53"/>
  <c r="S152" i="53"/>
  <c r="L152" i="53"/>
  <c r="P103" i="53"/>
  <c r="N103" i="53"/>
  <c r="R103" i="53"/>
  <c r="Q103" i="53"/>
  <c r="L103" i="53"/>
  <c r="J103" i="53"/>
  <c r="S103" i="53"/>
  <c r="O103" i="53"/>
  <c r="M103" i="53"/>
  <c r="K103" i="53"/>
  <c r="I103" i="53"/>
  <c r="M85" i="53"/>
  <c r="L85" i="53"/>
  <c r="Q85" i="53"/>
  <c r="I85" i="53"/>
  <c r="O85" i="53"/>
  <c r="N85" i="53"/>
  <c r="K85" i="53"/>
  <c r="J85" i="53"/>
  <c r="R85" i="53"/>
  <c r="P85" i="53"/>
  <c r="S85" i="53"/>
  <c r="M53" i="53"/>
  <c r="S53" i="53"/>
  <c r="K53" i="53"/>
  <c r="L53" i="53"/>
  <c r="Q53" i="53"/>
  <c r="P53" i="53"/>
  <c r="R53" i="53"/>
  <c r="O53" i="53"/>
  <c r="J53" i="53"/>
  <c r="I53" i="53"/>
  <c r="N53" i="53"/>
  <c r="N22" i="53"/>
  <c r="K22" i="53"/>
  <c r="R22" i="53"/>
  <c r="S22" i="53"/>
  <c r="J22" i="53"/>
  <c r="I22" i="53"/>
  <c r="Q22" i="53"/>
  <c r="O22" i="53"/>
  <c r="M22" i="53"/>
  <c r="L22" i="53"/>
  <c r="P22" i="53"/>
  <c r="O76" i="53"/>
  <c r="N76" i="53"/>
  <c r="S76" i="53"/>
  <c r="K76" i="53"/>
  <c r="Q76" i="53"/>
  <c r="J76" i="53"/>
  <c r="R76" i="53"/>
  <c r="L76" i="53"/>
  <c r="P76" i="53"/>
  <c r="M76" i="53"/>
  <c r="N110" i="53"/>
  <c r="M110" i="53"/>
  <c r="R110" i="53"/>
  <c r="O110" i="53"/>
  <c r="K110" i="53"/>
  <c r="I110" i="53"/>
  <c r="Q110" i="53"/>
  <c r="L110" i="53"/>
  <c r="J110" i="53"/>
  <c r="S110" i="53"/>
  <c r="P110" i="53"/>
  <c r="L101" i="53"/>
  <c r="R101" i="53"/>
  <c r="J101" i="53"/>
  <c r="N101" i="53"/>
  <c r="M101" i="53"/>
  <c r="S101" i="53"/>
  <c r="P101" i="53"/>
  <c r="O101" i="53"/>
  <c r="K101" i="53"/>
  <c r="I101" i="53"/>
  <c r="Q101" i="53"/>
  <c r="F46" i="53"/>
  <c r="F31" i="53"/>
  <c r="F31" i="46"/>
  <c r="AV39" i="51"/>
  <c r="AV23" i="51"/>
  <c r="AV42" i="51"/>
  <c r="AV26" i="51"/>
  <c r="AV14" i="51"/>
  <c r="AV52" i="51"/>
  <c r="AV48" i="51"/>
  <c r="AV44" i="51"/>
  <c r="AV40" i="51"/>
  <c r="AV36" i="51"/>
  <c r="AV32" i="51"/>
  <c r="AV28" i="51"/>
  <c r="AV24" i="51"/>
  <c r="AV20" i="51"/>
  <c r="AV16" i="51"/>
  <c r="AV43" i="51"/>
  <c r="AV27" i="51"/>
  <c r="AV15" i="51"/>
  <c r="AV50" i="51"/>
  <c r="AV34" i="51"/>
  <c r="AN18" i="51"/>
  <c r="AV47" i="51"/>
  <c r="AV31" i="51"/>
  <c r="AV46" i="51"/>
  <c r="AV30" i="51"/>
  <c r="AV18" i="51"/>
  <c r="AV53" i="51"/>
  <c r="AV49" i="51"/>
  <c r="AV45" i="51"/>
  <c r="AV41" i="51"/>
  <c r="AV37" i="51"/>
  <c r="AV33" i="51"/>
  <c r="AV29" i="51"/>
  <c r="AV25" i="51"/>
  <c r="AV21" i="51"/>
  <c r="AE17" i="51"/>
  <c r="AV17" i="51"/>
  <c r="AV13" i="51"/>
  <c r="AV51" i="51"/>
  <c r="AV35" i="51"/>
  <c r="AV19" i="51"/>
  <c r="AV38" i="51"/>
  <c r="AV22" i="51"/>
  <c r="G42" i="52"/>
  <c r="G40" i="52"/>
  <c r="G36" i="52"/>
  <c r="G28" i="52"/>
  <c r="G18" i="52"/>
  <c r="G47" i="49"/>
  <c r="G21" i="52"/>
  <c r="G25" i="52"/>
  <c r="G15" i="52"/>
  <c r="G21" i="49"/>
  <c r="G46" i="49"/>
  <c r="G32" i="52"/>
  <c r="G26" i="52"/>
  <c r="G38" i="49"/>
  <c r="G44" i="52"/>
  <c r="G16" i="52"/>
  <c r="G54" i="49"/>
  <c r="G14" i="52"/>
  <c r="G53" i="52"/>
  <c r="G30" i="52"/>
  <c r="G28" i="49"/>
  <c r="G24" i="52"/>
  <c r="G37" i="52"/>
  <c r="G26" i="49"/>
  <c r="G39" i="49"/>
  <c r="G53" i="49"/>
  <c r="G17" i="49"/>
  <c r="G50" i="52"/>
  <c r="G39" i="52"/>
  <c r="G46" i="52"/>
  <c r="G54" i="52"/>
  <c r="G40" i="49"/>
  <c r="G48" i="49"/>
  <c r="G30" i="49"/>
  <c r="G23" i="49"/>
  <c r="G56" i="49"/>
  <c r="G42" i="49"/>
  <c r="G44" i="49"/>
  <c r="G45" i="52"/>
  <c r="G20" i="49"/>
  <c r="G23" i="52"/>
  <c r="G49" i="49"/>
  <c r="G38" i="52"/>
  <c r="G47" i="52"/>
  <c r="G29" i="52"/>
  <c r="G27" i="52"/>
  <c r="G41" i="49"/>
  <c r="G19" i="49"/>
  <c r="G22" i="52"/>
  <c r="G35" i="52"/>
  <c r="G33" i="49"/>
  <c r="G55" i="49"/>
  <c r="G17" i="52"/>
  <c r="G52" i="49"/>
  <c r="G43" i="52"/>
  <c r="G28" i="55"/>
  <c r="G24" i="55"/>
  <c r="G48" i="55"/>
  <c r="G41" i="55"/>
  <c r="G38" i="55"/>
  <c r="G29" i="49"/>
  <c r="G34" i="52"/>
  <c r="G19" i="52"/>
  <c r="G24" i="49"/>
  <c r="G48" i="52"/>
  <c r="G47" i="55"/>
  <c r="G36" i="55"/>
  <c r="G30" i="55"/>
  <c r="G21" i="55"/>
  <c r="G14" i="55"/>
  <c r="G22" i="49"/>
  <c r="G15" i="55"/>
  <c r="G51" i="55"/>
  <c r="G40" i="55"/>
  <c r="G34" i="55"/>
  <c r="G27" i="55"/>
  <c r="G22" i="55"/>
  <c r="G23" i="55"/>
  <c r="G16" i="55"/>
  <c r="G44" i="55"/>
  <c r="G37" i="55"/>
  <c r="G31" i="55"/>
  <c r="G32" i="55"/>
  <c r="G17" i="55"/>
  <c r="G52" i="55"/>
  <c r="G45" i="55"/>
  <c r="G42" i="55"/>
  <c r="G16" i="49"/>
  <c r="G35" i="55"/>
  <c r="G25" i="55"/>
  <c r="G18" i="55"/>
  <c r="G49" i="55"/>
  <c r="G46" i="55"/>
  <c r="G39" i="55"/>
  <c r="G29" i="55"/>
  <c r="G19" i="55"/>
  <c r="G53" i="55"/>
  <c r="G50" i="55"/>
  <c r="G43" i="49"/>
  <c r="G51" i="52"/>
  <c r="G43" i="55"/>
  <c r="G33" i="55"/>
  <c r="G26" i="55"/>
  <c r="G20" i="55"/>
  <c r="G54" i="55"/>
  <c r="F72" i="46"/>
  <c r="D19" i="55"/>
  <c r="D20" i="55" s="1"/>
  <c r="D16" i="52"/>
  <c r="P59" i="51"/>
  <c r="O59" i="51"/>
  <c r="S59" i="51"/>
  <c r="Q59" i="51"/>
  <c r="L59" i="51"/>
  <c r="R59" i="51"/>
  <c r="K59" i="51"/>
  <c r="M59" i="51"/>
  <c r="J59" i="51"/>
  <c r="N59" i="51"/>
  <c r="P57" i="46"/>
  <c r="R56" i="46"/>
  <c r="J56" i="46"/>
  <c r="K57" i="46"/>
  <c r="M58" i="46"/>
  <c r="O57" i="46"/>
  <c r="S57" i="46"/>
  <c r="N58" i="46"/>
  <c r="K59" i="46"/>
  <c r="Q56" i="46"/>
  <c r="M59" i="46"/>
  <c r="O58" i="46"/>
  <c r="Q57" i="46"/>
  <c r="S56" i="46"/>
  <c r="K56" i="46"/>
  <c r="N59" i="46"/>
  <c r="P58" i="46"/>
  <c r="R57" i="46"/>
  <c r="J57" i="46"/>
  <c r="L56" i="46"/>
  <c r="P59" i="46"/>
  <c r="J58" i="46"/>
  <c r="N56" i="46"/>
  <c r="Q59" i="46"/>
  <c r="S58" i="46"/>
  <c r="K58" i="46"/>
  <c r="M57" i="46"/>
  <c r="O56" i="46"/>
  <c r="O59" i="46"/>
  <c r="Q58" i="46"/>
  <c r="M56" i="46"/>
  <c r="R58" i="46"/>
  <c r="R59" i="46"/>
  <c r="J59" i="46"/>
  <c r="L58" i="46"/>
  <c r="N57" i="46"/>
  <c r="P56" i="46"/>
  <c r="L59" i="46"/>
  <c r="L57" i="46"/>
  <c r="S59" i="46"/>
  <c r="F71" i="46"/>
  <c r="F159" i="53" l="1"/>
  <c r="F161" i="53"/>
  <c r="M59" i="53"/>
  <c r="N59" i="53"/>
  <c r="F37" i="53"/>
  <c r="P59" i="53"/>
  <c r="O59" i="53"/>
  <c r="F145" i="53"/>
  <c r="F151" i="53"/>
  <c r="Q60" i="53"/>
  <c r="K115" i="53"/>
  <c r="Q169" i="53"/>
  <c r="Q170" i="53"/>
  <c r="M169" i="53"/>
  <c r="L169" i="53"/>
  <c r="F101" i="53"/>
  <c r="L60" i="53"/>
  <c r="K60" i="53"/>
  <c r="J59" i="53"/>
  <c r="J170" i="53"/>
  <c r="P169" i="53"/>
  <c r="F111" i="53"/>
  <c r="O115" i="53"/>
  <c r="N60" i="53"/>
  <c r="K114" i="53"/>
  <c r="R169" i="53"/>
  <c r="S170" i="53"/>
  <c r="J60" i="53"/>
  <c r="R170" i="53"/>
  <c r="M115" i="53"/>
  <c r="N170" i="53"/>
  <c r="O114" i="53"/>
  <c r="Q59" i="53"/>
  <c r="S60" i="53"/>
  <c r="M170" i="53"/>
  <c r="R59" i="53"/>
  <c r="J114" i="53"/>
  <c r="Q115" i="53"/>
  <c r="P170" i="53"/>
  <c r="O170" i="53"/>
  <c r="S114" i="53"/>
  <c r="K169" i="53"/>
  <c r="J115" i="53"/>
  <c r="P114" i="53"/>
  <c r="I60" i="53"/>
  <c r="L170" i="53"/>
  <c r="L115" i="53"/>
  <c r="P60" i="53"/>
  <c r="R60" i="53"/>
  <c r="K170" i="53"/>
  <c r="I59" i="53"/>
  <c r="N169" i="53"/>
  <c r="N114" i="53"/>
  <c r="R114" i="53"/>
  <c r="F84" i="53"/>
  <c r="F158" i="53"/>
  <c r="F152" i="53"/>
  <c r="F137" i="53"/>
  <c r="O169" i="53"/>
  <c r="F99" i="53"/>
  <c r="F92" i="53"/>
  <c r="M60" i="53"/>
  <c r="F27" i="53"/>
  <c r="F154" i="53"/>
  <c r="F156" i="53"/>
  <c r="F77" i="53"/>
  <c r="J169" i="53"/>
  <c r="F110" i="53"/>
  <c r="F53" i="53"/>
  <c r="S169" i="53"/>
  <c r="F45" i="53"/>
  <c r="F88" i="53"/>
  <c r="F140" i="53"/>
  <c r="R115" i="53"/>
  <c r="F150" i="53"/>
  <c r="F100" i="53"/>
  <c r="F90" i="53"/>
  <c r="F144" i="53"/>
  <c r="L59" i="53"/>
  <c r="L114" i="53"/>
  <c r="F95" i="53"/>
  <c r="F160" i="53"/>
  <c r="F166" i="53"/>
  <c r="S115" i="53"/>
  <c r="F136" i="53"/>
  <c r="F165" i="53"/>
  <c r="F143" i="53"/>
  <c r="F163" i="53"/>
  <c r="O60" i="53"/>
  <c r="P115" i="53"/>
  <c r="F22" i="53"/>
  <c r="F103" i="53"/>
  <c r="F164" i="53"/>
  <c r="N115" i="53"/>
  <c r="F98" i="53"/>
  <c r="F139" i="53"/>
  <c r="F141" i="53"/>
  <c r="F108" i="53"/>
  <c r="F167" i="53"/>
  <c r="F94" i="53"/>
  <c r="F105" i="53"/>
  <c r="S59" i="53"/>
  <c r="F91" i="53"/>
  <c r="F157" i="53"/>
  <c r="F83" i="53"/>
  <c r="F44" i="53"/>
  <c r="F35" i="53"/>
  <c r="F132" i="53"/>
  <c r="M114" i="53"/>
  <c r="F146" i="53"/>
  <c r="F106" i="53"/>
  <c r="F155" i="53"/>
  <c r="F93" i="53"/>
  <c r="Q114" i="53"/>
  <c r="F96" i="53"/>
  <c r="F107" i="53"/>
  <c r="F149" i="53"/>
  <c r="F87" i="53"/>
  <c r="F36" i="53"/>
  <c r="F134" i="53"/>
  <c r="F153" i="53"/>
  <c r="F51" i="53"/>
  <c r="F86" i="53"/>
  <c r="F148" i="53"/>
  <c r="K59" i="53"/>
  <c r="F85" i="53"/>
  <c r="F43" i="53"/>
  <c r="F29" i="53"/>
  <c r="F89" i="53"/>
  <c r="F79" i="53"/>
  <c r="F109" i="53"/>
  <c r="F82" i="53"/>
  <c r="F162" i="53"/>
  <c r="F104" i="53"/>
  <c r="F112" i="53"/>
  <c r="F80" i="53"/>
  <c r="F133" i="53"/>
  <c r="F142" i="53"/>
  <c r="F28" i="53"/>
  <c r="F138" i="53"/>
  <c r="F78" i="53"/>
  <c r="F97" i="53"/>
  <c r="F81" i="53"/>
  <c r="F102" i="53"/>
  <c r="F147" i="53"/>
  <c r="F135" i="53"/>
  <c r="G60" i="52"/>
  <c r="G63" i="49"/>
  <c r="G62" i="49"/>
  <c r="G61" i="52"/>
  <c r="K61" i="55"/>
  <c r="K60" i="55"/>
  <c r="G61" i="55"/>
  <c r="G60" i="55"/>
  <c r="D21" i="55"/>
  <c r="D17" i="52"/>
  <c r="D18" i="52" s="1"/>
  <c r="A5" i="38"/>
  <c r="D5" i="38"/>
  <c r="E5" i="38"/>
  <c r="A6" i="38"/>
  <c r="D6" i="38"/>
  <c r="E6" i="38"/>
  <c r="A7" i="38"/>
  <c r="D7" i="38"/>
  <c r="E7" i="38"/>
  <c r="A8" i="38"/>
  <c r="D8" i="38"/>
  <c r="E8" i="38"/>
  <c r="A9" i="38"/>
  <c r="D9" i="38"/>
  <c r="E9" i="38"/>
  <c r="A10" i="38"/>
  <c r="D10" i="38"/>
  <c r="E10" i="38"/>
  <c r="A11" i="38"/>
  <c r="D11" i="38"/>
  <c r="E11" i="38"/>
  <c r="A12" i="38"/>
  <c r="D12" i="38"/>
  <c r="E12" i="38"/>
  <c r="A13" i="38"/>
  <c r="D13" i="38"/>
  <c r="E13" i="38"/>
  <c r="A14" i="38"/>
  <c r="D14" i="38"/>
  <c r="E14" i="38"/>
  <c r="A15" i="38"/>
  <c r="D15" i="38"/>
  <c r="E15" i="38"/>
  <c r="A16" i="38"/>
  <c r="D16" i="38"/>
  <c r="E16" i="38"/>
  <c r="A17" i="38"/>
  <c r="D17" i="38"/>
  <c r="E17" i="38"/>
  <c r="A18" i="38"/>
  <c r="D18" i="38"/>
  <c r="E18" i="38"/>
  <c r="A19" i="38"/>
  <c r="D19" i="38"/>
  <c r="E19" i="38"/>
  <c r="A20" i="38"/>
  <c r="D20" i="38"/>
  <c r="E20" i="38"/>
  <c r="A21" i="38"/>
  <c r="D21" i="38"/>
  <c r="E21" i="38"/>
  <c r="A22" i="38"/>
  <c r="D22" i="38"/>
  <c r="E22" i="38"/>
  <c r="A23" i="38"/>
  <c r="D23" i="38"/>
  <c r="E23" i="38"/>
  <c r="A24" i="38"/>
  <c r="D24" i="38"/>
  <c r="E24" i="38"/>
  <c r="A25" i="38"/>
  <c r="D25" i="38"/>
  <c r="E25" i="38"/>
  <c r="A26" i="38"/>
  <c r="D26" i="38"/>
  <c r="E26" i="38"/>
  <c r="A27" i="38"/>
  <c r="D27" i="38"/>
  <c r="E27" i="38"/>
  <c r="A28" i="38"/>
  <c r="D28" i="38"/>
  <c r="E28" i="38"/>
  <c r="A29" i="38"/>
  <c r="D29" i="38"/>
  <c r="E29" i="38"/>
  <c r="A30" i="38"/>
  <c r="D30" i="38"/>
  <c r="E30" i="38"/>
  <c r="A31" i="38"/>
  <c r="D31" i="38"/>
  <c r="E31" i="38"/>
  <c r="A32" i="38"/>
  <c r="D32" i="38"/>
  <c r="E32" i="38"/>
  <c r="A33" i="38"/>
  <c r="D33" i="38"/>
  <c r="E33" i="38"/>
  <c r="A34" i="38"/>
  <c r="D34" i="38"/>
  <c r="E34" i="38"/>
  <c r="A35" i="38"/>
  <c r="D35" i="38"/>
  <c r="E35" i="38"/>
  <c r="A36" i="38"/>
  <c r="D36" i="38"/>
  <c r="E36" i="38"/>
  <c r="A37" i="38"/>
  <c r="D37" i="38"/>
  <c r="E37" i="38"/>
  <c r="A38" i="38"/>
  <c r="D38" i="38"/>
  <c r="E38" i="38"/>
  <c r="A39" i="38"/>
  <c r="D39" i="38"/>
  <c r="E39" i="38"/>
  <c r="A40" i="38"/>
  <c r="D40" i="38"/>
  <c r="E40" i="38"/>
  <c r="A41" i="38"/>
  <c r="D41" i="38"/>
  <c r="E41" i="38"/>
  <c r="A42" i="38"/>
  <c r="D42" i="38"/>
  <c r="E42" i="38"/>
  <c r="A43" i="38"/>
  <c r="D43" i="38"/>
  <c r="E43" i="38"/>
  <c r="A44" i="38"/>
  <c r="D44" i="38"/>
  <c r="E44" i="38"/>
  <c r="A45" i="38"/>
  <c r="D45" i="38"/>
  <c r="E45" i="38"/>
  <c r="A46" i="38"/>
  <c r="D46" i="38"/>
  <c r="E46" i="38"/>
  <c r="C1" i="37"/>
  <c r="G11" i="37"/>
  <c r="H11" i="37" s="1"/>
  <c r="I11" i="37" s="1"/>
  <c r="J11" i="37" s="1"/>
  <c r="K11" i="37" s="1"/>
  <c r="L11" i="37" s="1"/>
  <c r="M11" i="37" s="1"/>
  <c r="N11" i="37" s="1"/>
  <c r="O11" i="37" s="1"/>
  <c r="P11" i="37" s="1"/>
  <c r="Q11" i="37" s="1"/>
  <c r="R11" i="37" s="1"/>
  <c r="S11" i="37" s="1"/>
  <c r="J12" i="37"/>
  <c r="K12" i="37"/>
  <c r="L12" i="37"/>
  <c r="M12" i="37"/>
  <c r="N12" i="37"/>
  <c r="O12" i="37"/>
  <c r="P12" i="37"/>
  <c r="Q12" i="37"/>
  <c r="R12" i="37"/>
  <c r="S12" i="37"/>
  <c r="C58" i="37"/>
  <c r="G70" i="37"/>
  <c r="I69" i="37"/>
  <c r="I70" i="37" s="1"/>
  <c r="J69" i="37"/>
  <c r="J70" i="37" s="1"/>
  <c r="K69" i="37"/>
  <c r="K70" i="37" s="1"/>
  <c r="L69" i="37"/>
  <c r="L70" i="37" s="1"/>
  <c r="M69" i="37"/>
  <c r="M70" i="37" s="1"/>
  <c r="N69" i="37"/>
  <c r="N70" i="37" s="1"/>
  <c r="O69" i="37"/>
  <c r="O70" i="37" s="1"/>
  <c r="P69" i="37"/>
  <c r="P70" i="37" s="1"/>
  <c r="Q69" i="37"/>
  <c r="Q70" i="37" s="1"/>
  <c r="R69" i="37"/>
  <c r="R70" i="37" s="1"/>
  <c r="S69" i="37"/>
  <c r="S70" i="37" s="1"/>
  <c r="F59" i="53" l="1"/>
  <c r="F60" i="53"/>
  <c r="F70" i="37"/>
  <c r="D23" i="55"/>
  <c r="D22" i="55"/>
  <c r="D19" i="52"/>
  <c r="D20" i="52" s="1"/>
  <c r="O57" i="37"/>
  <c r="O51" i="37"/>
  <c r="O47" i="37"/>
  <c r="O45" i="37"/>
  <c r="O29" i="37"/>
  <c r="O32" i="37"/>
  <c r="O26" i="37"/>
  <c r="P56" i="37"/>
  <c r="N48" i="37"/>
  <c r="P28" i="37"/>
  <c r="N43" i="37"/>
  <c r="N55" i="37"/>
  <c r="N49" i="37"/>
  <c r="M52" i="37"/>
  <c r="N31" i="37"/>
  <c r="L48" i="37"/>
  <c r="N32" i="37"/>
  <c r="O44" i="37"/>
  <c r="O34" i="37"/>
  <c r="P47" i="37"/>
  <c r="N30" i="37"/>
  <c r="L47" i="37"/>
  <c r="O46" i="37"/>
  <c r="O42" i="37"/>
  <c r="L36" i="37"/>
  <c r="O48" i="37"/>
  <c r="O28" i="37"/>
  <c r="O27" i="37"/>
  <c r="Q29" i="37"/>
  <c r="N57" i="37"/>
  <c r="N29" i="37"/>
  <c r="R57" i="37"/>
  <c r="P29" i="37"/>
  <c r="P57" i="37"/>
  <c r="N56" i="37"/>
  <c r="N46" i="37"/>
  <c r="P37" i="37"/>
  <c r="O56" i="37"/>
  <c r="P39" i="37"/>
  <c r="P31" i="37"/>
  <c r="O55" i="37"/>
  <c r="P54" i="37"/>
  <c r="L45" i="37"/>
  <c r="P40" i="37"/>
  <c r="P38" i="37"/>
  <c r="P27" i="37"/>
  <c r="P24" i="37"/>
  <c r="P32" i="37"/>
  <c r="P35" i="37"/>
  <c r="P46" i="37"/>
  <c r="P55" i="37"/>
  <c r="N45" i="37"/>
  <c r="P48" i="37"/>
  <c r="N47" i="37"/>
  <c r="L46" i="37"/>
  <c r="P34" i="37"/>
  <c r="L33" i="37"/>
  <c r="O31" i="37"/>
  <c r="N54" i="37"/>
  <c r="O54" i="37"/>
  <c r="P45" i="37"/>
  <c r="N44" i="37"/>
  <c r="P30" i="37"/>
  <c r="N24" i="37"/>
  <c r="Q53" i="37"/>
  <c r="P42" i="37"/>
  <c r="O30" i="37"/>
  <c r="P44" i="37"/>
  <c r="L25" i="37"/>
  <c r="L41" i="37"/>
  <c r="L28" i="37"/>
  <c r="L24" i="37"/>
  <c r="P51" i="37"/>
  <c r="L50" i="37"/>
  <c r="O53" i="37"/>
  <c r="L40" i="37"/>
  <c r="L39" i="37"/>
  <c r="L38" i="37"/>
  <c r="L37" i="37"/>
  <c r="P26" i="37"/>
  <c r="Q35" i="37"/>
  <c r="P53" i="37"/>
  <c r="N39" i="37"/>
  <c r="N36" i="37"/>
  <c r="Q27" i="37"/>
  <c r="O43" i="37"/>
  <c r="N40" i="37"/>
  <c r="N37" i="37"/>
  <c r="P43" i="37"/>
  <c r="O40" i="37"/>
  <c r="O39" i="37"/>
  <c r="O38" i="37"/>
  <c r="O37" i="37"/>
  <c r="O36" i="37"/>
  <c r="L32" i="37"/>
  <c r="L31" i="37"/>
  <c r="L30" i="37"/>
  <c r="L29" i="37"/>
  <c r="N38" i="37"/>
  <c r="L54" i="37"/>
  <c r="P52" i="37"/>
  <c r="L44" i="37"/>
  <c r="P36" i="37"/>
  <c r="O35" i="37"/>
  <c r="N28" i="37"/>
  <c r="Q25" i="37"/>
  <c r="Q33" i="37"/>
  <c r="Q42" i="37"/>
  <c r="Q54" i="37"/>
  <c r="Q28" i="37"/>
  <c r="L51" i="37"/>
  <c r="N50" i="37"/>
  <c r="O49" i="37"/>
  <c r="Q46" i="37"/>
  <c r="L42" i="37"/>
  <c r="N41" i="37"/>
  <c r="Q38" i="37"/>
  <c r="L34" i="37"/>
  <c r="N33" i="37"/>
  <c r="Q30" i="37"/>
  <c r="L26" i="37"/>
  <c r="N25" i="37"/>
  <c r="O24" i="37"/>
  <c r="Q41" i="37"/>
  <c r="Q51" i="37"/>
  <c r="Q34" i="37"/>
  <c r="Q57" i="37"/>
  <c r="Q56" i="37"/>
  <c r="Q55" i="37"/>
  <c r="L53" i="37"/>
  <c r="N52" i="37"/>
  <c r="N51" i="37"/>
  <c r="O50" i="37"/>
  <c r="P49" i="37"/>
  <c r="Q47" i="37"/>
  <c r="L43" i="37"/>
  <c r="N42" i="37"/>
  <c r="O41" i="37"/>
  <c r="Q39" i="37"/>
  <c r="L35" i="37"/>
  <c r="N34" i="37"/>
  <c r="O33" i="37"/>
  <c r="Q31" i="37"/>
  <c r="L27" i="37"/>
  <c r="N26" i="37"/>
  <c r="O25" i="37"/>
  <c r="Q50" i="37"/>
  <c r="Q52" i="37"/>
  <c r="Q43" i="37"/>
  <c r="Q44" i="37"/>
  <c r="N53" i="37"/>
  <c r="O52" i="37"/>
  <c r="P50" i="37"/>
  <c r="Q49" i="37"/>
  <c r="Q48" i="37"/>
  <c r="P41" i="37"/>
  <c r="Q40" i="37"/>
  <c r="N35" i="37"/>
  <c r="P33" i="37"/>
  <c r="Q32" i="37"/>
  <c r="N27" i="37"/>
  <c r="P25" i="37"/>
  <c r="Q24" i="37"/>
  <c r="Q26" i="37"/>
  <c r="Q36" i="37"/>
  <c r="Q45" i="37"/>
  <c r="Q37" i="37"/>
  <c r="M53" i="37"/>
  <c r="M48" i="37"/>
  <c r="M44" i="37"/>
  <c r="M40" i="37"/>
  <c r="M36" i="37"/>
  <c r="M32" i="37"/>
  <c r="M28" i="37"/>
  <c r="M24" i="37"/>
  <c r="R26" i="37"/>
  <c r="R29" i="37"/>
  <c r="R30" i="37"/>
  <c r="R33" i="37"/>
  <c r="R36" i="37"/>
  <c r="R39" i="37"/>
  <c r="R42" i="37"/>
  <c r="R45" i="37"/>
  <c r="R48" i="37"/>
  <c r="R51" i="37"/>
  <c r="R53" i="37"/>
  <c r="R56" i="37"/>
  <c r="R24" i="37"/>
  <c r="R27" i="37"/>
  <c r="R34" i="37"/>
  <c r="R37" i="37"/>
  <c r="R40" i="37"/>
  <c r="R43" i="37"/>
  <c r="R46" i="37"/>
  <c r="R49" i="37"/>
  <c r="R52" i="37"/>
  <c r="R55" i="37"/>
  <c r="R25" i="37"/>
  <c r="R28" i="37"/>
  <c r="R31" i="37"/>
  <c r="R32" i="37"/>
  <c r="R35" i="37"/>
  <c r="R38" i="37"/>
  <c r="R41" i="37"/>
  <c r="R44" i="37"/>
  <c r="R47" i="37"/>
  <c r="R50" i="37"/>
  <c r="R54" i="37"/>
  <c r="J25" i="37"/>
  <c r="J28" i="37"/>
  <c r="J32" i="37"/>
  <c r="J35" i="37"/>
  <c r="J38" i="37"/>
  <c r="J41" i="37"/>
  <c r="J44" i="37"/>
  <c r="J47" i="37"/>
  <c r="J50" i="37"/>
  <c r="J55" i="37"/>
  <c r="J26" i="37"/>
  <c r="J29" i="37"/>
  <c r="J31" i="37"/>
  <c r="J33" i="37"/>
  <c r="J36" i="37"/>
  <c r="J39" i="37"/>
  <c r="J42" i="37"/>
  <c r="J45" i="37"/>
  <c r="J48" i="37"/>
  <c r="J51" i="37"/>
  <c r="J54" i="37"/>
  <c r="J57" i="37"/>
  <c r="J24" i="37"/>
  <c r="J27" i="37"/>
  <c r="J30" i="37"/>
  <c r="J34" i="37"/>
  <c r="J37" i="37"/>
  <c r="J40" i="37"/>
  <c r="J43" i="37"/>
  <c r="J46" i="37"/>
  <c r="J49" i="37"/>
  <c r="J52" i="37"/>
  <c r="J53" i="37"/>
  <c r="J56" i="37"/>
  <c r="M45" i="37"/>
  <c r="M41" i="37"/>
  <c r="M37" i="37"/>
  <c r="M33" i="37"/>
  <c r="M55" i="37"/>
  <c r="M46" i="37"/>
  <c r="M42" i="37"/>
  <c r="M38" i="37"/>
  <c r="M34" i="37"/>
  <c r="M30" i="37"/>
  <c r="M26" i="37"/>
  <c r="M49" i="37"/>
  <c r="M29" i="37"/>
  <c r="F69" i="37"/>
  <c r="M50" i="37"/>
  <c r="M56" i="37"/>
  <c r="M51" i="37"/>
  <c r="M54" i="37"/>
  <c r="M25" i="37"/>
  <c r="M57" i="37"/>
  <c r="M47" i="37"/>
  <c r="M43" i="37"/>
  <c r="M39" i="37"/>
  <c r="M35" i="37"/>
  <c r="M31" i="37"/>
  <c r="M27" i="37"/>
  <c r="S57" i="37"/>
  <c r="K57" i="37"/>
  <c r="S56" i="37"/>
  <c r="K56" i="37"/>
  <c r="S55" i="37"/>
  <c r="K55" i="37"/>
  <c r="S54" i="37"/>
  <c r="K54" i="37"/>
  <c r="S53" i="37"/>
  <c r="K53" i="37"/>
  <c r="S52" i="37"/>
  <c r="K52" i="37"/>
  <c r="S51" i="37"/>
  <c r="K51" i="37"/>
  <c r="S50" i="37"/>
  <c r="K50" i="37"/>
  <c r="S49" i="37"/>
  <c r="K49" i="37"/>
  <c r="S48" i="37"/>
  <c r="K48" i="37"/>
  <c r="S47" i="37"/>
  <c r="K47" i="37"/>
  <c r="S46" i="37"/>
  <c r="K46" i="37"/>
  <c r="S45" i="37"/>
  <c r="K45" i="37"/>
  <c r="S44" i="37"/>
  <c r="K44" i="37"/>
  <c r="S43" i="37"/>
  <c r="K43" i="37"/>
  <c r="S42" i="37"/>
  <c r="K42" i="37"/>
  <c r="S41" i="37"/>
  <c r="K41" i="37"/>
  <c r="S40" i="37"/>
  <c r="K40" i="37"/>
  <c r="S39" i="37"/>
  <c r="K39" i="37"/>
  <c r="S38" i="37"/>
  <c r="K38" i="37"/>
  <c r="S37" i="37"/>
  <c r="K37" i="37"/>
  <c r="S36" i="37"/>
  <c r="K36" i="37"/>
  <c r="S35" i="37"/>
  <c r="K35" i="37"/>
  <c r="S34" i="37"/>
  <c r="K34" i="37"/>
  <c r="S33" i="37"/>
  <c r="K33" i="37"/>
  <c r="S32" i="37"/>
  <c r="K32" i="37"/>
  <c r="S31" i="37"/>
  <c r="K31" i="37"/>
  <c r="S30" i="37"/>
  <c r="K30" i="37"/>
  <c r="S29" i="37"/>
  <c r="K29" i="37"/>
  <c r="S28" i="37"/>
  <c r="K28" i="37"/>
  <c r="S27" i="37"/>
  <c r="K27" i="37"/>
  <c r="S26" i="37"/>
  <c r="K26" i="37"/>
  <c r="S25" i="37"/>
  <c r="K25" i="37"/>
  <c r="S24" i="37"/>
  <c r="K24" i="37"/>
  <c r="L56" i="37"/>
  <c r="L55" i="37"/>
  <c r="L52" i="37"/>
  <c r="L49" i="37"/>
  <c r="L57" i="37"/>
  <c r="T136" i="29"/>
  <c r="T154" i="29" s="1"/>
  <c r="T73" i="29"/>
  <c r="T91" i="29" s="1"/>
  <c r="U73" i="29"/>
  <c r="U91" i="29" s="1"/>
  <c r="V73" i="29"/>
  <c r="V91" i="29" s="1"/>
  <c r="W73" i="29"/>
  <c r="W91" i="29" s="1"/>
  <c r="T13" i="29"/>
  <c r="T31" i="29" s="1"/>
  <c r="U13" i="29"/>
  <c r="U31" i="29" s="1"/>
  <c r="V13" i="29"/>
  <c r="V31" i="29" s="1"/>
  <c r="W13" i="29"/>
  <c r="W31" i="29" s="1"/>
  <c r="J13" i="29"/>
  <c r="J31" i="29" s="1"/>
  <c r="E190" i="29"/>
  <c r="E189" i="29"/>
  <c r="E193" i="29"/>
  <c r="E130" i="29"/>
  <c r="E127" i="29"/>
  <c r="E126" i="29"/>
  <c r="E67" i="29"/>
  <c r="E66" i="29"/>
  <c r="E194" i="30"/>
  <c r="E191" i="30"/>
  <c r="E190" i="30"/>
  <c r="E68" i="30"/>
  <c r="E131" i="30"/>
  <c r="E128" i="30"/>
  <c r="E127" i="30"/>
  <c r="E66" i="30"/>
  <c r="E65" i="30"/>
  <c r="E175" i="17"/>
  <c r="E174" i="17"/>
  <c r="E175" i="26"/>
  <c r="E174" i="26"/>
  <c r="C1" i="30"/>
  <c r="C1" i="26"/>
  <c r="C184" i="30"/>
  <c r="A183" i="30"/>
  <c r="A182" i="30"/>
  <c r="A181" i="30"/>
  <c r="A180" i="30"/>
  <c r="A179" i="30"/>
  <c r="A178" i="30"/>
  <c r="A177" i="30"/>
  <c r="A176" i="30"/>
  <c r="A175" i="30"/>
  <c r="A174" i="30"/>
  <c r="A173" i="30"/>
  <c r="A172" i="30"/>
  <c r="A171" i="30"/>
  <c r="A170" i="30"/>
  <c r="A169" i="30"/>
  <c r="A168" i="30"/>
  <c r="A167" i="30"/>
  <c r="A166" i="30"/>
  <c r="A165" i="30"/>
  <c r="A164" i="30"/>
  <c r="A163" i="30"/>
  <c r="A162" i="30"/>
  <c r="A161" i="30"/>
  <c r="A160" i="30"/>
  <c r="A159" i="30"/>
  <c r="A158" i="30"/>
  <c r="A157" i="30"/>
  <c r="A156" i="30"/>
  <c r="A154" i="30"/>
  <c r="B154" i="30" s="1"/>
  <c r="A153" i="30"/>
  <c r="B153" i="30" s="1"/>
  <c r="A152" i="30"/>
  <c r="A151" i="30"/>
  <c r="A150" i="30"/>
  <c r="B150" i="30" s="1"/>
  <c r="A149" i="30"/>
  <c r="A148" i="30"/>
  <c r="B148" i="30" s="1"/>
  <c r="A147" i="30"/>
  <c r="A146" i="30"/>
  <c r="B146" i="30" s="1"/>
  <c r="A145" i="30"/>
  <c r="A144" i="30"/>
  <c r="A143" i="30"/>
  <c r="B143" i="30" s="1"/>
  <c r="A142" i="30"/>
  <c r="B141" i="30"/>
  <c r="A141" i="30"/>
  <c r="A140" i="30"/>
  <c r="B140" i="30" s="1"/>
  <c r="A139" i="30"/>
  <c r="A138" i="30"/>
  <c r="W137" i="30"/>
  <c r="V137" i="30"/>
  <c r="U137" i="30"/>
  <c r="T137" i="30"/>
  <c r="S137" i="30"/>
  <c r="S155" i="30" s="1"/>
  <c r="R137" i="30"/>
  <c r="R155" i="30" s="1"/>
  <c r="Q137" i="30"/>
  <c r="Q155" i="30" s="1"/>
  <c r="P137" i="30"/>
  <c r="P155" i="30" s="1"/>
  <c r="O137" i="30"/>
  <c r="O155" i="30" s="1"/>
  <c r="N137" i="30"/>
  <c r="N155" i="30" s="1"/>
  <c r="M137" i="30"/>
  <c r="M155" i="30" s="1"/>
  <c r="L137" i="30"/>
  <c r="L155" i="30" s="1"/>
  <c r="K137" i="30"/>
  <c r="K155" i="30" s="1"/>
  <c r="J137" i="30"/>
  <c r="J155" i="30" s="1"/>
  <c r="G136" i="30"/>
  <c r="T136" i="30" s="1"/>
  <c r="C121" i="30"/>
  <c r="A120" i="30"/>
  <c r="I120" i="30" s="1"/>
  <c r="A119" i="30"/>
  <c r="A118" i="30"/>
  <c r="A117" i="30"/>
  <c r="I117" i="30" s="1"/>
  <c r="A116" i="30"/>
  <c r="A115" i="30"/>
  <c r="A114" i="30"/>
  <c r="A113" i="30"/>
  <c r="A112" i="30"/>
  <c r="A111" i="30"/>
  <c r="A110" i="30"/>
  <c r="A109" i="30"/>
  <c r="A108" i="30"/>
  <c r="A107" i="30"/>
  <c r="A106" i="30"/>
  <c r="A105" i="30"/>
  <c r="A104" i="30"/>
  <c r="A103" i="30"/>
  <c r="A102" i="30"/>
  <c r="A101" i="30"/>
  <c r="A100" i="30"/>
  <c r="A99" i="30"/>
  <c r="A98" i="30"/>
  <c r="A97" i="30"/>
  <c r="A96" i="30"/>
  <c r="A95" i="30"/>
  <c r="A94" i="30"/>
  <c r="A93" i="30"/>
  <c r="A91" i="30"/>
  <c r="A90" i="30"/>
  <c r="A89" i="30"/>
  <c r="A88" i="30"/>
  <c r="A87" i="30"/>
  <c r="A86" i="30"/>
  <c r="B86" i="30" s="1"/>
  <c r="A85" i="30"/>
  <c r="B85" i="30" s="1"/>
  <c r="A84" i="30"/>
  <c r="B84" i="30" s="1"/>
  <c r="A83" i="30"/>
  <c r="A82" i="30"/>
  <c r="B82" i="30" s="1"/>
  <c r="A81" i="30"/>
  <c r="B80" i="30"/>
  <c r="A80" i="30"/>
  <c r="B79" i="30"/>
  <c r="A79" i="30"/>
  <c r="A78" i="30"/>
  <c r="A77" i="30"/>
  <c r="B77" i="30" s="1"/>
  <c r="A76" i="30"/>
  <c r="A75" i="30"/>
  <c r="W74" i="30"/>
  <c r="V74" i="30"/>
  <c r="U74" i="30"/>
  <c r="T74" i="30"/>
  <c r="S74" i="30"/>
  <c r="S92" i="30" s="1"/>
  <c r="R74" i="30"/>
  <c r="R92" i="30" s="1"/>
  <c r="Q74" i="30"/>
  <c r="Q92" i="30" s="1"/>
  <c r="P74" i="30"/>
  <c r="P92" i="30" s="1"/>
  <c r="O74" i="30"/>
  <c r="O92" i="30" s="1"/>
  <c r="N74" i="30"/>
  <c r="N92" i="30" s="1"/>
  <c r="M74" i="30"/>
  <c r="M92" i="30" s="1"/>
  <c r="L74" i="30"/>
  <c r="L92" i="30" s="1"/>
  <c r="K74" i="30"/>
  <c r="K92" i="30" s="1"/>
  <c r="J74" i="30"/>
  <c r="J92" i="30" s="1"/>
  <c r="G73" i="30"/>
  <c r="T73" i="30" s="1"/>
  <c r="U73" i="30" s="1"/>
  <c r="V73" i="30" s="1"/>
  <c r="W73" i="30" s="1"/>
  <c r="C59" i="30"/>
  <c r="B29" i="30"/>
  <c r="B28" i="30"/>
  <c r="B27" i="30"/>
  <c r="B26" i="30"/>
  <c r="B25" i="30"/>
  <c r="B24" i="30"/>
  <c r="B23" i="30"/>
  <c r="B22" i="30"/>
  <c r="B21" i="30"/>
  <c r="B20" i="30"/>
  <c r="B19" i="30"/>
  <c r="B18" i="30"/>
  <c r="B17" i="30"/>
  <c r="B16" i="30"/>
  <c r="B15" i="30"/>
  <c r="B14" i="30"/>
  <c r="B13" i="30"/>
  <c r="W12" i="30"/>
  <c r="V12" i="30"/>
  <c r="U12" i="30"/>
  <c r="T12" i="30"/>
  <c r="S12" i="30"/>
  <c r="R12" i="30"/>
  <c r="Q12" i="30"/>
  <c r="P12" i="30"/>
  <c r="O12" i="30"/>
  <c r="N12" i="30"/>
  <c r="M12" i="30"/>
  <c r="L12" i="30"/>
  <c r="K12" i="30"/>
  <c r="J12" i="30"/>
  <c r="I12" i="30"/>
  <c r="G11" i="30"/>
  <c r="T11" i="30" s="1"/>
  <c r="U11" i="30" s="1"/>
  <c r="V11" i="30" s="1"/>
  <c r="W11" i="30" s="1"/>
  <c r="C183" i="29"/>
  <c r="A182" i="29"/>
  <c r="A181" i="29"/>
  <c r="A180" i="29"/>
  <c r="A179" i="29"/>
  <c r="A178" i="29"/>
  <c r="A177" i="29"/>
  <c r="A176" i="29"/>
  <c r="A175" i="29"/>
  <c r="A174" i="29"/>
  <c r="A173" i="29"/>
  <c r="A172" i="29"/>
  <c r="A171" i="29"/>
  <c r="A170" i="29"/>
  <c r="A169" i="29"/>
  <c r="A168" i="29"/>
  <c r="A167" i="29"/>
  <c r="A166" i="29"/>
  <c r="A165" i="29"/>
  <c r="A164" i="29"/>
  <c r="A163" i="29"/>
  <c r="A162" i="29"/>
  <c r="A161" i="29"/>
  <c r="A160" i="29"/>
  <c r="A159" i="29"/>
  <c r="A158" i="29"/>
  <c r="A157" i="29"/>
  <c r="A156" i="29"/>
  <c r="A155" i="29"/>
  <c r="A153" i="29"/>
  <c r="A152" i="29"/>
  <c r="B152" i="29" s="1"/>
  <c r="A151" i="29"/>
  <c r="B151" i="29" s="1"/>
  <c r="A150" i="29"/>
  <c r="B150" i="29" s="1"/>
  <c r="A149" i="29"/>
  <c r="A148" i="29"/>
  <c r="A147" i="29"/>
  <c r="A146" i="29"/>
  <c r="A145" i="29"/>
  <c r="B145" i="29" s="1"/>
  <c r="A144" i="29"/>
  <c r="A143" i="29"/>
  <c r="B143" i="29" s="1"/>
  <c r="A142" i="29"/>
  <c r="A141" i="29"/>
  <c r="A140" i="29"/>
  <c r="A139" i="29"/>
  <c r="A138" i="29"/>
  <c r="A137" i="29"/>
  <c r="B137" i="29" s="1"/>
  <c r="S136" i="29"/>
  <c r="S154" i="29" s="1"/>
  <c r="R136" i="29"/>
  <c r="R154" i="29" s="1"/>
  <c r="Q136" i="29"/>
  <c r="Q154" i="29" s="1"/>
  <c r="P136" i="29"/>
  <c r="P154" i="29" s="1"/>
  <c r="O136" i="29"/>
  <c r="O154" i="29" s="1"/>
  <c r="N136" i="29"/>
  <c r="N154" i="29" s="1"/>
  <c r="M136" i="29"/>
  <c r="M154" i="29" s="1"/>
  <c r="L136" i="29"/>
  <c r="L154" i="29" s="1"/>
  <c r="K136" i="29"/>
  <c r="K154" i="29" s="1"/>
  <c r="J136" i="29"/>
  <c r="J154" i="29" s="1"/>
  <c r="H136" i="29"/>
  <c r="G135" i="29"/>
  <c r="H135" i="29" s="1"/>
  <c r="C120" i="29"/>
  <c r="A119" i="29"/>
  <c r="A118" i="29"/>
  <c r="A117" i="29"/>
  <c r="A116" i="29"/>
  <c r="A115" i="29"/>
  <c r="A114" i="29"/>
  <c r="A113" i="29"/>
  <c r="A112" i="29"/>
  <c r="A111" i="29"/>
  <c r="A110" i="29"/>
  <c r="A109" i="29"/>
  <c r="A108" i="29"/>
  <c r="A107" i="29"/>
  <c r="A106" i="29"/>
  <c r="A105" i="29"/>
  <c r="A104" i="29"/>
  <c r="A103" i="29"/>
  <c r="A102" i="29"/>
  <c r="A101" i="29"/>
  <c r="A100" i="29"/>
  <c r="A99" i="29"/>
  <c r="A98" i="29"/>
  <c r="A97" i="29"/>
  <c r="A96" i="29"/>
  <c r="A95" i="29"/>
  <c r="A94" i="29"/>
  <c r="A93" i="29"/>
  <c r="A92" i="29"/>
  <c r="A90" i="29"/>
  <c r="A89" i="29"/>
  <c r="A88" i="29"/>
  <c r="B88" i="29" s="1"/>
  <c r="A87" i="29"/>
  <c r="B87" i="29" s="1"/>
  <c r="A86" i="29"/>
  <c r="B86" i="29" s="1"/>
  <c r="A85" i="29"/>
  <c r="A84" i="29"/>
  <c r="B84" i="29" s="1"/>
  <c r="B83" i="29"/>
  <c r="A83" i="29"/>
  <c r="A82" i="29"/>
  <c r="A81" i="29"/>
  <c r="A80" i="29"/>
  <c r="B80" i="29" s="1"/>
  <c r="A79" i="29"/>
  <c r="A78" i="29"/>
  <c r="A77" i="29"/>
  <c r="B77" i="29" s="1"/>
  <c r="A76" i="29"/>
  <c r="B76" i="29" s="1"/>
  <c r="A75" i="29"/>
  <c r="A74" i="29"/>
  <c r="S73" i="29"/>
  <c r="S91" i="29" s="1"/>
  <c r="R73" i="29"/>
  <c r="R91" i="29" s="1"/>
  <c r="Q73" i="29"/>
  <c r="Q91" i="29" s="1"/>
  <c r="P73" i="29"/>
  <c r="P91" i="29" s="1"/>
  <c r="O73" i="29"/>
  <c r="O91" i="29" s="1"/>
  <c r="N73" i="29"/>
  <c r="N91" i="29" s="1"/>
  <c r="M73" i="29"/>
  <c r="M91" i="29" s="1"/>
  <c r="L73" i="29"/>
  <c r="L91" i="29" s="1"/>
  <c r="K73" i="29"/>
  <c r="K91" i="29" s="1"/>
  <c r="J73" i="29"/>
  <c r="J91" i="29" s="1"/>
  <c r="H73" i="29"/>
  <c r="G72" i="29"/>
  <c r="H72" i="29" s="1"/>
  <c r="B59" i="29"/>
  <c r="B58" i="29"/>
  <c r="B57" i="29"/>
  <c r="B56" i="29"/>
  <c r="B55" i="29"/>
  <c r="B54" i="29"/>
  <c r="B53" i="29"/>
  <c r="B52" i="29"/>
  <c r="B51" i="29"/>
  <c r="B50" i="29"/>
  <c r="B49" i="29"/>
  <c r="B48" i="29"/>
  <c r="B47" i="29"/>
  <c r="B46" i="29"/>
  <c r="B45" i="29"/>
  <c r="B44" i="29"/>
  <c r="B43" i="29"/>
  <c r="B42" i="29"/>
  <c r="B41" i="29"/>
  <c r="B40" i="29"/>
  <c r="G39" i="29"/>
  <c r="B39" i="29"/>
  <c r="G38" i="29"/>
  <c r="B38" i="29"/>
  <c r="G37" i="29"/>
  <c r="B37" i="29"/>
  <c r="G36" i="29"/>
  <c r="B36" i="29"/>
  <c r="G35" i="29"/>
  <c r="B35" i="29"/>
  <c r="G34" i="29"/>
  <c r="B34" i="29"/>
  <c r="G33" i="29"/>
  <c r="B33" i="29"/>
  <c r="G32" i="29"/>
  <c r="B32" i="29"/>
  <c r="G30" i="29"/>
  <c r="B30" i="29"/>
  <c r="G29" i="29"/>
  <c r="B29" i="29"/>
  <c r="G28" i="29"/>
  <c r="B28" i="29"/>
  <c r="G27" i="29"/>
  <c r="B27" i="29"/>
  <c r="G26" i="29"/>
  <c r="B26" i="29"/>
  <c r="G25" i="29"/>
  <c r="B25" i="29"/>
  <c r="G24" i="29"/>
  <c r="B24" i="29"/>
  <c r="G23" i="29"/>
  <c r="B23" i="29"/>
  <c r="G22" i="29"/>
  <c r="B22" i="29"/>
  <c r="G21" i="29"/>
  <c r="B21" i="29"/>
  <c r="G20" i="29"/>
  <c r="B20" i="29"/>
  <c r="G19" i="29"/>
  <c r="B19" i="29"/>
  <c r="G18" i="29"/>
  <c r="B18" i="29"/>
  <c r="G17" i="29"/>
  <c r="B17" i="29"/>
  <c r="G16" i="29"/>
  <c r="B16" i="29"/>
  <c r="G15" i="29"/>
  <c r="B15" i="29"/>
  <c r="G14" i="29"/>
  <c r="B14" i="29"/>
  <c r="S13" i="29"/>
  <c r="S31" i="29" s="1"/>
  <c r="R13" i="29"/>
  <c r="R31" i="29" s="1"/>
  <c r="Q13" i="29"/>
  <c r="Q31" i="29" s="1"/>
  <c r="P13" i="29"/>
  <c r="P31" i="29" s="1"/>
  <c r="O13" i="29"/>
  <c r="O31" i="29" s="1"/>
  <c r="N13" i="29"/>
  <c r="N31" i="29" s="1"/>
  <c r="M13" i="29"/>
  <c r="M31" i="29" s="1"/>
  <c r="L13" i="29"/>
  <c r="L31" i="29" s="1"/>
  <c r="K13" i="29"/>
  <c r="K31" i="29" s="1"/>
  <c r="G12" i="29"/>
  <c r="H12" i="29" s="1"/>
  <c r="F91" i="29" l="1"/>
  <c r="F154" i="29"/>
  <c r="F155" i="30"/>
  <c r="F92" i="30"/>
  <c r="J55" i="29"/>
  <c r="R55" i="29"/>
  <c r="K55" i="29"/>
  <c r="S55" i="29"/>
  <c r="M55" i="29"/>
  <c r="W55" i="29"/>
  <c r="N55" i="29"/>
  <c r="P55" i="29"/>
  <c r="Q55" i="29"/>
  <c r="U55" i="29"/>
  <c r="V55" i="29"/>
  <c r="I55" i="29"/>
  <c r="L55" i="29"/>
  <c r="O55" i="29"/>
  <c r="T55" i="29"/>
  <c r="J27" i="29"/>
  <c r="R27" i="29"/>
  <c r="K27" i="29"/>
  <c r="S27" i="29"/>
  <c r="M27" i="29"/>
  <c r="W27" i="29"/>
  <c r="N27" i="29"/>
  <c r="P27" i="29"/>
  <c r="Q27" i="29"/>
  <c r="T27" i="29"/>
  <c r="O27" i="29"/>
  <c r="V27" i="29"/>
  <c r="I27" i="29"/>
  <c r="L27" i="29"/>
  <c r="U27" i="29"/>
  <c r="J40" i="29"/>
  <c r="R40" i="29"/>
  <c r="K40" i="29"/>
  <c r="S40" i="29"/>
  <c r="Q40" i="29"/>
  <c r="T40" i="29"/>
  <c r="L40" i="29"/>
  <c r="V40" i="29"/>
  <c r="M40" i="29"/>
  <c r="W40" i="29"/>
  <c r="N40" i="29"/>
  <c r="U40" i="29"/>
  <c r="I40" i="29"/>
  <c r="O40" i="29"/>
  <c r="P40" i="29"/>
  <c r="J41" i="29"/>
  <c r="R41" i="29"/>
  <c r="K41" i="29"/>
  <c r="S41" i="29"/>
  <c r="M41" i="29"/>
  <c r="W41" i="29"/>
  <c r="N41" i="29"/>
  <c r="P41" i="29"/>
  <c r="Q41" i="29"/>
  <c r="T41" i="29"/>
  <c r="U41" i="29"/>
  <c r="V41" i="29"/>
  <c r="I41" i="29"/>
  <c r="L41" i="29"/>
  <c r="O41" i="29"/>
  <c r="J16" i="29"/>
  <c r="R16" i="29"/>
  <c r="K16" i="29"/>
  <c r="S16" i="29"/>
  <c r="L16" i="29"/>
  <c r="T16" i="29"/>
  <c r="P16" i="29"/>
  <c r="U16" i="29"/>
  <c r="Q16" i="29"/>
  <c r="V16" i="29"/>
  <c r="I16" i="29"/>
  <c r="W16" i="29"/>
  <c r="M16" i="29"/>
  <c r="N16" i="29"/>
  <c r="O16" i="29"/>
  <c r="J33" i="29"/>
  <c r="R33" i="29"/>
  <c r="K33" i="29"/>
  <c r="S33" i="29"/>
  <c r="M33" i="29"/>
  <c r="W33" i="29"/>
  <c r="N33" i="29"/>
  <c r="P33" i="29"/>
  <c r="Q33" i="29"/>
  <c r="T33" i="29"/>
  <c r="U33" i="29"/>
  <c r="I33" i="29"/>
  <c r="L33" i="29"/>
  <c r="O33" i="29"/>
  <c r="V33" i="29"/>
  <c r="J43" i="29"/>
  <c r="R43" i="29"/>
  <c r="K43" i="29"/>
  <c r="S43" i="29"/>
  <c r="M43" i="29"/>
  <c r="W43" i="29"/>
  <c r="N43" i="29"/>
  <c r="P43" i="29"/>
  <c r="Q43" i="29"/>
  <c r="T43" i="29"/>
  <c r="U43" i="29"/>
  <c r="I43" i="29"/>
  <c r="L43" i="29"/>
  <c r="O43" i="29"/>
  <c r="V43" i="29"/>
  <c r="J51" i="29"/>
  <c r="R51" i="29"/>
  <c r="K51" i="29"/>
  <c r="S51" i="29"/>
  <c r="M51" i="29"/>
  <c r="W51" i="29"/>
  <c r="N51" i="29"/>
  <c r="P51" i="29"/>
  <c r="Q51" i="29"/>
  <c r="L51" i="29"/>
  <c r="I51" i="29"/>
  <c r="O51" i="29"/>
  <c r="T51" i="29"/>
  <c r="U51" i="29"/>
  <c r="V51" i="29"/>
  <c r="J47" i="29"/>
  <c r="R47" i="29"/>
  <c r="K47" i="29"/>
  <c r="S47" i="29"/>
  <c r="M47" i="29"/>
  <c r="W47" i="29"/>
  <c r="N47" i="29"/>
  <c r="P47" i="29"/>
  <c r="Q47" i="29"/>
  <c r="O47" i="29"/>
  <c r="T47" i="29"/>
  <c r="I47" i="29"/>
  <c r="L47" i="29"/>
  <c r="U47" i="29"/>
  <c r="V47" i="29"/>
  <c r="J15" i="29"/>
  <c r="R15" i="29"/>
  <c r="K15" i="29"/>
  <c r="S15" i="29"/>
  <c r="L15" i="29"/>
  <c r="U15" i="29"/>
  <c r="M15" i="29"/>
  <c r="I15" i="29"/>
  <c r="V15" i="29"/>
  <c r="W15" i="29"/>
  <c r="N15" i="29"/>
  <c r="O15" i="29"/>
  <c r="P15" i="29"/>
  <c r="Q15" i="29"/>
  <c r="T15" i="29"/>
  <c r="J32" i="29"/>
  <c r="R32" i="29"/>
  <c r="K32" i="29"/>
  <c r="S32" i="29"/>
  <c r="Q32" i="29"/>
  <c r="T32" i="29"/>
  <c r="L32" i="29"/>
  <c r="V32" i="29"/>
  <c r="M32" i="29"/>
  <c r="W32" i="29"/>
  <c r="N32" i="29"/>
  <c r="I32" i="29"/>
  <c r="O32" i="29"/>
  <c r="U32" i="29"/>
  <c r="P32" i="29"/>
  <c r="J20" i="29"/>
  <c r="R20" i="29"/>
  <c r="K20" i="29"/>
  <c r="S20" i="29"/>
  <c r="Q20" i="29"/>
  <c r="T20" i="29"/>
  <c r="I20" i="29"/>
  <c r="U20" i="29"/>
  <c r="L20" i="29"/>
  <c r="V20" i="29"/>
  <c r="M20" i="29"/>
  <c r="W20" i="29"/>
  <c r="N20" i="29"/>
  <c r="O20" i="29"/>
  <c r="P20" i="29"/>
  <c r="J50" i="29"/>
  <c r="R50" i="29"/>
  <c r="K50" i="29"/>
  <c r="S50" i="29"/>
  <c r="Q50" i="29"/>
  <c r="T50" i="29"/>
  <c r="L50" i="29"/>
  <c r="V50" i="29"/>
  <c r="M50" i="29"/>
  <c r="W50" i="29"/>
  <c r="U50" i="29"/>
  <c r="I50" i="29"/>
  <c r="N50" i="29"/>
  <c r="O50" i="29"/>
  <c r="P50" i="29"/>
  <c r="J17" i="29"/>
  <c r="R17" i="29"/>
  <c r="K17" i="29"/>
  <c r="S17" i="29"/>
  <c r="M17" i="29"/>
  <c r="W17" i="29"/>
  <c r="O17" i="29"/>
  <c r="N17" i="29"/>
  <c r="P17" i="29"/>
  <c r="Q17" i="29"/>
  <c r="T17" i="29"/>
  <c r="L17" i="29"/>
  <c r="V17" i="29"/>
  <c r="I17" i="29"/>
  <c r="U17" i="29"/>
  <c r="J21" i="29"/>
  <c r="R21" i="29"/>
  <c r="K21" i="29"/>
  <c r="S21" i="29"/>
  <c r="M21" i="29"/>
  <c r="W21" i="29"/>
  <c r="N21" i="29"/>
  <c r="O21" i="29"/>
  <c r="P21" i="29"/>
  <c r="Q21" i="29"/>
  <c r="T21" i="29"/>
  <c r="L21" i="29"/>
  <c r="U21" i="29"/>
  <c r="V21" i="29"/>
  <c r="I21" i="29"/>
  <c r="J25" i="29"/>
  <c r="R25" i="29"/>
  <c r="K25" i="29"/>
  <c r="S25" i="29"/>
  <c r="M25" i="29"/>
  <c r="W25" i="29"/>
  <c r="N25" i="29"/>
  <c r="P25" i="29"/>
  <c r="Q25" i="29"/>
  <c r="T25" i="29"/>
  <c r="U25" i="29"/>
  <c r="V25" i="29"/>
  <c r="I25" i="29"/>
  <c r="L25" i="29"/>
  <c r="O25" i="29"/>
  <c r="J29" i="29"/>
  <c r="R29" i="29"/>
  <c r="K29" i="29"/>
  <c r="S29" i="29"/>
  <c r="M29" i="29"/>
  <c r="W29" i="29"/>
  <c r="N29" i="29"/>
  <c r="P29" i="29"/>
  <c r="Q29" i="29"/>
  <c r="T29" i="29"/>
  <c r="I29" i="29"/>
  <c r="L29" i="29"/>
  <c r="O29" i="29"/>
  <c r="V29" i="29"/>
  <c r="U29" i="29"/>
  <c r="J34" i="29"/>
  <c r="R34" i="29"/>
  <c r="K34" i="29"/>
  <c r="S34" i="29"/>
  <c r="Q34" i="29"/>
  <c r="T34" i="29"/>
  <c r="L34" i="29"/>
  <c r="V34" i="29"/>
  <c r="M34" i="29"/>
  <c r="W34" i="29"/>
  <c r="N34" i="29"/>
  <c r="U34" i="29"/>
  <c r="O34" i="29"/>
  <c r="P34" i="29"/>
  <c r="I34" i="29"/>
  <c r="J38" i="29"/>
  <c r="R38" i="29"/>
  <c r="K38" i="29"/>
  <c r="S38" i="29"/>
  <c r="Q38" i="29"/>
  <c r="T38" i="29"/>
  <c r="L38" i="29"/>
  <c r="V38" i="29"/>
  <c r="M38" i="29"/>
  <c r="W38" i="29"/>
  <c r="N38" i="29"/>
  <c r="U38" i="29"/>
  <c r="I38" i="29"/>
  <c r="O38" i="29"/>
  <c r="P38" i="29"/>
  <c r="J44" i="29"/>
  <c r="R44" i="29"/>
  <c r="K44" i="29"/>
  <c r="S44" i="29"/>
  <c r="Q44" i="29"/>
  <c r="T44" i="29"/>
  <c r="L44" i="29"/>
  <c r="V44" i="29"/>
  <c r="M44" i="29"/>
  <c r="W44" i="29"/>
  <c r="N44" i="29"/>
  <c r="P44" i="29"/>
  <c r="U44" i="29"/>
  <c r="O44" i="29"/>
  <c r="I44" i="29"/>
  <c r="J52" i="29"/>
  <c r="R52" i="29"/>
  <c r="K52" i="29"/>
  <c r="S52" i="29"/>
  <c r="Q52" i="29"/>
  <c r="T52" i="29"/>
  <c r="L52" i="29"/>
  <c r="V52" i="29"/>
  <c r="M52" i="29"/>
  <c r="W52" i="29"/>
  <c r="I52" i="29"/>
  <c r="N52" i="29"/>
  <c r="O52" i="29"/>
  <c r="P52" i="29"/>
  <c r="U52" i="29"/>
  <c r="J23" i="29"/>
  <c r="R23" i="29"/>
  <c r="K23" i="29"/>
  <c r="S23" i="29"/>
  <c r="M23" i="29"/>
  <c r="W23" i="29"/>
  <c r="N23" i="29"/>
  <c r="P23" i="29"/>
  <c r="Q23" i="29"/>
  <c r="T23" i="29"/>
  <c r="I23" i="29"/>
  <c r="L23" i="29"/>
  <c r="O23" i="29"/>
  <c r="U23" i="29"/>
  <c r="V23" i="29"/>
  <c r="J36" i="29"/>
  <c r="R36" i="29"/>
  <c r="K36" i="29"/>
  <c r="S36" i="29"/>
  <c r="Q36" i="29"/>
  <c r="T36" i="29"/>
  <c r="L36" i="29"/>
  <c r="V36" i="29"/>
  <c r="M36" i="29"/>
  <c r="W36" i="29"/>
  <c r="N36" i="29"/>
  <c r="I36" i="29"/>
  <c r="P36" i="29"/>
  <c r="O36" i="29"/>
  <c r="U36" i="29"/>
  <c r="J28" i="29"/>
  <c r="R28" i="29"/>
  <c r="K28" i="29"/>
  <c r="S28" i="29"/>
  <c r="Q28" i="29"/>
  <c r="T28" i="29"/>
  <c r="L28" i="29"/>
  <c r="V28" i="29"/>
  <c r="M28" i="29"/>
  <c r="W28" i="29"/>
  <c r="N28" i="29"/>
  <c r="P28" i="29"/>
  <c r="U28" i="29"/>
  <c r="I28" i="29"/>
  <c r="O28" i="29"/>
  <c r="J42" i="29"/>
  <c r="R42" i="29"/>
  <c r="K42" i="29"/>
  <c r="S42" i="29"/>
  <c r="Q42" i="29"/>
  <c r="T42" i="29"/>
  <c r="L42" i="29"/>
  <c r="V42" i="29"/>
  <c r="M42" i="29"/>
  <c r="W42" i="29"/>
  <c r="N42" i="29"/>
  <c r="O42" i="29"/>
  <c r="I42" i="29"/>
  <c r="P42" i="29"/>
  <c r="U42" i="29"/>
  <c r="J45" i="29"/>
  <c r="R45" i="29"/>
  <c r="K45" i="29"/>
  <c r="S45" i="29"/>
  <c r="M45" i="29"/>
  <c r="W45" i="29"/>
  <c r="N45" i="29"/>
  <c r="P45" i="29"/>
  <c r="Q45" i="29"/>
  <c r="L45" i="29"/>
  <c r="V45" i="29"/>
  <c r="I45" i="29"/>
  <c r="O45" i="29"/>
  <c r="T45" i="29"/>
  <c r="U45" i="29"/>
  <c r="J53" i="29"/>
  <c r="R53" i="29"/>
  <c r="K53" i="29"/>
  <c r="S53" i="29"/>
  <c r="M53" i="29"/>
  <c r="W53" i="29"/>
  <c r="N53" i="29"/>
  <c r="P53" i="29"/>
  <c r="Q53" i="29"/>
  <c r="U53" i="29"/>
  <c r="L53" i="29"/>
  <c r="O53" i="29"/>
  <c r="T53" i="29"/>
  <c r="V53" i="29"/>
  <c r="I53" i="29"/>
  <c r="J19" i="29"/>
  <c r="R19" i="29"/>
  <c r="K19" i="29"/>
  <c r="S19" i="29"/>
  <c r="M19" i="29"/>
  <c r="W19" i="29"/>
  <c r="N19" i="29"/>
  <c r="O19" i="29"/>
  <c r="P19" i="29"/>
  <c r="Q19" i="29"/>
  <c r="T19" i="29"/>
  <c r="L19" i="29"/>
  <c r="U19" i="29"/>
  <c r="V19" i="29"/>
  <c r="I19" i="29"/>
  <c r="J48" i="29"/>
  <c r="R48" i="29"/>
  <c r="K48" i="29"/>
  <c r="S48" i="29"/>
  <c r="Q48" i="29"/>
  <c r="T48" i="29"/>
  <c r="L48" i="29"/>
  <c r="V48" i="29"/>
  <c r="M48" i="29"/>
  <c r="W48" i="29"/>
  <c r="N48" i="29"/>
  <c r="O48" i="29"/>
  <c r="P48" i="29"/>
  <c r="U48" i="29"/>
  <c r="I48" i="29"/>
  <c r="J49" i="29"/>
  <c r="R49" i="29"/>
  <c r="K49" i="29"/>
  <c r="S49" i="29"/>
  <c r="M49" i="29"/>
  <c r="W49" i="29"/>
  <c r="N49" i="29"/>
  <c r="P49" i="29"/>
  <c r="Q49" i="29"/>
  <c r="T49" i="29"/>
  <c r="U49" i="29"/>
  <c r="V49" i="29"/>
  <c r="L49" i="29"/>
  <c r="O49" i="29"/>
  <c r="I49" i="29"/>
  <c r="J24" i="29"/>
  <c r="R24" i="29"/>
  <c r="K24" i="29"/>
  <c r="S24" i="29"/>
  <c r="Q24" i="29"/>
  <c r="T24" i="29"/>
  <c r="L24" i="29"/>
  <c r="V24" i="29"/>
  <c r="M24" i="29"/>
  <c r="W24" i="29"/>
  <c r="N24" i="29"/>
  <c r="P24" i="29"/>
  <c r="I24" i="29"/>
  <c r="O24" i="29"/>
  <c r="U24" i="29"/>
  <c r="J37" i="29"/>
  <c r="R37" i="29"/>
  <c r="K37" i="29"/>
  <c r="S37" i="29"/>
  <c r="M37" i="29"/>
  <c r="W37" i="29"/>
  <c r="N37" i="29"/>
  <c r="P37" i="29"/>
  <c r="Q37" i="29"/>
  <c r="T37" i="29"/>
  <c r="L37" i="29"/>
  <c r="O37" i="29"/>
  <c r="U37" i="29"/>
  <c r="V37" i="29"/>
  <c r="I37" i="29"/>
  <c r="J18" i="29"/>
  <c r="R18" i="29"/>
  <c r="K18" i="29"/>
  <c r="S18" i="29"/>
  <c r="Q18" i="29"/>
  <c r="I18" i="29"/>
  <c r="U18" i="29"/>
  <c r="T18" i="29"/>
  <c r="L18" i="29"/>
  <c r="V18" i="29"/>
  <c r="M18" i="29"/>
  <c r="W18" i="29"/>
  <c r="N18" i="29"/>
  <c r="O18" i="29"/>
  <c r="P18" i="29"/>
  <c r="J22" i="29"/>
  <c r="R22" i="29"/>
  <c r="K22" i="29"/>
  <c r="S22" i="29"/>
  <c r="Q22" i="29"/>
  <c r="T22" i="29"/>
  <c r="I22" i="29"/>
  <c r="L22" i="29"/>
  <c r="V22" i="29"/>
  <c r="M22" i="29"/>
  <c r="W22" i="29"/>
  <c r="N22" i="29"/>
  <c r="U22" i="29"/>
  <c r="O22" i="29"/>
  <c r="P22" i="29"/>
  <c r="J26" i="29"/>
  <c r="R26" i="29"/>
  <c r="K26" i="29"/>
  <c r="S26" i="29"/>
  <c r="Q26" i="29"/>
  <c r="T26" i="29"/>
  <c r="L26" i="29"/>
  <c r="V26" i="29"/>
  <c r="M26" i="29"/>
  <c r="W26" i="29"/>
  <c r="N26" i="29"/>
  <c r="I26" i="29"/>
  <c r="O26" i="29"/>
  <c r="P26" i="29"/>
  <c r="U26" i="29"/>
  <c r="J30" i="29"/>
  <c r="R30" i="29"/>
  <c r="K30" i="29"/>
  <c r="S30" i="29"/>
  <c r="Q30" i="29"/>
  <c r="T30" i="29"/>
  <c r="L30" i="29"/>
  <c r="V30" i="29"/>
  <c r="M30" i="29"/>
  <c r="W30" i="29"/>
  <c r="N30" i="29"/>
  <c r="O30" i="29"/>
  <c r="P30" i="29"/>
  <c r="U30" i="29"/>
  <c r="I30" i="29"/>
  <c r="J35" i="29"/>
  <c r="R35" i="29"/>
  <c r="K35" i="29"/>
  <c r="S35" i="29"/>
  <c r="M35" i="29"/>
  <c r="W35" i="29"/>
  <c r="N35" i="29"/>
  <c r="P35" i="29"/>
  <c r="Q35" i="29"/>
  <c r="T35" i="29"/>
  <c r="I35" i="29"/>
  <c r="V35" i="29"/>
  <c r="L35" i="29"/>
  <c r="O35" i="29"/>
  <c r="U35" i="29"/>
  <c r="J39" i="29"/>
  <c r="R39" i="29"/>
  <c r="K39" i="29"/>
  <c r="S39" i="29"/>
  <c r="M39" i="29"/>
  <c r="W39" i="29"/>
  <c r="N39" i="29"/>
  <c r="P39" i="29"/>
  <c r="Q39" i="29"/>
  <c r="T39" i="29"/>
  <c r="I39" i="29"/>
  <c r="L39" i="29"/>
  <c r="O39" i="29"/>
  <c r="U39" i="29"/>
  <c r="V39" i="29"/>
  <c r="J46" i="29"/>
  <c r="R46" i="29"/>
  <c r="K46" i="29"/>
  <c r="S46" i="29"/>
  <c r="Q46" i="29"/>
  <c r="T46" i="29"/>
  <c r="L46" i="29"/>
  <c r="V46" i="29"/>
  <c r="M46" i="29"/>
  <c r="W46" i="29"/>
  <c r="O46" i="29"/>
  <c r="I46" i="29"/>
  <c r="N46" i="29"/>
  <c r="P46" i="29"/>
  <c r="U46" i="29"/>
  <c r="J54" i="29"/>
  <c r="R54" i="29"/>
  <c r="K54" i="29"/>
  <c r="S54" i="29"/>
  <c r="Q54" i="29"/>
  <c r="T54" i="29"/>
  <c r="L54" i="29"/>
  <c r="V54" i="29"/>
  <c r="M54" i="29"/>
  <c r="W54" i="29"/>
  <c r="O54" i="29"/>
  <c r="P54" i="29"/>
  <c r="U54" i="29"/>
  <c r="I54" i="29"/>
  <c r="N54" i="29"/>
  <c r="I56" i="30"/>
  <c r="I57" i="30"/>
  <c r="I58" i="30"/>
  <c r="I55" i="30"/>
  <c r="I181" i="30"/>
  <c r="I182" i="30"/>
  <c r="S118" i="29"/>
  <c r="D24" i="55"/>
  <c r="D60" i="55" s="1"/>
  <c r="D21" i="52"/>
  <c r="D22" i="52" s="1"/>
  <c r="W86" i="29"/>
  <c r="W106" i="29"/>
  <c r="W110" i="29"/>
  <c r="W97" i="29"/>
  <c r="W80" i="29"/>
  <c r="W76" i="29"/>
  <c r="W105" i="29"/>
  <c r="W103" i="29"/>
  <c r="W113" i="29"/>
  <c r="T137" i="29"/>
  <c r="U77" i="29"/>
  <c r="T160" i="29"/>
  <c r="T165" i="29"/>
  <c r="T161" i="29"/>
  <c r="T151" i="29"/>
  <c r="T159" i="29"/>
  <c r="T102" i="29"/>
  <c r="T143" i="29"/>
  <c r="T150" i="29"/>
  <c r="T176" i="29"/>
  <c r="T175" i="29"/>
  <c r="T162" i="29"/>
  <c r="T168" i="29"/>
  <c r="V77" i="29"/>
  <c r="T167" i="29"/>
  <c r="T169" i="29"/>
  <c r="T145" i="29"/>
  <c r="W88" i="29"/>
  <c r="T177" i="29"/>
  <c r="T152" i="29"/>
  <c r="T163" i="29"/>
  <c r="W84" i="29"/>
  <c r="T110" i="29"/>
  <c r="W102" i="29"/>
  <c r="W94" i="29"/>
  <c r="V110" i="29"/>
  <c r="T178" i="29"/>
  <c r="W77" i="29"/>
  <c r="W83" i="29"/>
  <c r="W87" i="29"/>
  <c r="W115" i="29"/>
  <c r="T77" i="29"/>
  <c r="V94" i="29"/>
  <c r="T115" i="29"/>
  <c r="T113" i="29"/>
  <c r="T105" i="29"/>
  <c r="T103" i="29"/>
  <c r="T97" i="29"/>
  <c r="T88" i="29"/>
  <c r="T86" i="29"/>
  <c r="T84" i="29"/>
  <c r="T80" i="29"/>
  <c r="T76" i="29"/>
  <c r="T106" i="29"/>
  <c r="T94" i="29"/>
  <c r="T87" i="29"/>
  <c r="T83" i="29"/>
  <c r="U110" i="29"/>
  <c r="U102" i="29"/>
  <c r="U83" i="29"/>
  <c r="V106" i="29"/>
  <c r="V102" i="29"/>
  <c r="V87" i="29"/>
  <c r="V83" i="29"/>
  <c r="U115" i="29"/>
  <c r="U113" i="29"/>
  <c r="U105" i="29"/>
  <c r="U103" i="29"/>
  <c r="U97" i="29"/>
  <c r="U88" i="29"/>
  <c r="U86" i="29"/>
  <c r="U84" i="29"/>
  <c r="U80" i="29"/>
  <c r="U76" i="29"/>
  <c r="V56" i="29"/>
  <c r="V58" i="29"/>
  <c r="V115" i="29"/>
  <c r="V113" i="29"/>
  <c r="V105" i="29"/>
  <c r="V103" i="29"/>
  <c r="V97" i="29"/>
  <c r="V88" i="29"/>
  <c r="V86" i="29"/>
  <c r="V84" i="29"/>
  <c r="V80" i="29"/>
  <c r="V76" i="29"/>
  <c r="U106" i="29"/>
  <c r="U94" i="29"/>
  <c r="U87" i="29"/>
  <c r="U56" i="29"/>
  <c r="W56" i="29"/>
  <c r="T58" i="29"/>
  <c r="U58" i="29"/>
  <c r="W14" i="29"/>
  <c r="W58" i="29"/>
  <c r="W57" i="29"/>
  <c r="W59" i="29"/>
  <c r="T56" i="29"/>
  <c r="T59" i="29"/>
  <c r="T57" i="29"/>
  <c r="T14" i="29"/>
  <c r="U59" i="29"/>
  <c r="U57" i="29"/>
  <c r="U14" i="29"/>
  <c r="V59" i="29"/>
  <c r="V57" i="29"/>
  <c r="V14" i="29"/>
  <c r="S14" i="29"/>
  <c r="B81" i="29"/>
  <c r="B89" i="29"/>
  <c r="I182" i="29"/>
  <c r="O110" i="29"/>
  <c r="P76" i="29"/>
  <c r="B144" i="29"/>
  <c r="O58" i="30"/>
  <c r="B76" i="30"/>
  <c r="B138" i="30"/>
  <c r="M14" i="29"/>
  <c r="B88" i="30"/>
  <c r="P176" i="29"/>
  <c r="P161" i="29"/>
  <c r="N117" i="30"/>
  <c r="V117" i="30"/>
  <c r="B149" i="29"/>
  <c r="B89" i="30"/>
  <c r="P168" i="29"/>
  <c r="B145" i="30"/>
  <c r="B149" i="30"/>
  <c r="M59" i="29"/>
  <c r="M56" i="29"/>
  <c r="J176" i="29"/>
  <c r="B87" i="30"/>
  <c r="K176" i="29"/>
  <c r="S160" i="29"/>
  <c r="O59" i="29"/>
  <c r="R110" i="29"/>
  <c r="N84" i="29"/>
  <c r="Q110" i="29"/>
  <c r="S105" i="29"/>
  <c r="N83" i="29"/>
  <c r="S145" i="29"/>
  <c r="Q117" i="30"/>
  <c r="L86" i="29"/>
  <c r="P58" i="29"/>
  <c r="Q168" i="29"/>
  <c r="S159" i="29"/>
  <c r="L57" i="29"/>
  <c r="P56" i="29"/>
  <c r="P151" i="29"/>
  <c r="M165" i="29"/>
  <c r="J57" i="30"/>
  <c r="U117" i="30"/>
  <c r="Q115" i="29"/>
  <c r="N143" i="29"/>
  <c r="M117" i="30"/>
  <c r="P57" i="29"/>
  <c r="M57" i="29"/>
  <c r="S83" i="29"/>
  <c r="J168" i="29"/>
  <c r="J167" i="29"/>
  <c r="S178" i="29"/>
  <c r="P14" i="29"/>
  <c r="P59" i="29"/>
  <c r="S87" i="29"/>
  <c r="N106" i="29"/>
  <c r="J110" i="29"/>
  <c r="Q151" i="29"/>
  <c r="P169" i="29"/>
  <c r="J177" i="29"/>
  <c r="R120" i="30"/>
  <c r="R57" i="30"/>
  <c r="M58" i="29"/>
  <c r="K163" i="29"/>
  <c r="P84" i="29"/>
  <c r="M137" i="29"/>
  <c r="N120" i="30"/>
  <c r="Q83" i="29"/>
  <c r="R102" i="29"/>
  <c r="J150" i="29"/>
  <c r="J160" i="29"/>
  <c r="K168" i="29"/>
  <c r="N57" i="30"/>
  <c r="P56" i="30"/>
  <c r="P58" i="30"/>
  <c r="Q152" i="29"/>
  <c r="J152" i="29"/>
  <c r="P152" i="29"/>
  <c r="J94" i="29"/>
  <c r="Q94" i="29"/>
  <c r="L94" i="29"/>
  <c r="N94" i="29"/>
  <c r="V109" i="30"/>
  <c r="U109" i="30"/>
  <c r="V95" i="30"/>
  <c r="W95" i="30"/>
  <c r="V101" i="30"/>
  <c r="U101" i="30"/>
  <c r="V111" i="30"/>
  <c r="Q77" i="29"/>
  <c r="O77" i="29"/>
  <c r="U97" i="30"/>
  <c r="R88" i="29"/>
  <c r="J80" i="29"/>
  <c r="O86" i="29"/>
  <c r="Q87" i="29"/>
  <c r="J88" i="29"/>
  <c r="Q103" i="29"/>
  <c r="O105" i="29"/>
  <c r="J151" i="29"/>
  <c r="V96" i="30"/>
  <c r="V104" i="30"/>
  <c r="J83" i="29"/>
  <c r="Q84" i="29"/>
  <c r="N86" i="29"/>
  <c r="N87" i="29"/>
  <c r="B140" i="29"/>
  <c r="R175" i="29"/>
  <c r="P57" i="30"/>
  <c r="U96" i="30"/>
  <c r="V112" i="30"/>
  <c r="B142" i="30"/>
  <c r="J87" i="29"/>
  <c r="Q105" i="29"/>
  <c r="S163" i="29"/>
  <c r="R150" i="29"/>
  <c r="Q177" i="29"/>
  <c r="Q120" i="30"/>
  <c r="Q56" i="29"/>
  <c r="Q57" i="29"/>
  <c r="Q58" i="29"/>
  <c r="N76" i="29"/>
  <c r="B78" i="29"/>
  <c r="R80" i="29"/>
  <c r="N105" i="29"/>
  <c r="Q106" i="29"/>
  <c r="N110" i="29"/>
  <c r="K115" i="29"/>
  <c r="B141" i="29"/>
  <c r="P143" i="29"/>
  <c r="P150" i="29"/>
  <c r="P160" i="29"/>
  <c r="N163" i="29"/>
  <c r="J169" i="29"/>
  <c r="P177" i="29"/>
  <c r="I179" i="29"/>
  <c r="M120" i="30"/>
  <c r="U120" i="30"/>
  <c r="O120" i="30"/>
  <c r="I183" i="30"/>
  <c r="R87" i="29"/>
  <c r="R113" i="29"/>
  <c r="O14" i="29"/>
  <c r="V120" i="30"/>
  <c r="R106" i="29"/>
  <c r="L80" i="29"/>
  <c r="K105" i="29"/>
  <c r="L110" i="29"/>
  <c r="P113" i="29"/>
  <c r="J143" i="29"/>
  <c r="K160" i="29"/>
  <c r="M163" i="29"/>
  <c r="Q165" i="29"/>
  <c r="P167" i="29"/>
  <c r="R117" i="30"/>
  <c r="R55" i="30"/>
  <c r="L169" i="29"/>
  <c r="O56" i="30"/>
  <c r="Q160" i="29"/>
  <c r="Q14" i="29"/>
  <c r="O56" i="29"/>
  <c r="O57" i="29"/>
  <c r="O58" i="29"/>
  <c r="B75" i="29"/>
  <c r="R83" i="29"/>
  <c r="J102" i="29"/>
  <c r="J105" i="29"/>
  <c r="B146" i="29"/>
  <c r="J163" i="29"/>
  <c r="P165" i="29"/>
  <c r="J175" i="29"/>
  <c r="B81" i="30"/>
  <c r="L97" i="29"/>
  <c r="Q97" i="29"/>
  <c r="M97" i="29"/>
  <c r="R97" i="29"/>
  <c r="S97" i="29"/>
  <c r="J97" i="29"/>
  <c r="K97" i="29"/>
  <c r="N97" i="29"/>
  <c r="O97" i="29"/>
  <c r="B138" i="29"/>
  <c r="R162" i="29"/>
  <c r="J162" i="29"/>
  <c r="N162" i="29"/>
  <c r="O162" i="29"/>
  <c r="P162" i="29"/>
  <c r="K162" i="29"/>
  <c r="S162" i="29"/>
  <c r="L162" i="29"/>
  <c r="M162" i="29"/>
  <c r="M77" i="29"/>
  <c r="M80" i="29"/>
  <c r="O152" i="29"/>
  <c r="Q59" i="29"/>
  <c r="O83" i="29"/>
  <c r="M88" i="29"/>
  <c r="O115" i="29"/>
  <c r="B153" i="29"/>
  <c r="M58" i="30"/>
  <c r="M57" i="30"/>
  <c r="M56" i="30"/>
  <c r="M55" i="30"/>
  <c r="U86" i="30"/>
  <c r="T86" i="30"/>
  <c r="W86" i="30"/>
  <c r="V86" i="30"/>
  <c r="P110" i="29"/>
  <c r="P94" i="29"/>
  <c r="P115" i="29"/>
  <c r="P105" i="29"/>
  <c r="P102" i="29"/>
  <c r="B74" i="29"/>
  <c r="R76" i="29"/>
  <c r="J76" i="29"/>
  <c r="S76" i="29"/>
  <c r="K76" i="29"/>
  <c r="M76" i="29"/>
  <c r="L76" i="29"/>
  <c r="O76" i="29"/>
  <c r="P86" i="29"/>
  <c r="Q86" i="29"/>
  <c r="R86" i="29"/>
  <c r="J86" i="29"/>
  <c r="S86" i="29"/>
  <c r="K86" i="29"/>
  <c r="M86" i="29"/>
  <c r="O87" i="29"/>
  <c r="P97" i="29"/>
  <c r="Q162" i="29"/>
  <c r="O102" i="29"/>
  <c r="B79" i="29"/>
  <c r="N80" i="29"/>
  <c r="O80" i="29"/>
  <c r="Q80" i="29"/>
  <c r="P80" i="29"/>
  <c r="S80" i="29"/>
  <c r="K80" i="29"/>
  <c r="P77" i="29"/>
  <c r="B85" i="29"/>
  <c r="O94" i="29"/>
  <c r="O150" i="29"/>
  <c r="O167" i="29"/>
  <c r="B82" i="29"/>
  <c r="R84" i="29"/>
  <c r="J84" i="29"/>
  <c r="S84" i="29"/>
  <c r="K84" i="29"/>
  <c r="M84" i="29"/>
  <c r="L84" i="29"/>
  <c r="O84" i="29"/>
  <c r="B90" i="29"/>
  <c r="M159" i="29"/>
  <c r="K159" i="29"/>
  <c r="L159" i="29"/>
  <c r="N159" i="29"/>
  <c r="Q159" i="29"/>
  <c r="J159" i="29"/>
  <c r="O159" i="29"/>
  <c r="P159" i="29"/>
  <c r="R159" i="29"/>
  <c r="Q76" i="29"/>
  <c r="N177" i="29"/>
  <c r="N176" i="29"/>
  <c r="N169" i="29"/>
  <c r="N168" i="29"/>
  <c r="N161" i="29"/>
  <c r="N160" i="29"/>
  <c r="N152" i="29"/>
  <c r="N151" i="29"/>
  <c r="Q137" i="29"/>
  <c r="R137" i="29"/>
  <c r="J137" i="29"/>
  <c r="S137" i="29"/>
  <c r="K137" i="29"/>
  <c r="N137" i="29"/>
  <c r="R145" i="29"/>
  <c r="J145" i="29"/>
  <c r="N145" i="29"/>
  <c r="O145" i="29"/>
  <c r="P145" i="29"/>
  <c r="K145" i="29"/>
  <c r="R178" i="29"/>
  <c r="J178" i="29"/>
  <c r="N178" i="29"/>
  <c r="O178" i="29"/>
  <c r="P178" i="29"/>
  <c r="K178" i="29"/>
  <c r="S94" i="29"/>
  <c r="K94" i="29"/>
  <c r="S110" i="29"/>
  <c r="K110" i="29"/>
  <c r="B147" i="29"/>
  <c r="M150" i="29"/>
  <c r="K150" i="29"/>
  <c r="L150" i="29"/>
  <c r="N150" i="29"/>
  <c r="Q150" i="29"/>
  <c r="L88" i="29"/>
  <c r="P103" i="29"/>
  <c r="O113" i="29"/>
  <c r="P137" i="29"/>
  <c r="O151" i="29"/>
  <c r="L161" i="29"/>
  <c r="N14" i="29"/>
  <c r="N56" i="29"/>
  <c r="N57" i="29"/>
  <c r="N58" i="29"/>
  <c r="N59" i="29"/>
  <c r="N77" i="29"/>
  <c r="P83" i="29"/>
  <c r="P87" i="29"/>
  <c r="K88" i="29"/>
  <c r="S88" i="29"/>
  <c r="M94" i="29"/>
  <c r="Q102" i="29"/>
  <c r="O103" i="29"/>
  <c r="R105" i="29"/>
  <c r="P106" i="29"/>
  <c r="M110" i="29"/>
  <c r="N113" i="29"/>
  <c r="S115" i="29"/>
  <c r="O137" i="29"/>
  <c r="B148" i="29"/>
  <c r="S150" i="29"/>
  <c r="S151" i="29"/>
  <c r="J161" i="29"/>
  <c r="O177" i="29"/>
  <c r="Q163" i="29"/>
  <c r="O163" i="29"/>
  <c r="P163" i="29"/>
  <c r="R163" i="29"/>
  <c r="L163" i="29"/>
  <c r="B90" i="30"/>
  <c r="M103" i="29"/>
  <c r="M113" i="29"/>
  <c r="L14" i="29"/>
  <c r="L56" i="29"/>
  <c r="L59" i="29"/>
  <c r="L103" i="29"/>
  <c r="M106" i="29"/>
  <c r="K113" i="29"/>
  <c r="L137" i="29"/>
  <c r="O169" i="29"/>
  <c r="S175" i="29"/>
  <c r="S176" i="29"/>
  <c r="K14" i="29"/>
  <c r="K56" i="29"/>
  <c r="S56" i="29"/>
  <c r="K57" i="29"/>
  <c r="S57" i="29"/>
  <c r="K58" i="29"/>
  <c r="S58" i="29"/>
  <c r="K59" i="29"/>
  <c r="S59" i="29"/>
  <c r="K77" i="29"/>
  <c r="S77" i="29"/>
  <c r="M83" i="29"/>
  <c r="M87" i="29"/>
  <c r="P88" i="29"/>
  <c r="R94" i="29"/>
  <c r="N102" i="29"/>
  <c r="K103" i="29"/>
  <c r="L106" i="29"/>
  <c r="J113" i="29"/>
  <c r="S113" i="29"/>
  <c r="Q143" i="29"/>
  <c r="M145" i="29"/>
  <c r="K151" i="29"/>
  <c r="O168" i="29"/>
  <c r="Q169" i="29"/>
  <c r="Q176" i="29"/>
  <c r="L177" i="29"/>
  <c r="M178" i="29"/>
  <c r="N103" i="29"/>
  <c r="O106" i="29"/>
  <c r="B142" i="29"/>
  <c r="M175" i="29"/>
  <c r="K175" i="29"/>
  <c r="L175" i="29"/>
  <c r="N175" i="29"/>
  <c r="Q175" i="29"/>
  <c r="S102" i="29"/>
  <c r="K102" i="29"/>
  <c r="R115" i="29"/>
  <c r="J115" i="29"/>
  <c r="M115" i="29"/>
  <c r="O165" i="29"/>
  <c r="R165" i="29"/>
  <c r="S165" i="29"/>
  <c r="J165" i="29"/>
  <c r="K165" i="29"/>
  <c r="N165" i="29"/>
  <c r="M167" i="29"/>
  <c r="K167" i="29"/>
  <c r="L167" i="29"/>
  <c r="N167" i="29"/>
  <c r="Q167" i="29"/>
  <c r="O57" i="30"/>
  <c r="O55" i="30"/>
  <c r="U103" i="30"/>
  <c r="V103" i="30"/>
  <c r="W103" i="30"/>
  <c r="T103" i="30"/>
  <c r="O176" i="29"/>
  <c r="L58" i="29"/>
  <c r="L77" i="29"/>
  <c r="Q88" i="29"/>
  <c r="S143" i="29"/>
  <c r="Q145" i="29"/>
  <c r="Q178" i="29"/>
  <c r="J14" i="29"/>
  <c r="R14" i="29"/>
  <c r="J56" i="29"/>
  <c r="R56" i="29"/>
  <c r="J57" i="29"/>
  <c r="R57" i="29"/>
  <c r="J58" i="29"/>
  <c r="R58" i="29"/>
  <c r="J59" i="29"/>
  <c r="R59" i="29"/>
  <c r="J77" i="29"/>
  <c r="R77" i="29"/>
  <c r="L83" i="29"/>
  <c r="L87" i="29"/>
  <c r="O88" i="29"/>
  <c r="M102" i="29"/>
  <c r="J103" i="29"/>
  <c r="S103" i="29"/>
  <c r="K106" i="29"/>
  <c r="N115" i="29"/>
  <c r="L145" i="29"/>
  <c r="O161" i="29"/>
  <c r="S167" i="29"/>
  <c r="S168" i="29"/>
  <c r="P175" i="29"/>
  <c r="L178" i="29"/>
  <c r="L113" i="29"/>
  <c r="L105" i="29"/>
  <c r="B139" i="29"/>
  <c r="P117" i="30"/>
  <c r="B75" i="30"/>
  <c r="L152" i="29"/>
  <c r="L165" i="29"/>
  <c r="K83" i="29"/>
  <c r="K87" i="29"/>
  <c r="N88" i="29"/>
  <c r="L102" i="29"/>
  <c r="R103" i="29"/>
  <c r="M105" i="29"/>
  <c r="J106" i="29"/>
  <c r="S106" i="29"/>
  <c r="Q113" i="29"/>
  <c r="L115" i="29"/>
  <c r="K143" i="29"/>
  <c r="O160" i="29"/>
  <c r="Q161" i="29"/>
  <c r="R167" i="29"/>
  <c r="O175" i="29"/>
  <c r="P55" i="30"/>
  <c r="W112" i="30"/>
  <c r="W96" i="30"/>
  <c r="W104" i="30"/>
  <c r="V97" i="30"/>
  <c r="W97" i="30"/>
  <c r="T97" i="30"/>
  <c r="V105" i="30"/>
  <c r="W105" i="30"/>
  <c r="T105" i="30"/>
  <c r="U105" i="30"/>
  <c r="R143" i="29"/>
  <c r="R151" i="29"/>
  <c r="R152" i="29"/>
  <c r="R160" i="29"/>
  <c r="R161" i="29"/>
  <c r="R168" i="29"/>
  <c r="R169" i="29"/>
  <c r="R176" i="29"/>
  <c r="R177" i="29"/>
  <c r="L56" i="30"/>
  <c r="L58" i="30"/>
  <c r="W111" i="30"/>
  <c r="K57" i="30"/>
  <c r="K55" i="30"/>
  <c r="S58" i="30"/>
  <c r="S56" i="30"/>
  <c r="S57" i="30"/>
  <c r="S55" i="30"/>
  <c r="I119" i="30"/>
  <c r="O143" i="29"/>
  <c r="J55" i="30"/>
  <c r="K56" i="30"/>
  <c r="K58" i="30"/>
  <c r="R58" i="30"/>
  <c r="R56" i="30"/>
  <c r="U85" i="30"/>
  <c r="V85" i="30"/>
  <c r="T85" i="30"/>
  <c r="W85" i="30"/>
  <c r="B139" i="30"/>
  <c r="B147" i="30"/>
  <c r="J56" i="30"/>
  <c r="J58" i="30"/>
  <c r="W120" i="30"/>
  <c r="S152" i="29"/>
  <c r="K152" i="29"/>
  <c r="S161" i="29"/>
  <c r="K161" i="29"/>
  <c r="S169" i="29"/>
  <c r="K169" i="29"/>
  <c r="S177" i="29"/>
  <c r="K177" i="29"/>
  <c r="U102" i="30"/>
  <c r="V102" i="30"/>
  <c r="W102" i="30"/>
  <c r="T102" i="30"/>
  <c r="B151" i="30"/>
  <c r="L143" i="29"/>
  <c r="M143" i="29"/>
  <c r="L151" i="29"/>
  <c r="M151" i="29"/>
  <c r="M152" i="29"/>
  <c r="L160" i="29"/>
  <c r="M160" i="29"/>
  <c r="M161" i="29"/>
  <c r="L168" i="29"/>
  <c r="M168" i="29"/>
  <c r="M169" i="29"/>
  <c r="L176" i="29"/>
  <c r="M176" i="29"/>
  <c r="M177" i="29"/>
  <c r="B152" i="30"/>
  <c r="N56" i="30"/>
  <c r="N58" i="30"/>
  <c r="J120" i="30"/>
  <c r="U95" i="30"/>
  <c r="U111" i="30"/>
  <c r="B144" i="30"/>
  <c r="I180" i="30"/>
  <c r="L55" i="30"/>
  <c r="L57" i="30"/>
  <c r="T95" i="30"/>
  <c r="T111" i="30"/>
  <c r="N55" i="30"/>
  <c r="S120" i="30"/>
  <c r="B78" i="30"/>
  <c r="B83" i="30"/>
  <c r="B91" i="30"/>
  <c r="Q55" i="30"/>
  <c r="Q56" i="30"/>
  <c r="Q57" i="30"/>
  <c r="Q58" i="30"/>
  <c r="W101" i="30"/>
  <c r="W109" i="30"/>
  <c r="O117" i="30"/>
  <c r="W117" i="30"/>
  <c r="P120" i="30"/>
  <c r="T101" i="30"/>
  <c r="U104" i="30"/>
  <c r="T109" i="30"/>
  <c r="U112" i="30"/>
  <c r="L117" i="30"/>
  <c r="T117" i="30"/>
  <c r="T96" i="30"/>
  <c r="T104" i="30"/>
  <c r="T112" i="30"/>
  <c r="K117" i="30"/>
  <c r="S117" i="30"/>
  <c r="L120" i="30"/>
  <c r="T120" i="30"/>
  <c r="J117" i="30"/>
  <c r="K120" i="30"/>
  <c r="A2" i="21"/>
  <c r="P6" i="21"/>
  <c r="O6" i="21"/>
  <c r="N6" i="21"/>
  <c r="M6" i="21"/>
  <c r="L6" i="21"/>
  <c r="H75" i="30" l="1"/>
  <c r="H138" i="30"/>
  <c r="H83" i="26"/>
  <c r="H91" i="26"/>
  <c r="H99" i="26"/>
  <c r="H107" i="26"/>
  <c r="H29" i="26"/>
  <c r="H37" i="26"/>
  <c r="H45" i="26"/>
  <c r="H53" i="26"/>
  <c r="H21" i="51"/>
  <c r="H29" i="51"/>
  <c r="H37" i="51"/>
  <c r="H45" i="51"/>
  <c r="H53" i="51"/>
  <c r="H14" i="37"/>
  <c r="H22" i="37"/>
  <c r="H30" i="37"/>
  <c r="H38" i="37"/>
  <c r="H46" i="37"/>
  <c r="H54" i="37"/>
  <c r="H101" i="26"/>
  <c r="H31" i="26"/>
  <c r="H47" i="26"/>
  <c r="H15" i="51"/>
  <c r="H31" i="51"/>
  <c r="H47" i="51"/>
  <c r="H16" i="37"/>
  <c r="H32" i="37"/>
  <c r="H48" i="37"/>
  <c r="H42" i="37"/>
  <c r="H88" i="26"/>
  <c r="H112" i="26"/>
  <c r="H34" i="26"/>
  <c r="H34" i="51"/>
  <c r="H13" i="51"/>
  <c r="H35" i="37"/>
  <c r="H97" i="26"/>
  <c r="H35" i="26"/>
  <c r="H19" i="51"/>
  <c r="H43" i="51"/>
  <c r="H28" i="37"/>
  <c r="H52" i="37"/>
  <c r="H84" i="26"/>
  <c r="H92" i="26"/>
  <c r="H100" i="26"/>
  <c r="H108" i="26"/>
  <c r="H30" i="26"/>
  <c r="H38" i="26"/>
  <c r="H46" i="26"/>
  <c r="H54" i="26"/>
  <c r="H14" i="51"/>
  <c r="H22" i="51"/>
  <c r="H30" i="51"/>
  <c r="H38" i="51"/>
  <c r="H46" i="51"/>
  <c r="H54" i="51"/>
  <c r="H15" i="37"/>
  <c r="H23" i="37"/>
  <c r="H31" i="37"/>
  <c r="H39" i="37"/>
  <c r="H47" i="37"/>
  <c r="H55" i="37"/>
  <c r="H85" i="26"/>
  <c r="H93" i="26"/>
  <c r="H109" i="26"/>
  <c r="H39" i="26"/>
  <c r="H55" i="26"/>
  <c r="H23" i="51"/>
  <c r="H39" i="51"/>
  <c r="H55" i="51"/>
  <c r="H24" i="37"/>
  <c r="H40" i="37"/>
  <c r="H56" i="37"/>
  <c r="H26" i="37"/>
  <c r="H13" i="37"/>
  <c r="H80" i="26"/>
  <c r="H104" i="26"/>
  <c r="H42" i="26"/>
  <c r="H18" i="51"/>
  <c r="H42" i="51"/>
  <c r="H19" i="37"/>
  <c r="H51" i="37"/>
  <c r="H89" i="26"/>
  <c r="H51" i="26"/>
  <c r="H27" i="51"/>
  <c r="H51" i="51"/>
  <c r="H36" i="37"/>
  <c r="H90" i="26"/>
  <c r="H106" i="26"/>
  <c r="H36" i="26"/>
  <c r="H52" i="26"/>
  <c r="H20" i="51"/>
  <c r="H44" i="51"/>
  <c r="H29" i="37"/>
  <c r="H45" i="37"/>
  <c r="H86" i="26"/>
  <c r="H94" i="26"/>
  <c r="H102" i="26"/>
  <c r="H110" i="26"/>
  <c r="H24" i="26"/>
  <c r="H32" i="26"/>
  <c r="H40" i="26"/>
  <c r="H48" i="26"/>
  <c r="H56" i="26"/>
  <c r="H16" i="51"/>
  <c r="H24" i="51"/>
  <c r="H32" i="51"/>
  <c r="H40" i="51"/>
  <c r="H48" i="51"/>
  <c r="H56" i="51"/>
  <c r="H17" i="37"/>
  <c r="H25" i="37"/>
  <c r="H33" i="37"/>
  <c r="H41" i="37"/>
  <c r="H49" i="37"/>
  <c r="H57" i="37"/>
  <c r="H79" i="26"/>
  <c r="H87" i="26"/>
  <c r="H95" i="26"/>
  <c r="H103" i="26"/>
  <c r="H111" i="26"/>
  <c r="H25" i="26"/>
  <c r="H33" i="26"/>
  <c r="H41" i="26"/>
  <c r="H49" i="26"/>
  <c r="H57" i="26"/>
  <c r="H17" i="51"/>
  <c r="H25" i="51"/>
  <c r="H33" i="51"/>
  <c r="U33" i="51" s="1"/>
  <c r="H41" i="51"/>
  <c r="H49" i="51"/>
  <c r="H57" i="51"/>
  <c r="H18" i="37"/>
  <c r="H34" i="37"/>
  <c r="H50" i="37"/>
  <c r="H96" i="26"/>
  <c r="H26" i="26"/>
  <c r="H50" i="26"/>
  <c r="H26" i="51"/>
  <c r="H50" i="51"/>
  <c r="H27" i="37"/>
  <c r="H43" i="37"/>
  <c r="H81" i="26"/>
  <c r="H105" i="26"/>
  <c r="H27" i="26"/>
  <c r="H43" i="26"/>
  <c r="H35" i="51"/>
  <c r="H20" i="37"/>
  <c r="H44" i="37"/>
  <c r="H82" i="26"/>
  <c r="H98" i="26"/>
  <c r="H28" i="26"/>
  <c r="H44" i="26"/>
  <c r="H28" i="51"/>
  <c r="H36" i="51"/>
  <c r="H52" i="51"/>
  <c r="H21" i="37"/>
  <c r="H37" i="37"/>
  <c r="H53" i="37"/>
  <c r="H85" i="17"/>
  <c r="H101" i="17"/>
  <c r="H86" i="17"/>
  <c r="H102" i="17"/>
  <c r="H110" i="17"/>
  <c r="H79" i="17"/>
  <c r="H95" i="17"/>
  <c r="H111" i="17"/>
  <c r="H80" i="17"/>
  <c r="H88" i="17"/>
  <c r="H96" i="17"/>
  <c r="H104" i="17"/>
  <c r="H112" i="17"/>
  <c r="H81" i="17"/>
  <c r="H89" i="17"/>
  <c r="H97" i="17"/>
  <c r="H105" i="17"/>
  <c r="H82" i="17"/>
  <c r="H90" i="17"/>
  <c r="H98" i="17"/>
  <c r="H106" i="17"/>
  <c r="H83" i="17"/>
  <c r="H91" i="17"/>
  <c r="H99" i="17"/>
  <c r="H107" i="17"/>
  <c r="H84" i="17"/>
  <c r="H92" i="17"/>
  <c r="H100" i="17"/>
  <c r="H108" i="17"/>
  <c r="H93" i="17"/>
  <c r="H109" i="17"/>
  <c r="H94" i="17"/>
  <c r="H87" i="17"/>
  <c r="H103" i="17"/>
  <c r="H27" i="17"/>
  <c r="H35" i="17"/>
  <c r="H43" i="17"/>
  <c r="H51" i="17"/>
  <c r="H29" i="17"/>
  <c r="H45" i="17"/>
  <c r="H39" i="17"/>
  <c r="H183" i="30"/>
  <c r="H24" i="17"/>
  <c r="H32" i="17"/>
  <c r="H48" i="17"/>
  <c r="H118" i="30"/>
  <c r="H33" i="17"/>
  <c r="H49" i="17"/>
  <c r="H28" i="17"/>
  <c r="H36" i="17"/>
  <c r="H44" i="17"/>
  <c r="H52" i="17"/>
  <c r="H180" i="30"/>
  <c r="H37" i="17"/>
  <c r="H53" i="17"/>
  <c r="H181" i="30"/>
  <c r="H31" i="17"/>
  <c r="H55" i="17"/>
  <c r="H117" i="30"/>
  <c r="H40" i="17"/>
  <c r="H30" i="17"/>
  <c r="H38" i="17"/>
  <c r="H46" i="17"/>
  <c r="H54" i="17"/>
  <c r="H182" i="30"/>
  <c r="H26" i="17"/>
  <c r="H34" i="17"/>
  <c r="H50" i="17"/>
  <c r="H120" i="30"/>
  <c r="H47" i="17"/>
  <c r="H56" i="17"/>
  <c r="H25" i="17"/>
  <c r="H41" i="17"/>
  <c r="H57" i="17"/>
  <c r="H119" i="30"/>
  <c r="H42" i="17"/>
  <c r="H19" i="17"/>
  <c r="H14" i="17"/>
  <c r="H21" i="17"/>
  <c r="H23" i="17"/>
  <c r="H22" i="17"/>
  <c r="H16" i="17"/>
  <c r="H13" i="17"/>
  <c r="H18" i="17"/>
  <c r="H17" i="17"/>
  <c r="H15" i="17"/>
  <c r="H20" i="17"/>
  <c r="H13" i="30"/>
  <c r="Q182" i="30"/>
  <c r="M181" i="30"/>
  <c r="M183" i="30"/>
  <c r="S118" i="30"/>
  <c r="I118" i="30"/>
  <c r="W98" i="30"/>
  <c r="T93" i="30"/>
  <c r="W88" i="30"/>
  <c r="V89" i="30"/>
  <c r="U113" i="30"/>
  <c r="T164" i="29"/>
  <c r="T153" i="29"/>
  <c r="T139" i="29"/>
  <c r="M174" i="29"/>
  <c r="T148" i="29"/>
  <c r="T180" i="29"/>
  <c r="I180" i="29"/>
  <c r="T142" i="29"/>
  <c r="T147" i="29"/>
  <c r="T156" i="29"/>
  <c r="T172" i="29"/>
  <c r="T138" i="29"/>
  <c r="T181" i="29"/>
  <c r="I181" i="29"/>
  <c r="K181" i="30"/>
  <c r="L181" i="30"/>
  <c r="R181" i="30"/>
  <c r="N181" i="30"/>
  <c r="W118" i="29"/>
  <c r="U118" i="29"/>
  <c r="L118" i="29"/>
  <c r="V118" i="29"/>
  <c r="R118" i="29"/>
  <c r="O118" i="29"/>
  <c r="T118" i="29"/>
  <c r="P182" i="30"/>
  <c r="S182" i="30"/>
  <c r="K182" i="30"/>
  <c r="P181" i="30"/>
  <c r="J181" i="30"/>
  <c r="Q181" i="30"/>
  <c r="O181" i="30"/>
  <c r="O182" i="30"/>
  <c r="S181" i="30"/>
  <c r="J182" i="30"/>
  <c r="R182" i="30"/>
  <c r="N182" i="30"/>
  <c r="M182" i="30"/>
  <c r="Q118" i="29"/>
  <c r="P118" i="29"/>
  <c r="K118" i="29"/>
  <c r="J118" i="29"/>
  <c r="N118" i="29"/>
  <c r="M118" i="29"/>
  <c r="L182" i="30"/>
  <c r="D61" i="55"/>
  <c r="H119" i="29"/>
  <c r="H137" i="29"/>
  <c r="H180" i="29"/>
  <c r="H118" i="29"/>
  <c r="H181" i="29"/>
  <c r="H116" i="29"/>
  <c r="H117" i="29"/>
  <c r="H18" i="50"/>
  <c r="H22" i="50"/>
  <c r="H26" i="50"/>
  <c r="H30" i="50"/>
  <c r="H35" i="50"/>
  <c r="H39" i="50"/>
  <c r="H43" i="50"/>
  <c r="H47" i="50"/>
  <c r="H51" i="50"/>
  <c r="H55" i="50"/>
  <c r="H59" i="50"/>
  <c r="U59" i="50" s="1"/>
  <c r="H16" i="50"/>
  <c r="H20" i="50"/>
  <c r="H28" i="50"/>
  <c r="H33" i="50"/>
  <c r="H37" i="50"/>
  <c r="H49" i="50"/>
  <c r="H53" i="50"/>
  <c r="H15" i="50"/>
  <c r="H27" i="50"/>
  <c r="H36" i="50"/>
  <c r="H48" i="50"/>
  <c r="H17" i="50"/>
  <c r="H21" i="50"/>
  <c r="H25" i="50"/>
  <c r="H29" i="50"/>
  <c r="H34" i="50"/>
  <c r="H38" i="50"/>
  <c r="H42" i="50"/>
  <c r="H46" i="50"/>
  <c r="H50" i="50"/>
  <c r="H54" i="50"/>
  <c r="H58" i="50"/>
  <c r="U58" i="50" s="1"/>
  <c r="H24" i="50"/>
  <c r="H45" i="50"/>
  <c r="H57" i="50"/>
  <c r="U57" i="50" s="1"/>
  <c r="H23" i="50"/>
  <c r="H32" i="50"/>
  <c r="H44" i="50"/>
  <c r="H56" i="50"/>
  <c r="U56" i="50" s="1"/>
  <c r="H41" i="50"/>
  <c r="H19" i="50"/>
  <c r="H40" i="50"/>
  <c r="H52" i="50"/>
  <c r="H14" i="50"/>
  <c r="H22" i="46"/>
  <c r="H30" i="46"/>
  <c r="H39" i="46"/>
  <c r="H47" i="46"/>
  <c r="H55" i="46"/>
  <c r="H26" i="46"/>
  <c r="H43" i="46"/>
  <c r="H50" i="46"/>
  <c r="H57" i="46"/>
  <c r="H40" i="46"/>
  <c r="H21" i="46"/>
  <c r="H29" i="46"/>
  <c r="H38" i="46"/>
  <c r="H46" i="46"/>
  <c r="H54" i="46"/>
  <c r="H18" i="46"/>
  <c r="H35" i="46"/>
  <c r="H51" i="46"/>
  <c r="H34" i="46"/>
  <c r="H58" i="46"/>
  <c r="H41" i="46"/>
  <c r="H20" i="46"/>
  <c r="H28" i="46"/>
  <c r="H37" i="46"/>
  <c r="H45" i="46"/>
  <c r="H53" i="46"/>
  <c r="H24" i="46"/>
  <c r="H15" i="46"/>
  <c r="H32" i="46"/>
  <c r="H56" i="46"/>
  <c r="H19" i="46"/>
  <c r="H27" i="46"/>
  <c r="H36" i="46"/>
  <c r="H44" i="46"/>
  <c r="H52" i="46"/>
  <c r="H14" i="46"/>
  <c r="H59" i="46"/>
  <c r="H17" i="46"/>
  <c r="H25" i="46"/>
  <c r="H42" i="46"/>
  <c r="H16" i="46"/>
  <c r="H33" i="46"/>
  <c r="H49" i="46"/>
  <c r="H23" i="46"/>
  <c r="H48" i="46"/>
  <c r="H56" i="29"/>
  <c r="H58" i="29"/>
  <c r="H59" i="29"/>
  <c r="H57" i="29"/>
  <c r="H14" i="29"/>
  <c r="H74" i="29"/>
  <c r="H182" i="29"/>
  <c r="H179" i="29"/>
  <c r="D23" i="52"/>
  <c r="J61" i="50"/>
  <c r="S146" i="29"/>
  <c r="T146" i="29"/>
  <c r="M182" i="29"/>
  <c r="T182" i="29"/>
  <c r="J166" i="29"/>
  <c r="T166" i="29"/>
  <c r="L170" i="29"/>
  <c r="T170" i="29"/>
  <c r="L149" i="29"/>
  <c r="T149" i="29"/>
  <c r="M173" i="29"/>
  <c r="T173" i="29"/>
  <c r="L174" i="29"/>
  <c r="T174" i="29"/>
  <c r="S179" i="29"/>
  <c r="T179" i="29"/>
  <c r="P158" i="29"/>
  <c r="T158" i="29"/>
  <c r="O155" i="29"/>
  <c r="T155" i="29"/>
  <c r="N141" i="29"/>
  <c r="T141" i="29"/>
  <c r="S140" i="29"/>
  <c r="T140" i="29"/>
  <c r="R157" i="29"/>
  <c r="T157" i="29"/>
  <c r="J144" i="29"/>
  <c r="T144" i="29"/>
  <c r="Q171" i="29"/>
  <c r="T171" i="29"/>
  <c r="T116" i="29"/>
  <c r="U116" i="29"/>
  <c r="W116" i="29"/>
  <c r="V116" i="29"/>
  <c r="M75" i="29"/>
  <c r="V75" i="29"/>
  <c r="T75" i="29"/>
  <c r="W75" i="29"/>
  <c r="U75" i="29"/>
  <c r="Q100" i="29"/>
  <c r="V100" i="29"/>
  <c r="U100" i="29"/>
  <c r="T100" i="29"/>
  <c r="W100" i="29"/>
  <c r="M101" i="29"/>
  <c r="W101" i="29"/>
  <c r="V101" i="29"/>
  <c r="U101" i="29"/>
  <c r="T101" i="29"/>
  <c r="W117" i="29"/>
  <c r="V117" i="29"/>
  <c r="U117" i="29"/>
  <c r="T117" i="29"/>
  <c r="W107" i="29"/>
  <c r="V107" i="29"/>
  <c r="U107" i="29"/>
  <c r="T107" i="29"/>
  <c r="W82" i="29"/>
  <c r="V82" i="29"/>
  <c r="U82" i="29"/>
  <c r="T82" i="29"/>
  <c r="W95" i="29"/>
  <c r="V95" i="29"/>
  <c r="U95" i="29"/>
  <c r="T95" i="29"/>
  <c r="S78" i="29"/>
  <c r="W78" i="29"/>
  <c r="V78" i="29"/>
  <c r="U78" i="29"/>
  <c r="T78" i="29"/>
  <c r="R98" i="29"/>
  <c r="W98" i="29"/>
  <c r="V98" i="29"/>
  <c r="U98" i="29"/>
  <c r="T98" i="29"/>
  <c r="T108" i="29"/>
  <c r="W108" i="29"/>
  <c r="V108" i="29"/>
  <c r="U108" i="29"/>
  <c r="K81" i="29"/>
  <c r="U81" i="29"/>
  <c r="V81" i="29"/>
  <c r="T81" i="29"/>
  <c r="W81" i="29"/>
  <c r="W109" i="29"/>
  <c r="V109" i="29"/>
  <c r="U109" i="29"/>
  <c r="T109" i="29"/>
  <c r="W93" i="29"/>
  <c r="V93" i="29"/>
  <c r="U93" i="29"/>
  <c r="T93" i="29"/>
  <c r="W90" i="29"/>
  <c r="V90" i="29"/>
  <c r="U90" i="29"/>
  <c r="T90" i="29"/>
  <c r="W111" i="29"/>
  <c r="V111" i="29"/>
  <c r="U111" i="29"/>
  <c r="T111" i="29"/>
  <c r="T79" i="29"/>
  <c r="U79" i="29"/>
  <c r="W79" i="29"/>
  <c r="V79" i="29"/>
  <c r="W74" i="29"/>
  <c r="V74" i="29"/>
  <c r="U74" i="29"/>
  <c r="T74" i="29"/>
  <c r="W99" i="29"/>
  <c r="V99" i="29"/>
  <c r="U99" i="29"/>
  <c r="T99" i="29"/>
  <c r="Q89" i="29"/>
  <c r="T89" i="29"/>
  <c r="U89" i="29"/>
  <c r="W89" i="29"/>
  <c r="V89" i="29"/>
  <c r="W85" i="29"/>
  <c r="V85" i="29"/>
  <c r="U85" i="29"/>
  <c r="T85" i="29"/>
  <c r="V92" i="29"/>
  <c r="W92" i="29"/>
  <c r="U92" i="29"/>
  <c r="T92" i="29"/>
  <c r="U112" i="29"/>
  <c r="T112" i="29"/>
  <c r="V112" i="29"/>
  <c r="W112" i="29"/>
  <c r="M119" i="29"/>
  <c r="W119" i="29"/>
  <c r="V119" i="29"/>
  <c r="U119" i="29"/>
  <c r="T119" i="29"/>
  <c r="R114" i="29"/>
  <c r="V114" i="29"/>
  <c r="T114" i="29"/>
  <c r="W114" i="29"/>
  <c r="U114" i="29"/>
  <c r="T96" i="29"/>
  <c r="V96" i="29"/>
  <c r="U96" i="29"/>
  <c r="W96" i="29"/>
  <c r="S104" i="29"/>
  <c r="W104" i="29"/>
  <c r="V104" i="29"/>
  <c r="U104" i="29"/>
  <c r="T104" i="29"/>
  <c r="O171" i="29"/>
  <c r="W61" i="29"/>
  <c r="W62" i="29"/>
  <c r="U62" i="29"/>
  <c r="U61" i="29"/>
  <c r="V62" i="29"/>
  <c r="V61" i="29"/>
  <c r="T61" i="29"/>
  <c r="T62" i="29"/>
  <c r="P171" i="29"/>
  <c r="K171" i="29"/>
  <c r="R171" i="29"/>
  <c r="M171" i="29"/>
  <c r="J171" i="29"/>
  <c r="S171" i="29"/>
  <c r="N171" i="29"/>
  <c r="L171" i="29"/>
  <c r="J182" i="29"/>
  <c r="M117" i="29"/>
  <c r="K182" i="29"/>
  <c r="L89" i="29"/>
  <c r="K117" i="29"/>
  <c r="N174" i="29"/>
  <c r="J117" i="29"/>
  <c r="N89" i="29"/>
  <c r="R182" i="29"/>
  <c r="R117" i="29"/>
  <c r="Q117" i="29"/>
  <c r="N117" i="29"/>
  <c r="P117" i="29"/>
  <c r="O89" i="29"/>
  <c r="O117" i="29"/>
  <c r="S117" i="29"/>
  <c r="L117" i="29"/>
  <c r="M81" i="29"/>
  <c r="S174" i="29"/>
  <c r="P182" i="29"/>
  <c r="R89" i="29"/>
  <c r="Q174" i="29"/>
  <c r="J89" i="29"/>
  <c r="Q182" i="29"/>
  <c r="P174" i="29"/>
  <c r="O182" i="29"/>
  <c r="N81" i="29"/>
  <c r="L81" i="29"/>
  <c r="S89" i="29"/>
  <c r="R174" i="29"/>
  <c r="L182" i="29"/>
  <c r="O81" i="29"/>
  <c r="P81" i="29"/>
  <c r="R81" i="29"/>
  <c r="Q81" i="29"/>
  <c r="K89" i="29"/>
  <c r="M89" i="29"/>
  <c r="J174" i="29"/>
  <c r="J81" i="29"/>
  <c r="S81" i="29"/>
  <c r="O174" i="29"/>
  <c r="K174" i="29"/>
  <c r="N182" i="29"/>
  <c r="P89" i="29"/>
  <c r="S182" i="29"/>
  <c r="J101" i="29"/>
  <c r="R101" i="29"/>
  <c r="O101" i="29"/>
  <c r="O144" i="29"/>
  <c r="L157" i="29"/>
  <c r="O78" i="29"/>
  <c r="S144" i="29"/>
  <c r="Q144" i="29"/>
  <c r="K144" i="29"/>
  <c r="M98" i="29"/>
  <c r="K98" i="29"/>
  <c r="O98" i="29"/>
  <c r="U88" i="30"/>
  <c r="N144" i="29"/>
  <c r="N98" i="29"/>
  <c r="P144" i="29"/>
  <c r="L98" i="29"/>
  <c r="P98" i="29"/>
  <c r="M144" i="29"/>
  <c r="R144" i="29"/>
  <c r="L144" i="29"/>
  <c r="Q114" i="29"/>
  <c r="S98" i="29"/>
  <c r="Q98" i="29"/>
  <c r="J98" i="29"/>
  <c r="N157" i="29"/>
  <c r="T88" i="30"/>
  <c r="O166" i="29"/>
  <c r="K166" i="29"/>
  <c r="R166" i="29"/>
  <c r="L166" i="29"/>
  <c r="Q149" i="29"/>
  <c r="P166" i="29"/>
  <c r="K183" i="30"/>
  <c r="N166" i="29"/>
  <c r="P149" i="29"/>
  <c r="Q166" i="29"/>
  <c r="N149" i="29"/>
  <c r="T98" i="30"/>
  <c r="V88" i="30"/>
  <c r="S166" i="29"/>
  <c r="O149" i="29"/>
  <c r="M166" i="29"/>
  <c r="V113" i="30"/>
  <c r="L155" i="29"/>
  <c r="S114" i="29"/>
  <c r="V98" i="30"/>
  <c r="S101" i="29"/>
  <c r="T113" i="30"/>
  <c r="U98" i="30"/>
  <c r="M149" i="29"/>
  <c r="K114" i="29"/>
  <c r="O114" i="29"/>
  <c r="J170" i="29"/>
  <c r="Q99" i="29"/>
  <c r="J149" i="29"/>
  <c r="L114" i="29"/>
  <c r="J114" i="29"/>
  <c r="N101" i="29"/>
  <c r="S149" i="29"/>
  <c r="N114" i="29"/>
  <c r="M170" i="29"/>
  <c r="P101" i="29"/>
  <c r="K149" i="29"/>
  <c r="P114" i="29"/>
  <c r="R149" i="29"/>
  <c r="M114" i="29"/>
  <c r="K101" i="29"/>
  <c r="W113" i="30"/>
  <c r="Q101" i="29"/>
  <c r="L101" i="29"/>
  <c r="L99" i="29"/>
  <c r="J99" i="29"/>
  <c r="O141" i="29"/>
  <c r="P99" i="29"/>
  <c r="O158" i="29"/>
  <c r="N183" i="30"/>
  <c r="W87" i="30"/>
  <c r="K99" i="29"/>
  <c r="S157" i="29"/>
  <c r="U89" i="30"/>
  <c r="O104" i="29"/>
  <c r="K140" i="29"/>
  <c r="J157" i="29"/>
  <c r="T89" i="30"/>
  <c r="U87" i="30"/>
  <c r="O99" i="29"/>
  <c r="M158" i="29"/>
  <c r="T87" i="30"/>
  <c r="N99" i="29"/>
  <c r="P75" i="29"/>
  <c r="K157" i="29"/>
  <c r="Q158" i="29"/>
  <c r="N158" i="29"/>
  <c r="R158" i="29"/>
  <c r="M99" i="29"/>
  <c r="P170" i="29"/>
  <c r="M157" i="29"/>
  <c r="K158" i="29"/>
  <c r="J158" i="29"/>
  <c r="S99" i="29"/>
  <c r="W89" i="30"/>
  <c r="M104" i="29"/>
  <c r="P157" i="29"/>
  <c r="O157" i="29"/>
  <c r="L158" i="29"/>
  <c r="V87" i="30"/>
  <c r="S158" i="29"/>
  <c r="R99" i="29"/>
  <c r="Q157" i="29"/>
  <c r="R141" i="29"/>
  <c r="L173" i="29"/>
  <c r="K78" i="29"/>
  <c r="R78" i="29"/>
  <c r="O173" i="29"/>
  <c r="K119" i="29"/>
  <c r="M118" i="30"/>
  <c r="V118" i="30"/>
  <c r="Q173" i="29"/>
  <c r="R173" i="29"/>
  <c r="O118" i="30"/>
  <c r="N173" i="29"/>
  <c r="Q179" i="29"/>
  <c r="Q146" i="29"/>
  <c r="W118" i="30"/>
  <c r="L179" i="29"/>
  <c r="P146" i="29"/>
  <c r="M62" i="29"/>
  <c r="V106" i="30"/>
  <c r="L119" i="29"/>
  <c r="R119" i="29"/>
  <c r="Q118" i="30"/>
  <c r="P141" i="29"/>
  <c r="Q141" i="29"/>
  <c r="N119" i="29"/>
  <c r="K100" i="29"/>
  <c r="N140" i="29"/>
  <c r="M100" i="29"/>
  <c r="P119" i="29"/>
  <c r="Q140" i="29"/>
  <c r="O119" i="29"/>
  <c r="M78" i="29"/>
  <c r="W114" i="30"/>
  <c r="J100" i="29"/>
  <c r="Q119" i="29"/>
  <c r="O140" i="29"/>
  <c r="L140" i="29"/>
  <c r="P100" i="29"/>
  <c r="P78" i="29"/>
  <c r="M61" i="29"/>
  <c r="O61" i="29"/>
  <c r="R100" i="29"/>
  <c r="L100" i="29"/>
  <c r="J141" i="29"/>
  <c r="O100" i="29"/>
  <c r="P62" i="29"/>
  <c r="J146" i="29"/>
  <c r="S100" i="29"/>
  <c r="M141" i="29"/>
  <c r="M179" i="29"/>
  <c r="P140" i="29"/>
  <c r="Q78" i="29"/>
  <c r="N100" i="29"/>
  <c r="J78" i="29"/>
  <c r="W106" i="30"/>
  <c r="L118" i="30"/>
  <c r="K118" i="30"/>
  <c r="T118" i="30"/>
  <c r="U93" i="30"/>
  <c r="V93" i="30"/>
  <c r="L75" i="29"/>
  <c r="N170" i="29"/>
  <c r="P61" i="29"/>
  <c r="N118" i="30"/>
  <c r="P173" i="29"/>
  <c r="K146" i="29"/>
  <c r="M146" i="29"/>
  <c r="O170" i="29"/>
  <c r="N155" i="29"/>
  <c r="O146" i="29"/>
  <c r="T114" i="30"/>
  <c r="U114" i="30"/>
  <c r="S75" i="29"/>
  <c r="N75" i="29"/>
  <c r="J75" i="29"/>
  <c r="O75" i="29"/>
  <c r="Q75" i="29"/>
  <c r="R75" i="29"/>
  <c r="Q62" i="29"/>
  <c r="Q183" i="30"/>
  <c r="K75" i="29"/>
  <c r="Q155" i="29"/>
  <c r="R104" i="29"/>
  <c r="R183" i="30"/>
  <c r="R118" i="30"/>
  <c r="J179" i="29"/>
  <c r="K179" i="29"/>
  <c r="S173" i="29"/>
  <c r="N146" i="29"/>
  <c r="O179" i="29"/>
  <c r="L146" i="29"/>
  <c r="Q104" i="29"/>
  <c r="N104" i="29"/>
  <c r="K104" i="29"/>
  <c r="L183" i="30"/>
  <c r="O183" i="30"/>
  <c r="P183" i="30"/>
  <c r="J155" i="29"/>
  <c r="S155" i="29"/>
  <c r="M155" i="29"/>
  <c r="U106" i="30"/>
  <c r="T106" i="30"/>
  <c r="J140" i="29"/>
  <c r="R140" i="29"/>
  <c r="M140" i="29"/>
  <c r="R146" i="29"/>
  <c r="W93" i="30"/>
  <c r="J183" i="30"/>
  <c r="V114" i="30"/>
  <c r="J118" i="30"/>
  <c r="P155" i="29"/>
  <c r="N179" i="29"/>
  <c r="J173" i="29"/>
  <c r="K155" i="29"/>
  <c r="P179" i="29"/>
  <c r="O62" i="29"/>
  <c r="J119" i="29"/>
  <c r="S119" i="29"/>
  <c r="S141" i="29"/>
  <c r="K141" i="29"/>
  <c r="L141" i="29"/>
  <c r="L78" i="29"/>
  <c r="N78" i="29"/>
  <c r="J104" i="29"/>
  <c r="K170" i="29"/>
  <c r="S183" i="30"/>
  <c r="P118" i="30"/>
  <c r="U118" i="30"/>
  <c r="R155" i="29"/>
  <c r="Q170" i="29"/>
  <c r="P104" i="29"/>
  <c r="K173" i="29"/>
  <c r="S170" i="29"/>
  <c r="R170" i="29"/>
  <c r="L104" i="29"/>
  <c r="R179" i="29"/>
  <c r="Q61" i="29"/>
  <c r="T115" i="30"/>
  <c r="U115" i="30"/>
  <c r="V115" i="30"/>
  <c r="W115" i="30"/>
  <c r="Q112" i="29"/>
  <c r="K112" i="29"/>
  <c r="L112" i="29"/>
  <c r="M112" i="29"/>
  <c r="N112" i="29"/>
  <c r="O112" i="29"/>
  <c r="P112" i="29"/>
  <c r="R112" i="29"/>
  <c r="J112" i="29"/>
  <c r="S112" i="29"/>
  <c r="S61" i="29"/>
  <c r="S62" i="29"/>
  <c r="M85" i="29"/>
  <c r="N85" i="29"/>
  <c r="O85" i="29"/>
  <c r="P85" i="29"/>
  <c r="R85" i="29"/>
  <c r="J85" i="29"/>
  <c r="K85" i="29"/>
  <c r="S85" i="29"/>
  <c r="L85" i="29"/>
  <c r="Q85" i="29"/>
  <c r="R153" i="29"/>
  <c r="J153" i="29"/>
  <c r="N153" i="29"/>
  <c r="O153" i="29"/>
  <c r="P153" i="29"/>
  <c r="K153" i="29"/>
  <c r="M153" i="29"/>
  <c r="L153" i="29"/>
  <c r="Q153" i="29"/>
  <c r="S153" i="29"/>
  <c r="W91" i="30"/>
  <c r="T91" i="30"/>
  <c r="U91" i="30"/>
  <c r="V91" i="30"/>
  <c r="N62" i="29"/>
  <c r="N61" i="29"/>
  <c r="P109" i="29"/>
  <c r="K109" i="29"/>
  <c r="L109" i="29"/>
  <c r="M109" i="29"/>
  <c r="N109" i="29"/>
  <c r="O109" i="29"/>
  <c r="Q109" i="29"/>
  <c r="R109" i="29"/>
  <c r="J109" i="29"/>
  <c r="S109" i="29"/>
  <c r="T90" i="30"/>
  <c r="U90" i="30"/>
  <c r="V90" i="30"/>
  <c r="W90" i="30"/>
  <c r="P119" i="30"/>
  <c r="Q119" i="30"/>
  <c r="R119" i="30"/>
  <c r="J119" i="30"/>
  <c r="U119" i="30"/>
  <c r="M119" i="30"/>
  <c r="K119" i="30"/>
  <c r="L119" i="30"/>
  <c r="N119" i="30"/>
  <c r="T119" i="30"/>
  <c r="W119" i="30"/>
  <c r="O119" i="30"/>
  <c r="S119" i="30"/>
  <c r="V119" i="30"/>
  <c r="U94" i="30"/>
  <c r="V94" i="30"/>
  <c r="W94" i="30"/>
  <c r="T94" i="30"/>
  <c r="O139" i="29"/>
  <c r="P139" i="29"/>
  <c r="Q139" i="29"/>
  <c r="L139" i="29"/>
  <c r="S139" i="29"/>
  <c r="K139" i="29"/>
  <c r="J139" i="29"/>
  <c r="M139" i="29"/>
  <c r="N139" i="29"/>
  <c r="R139" i="29"/>
  <c r="P180" i="29"/>
  <c r="Q180" i="29"/>
  <c r="R180" i="29"/>
  <c r="S180" i="29"/>
  <c r="J180" i="29"/>
  <c r="M180" i="29"/>
  <c r="K180" i="29"/>
  <c r="L180" i="29"/>
  <c r="O180" i="29"/>
  <c r="N180" i="29"/>
  <c r="P156" i="29"/>
  <c r="Q156" i="29"/>
  <c r="R156" i="29"/>
  <c r="S156" i="29"/>
  <c r="J156" i="29"/>
  <c r="M156" i="29"/>
  <c r="N156" i="29"/>
  <c r="L156" i="29"/>
  <c r="K156" i="29"/>
  <c r="O156" i="29"/>
  <c r="M92" i="29"/>
  <c r="N92" i="29"/>
  <c r="O92" i="29"/>
  <c r="P92" i="29"/>
  <c r="Q92" i="29"/>
  <c r="S92" i="29"/>
  <c r="J92" i="29"/>
  <c r="K92" i="29"/>
  <c r="L92" i="29"/>
  <c r="R92" i="29"/>
  <c r="W108" i="30"/>
  <c r="T108" i="30"/>
  <c r="U108" i="30"/>
  <c r="V108" i="30"/>
  <c r="M116" i="29"/>
  <c r="P116" i="29"/>
  <c r="L116" i="29"/>
  <c r="N116" i="29"/>
  <c r="O116" i="29"/>
  <c r="Q116" i="29"/>
  <c r="R116" i="29"/>
  <c r="S116" i="29"/>
  <c r="J116" i="29"/>
  <c r="K116" i="29"/>
  <c r="T107" i="30"/>
  <c r="U107" i="30"/>
  <c r="V107" i="30"/>
  <c r="W107" i="30"/>
  <c r="P164" i="29"/>
  <c r="Q164" i="29"/>
  <c r="R164" i="29"/>
  <c r="S164" i="29"/>
  <c r="J164" i="29"/>
  <c r="M164" i="29"/>
  <c r="K164" i="29"/>
  <c r="L164" i="29"/>
  <c r="N164" i="29"/>
  <c r="O164" i="29"/>
  <c r="Q96" i="29"/>
  <c r="K96" i="29"/>
  <c r="L96" i="29"/>
  <c r="M96" i="29"/>
  <c r="N96" i="29"/>
  <c r="P96" i="29"/>
  <c r="R96" i="29"/>
  <c r="J96" i="29"/>
  <c r="O96" i="29"/>
  <c r="S96" i="29"/>
  <c r="P147" i="29"/>
  <c r="Q147" i="29"/>
  <c r="R147" i="29"/>
  <c r="S147" i="29"/>
  <c r="J147" i="29"/>
  <c r="M147" i="29"/>
  <c r="K147" i="29"/>
  <c r="L147" i="29"/>
  <c r="O147" i="29"/>
  <c r="N147" i="29"/>
  <c r="K61" i="29"/>
  <c r="K62" i="29"/>
  <c r="W100" i="30"/>
  <c r="T100" i="30"/>
  <c r="V100" i="30"/>
  <c r="U100" i="30"/>
  <c r="L74" i="29"/>
  <c r="M74" i="29"/>
  <c r="N74" i="29"/>
  <c r="O74" i="29"/>
  <c r="Q74" i="29"/>
  <c r="S74" i="29"/>
  <c r="J74" i="29"/>
  <c r="R74" i="29"/>
  <c r="K74" i="29"/>
  <c r="P74" i="29"/>
  <c r="T99" i="30"/>
  <c r="U99" i="30"/>
  <c r="V99" i="30"/>
  <c r="W99" i="30"/>
  <c r="R90" i="29"/>
  <c r="J90" i="29"/>
  <c r="P90" i="29"/>
  <c r="Q90" i="29"/>
  <c r="S90" i="29"/>
  <c r="K90" i="29"/>
  <c r="M90" i="29"/>
  <c r="N90" i="29"/>
  <c r="O90" i="29"/>
  <c r="L90" i="29"/>
  <c r="P172" i="29"/>
  <c r="Q172" i="29"/>
  <c r="R172" i="29"/>
  <c r="S172" i="29"/>
  <c r="J172" i="29"/>
  <c r="M172" i="29"/>
  <c r="N172" i="29"/>
  <c r="O172" i="29"/>
  <c r="K172" i="29"/>
  <c r="L172" i="29"/>
  <c r="O181" i="29"/>
  <c r="R181" i="29"/>
  <c r="S181" i="29"/>
  <c r="J181" i="29"/>
  <c r="K181" i="29"/>
  <c r="N181" i="29"/>
  <c r="L181" i="29"/>
  <c r="M181" i="29"/>
  <c r="Q181" i="29"/>
  <c r="P181" i="29"/>
  <c r="O148" i="29"/>
  <c r="R148" i="29"/>
  <c r="S148" i="29"/>
  <c r="J148" i="29"/>
  <c r="K148" i="29"/>
  <c r="N148" i="29"/>
  <c r="L148" i="29"/>
  <c r="M148" i="29"/>
  <c r="P148" i="29"/>
  <c r="Q148" i="29"/>
  <c r="L82" i="29"/>
  <c r="M82" i="29"/>
  <c r="N82" i="29"/>
  <c r="O82" i="29"/>
  <c r="Q82" i="29"/>
  <c r="K82" i="29"/>
  <c r="P82" i="29"/>
  <c r="J82" i="29"/>
  <c r="R82" i="29"/>
  <c r="S82" i="29"/>
  <c r="N111" i="29"/>
  <c r="M111" i="29"/>
  <c r="O111" i="29"/>
  <c r="P111" i="29"/>
  <c r="Q111" i="29"/>
  <c r="R111" i="29"/>
  <c r="S111" i="29"/>
  <c r="J111" i="29"/>
  <c r="K111" i="29"/>
  <c r="L111" i="29"/>
  <c r="M108" i="29"/>
  <c r="N108" i="29"/>
  <c r="O108" i="29"/>
  <c r="P108" i="29"/>
  <c r="Q108" i="29"/>
  <c r="R108" i="29"/>
  <c r="S108" i="29"/>
  <c r="J108" i="29"/>
  <c r="K108" i="29"/>
  <c r="L108" i="29"/>
  <c r="J61" i="29"/>
  <c r="J62" i="29"/>
  <c r="P93" i="29"/>
  <c r="K93" i="29"/>
  <c r="L93" i="29"/>
  <c r="M93" i="29"/>
  <c r="N93" i="29"/>
  <c r="Q93" i="29"/>
  <c r="R93" i="29"/>
  <c r="S93" i="29"/>
  <c r="J93" i="29"/>
  <c r="O93" i="29"/>
  <c r="P138" i="29"/>
  <c r="Q138" i="29"/>
  <c r="R138" i="29"/>
  <c r="J138" i="29"/>
  <c r="M138" i="29"/>
  <c r="L138" i="29"/>
  <c r="K138" i="29"/>
  <c r="N138" i="29"/>
  <c r="O138" i="29"/>
  <c r="S138" i="29"/>
  <c r="R107" i="29"/>
  <c r="J107" i="29"/>
  <c r="P107" i="29"/>
  <c r="Q107" i="29"/>
  <c r="K107" i="29"/>
  <c r="S107" i="29"/>
  <c r="L107" i="29"/>
  <c r="M107" i="29"/>
  <c r="N107" i="29"/>
  <c r="O107" i="29"/>
  <c r="L180" i="30"/>
  <c r="M180" i="30"/>
  <c r="N180" i="30"/>
  <c r="Q180" i="30"/>
  <c r="P180" i="30"/>
  <c r="R180" i="30"/>
  <c r="S180" i="30"/>
  <c r="J180" i="30"/>
  <c r="O180" i="30"/>
  <c r="K180" i="30"/>
  <c r="U110" i="30"/>
  <c r="V110" i="30"/>
  <c r="W110" i="30"/>
  <c r="T110" i="30"/>
  <c r="N95" i="29"/>
  <c r="M95" i="29"/>
  <c r="O95" i="29"/>
  <c r="P95" i="29"/>
  <c r="Q95" i="29"/>
  <c r="S95" i="29"/>
  <c r="J95" i="29"/>
  <c r="K95" i="29"/>
  <c r="L95" i="29"/>
  <c r="R95" i="29"/>
  <c r="W116" i="30"/>
  <c r="T116" i="30"/>
  <c r="V116" i="30"/>
  <c r="U116" i="30"/>
  <c r="E49" i="10"/>
  <c r="L73" i="21"/>
  <c r="M73" i="21"/>
  <c r="N73" i="21"/>
  <c r="O73" i="21"/>
  <c r="P73" i="21"/>
  <c r="V49" i="10"/>
  <c r="AD49" i="10"/>
  <c r="X49" i="10"/>
  <c r="W49" i="10"/>
  <c r="B49" i="10"/>
  <c r="A49" i="10" s="1"/>
  <c r="H61" i="50" l="1"/>
  <c r="I62" i="50"/>
  <c r="U56" i="51"/>
  <c r="V56" i="51" s="1"/>
  <c r="W56" i="51" s="1"/>
  <c r="U55" i="51"/>
  <c r="V55" i="51" s="1"/>
  <c r="W55" i="51" s="1"/>
  <c r="U57" i="51"/>
  <c r="V57" i="51" s="1"/>
  <c r="W57" i="51" s="1"/>
  <c r="U54" i="51"/>
  <c r="V54" i="51" s="1"/>
  <c r="W54" i="51" s="1"/>
  <c r="V58" i="50"/>
  <c r="W58" i="50" s="1"/>
  <c r="V57" i="50"/>
  <c r="W57" i="50" s="1"/>
  <c r="V56" i="50"/>
  <c r="W56" i="50" s="1"/>
  <c r="V59" i="50"/>
  <c r="W59" i="50" s="1"/>
  <c r="F17" i="51"/>
  <c r="AK17" i="51"/>
  <c r="AW17" i="51" s="1"/>
  <c r="AX17" i="51" s="1"/>
  <c r="T17" i="51" s="1"/>
  <c r="AK18" i="51"/>
  <c r="AK46" i="51"/>
  <c r="AK19" i="51"/>
  <c r="AK51" i="51"/>
  <c r="AK38" i="51"/>
  <c r="AK53" i="51"/>
  <c r="AK44" i="51"/>
  <c r="AK45" i="51"/>
  <c r="AK37" i="51"/>
  <c r="AK36" i="51"/>
  <c r="AK26" i="51"/>
  <c r="AK13" i="51"/>
  <c r="AW13" i="51" s="1"/>
  <c r="AK28" i="51"/>
  <c r="AK41" i="51"/>
  <c r="AK24" i="51"/>
  <c r="AK34" i="51"/>
  <c r="AK47" i="51"/>
  <c r="AK21" i="51"/>
  <c r="AK48" i="51"/>
  <c r="AK27" i="51"/>
  <c r="AK30" i="51"/>
  <c r="AK40" i="51"/>
  <c r="AK23" i="51"/>
  <c r="AK35" i="51"/>
  <c r="AK32" i="51"/>
  <c r="F14" i="51"/>
  <c r="AK14" i="51"/>
  <c r="AW14" i="51" s="1"/>
  <c r="AK29" i="51"/>
  <c r="V33" i="51"/>
  <c r="W33" i="51" s="1"/>
  <c r="AK33" i="51"/>
  <c r="F16" i="51"/>
  <c r="AK16" i="51"/>
  <c r="AW16" i="51" s="1"/>
  <c r="AK31" i="51"/>
  <c r="AK39" i="51"/>
  <c r="AK52" i="51"/>
  <c r="AK50" i="51"/>
  <c r="AK20" i="51"/>
  <c r="AK22" i="51"/>
  <c r="AK49" i="51"/>
  <c r="AK25" i="51"/>
  <c r="AK42" i="51"/>
  <c r="AK43" i="51"/>
  <c r="F15" i="51"/>
  <c r="AK15" i="51"/>
  <c r="AW15" i="51" s="1"/>
  <c r="H59" i="37"/>
  <c r="H60" i="37"/>
  <c r="H59" i="51"/>
  <c r="F19" i="50"/>
  <c r="F24" i="50"/>
  <c r="F29" i="50"/>
  <c r="F25" i="50"/>
  <c r="F22" i="50"/>
  <c r="F21" i="50"/>
  <c r="F37" i="50"/>
  <c r="F17" i="50"/>
  <c r="F33" i="50"/>
  <c r="F39" i="50"/>
  <c r="F32" i="50"/>
  <c r="F36" i="50"/>
  <c r="F23" i="50"/>
  <c r="F27" i="50"/>
  <c r="F20" i="50"/>
  <c r="F30" i="50"/>
  <c r="F34" i="50"/>
  <c r="F28" i="50"/>
  <c r="F35" i="50"/>
  <c r="F38" i="50"/>
  <c r="F15" i="50"/>
  <c r="F16" i="50"/>
  <c r="F26" i="50"/>
  <c r="H59" i="17"/>
  <c r="H60" i="17"/>
  <c r="I59" i="51"/>
  <c r="F13" i="51"/>
  <c r="H62" i="29"/>
  <c r="H61" i="29"/>
  <c r="H61" i="46"/>
  <c r="H79" i="46" s="1"/>
  <c r="H62" i="46"/>
  <c r="D32" i="52"/>
  <c r="D33" i="52" s="1"/>
  <c r="D34" i="52" s="1"/>
  <c r="D35" i="52" s="1"/>
  <c r="D36" i="52" s="1"/>
  <c r="D37" i="52" s="1"/>
  <c r="D38" i="52" s="1"/>
  <c r="D39" i="52" s="1"/>
  <c r="D40" i="52" s="1"/>
  <c r="D41" i="52" s="1"/>
  <c r="D42" i="52" s="1"/>
  <c r="D43" i="52" s="1"/>
  <c r="D44" i="52" s="1"/>
  <c r="D45" i="52" s="1"/>
  <c r="D46" i="52" s="1"/>
  <c r="D47" i="52" s="1"/>
  <c r="D48" i="52" s="1"/>
  <c r="D49" i="52" s="1"/>
  <c r="D50" i="52" s="1"/>
  <c r="D51" i="52" s="1"/>
  <c r="D52" i="52" s="1"/>
  <c r="D53" i="52" s="1"/>
  <c r="D54" i="52" s="1"/>
  <c r="D27" i="52"/>
  <c r="D28" i="52" s="1"/>
  <c r="D29" i="52" s="1"/>
  <c r="D30" i="52" s="1"/>
  <c r="D24" i="52"/>
  <c r="D25" i="52" s="1"/>
  <c r="D26" i="52" s="1"/>
  <c r="D31" i="52"/>
  <c r="T49" i="10"/>
  <c r="Y49" i="10"/>
  <c r="T184" i="29"/>
  <c r="T185" i="29"/>
  <c r="W122" i="29"/>
  <c r="W121" i="29"/>
  <c r="T121" i="29"/>
  <c r="T122" i="29"/>
  <c r="V122" i="29"/>
  <c r="V121" i="29"/>
  <c r="U122" i="29"/>
  <c r="U121" i="29"/>
  <c r="U49" i="10"/>
  <c r="H77" i="37" l="1"/>
  <c r="H62" i="50"/>
  <c r="U35" i="50"/>
  <c r="V35" i="50" s="1"/>
  <c r="W35" i="50" s="1"/>
  <c r="U17" i="51"/>
  <c r="V17" i="51" s="1"/>
  <c r="W17" i="51" s="1"/>
  <c r="Y14" i="51"/>
  <c r="AD14" i="51" s="1"/>
  <c r="AE14" i="51" s="1"/>
  <c r="AX14" i="51"/>
  <c r="AX16" i="51"/>
  <c r="Y16" i="51"/>
  <c r="AD16" i="51" s="1"/>
  <c r="AE16" i="51" s="1"/>
  <c r="Y15" i="51"/>
  <c r="AD15" i="51" s="1"/>
  <c r="AE15" i="51" s="1"/>
  <c r="AX15" i="51"/>
  <c r="AX13" i="51"/>
  <c r="Y13" i="51"/>
  <c r="AD13" i="51" s="1"/>
  <c r="AE13" i="51" s="1"/>
  <c r="H73" i="37"/>
  <c r="H66" i="37"/>
  <c r="H78" i="37" s="1"/>
  <c r="Y53" i="10"/>
  <c r="D60" i="52"/>
  <c r="D61" i="52" s="1"/>
  <c r="H75" i="46"/>
  <c r="H68" i="46"/>
  <c r="AD10" i="10"/>
  <c r="AD11" i="10"/>
  <c r="AD12" i="10"/>
  <c r="AD13" i="10"/>
  <c r="AD14" i="10"/>
  <c r="AD15" i="10"/>
  <c r="AD16" i="10"/>
  <c r="AD17" i="10"/>
  <c r="AD18" i="10"/>
  <c r="AD19" i="10"/>
  <c r="AD20" i="10"/>
  <c r="AD21" i="10"/>
  <c r="AD22" i="10"/>
  <c r="AD23" i="10"/>
  <c r="AD24" i="10"/>
  <c r="AD25" i="10"/>
  <c r="AD26" i="10"/>
  <c r="AD27" i="10"/>
  <c r="AD28" i="10"/>
  <c r="AD29" i="10"/>
  <c r="AD30" i="10"/>
  <c r="AD31" i="10"/>
  <c r="AD32" i="10"/>
  <c r="AD33" i="10"/>
  <c r="AD35" i="10"/>
  <c r="AD36" i="10"/>
  <c r="AD37" i="10"/>
  <c r="AD38" i="10"/>
  <c r="AD39" i="10"/>
  <c r="AD40" i="10"/>
  <c r="AD41" i="10"/>
  <c r="AD42" i="10"/>
  <c r="AD43" i="10"/>
  <c r="AD44" i="10"/>
  <c r="AD45" i="10"/>
  <c r="AD46" i="10"/>
  <c r="AD47" i="10"/>
  <c r="AD48" i="10"/>
  <c r="AD50" i="10"/>
  <c r="AD51" i="10"/>
  <c r="AD52" i="10"/>
  <c r="AD53" i="10"/>
  <c r="AD54" i="10"/>
  <c r="AD55" i="10"/>
  <c r="AD56" i="10"/>
  <c r="AD57" i="10"/>
  <c r="AD58" i="10"/>
  <c r="AD59" i="10"/>
  <c r="AD60" i="10"/>
  <c r="AD61" i="10"/>
  <c r="AD62" i="10"/>
  <c r="AD63" i="10"/>
  <c r="AD64" i="10"/>
  <c r="AD65" i="10"/>
  <c r="AD66" i="10"/>
  <c r="AD67" i="10"/>
  <c r="AD68" i="10"/>
  <c r="AD69" i="10"/>
  <c r="AD70" i="10"/>
  <c r="AD71" i="10"/>
  <c r="AD72" i="10"/>
  <c r="AD73" i="10"/>
  <c r="H76" i="46" l="1"/>
  <c r="H80" i="46"/>
  <c r="H74" i="37"/>
  <c r="U33" i="50"/>
  <c r="V33" i="50" s="1"/>
  <c r="W33" i="50" s="1"/>
  <c r="U36" i="50"/>
  <c r="V36" i="50" s="1"/>
  <c r="W36" i="50" s="1"/>
  <c r="U32" i="50"/>
  <c r="V32" i="50" s="1"/>
  <c r="W32" i="50" s="1"/>
  <c r="U17" i="50"/>
  <c r="V17" i="50" s="1"/>
  <c r="W17" i="50" s="1"/>
  <c r="U34" i="50"/>
  <c r="V34" i="50" s="1"/>
  <c r="W34" i="50" s="1"/>
  <c r="U28" i="50"/>
  <c r="U14" i="50"/>
  <c r="U30" i="50"/>
  <c r="V30" i="50" s="1"/>
  <c r="W30" i="50" s="1"/>
  <c r="U37" i="50"/>
  <c r="V37" i="50" s="1"/>
  <c r="W37" i="50" s="1"/>
  <c r="U15" i="50"/>
  <c r="V15" i="50" s="1"/>
  <c r="W15" i="50" s="1"/>
  <c r="U20" i="50"/>
  <c r="V20" i="50" s="1"/>
  <c r="W20" i="50" s="1"/>
  <c r="U38" i="50"/>
  <c r="V38" i="50" s="1"/>
  <c r="W38" i="50" s="1"/>
  <c r="U29" i="50"/>
  <c r="V29" i="50" s="1"/>
  <c r="W29" i="50" s="1"/>
  <c r="U27" i="50"/>
  <c r="V27" i="50" s="1"/>
  <c r="W27" i="50" s="1"/>
  <c r="U24" i="50"/>
  <c r="V24" i="50" s="1"/>
  <c r="W24" i="50" s="1"/>
  <c r="U26" i="50"/>
  <c r="U25" i="50"/>
  <c r="V25" i="50" s="1"/>
  <c r="W25" i="50" s="1"/>
  <c r="U16" i="50"/>
  <c r="V16" i="50" s="1"/>
  <c r="W16" i="50" s="1"/>
  <c r="U21" i="50"/>
  <c r="V21" i="50" s="1"/>
  <c r="W21" i="50" s="1"/>
  <c r="U39" i="50"/>
  <c r="V39" i="50" s="1"/>
  <c r="W39" i="50" s="1"/>
  <c r="U19" i="50"/>
  <c r="V19" i="50" s="1"/>
  <c r="W19" i="50" s="1"/>
  <c r="U22" i="50"/>
  <c r="V22" i="50" s="1"/>
  <c r="U23" i="50"/>
  <c r="V23" i="50" s="1"/>
  <c r="W23" i="50" s="1"/>
  <c r="T13" i="51"/>
  <c r="U13" i="51"/>
  <c r="T15" i="51"/>
  <c r="U15" i="51"/>
  <c r="V15" i="51" s="1"/>
  <c r="W15" i="51" s="1"/>
  <c r="T16" i="51"/>
  <c r="U16" i="51"/>
  <c r="V16" i="51" s="1"/>
  <c r="W16" i="51" s="1"/>
  <c r="T14" i="51"/>
  <c r="U14" i="51"/>
  <c r="V14" i="51" s="1"/>
  <c r="W14" i="51" s="1"/>
  <c r="Q77" i="10"/>
  <c r="O78" i="10"/>
  <c r="O80" i="10"/>
  <c r="P78" i="10"/>
  <c r="P80" i="10"/>
  <c r="R77" i="10"/>
  <c r="Q78" i="10"/>
  <c r="Q80" i="10"/>
  <c r="O79" i="10"/>
  <c r="P77" i="10"/>
  <c r="R78" i="10"/>
  <c r="R80" i="10"/>
  <c r="O77" i="10"/>
  <c r="P79" i="10"/>
  <c r="Q79" i="10"/>
  <c r="R79" i="10"/>
  <c r="N80" i="10"/>
  <c r="H77" i="10"/>
  <c r="K78" i="10"/>
  <c r="N79" i="10"/>
  <c r="G78" i="10"/>
  <c r="J78" i="10"/>
  <c r="M79" i="10"/>
  <c r="G77" i="10"/>
  <c r="H78" i="10"/>
  <c r="K79" i="10"/>
  <c r="H79" i="10"/>
  <c r="L77" i="10"/>
  <c r="J79" i="10"/>
  <c r="M80" i="10"/>
  <c r="J80" i="10"/>
  <c r="L79" i="10"/>
  <c r="G79" i="10"/>
  <c r="M77" i="10"/>
  <c r="F77" i="10"/>
  <c r="G80" i="10"/>
  <c r="K77" i="10"/>
  <c r="N78" i="10"/>
  <c r="L80" i="10"/>
  <c r="L78" i="10"/>
  <c r="N77" i="10"/>
  <c r="H80" i="10"/>
  <c r="J77" i="10"/>
  <c r="M78" i="10"/>
  <c r="K80" i="10"/>
  <c r="F80" i="10"/>
  <c r="F79" i="10"/>
  <c r="F78" i="10"/>
  <c r="D79" i="10"/>
  <c r="D80" i="10"/>
  <c r="D78" i="10"/>
  <c r="D77" i="10"/>
  <c r="B32" i="10"/>
  <c r="A32" i="10" s="1"/>
  <c r="B33" i="10"/>
  <c r="A33" i="10" s="1"/>
  <c r="B35" i="10"/>
  <c r="A35" i="10" s="1"/>
  <c r="B36" i="10"/>
  <c r="A36" i="10" s="1"/>
  <c r="B37" i="10"/>
  <c r="A37" i="10" s="1"/>
  <c r="B38" i="10"/>
  <c r="A38" i="10" s="1"/>
  <c r="B39" i="10"/>
  <c r="A39" i="10" s="1"/>
  <c r="B40" i="10"/>
  <c r="A40" i="10" s="1"/>
  <c r="B41" i="10"/>
  <c r="A41" i="10" s="1"/>
  <c r="B42" i="10"/>
  <c r="A42" i="10" s="1"/>
  <c r="B43" i="10"/>
  <c r="A43" i="10" s="1"/>
  <c r="B44" i="10"/>
  <c r="A44" i="10" s="1"/>
  <c r="B45" i="10"/>
  <c r="A45" i="10" s="1"/>
  <c r="B46" i="10"/>
  <c r="A46" i="10" s="1"/>
  <c r="B47" i="10"/>
  <c r="A47" i="10" s="1"/>
  <c r="B48" i="10"/>
  <c r="A48" i="10" s="1"/>
  <c r="B50" i="10"/>
  <c r="A50" i="10" s="1"/>
  <c r="B51" i="10"/>
  <c r="A51" i="10" s="1"/>
  <c r="B52" i="10"/>
  <c r="A52" i="10" s="1"/>
  <c r="B53" i="10"/>
  <c r="A53" i="10" s="1"/>
  <c r="B54" i="10"/>
  <c r="A54" i="10" s="1"/>
  <c r="B55" i="10"/>
  <c r="A55" i="10" s="1"/>
  <c r="B56" i="10"/>
  <c r="A56" i="10" s="1"/>
  <c r="B57" i="10"/>
  <c r="A57" i="10" s="1"/>
  <c r="B58" i="10"/>
  <c r="A58" i="10" s="1"/>
  <c r="B59" i="10"/>
  <c r="A59" i="10" s="1"/>
  <c r="B60" i="10"/>
  <c r="A60" i="10" s="1"/>
  <c r="B61" i="10"/>
  <c r="A61" i="10" s="1"/>
  <c r="B62" i="10"/>
  <c r="A62" i="10" s="1"/>
  <c r="B63" i="10"/>
  <c r="A63" i="10" s="1"/>
  <c r="B64" i="10"/>
  <c r="A64" i="10" s="1"/>
  <c r="B65" i="10"/>
  <c r="A65" i="10" s="1"/>
  <c r="B66" i="10"/>
  <c r="A66" i="10" s="1"/>
  <c r="B67" i="10"/>
  <c r="A67" i="10" s="1"/>
  <c r="B68" i="10"/>
  <c r="A68" i="10" s="1"/>
  <c r="B69" i="10"/>
  <c r="A69" i="10" s="1"/>
  <c r="B70" i="10"/>
  <c r="A70" i="10" s="1"/>
  <c r="B71" i="10"/>
  <c r="A71" i="10" s="1"/>
  <c r="B72" i="10"/>
  <c r="A72" i="10" s="1"/>
  <c r="B73" i="10"/>
  <c r="A73" i="10" s="1"/>
  <c r="B10" i="10"/>
  <c r="A10" i="10" s="1"/>
  <c r="B11" i="10"/>
  <c r="A11" i="10" s="1"/>
  <c r="B12" i="10"/>
  <c r="A12" i="10" s="1"/>
  <c r="B13" i="10"/>
  <c r="A13" i="10" s="1"/>
  <c r="B14" i="10"/>
  <c r="A14" i="10" s="1"/>
  <c r="B15" i="10"/>
  <c r="A15" i="10" s="1"/>
  <c r="B16" i="10"/>
  <c r="A16" i="10" s="1"/>
  <c r="B17" i="10"/>
  <c r="A17" i="10" s="1"/>
  <c r="B18" i="10"/>
  <c r="A18" i="10" s="1"/>
  <c r="B19" i="10"/>
  <c r="A19" i="10" s="1"/>
  <c r="B20" i="10"/>
  <c r="A20" i="10" s="1"/>
  <c r="B21" i="10"/>
  <c r="A21" i="10" s="1"/>
  <c r="B22" i="10"/>
  <c r="A22" i="10" s="1"/>
  <c r="B23" i="10"/>
  <c r="A23" i="10" s="1"/>
  <c r="B24" i="10"/>
  <c r="A24" i="10" s="1"/>
  <c r="B25" i="10"/>
  <c r="A25" i="10" s="1"/>
  <c r="B26" i="10"/>
  <c r="A26" i="10" s="1"/>
  <c r="B27" i="10"/>
  <c r="A27" i="10" s="1"/>
  <c r="B28" i="10"/>
  <c r="A28" i="10" s="1"/>
  <c r="B29" i="10"/>
  <c r="A29" i="10" s="1"/>
  <c r="B30" i="10"/>
  <c r="A30" i="10" s="1"/>
  <c r="B31" i="10"/>
  <c r="A31" i="10" s="1"/>
  <c r="B9" i="10"/>
  <c r="Q81" i="10" l="1"/>
  <c r="R82" i="10"/>
  <c r="Q84" i="10"/>
  <c r="P84" i="10"/>
  <c r="Q82" i="10"/>
  <c r="O81" i="10"/>
  <c r="P81" i="10"/>
  <c r="O84" i="10"/>
  <c r="P82" i="10"/>
  <c r="R81" i="10"/>
  <c r="O82" i="10"/>
  <c r="R84" i="10"/>
  <c r="V13" i="51"/>
  <c r="W13" i="51" s="1"/>
  <c r="V28" i="50"/>
  <c r="W28" i="50" s="1"/>
  <c r="V26" i="50"/>
  <c r="W26" i="50" s="1"/>
  <c r="W22" i="50"/>
  <c r="V14" i="50"/>
  <c r="W14" i="50" s="1"/>
  <c r="F84" i="10"/>
  <c r="I78" i="10"/>
  <c r="L84" i="10"/>
  <c r="I79" i="10"/>
  <c r="H84" i="10"/>
  <c r="G84" i="10"/>
  <c r="I80" i="10"/>
  <c r="I77" i="10"/>
  <c r="N82" i="10"/>
  <c r="K81" i="10"/>
  <c r="J84" i="10"/>
  <c r="K84" i="10"/>
  <c r="H82" i="10"/>
  <c r="L82" i="10"/>
  <c r="M82" i="10"/>
  <c r="J81" i="10"/>
  <c r="N84" i="10"/>
  <c r="M84" i="10"/>
  <c r="L81" i="10"/>
  <c r="H81" i="10"/>
  <c r="M81" i="10"/>
  <c r="G81" i="10"/>
  <c r="K82" i="10"/>
  <c r="N81" i="10"/>
  <c r="J82" i="10"/>
  <c r="G82" i="10"/>
  <c r="A9" i="10"/>
  <c r="D81" i="10"/>
  <c r="F82" i="10"/>
  <c r="D84" i="10"/>
  <c r="F81" i="10"/>
  <c r="D82" i="10"/>
  <c r="O83" i="10" l="1"/>
  <c r="Q83" i="10"/>
  <c r="R83" i="10"/>
  <c r="P83" i="10"/>
  <c r="I82" i="10"/>
  <c r="I84" i="10"/>
  <c r="G83" i="10"/>
  <c r="J83" i="10"/>
  <c r="K83" i="10"/>
  <c r="N83" i="10"/>
  <c r="L83" i="10"/>
  <c r="H83" i="10"/>
  <c r="M83" i="10"/>
  <c r="I81" i="10"/>
  <c r="F83" i="10"/>
  <c r="D83" i="10"/>
  <c r="I83" i="10" l="1"/>
  <c r="J122" i="26" l="1"/>
  <c r="K122" i="26"/>
  <c r="L122" i="26"/>
  <c r="M122" i="26"/>
  <c r="N122" i="26"/>
  <c r="O122" i="26"/>
  <c r="P122" i="26"/>
  <c r="Q122" i="26"/>
  <c r="R122" i="26"/>
  <c r="S122" i="26"/>
  <c r="T122" i="26"/>
  <c r="U122" i="26"/>
  <c r="V122" i="26"/>
  <c r="W122" i="26"/>
  <c r="J67" i="26"/>
  <c r="K67" i="26"/>
  <c r="L67" i="26"/>
  <c r="M67" i="26"/>
  <c r="N67" i="26"/>
  <c r="O67" i="26"/>
  <c r="P67" i="26"/>
  <c r="Q67" i="26"/>
  <c r="R67" i="26"/>
  <c r="S67" i="26"/>
  <c r="J12" i="26"/>
  <c r="K12" i="26"/>
  <c r="L12" i="26"/>
  <c r="M12" i="26"/>
  <c r="N12" i="26"/>
  <c r="O12" i="26"/>
  <c r="P12" i="26"/>
  <c r="Q12" i="26"/>
  <c r="R12" i="26"/>
  <c r="S12" i="26"/>
  <c r="T12" i="26"/>
  <c r="U12" i="26"/>
  <c r="V12" i="26"/>
  <c r="W12" i="26"/>
  <c r="B14" i="26"/>
  <c r="B15" i="26"/>
  <c r="B16" i="26"/>
  <c r="B17" i="26"/>
  <c r="B13" i="26"/>
  <c r="C168" i="26"/>
  <c r="A167" i="26"/>
  <c r="A166" i="26"/>
  <c r="A165" i="26"/>
  <c r="A164" i="26"/>
  <c r="A163" i="26"/>
  <c r="A162" i="26"/>
  <c r="A161" i="26"/>
  <c r="A160" i="26"/>
  <c r="A159" i="26"/>
  <c r="A158" i="26"/>
  <c r="A157" i="26"/>
  <c r="A156" i="26"/>
  <c r="A155" i="26"/>
  <c r="A154" i="26"/>
  <c r="A153" i="26"/>
  <c r="A152" i="26"/>
  <c r="A151" i="26"/>
  <c r="A150" i="26"/>
  <c r="A149" i="26"/>
  <c r="A148" i="26"/>
  <c r="A147" i="26"/>
  <c r="A146" i="26"/>
  <c r="A145" i="26"/>
  <c r="A144" i="26"/>
  <c r="A143" i="26"/>
  <c r="A142" i="26"/>
  <c r="A141" i="26"/>
  <c r="A140" i="26"/>
  <c r="A139" i="26"/>
  <c r="A138" i="26"/>
  <c r="A137" i="26"/>
  <c r="A136" i="26"/>
  <c r="A135" i="26"/>
  <c r="A134" i="26"/>
  <c r="A133" i="26"/>
  <c r="A132" i="26"/>
  <c r="A131" i="26"/>
  <c r="A130" i="26"/>
  <c r="A129" i="26"/>
  <c r="A128" i="26"/>
  <c r="A127" i="26"/>
  <c r="A126" i="26"/>
  <c r="A125" i="26"/>
  <c r="A124" i="26"/>
  <c r="A123" i="26"/>
  <c r="G121" i="26"/>
  <c r="T121" i="26" s="1"/>
  <c r="C113" i="26"/>
  <c r="A112" i="26"/>
  <c r="A111" i="26"/>
  <c r="A110" i="26"/>
  <c r="A109" i="26"/>
  <c r="A108" i="26"/>
  <c r="A107" i="26"/>
  <c r="A106" i="26"/>
  <c r="A105" i="26"/>
  <c r="A104" i="26"/>
  <c r="A103" i="26"/>
  <c r="A102" i="26"/>
  <c r="A101" i="26"/>
  <c r="A100" i="26"/>
  <c r="A99" i="26"/>
  <c r="A98" i="26"/>
  <c r="A97" i="26"/>
  <c r="A96" i="26"/>
  <c r="A95" i="26"/>
  <c r="A94" i="26"/>
  <c r="A93" i="26"/>
  <c r="A92" i="26"/>
  <c r="A91" i="26"/>
  <c r="A90" i="26"/>
  <c r="A89" i="26"/>
  <c r="A88" i="26"/>
  <c r="A87" i="26"/>
  <c r="A86" i="26"/>
  <c r="A85" i="26"/>
  <c r="A84" i="26"/>
  <c r="A83" i="26"/>
  <c r="A82" i="26"/>
  <c r="A81" i="26"/>
  <c r="A80" i="26"/>
  <c r="A79" i="26"/>
  <c r="A78" i="26"/>
  <c r="A77" i="26"/>
  <c r="A76" i="26"/>
  <c r="A75" i="26"/>
  <c r="A74" i="26"/>
  <c r="A73" i="26"/>
  <c r="A72" i="26"/>
  <c r="A71" i="26"/>
  <c r="A70" i="26"/>
  <c r="A69" i="26"/>
  <c r="A68" i="26"/>
  <c r="W67" i="26"/>
  <c r="V67" i="26"/>
  <c r="U67" i="26"/>
  <c r="T67" i="26"/>
  <c r="G66" i="26"/>
  <c r="T66" i="26" s="1"/>
  <c r="U66" i="26" s="1"/>
  <c r="V66" i="26" s="1"/>
  <c r="W66" i="26" s="1"/>
  <c r="C58" i="26"/>
  <c r="G11" i="26"/>
  <c r="T11" i="26" s="1"/>
  <c r="U11" i="26" s="1"/>
  <c r="V11" i="26" s="1"/>
  <c r="W11" i="26" s="1"/>
  <c r="J122" i="17"/>
  <c r="J67" i="17"/>
  <c r="I14" i="29"/>
  <c r="G13" i="17"/>
  <c r="F14" i="29" l="1"/>
  <c r="B81" i="26"/>
  <c r="B84" i="26"/>
  <c r="B153" i="26"/>
  <c r="B83" i="26"/>
  <c r="B107" i="26"/>
  <c r="B144" i="26"/>
  <c r="B71" i="26"/>
  <c r="B79" i="26"/>
  <c r="B87" i="26"/>
  <c r="B95" i="26"/>
  <c r="B103" i="26"/>
  <c r="B111" i="26"/>
  <c r="B124" i="26"/>
  <c r="B132" i="26"/>
  <c r="B140" i="26"/>
  <c r="B148" i="26"/>
  <c r="B156" i="26"/>
  <c r="B164" i="26"/>
  <c r="B70" i="26"/>
  <c r="B78" i="26"/>
  <c r="B86" i="26"/>
  <c r="B94" i="26"/>
  <c r="B102" i="26"/>
  <c r="B110" i="26"/>
  <c r="B131" i="26"/>
  <c r="B139" i="26"/>
  <c r="B147" i="26"/>
  <c r="B155" i="26"/>
  <c r="B163" i="26"/>
  <c r="B69" i="26"/>
  <c r="B77" i="26"/>
  <c r="B85" i="26"/>
  <c r="B93" i="26"/>
  <c r="B101" i="26"/>
  <c r="B109" i="26"/>
  <c r="B130" i="26"/>
  <c r="B138" i="26"/>
  <c r="B146" i="26"/>
  <c r="B154" i="26"/>
  <c r="B162" i="26"/>
  <c r="B76" i="26"/>
  <c r="B100" i="26"/>
  <c r="B108" i="26"/>
  <c r="B137" i="26"/>
  <c r="B98" i="26"/>
  <c r="B106" i="26"/>
  <c r="B127" i="26"/>
  <c r="B135" i="26"/>
  <c r="B143" i="26"/>
  <c r="B151" i="26"/>
  <c r="B159" i="26"/>
  <c r="B167" i="26"/>
  <c r="B82" i="26"/>
  <c r="B92" i="26"/>
  <c r="B129" i="26"/>
  <c r="B145" i="26"/>
  <c r="B161" i="26"/>
  <c r="B75" i="26"/>
  <c r="B99" i="26"/>
  <c r="B136" i="26"/>
  <c r="B160" i="26"/>
  <c r="B89" i="26"/>
  <c r="B97" i="26"/>
  <c r="B105" i="26"/>
  <c r="B126" i="26"/>
  <c r="B134" i="26"/>
  <c r="B142" i="26"/>
  <c r="B150" i="26"/>
  <c r="B158" i="26"/>
  <c r="B166" i="26"/>
  <c r="B90" i="26"/>
  <c r="B91" i="26"/>
  <c r="B128" i="26"/>
  <c r="B152" i="26"/>
  <c r="B74" i="26"/>
  <c r="B73" i="26"/>
  <c r="B72" i="26"/>
  <c r="B80" i="26"/>
  <c r="B88" i="26"/>
  <c r="B96" i="26"/>
  <c r="B104" i="26"/>
  <c r="B112" i="26"/>
  <c r="B125" i="26"/>
  <c r="B133" i="26"/>
  <c r="B141" i="26"/>
  <c r="B149" i="26"/>
  <c r="B157" i="26"/>
  <c r="B165" i="26"/>
  <c r="B68" i="26"/>
  <c r="B123" i="26"/>
  <c r="M157" i="26" l="1"/>
  <c r="I157" i="26"/>
  <c r="N140" i="26"/>
  <c r="I140" i="26"/>
  <c r="J141" i="26"/>
  <c r="I141" i="26"/>
  <c r="K163" i="26"/>
  <c r="I163" i="26"/>
  <c r="Q136" i="26"/>
  <c r="I136" i="26"/>
  <c r="Q155" i="26"/>
  <c r="I155" i="26"/>
  <c r="P142" i="26"/>
  <c r="I142" i="26"/>
  <c r="K159" i="26"/>
  <c r="I159" i="26"/>
  <c r="M147" i="26"/>
  <c r="I147" i="26"/>
  <c r="Q153" i="26"/>
  <c r="I153" i="26"/>
  <c r="P154" i="26"/>
  <c r="I154" i="26"/>
  <c r="Q146" i="26"/>
  <c r="I146" i="26"/>
  <c r="L144" i="26"/>
  <c r="I144" i="26"/>
  <c r="J158" i="26"/>
  <c r="I158" i="26"/>
  <c r="J138" i="26"/>
  <c r="I138" i="26"/>
  <c r="P150" i="26"/>
  <c r="I150" i="26"/>
  <c r="Q167" i="26"/>
  <c r="I167" i="26"/>
  <c r="R137" i="26"/>
  <c r="I137" i="26"/>
  <c r="M152" i="26"/>
  <c r="I152" i="26"/>
  <c r="K134" i="26"/>
  <c r="I134" i="26"/>
  <c r="P151" i="26"/>
  <c r="I151" i="26"/>
  <c r="R139" i="26"/>
  <c r="I139" i="26"/>
  <c r="S164" i="26"/>
  <c r="I164" i="26"/>
  <c r="R149" i="26"/>
  <c r="I149" i="26"/>
  <c r="Q160" i="26"/>
  <c r="I160" i="26"/>
  <c r="P166" i="26"/>
  <c r="I166" i="26"/>
  <c r="S161" i="26"/>
  <c r="I161" i="26"/>
  <c r="K143" i="26"/>
  <c r="I143" i="26"/>
  <c r="N156" i="26"/>
  <c r="I156" i="26"/>
  <c r="O165" i="26"/>
  <c r="I165" i="26"/>
  <c r="K145" i="26"/>
  <c r="I145" i="26"/>
  <c r="J135" i="26"/>
  <c r="I135" i="26"/>
  <c r="N162" i="26"/>
  <c r="I162" i="26"/>
  <c r="M148" i="26"/>
  <c r="I148" i="26"/>
  <c r="L97" i="26"/>
  <c r="I97" i="26"/>
  <c r="K107" i="26"/>
  <c r="I107" i="26"/>
  <c r="N102" i="26"/>
  <c r="I102" i="26"/>
  <c r="R93" i="26"/>
  <c r="I93" i="26"/>
  <c r="T86" i="26"/>
  <c r="I86" i="26"/>
  <c r="J87" i="26"/>
  <c r="I87" i="26"/>
  <c r="O104" i="26"/>
  <c r="I104" i="26"/>
  <c r="J96" i="26"/>
  <c r="I96" i="26"/>
  <c r="K88" i="26"/>
  <c r="I88" i="26"/>
  <c r="O83" i="26"/>
  <c r="I83" i="26"/>
  <c r="V90" i="26"/>
  <c r="I90" i="26"/>
  <c r="P101" i="26"/>
  <c r="I101" i="26"/>
  <c r="O95" i="26"/>
  <c r="I95" i="26"/>
  <c r="L92" i="26"/>
  <c r="I92" i="26"/>
  <c r="O85" i="26"/>
  <c r="I85" i="26"/>
  <c r="W78" i="26"/>
  <c r="V79" i="26"/>
  <c r="I79" i="26"/>
  <c r="R84" i="26"/>
  <c r="I84" i="26"/>
  <c r="L110" i="26"/>
  <c r="I110" i="26"/>
  <c r="K106" i="26"/>
  <c r="I106" i="26"/>
  <c r="K80" i="26"/>
  <c r="I80" i="26"/>
  <c r="M98" i="26"/>
  <c r="I98" i="26"/>
  <c r="S99" i="26"/>
  <c r="I99" i="26"/>
  <c r="S82" i="26"/>
  <c r="I82" i="26"/>
  <c r="K108" i="26"/>
  <c r="I108" i="26"/>
  <c r="U81" i="26"/>
  <c r="I81" i="26"/>
  <c r="P89" i="26"/>
  <c r="I89" i="26"/>
  <c r="T111" i="26"/>
  <c r="I111" i="26"/>
  <c r="M91" i="26"/>
  <c r="I91" i="26"/>
  <c r="R109" i="26"/>
  <c r="I109" i="26"/>
  <c r="W103" i="26"/>
  <c r="I103" i="26"/>
  <c r="K94" i="26"/>
  <c r="I94" i="26"/>
  <c r="S112" i="26"/>
  <c r="I112" i="26"/>
  <c r="O105" i="26"/>
  <c r="I105" i="26"/>
  <c r="M100" i="26"/>
  <c r="I100" i="26"/>
  <c r="P156" i="26"/>
  <c r="T107" i="26"/>
  <c r="R156" i="26"/>
  <c r="S87" i="26"/>
  <c r="K156" i="26"/>
  <c r="U107" i="26"/>
  <c r="P107" i="26"/>
  <c r="L87" i="26"/>
  <c r="K86" i="26"/>
  <c r="R87" i="26"/>
  <c r="S107" i="26"/>
  <c r="L138" i="26"/>
  <c r="N89" i="26"/>
  <c r="V107" i="26"/>
  <c r="P86" i="26"/>
  <c r="R134" i="26"/>
  <c r="K166" i="26"/>
  <c r="Q89" i="26"/>
  <c r="W89" i="26"/>
  <c r="S86" i="26"/>
  <c r="O107" i="26"/>
  <c r="N134" i="26"/>
  <c r="S89" i="26"/>
  <c r="K87" i="26"/>
  <c r="M163" i="26"/>
  <c r="W92" i="26"/>
  <c r="O166" i="26"/>
  <c r="K89" i="26"/>
  <c r="N107" i="26"/>
  <c r="P138" i="26"/>
  <c r="W107" i="26"/>
  <c r="Q87" i="26"/>
  <c r="Q107" i="26"/>
  <c r="R107" i="26"/>
  <c r="Q166" i="26"/>
  <c r="P163" i="26"/>
  <c r="N138" i="26"/>
  <c r="V89" i="26"/>
  <c r="L107" i="26"/>
  <c r="Q93" i="26"/>
  <c r="N166" i="26"/>
  <c r="M156" i="26"/>
  <c r="O86" i="26"/>
  <c r="V92" i="26"/>
  <c r="U92" i="26"/>
  <c r="W87" i="26"/>
  <c r="L93" i="26"/>
  <c r="M107" i="26"/>
  <c r="N93" i="26"/>
  <c r="K93" i="26"/>
  <c r="M89" i="26"/>
  <c r="L89" i="26"/>
  <c r="J107" i="26"/>
  <c r="J163" i="26"/>
  <c r="L156" i="26"/>
  <c r="S138" i="26"/>
  <c r="S156" i="26"/>
  <c r="J156" i="26"/>
  <c r="T92" i="26"/>
  <c r="J86" i="26"/>
  <c r="S93" i="26"/>
  <c r="P93" i="26"/>
  <c r="R163" i="26"/>
  <c r="L163" i="26"/>
  <c r="U89" i="26"/>
  <c r="O93" i="26"/>
  <c r="N92" i="26"/>
  <c r="Q86" i="26"/>
  <c r="K138" i="26"/>
  <c r="T89" i="26"/>
  <c r="U86" i="26"/>
  <c r="P92" i="26"/>
  <c r="R92" i="26"/>
  <c r="J89" i="26"/>
  <c r="O89" i="26"/>
  <c r="J93" i="26"/>
  <c r="M86" i="26"/>
  <c r="K92" i="26"/>
  <c r="M138" i="26"/>
  <c r="Q163" i="26"/>
  <c r="O134" i="26"/>
  <c r="O163" i="26"/>
  <c r="M134" i="26"/>
  <c r="U87" i="26"/>
  <c r="V86" i="26"/>
  <c r="O92" i="26"/>
  <c r="R86" i="26"/>
  <c r="N87" i="26"/>
  <c r="O87" i="26"/>
  <c r="N163" i="26"/>
  <c r="S166" i="26"/>
  <c r="V87" i="26"/>
  <c r="L86" i="26"/>
  <c r="N86" i="26"/>
  <c r="W86" i="26"/>
  <c r="M93" i="26"/>
  <c r="Q92" i="26"/>
  <c r="O156" i="26"/>
  <c r="R138" i="26"/>
  <c r="Q138" i="26"/>
  <c r="Q156" i="26"/>
  <c r="T87" i="26"/>
  <c r="S92" i="26"/>
  <c r="J92" i="26"/>
  <c r="P87" i="26"/>
  <c r="M87" i="26"/>
  <c r="M92" i="26"/>
  <c r="S163" i="26"/>
  <c r="O138" i="26"/>
  <c r="R166" i="26"/>
  <c r="J134" i="26"/>
  <c r="L82" i="26"/>
  <c r="L98" i="26"/>
  <c r="N143" i="26"/>
  <c r="Q82" i="26"/>
  <c r="J98" i="26"/>
  <c r="M143" i="26"/>
  <c r="P143" i="26"/>
  <c r="O143" i="26"/>
  <c r="O98" i="26"/>
  <c r="Q143" i="26"/>
  <c r="V82" i="26"/>
  <c r="M166" i="26"/>
  <c r="P85" i="26"/>
  <c r="P148" i="26"/>
  <c r="R98" i="26"/>
  <c r="P98" i="26"/>
  <c r="W98" i="26"/>
  <c r="U98" i="26"/>
  <c r="N82" i="26"/>
  <c r="R89" i="26"/>
  <c r="Q134" i="26"/>
  <c r="P134" i="26"/>
  <c r="S134" i="26"/>
  <c r="L166" i="26"/>
  <c r="J166" i="26"/>
  <c r="R83" i="26"/>
  <c r="W79" i="26"/>
  <c r="S85" i="26"/>
  <c r="L83" i="26"/>
  <c r="J112" i="26"/>
  <c r="S83" i="26"/>
  <c r="L134" i="26"/>
  <c r="W80" i="26"/>
  <c r="Q149" i="26"/>
  <c r="L143" i="26"/>
  <c r="R143" i="26"/>
  <c r="R111" i="26"/>
  <c r="P79" i="26"/>
  <c r="N111" i="26"/>
  <c r="T110" i="26"/>
  <c r="M83" i="26"/>
  <c r="O79" i="26"/>
  <c r="J111" i="26"/>
  <c r="K155" i="26"/>
  <c r="W112" i="26"/>
  <c r="K110" i="26"/>
  <c r="L79" i="26"/>
  <c r="P83" i="26"/>
  <c r="L155" i="26"/>
  <c r="U112" i="26"/>
  <c r="O80" i="26"/>
  <c r="L80" i="26"/>
  <c r="K149" i="26"/>
  <c r="V112" i="26"/>
  <c r="N80" i="26"/>
  <c r="L112" i="26"/>
  <c r="N149" i="26"/>
  <c r="Q112" i="26"/>
  <c r="O112" i="26"/>
  <c r="R79" i="26"/>
  <c r="L111" i="26"/>
  <c r="J155" i="26"/>
  <c r="V98" i="26"/>
  <c r="U78" i="26"/>
  <c r="V80" i="26"/>
  <c r="U80" i="26"/>
  <c r="V110" i="26"/>
  <c r="N98" i="26"/>
  <c r="P111" i="26"/>
  <c r="M79" i="26"/>
  <c r="K82" i="26"/>
  <c r="K98" i="26"/>
  <c r="O148" i="26"/>
  <c r="P162" i="26"/>
  <c r="N152" i="26"/>
  <c r="Q152" i="26"/>
  <c r="O152" i="26"/>
  <c r="S143" i="26"/>
  <c r="T98" i="26"/>
  <c r="T79" i="26"/>
  <c r="T80" i="26"/>
  <c r="Q98" i="26"/>
  <c r="L85" i="26"/>
  <c r="R112" i="26"/>
  <c r="P80" i="26"/>
  <c r="K112" i="26"/>
  <c r="J83" i="26"/>
  <c r="J82" i="26"/>
  <c r="N110" i="26"/>
  <c r="S149" i="26"/>
  <c r="J148" i="26"/>
  <c r="T78" i="26"/>
  <c r="P82" i="26"/>
  <c r="O82" i="26"/>
  <c r="M111" i="26"/>
  <c r="M82" i="26"/>
  <c r="O162" i="26"/>
  <c r="N148" i="26"/>
  <c r="J143" i="26"/>
  <c r="R82" i="26"/>
  <c r="J85" i="26"/>
  <c r="N83" i="26"/>
  <c r="S111" i="26"/>
  <c r="K111" i="26"/>
  <c r="W82" i="26"/>
  <c r="T82" i="26"/>
  <c r="W111" i="26"/>
  <c r="T112" i="26"/>
  <c r="U82" i="26"/>
  <c r="J110" i="26"/>
  <c r="M112" i="26"/>
  <c r="J80" i="26"/>
  <c r="S98" i="26"/>
  <c r="P112" i="26"/>
  <c r="S79" i="26"/>
  <c r="O111" i="26"/>
  <c r="J79" i="26"/>
  <c r="S152" i="26"/>
  <c r="R148" i="26"/>
  <c r="O110" i="26"/>
  <c r="J160" i="26"/>
  <c r="P161" i="26"/>
  <c r="Q162" i="26"/>
  <c r="M108" i="26"/>
  <c r="P96" i="26"/>
  <c r="R91" i="26"/>
  <c r="P149" i="26"/>
  <c r="L152" i="26"/>
  <c r="P91" i="26"/>
  <c r="K91" i="26"/>
  <c r="S80" i="26"/>
  <c r="K152" i="26"/>
  <c r="P152" i="26"/>
  <c r="O159" i="26"/>
  <c r="R158" i="26"/>
  <c r="S160" i="26"/>
  <c r="Q158" i="26"/>
  <c r="J149" i="26"/>
  <c r="J162" i="26"/>
  <c r="S137" i="26"/>
  <c r="M165" i="26"/>
  <c r="O167" i="26"/>
  <c r="L96" i="26"/>
  <c r="P108" i="26"/>
  <c r="N159" i="26"/>
  <c r="R161" i="26"/>
  <c r="V91" i="26"/>
  <c r="V108" i="26"/>
  <c r="M96" i="26"/>
  <c r="N108" i="26"/>
  <c r="O160" i="26"/>
  <c r="P159" i="26"/>
  <c r="T91" i="26"/>
  <c r="W108" i="26"/>
  <c r="U108" i="26"/>
  <c r="K96" i="26"/>
  <c r="L165" i="26"/>
  <c r="L159" i="26"/>
  <c r="R108" i="26"/>
  <c r="R159" i="26"/>
  <c r="O108" i="26"/>
  <c r="Q96" i="26"/>
  <c r="O96" i="26"/>
  <c r="J91" i="26"/>
  <c r="S91" i="26"/>
  <c r="S108" i="26"/>
  <c r="N96" i="26"/>
  <c r="O91" i="26"/>
  <c r="T108" i="26"/>
  <c r="N165" i="26"/>
  <c r="K165" i="26"/>
  <c r="M149" i="26"/>
  <c r="P165" i="26"/>
  <c r="O149" i="26"/>
  <c r="N112" i="26"/>
  <c r="M80" i="26"/>
  <c r="R80" i="26"/>
  <c r="Q80" i="26"/>
  <c r="Q161" i="26"/>
  <c r="N160" i="26"/>
  <c r="J152" i="26"/>
  <c r="S162" i="26"/>
  <c r="M167" i="26"/>
  <c r="R165" i="26"/>
  <c r="K97" i="26"/>
  <c r="P103" i="26"/>
  <c r="L149" i="26"/>
  <c r="R160" i="26"/>
  <c r="J165" i="26"/>
  <c r="S136" i="26"/>
  <c r="L150" i="26"/>
  <c r="J153" i="26"/>
  <c r="S154" i="26"/>
  <c r="R105" i="26"/>
  <c r="L154" i="26"/>
  <c r="P136" i="26"/>
  <c r="L88" i="26"/>
  <c r="R136" i="26"/>
  <c r="Q106" i="26"/>
  <c r="R103" i="26"/>
  <c r="P145" i="26"/>
  <c r="P90" i="26"/>
  <c r="K109" i="26"/>
  <c r="O136" i="26"/>
  <c r="O158" i="26"/>
  <c r="L145" i="26"/>
  <c r="R100" i="26"/>
  <c r="R102" i="26"/>
  <c r="M154" i="26"/>
  <c r="M135" i="26"/>
  <c r="Q154" i="26"/>
  <c r="K154" i="26"/>
  <c r="S153" i="26"/>
  <c r="N106" i="26"/>
  <c r="L100" i="26"/>
  <c r="P109" i="26"/>
  <c r="R153" i="26"/>
  <c r="Q140" i="26"/>
  <c r="Q135" i="26"/>
  <c r="U103" i="26"/>
  <c r="T103" i="26"/>
  <c r="P102" i="26"/>
  <c r="O109" i="26"/>
  <c r="M109" i="26"/>
  <c r="K103" i="26"/>
  <c r="L105" i="26"/>
  <c r="R150" i="26"/>
  <c r="N136" i="26"/>
  <c r="Q147" i="26"/>
  <c r="P147" i="26"/>
  <c r="N150" i="26"/>
  <c r="M145" i="26"/>
  <c r="S150" i="26"/>
  <c r="M103" i="26"/>
  <c r="K136" i="26"/>
  <c r="K153" i="26"/>
  <c r="W105" i="26"/>
  <c r="V105" i="26"/>
  <c r="O106" i="26"/>
  <c r="O81" i="26"/>
  <c r="J109" i="26"/>
  <c r="S147" i="26"/>
  <c r="R147" i="26"/>
  <c r="S157" i="26"/>
  <c r="S146" i="26"/>
  <c r="M136" i="26"/>
  <c r="P157" i="26"/>
  <c r="K157" i="26"/>
  <c r="Q151" i="26"/>
  <c r="T100" i="26"/>
  <c r="W106" i="26"/>
  <c r="W81" i="26"/>
  <c r="S100" i="26"/>
  <c r="K81" i="26"/>
  <c r="P81" i="26"/>
  <c r="J105" i="26"/>
  <c r="R88" i="26"/>
  <c r="S101" i="26"/>
  <c r="S109" i="26"/>
  <c r="S106" i="26"/>
  <c r="Q109" i="26"/>
  <c r="M106" i="26"/>
  <c r="L81" i="26"/>
  <c r="J103" i="26"/>
  <c r="Q145" i="26"/>
  <c r="O144" i="26"/>
  <c r="J147" i="26"/>
  <c r="P153" i="26"/>
  <c r="K140" i="26"/>
  <c r="J136" i="26"/>
  <c r="N145" i="26"/>
  <c r="N153" i="26"/>
  <c r="R151" i="26"/>
  <c r="K150" i="26"/>
  <c r="J151" i="26"/>
  <c r="J145" i="26"/>
  <c r="L153" i="26"/>
  <c r="O151" i="26"/>
  <c r="J106" i="26"/>
  <c r="J150" i="26"/>
  <c r="V106" i="26"/>
  <c r="S81" i="26"/>
  <c r="U100" i="26"/>
  <c r="J88" i="26"/>
  <c r="V102" i="26"/>
  <c r="M105" i="26"/>
  <c r="R81" i="26"/>
  <c r="S102" i="26"/>
  <c r="Q105" i="26"/>
  <c r="R106" i="26"/>
  <c r="S103" i="26"/>
  <c r="O153" i="26"/>
  <c r="M140" i="26"/>
  <c r="R145" i="26"/>
  <c r="Q90" i="26"/>
  <c r="Q81" i="26"/>
  <c r="Q101" i="26"/>
  <c r="J81" i="26"/>
  <c r="K102" i="26"/>
  <c r="P105" i="26"/>
  <c r="Q104" i="26"/>
  <c r="O102" i="26"/>
  <c r="O154" i="26"/>
  <c r="Q142" i="26"/>
  <c r="N151" i="26"/>
  <c r="R146" i="26"/>
  <c r="O150" i="26"/>
  <c r="N147" i="26"/>
  <c r="R140" i="26"/>
  <c r="S145" i="26"/>
  <c r="K147" i="26"/>
  <c r="M150" i="26"/>
  <c r="L136" i="26"/>
  <c r="O103" i="26"/>
  <c r="T106" i="26"/>
  <c r="V100" i="26"/>
  <c r="N88" i="26"/>
  <c r="P106" i="26"/>
  <c r="S88" i="26"/>
  <c r="Q157" i="26"/>
  <c r="K151" i="26"/>
  <c r="W90" i="26"/>
  <c r="V81" i="26"/>
  <c r="S105" i="26"/>
  <c r="M81" i="26"/>
  <c r="N81" i="26"/>
  <c r="N105" i="26"/>
  <c r="T81" i="26"/>
  <c r="W102" i="26"/>
  <c r="W100" i="26"/>
  <c r="N103" i="26"/>
  <c r="W94" i="26"/>
  <c r="T105" i="26"/>
  <c r="U106" i="26"/>
  <c r="V95" i="26"/>
  <c r="U105" i="26"/>
  <c r="L109" i="26"/>
  <c r="J84" i="26"/>
  <c r="Q103" i="26"/>
  <c r="M88" i="26"/>
  <c r="Q100" i="26"/>
  <c r="N109" i="26"/>
  <c r="P100" i="26"/>
  <c r="Q102" i="26"/>
  <c r="L106" i="26"/>
  <c r="L103" i="26"/>
  <c r="O88" i="26"/>
  <c r="M139" i="26"/>
  <c r="O140" i="26"/>
  <c r="Q150" i="26"/>
  <c r="L157" i="26"/>
  <c r="S141" i="26"/>
  <c r="M151" i="26"/>
  <c r="L140" i="26"/>
  <c r="J157" i="26"/>
  <c r="S140" i="26"/>
  <c r="N157" i="26"/>
  <c r="L137" i="26"/>
  <c r="L147" i="26"/>
  <c r="M153" i="26"/>
  <c r="J140" i="26"/>
  <c r="Q164" i="26"/>
  <c r="O135" i="26"/>
  <c r="N154" i="26"/>
  <c r="J100" i="26"/>
  <c r="N100" i="26"/>
  <c r="V103" i="26"/>
  <c r="K100" i="26"/>
  <c r="R154" i="26"/>
  <c r="O145" i="26"/>
  <c r="J154" i="26"/>
  <c r="L151" i="26"/>
  <c r="O147" i="26"/>
  <c r="S151" i="26"/>
  <c r="P140" i="26"/>
  <c r="P88" i="26"/>
  <c r="T102" i="26"/>
  <c r="K105" i="26"/>
  <c r="J102" i="26"/>
  <c r="M95" i="26"/>
  <c r="U102" i="26"/>
  <c r="L102" i="26"/>
  <c r="L99" i="26"/>
  <c r="O100" i="26"/>
  <c r="Q88" i="26"/>
  <c r="M102" i="26"/>
  <c r="P158" i="26"/>
  <c r="O157" i="26"/>
  <c r="L158" i="26"/>
  <c r="M161" i="26"/>
  <c r="S158" i="26"/>
  <c r="T97" i="26"/>
  <c r="T84" i="26"/>
  <c r="T90" i="26"/>
  <c r="T95" i="26"/>
  <c r="M101" i="26"/>
  <c r="M97" i="26"/>
  <c r="P94" i="26"/>
  <c r="K101" i="26"/>
  <c r="L95" i="26"/>
  <c r="R90" i="26"/>
  <c r="N99" i="26"/>
  <c r="K95" i="26"/>
  <c r="N135" i="26"/>
  <c r="L141" i="26"/>
  <c r="N167" i="26"/>
  <c r="K141" i="26"/>
  <c r="N139" i="26"/>
  <c r="P139" i="26"/>
  <c r="K146" i="26"/>
  <c r="J146" i="26"/>
  <c r="K135" i="26"/>
  <c r="J167" i="26"/>
  <c r="P141" i="26"/>
  <c r="J137" i="26"/>
  <c r="L142" i="26"/>
  <c r="P104" i="26"/>
  <c r="W110" i="26"/>
  <c r="U84" i="26"/>
  <c r="U91" i="26"/>
  <c r="V96" i="26"/>
  <c r="W95" i="26"/>
  <c r="W91" i="26"/>
  <c r="T94" i="26"/>
  <c r="W97" i="26"/>
  <c r="S84" i="26"/>
  <c r="Q97" i="26"/>
  <c r="Q95" i="26"/>
  <c r="O101" i="26"/>
  <c r="J108" i="26"/>
  <c r="Q110" i="26"/>
  <c r="N85" i="26"/>
  <c r="L91" i="26"/>
  <c r="R97" i="26"/>
  <c r="M104" i="26"/>
  <c r="S110" i="26"/>
  <c r="N90" i="26"/>
  <c r="R85" i="26"/>
  <c r="R101" i="26"/>
  <c r="N91" i="26"/>
  <c r="L84" i="26"/>
  <c r="M110" i="26"/>
  <c r="R99" i="26"/>
  <c r="S96" i="26"/>
  <c r="R142" i="26"/>
  <c r="K164" i="26"/>
  <c r="K160" i="26"/>
  <c r="K148" i="26"/>
  <c r="N141" i="26"/>
  <c r="L146" i="26"/>
  <c r="R152" i="26"/>
  <c r="M159" i="26"/>
  <c r="S165" i="26"/>
  <c r="L148" i="26"/>
  <c r="R157" i="26"/>
  <c r="M164" i="26"/>
  <c r="N142" i="26"/>
  <c r="N144" i="26"/>
  <c r="K161" i="26"/>
  <c r="R167" i="26"/>
  <c r="M160" i="26"/>
  <c r="R164" i="26"/>
  <c r="J90" i="26"/>
  <c r="L160" i="26"/>
  <c r="P97" i="26"/>
  <c r="L94" i="26"/>
  <c r="Q99" i="26"/>
  <c r="J101" i="26"/>
  <c r="M90" i="26"/>
  <c r="S139" i="26"/>
  <c r="M146" i="26"/>
  <c r="Q139" i="26"/>
  <c r="P144" i="26"/>
  <c r="L101" i="26"/>
  <c r="R104" i="26"/>
  <c r="M84" i="26"/>
  <c r="Q137" i="26"/>
  <c r="J139" i="26"/>
  <c r="Q165" i="26"/>
  <c r="S135" i="26"/>
  <c r="L139" i="26"/>
  <c r="J142" i="26"/>
  <c r="U111" i="26"/>
  <c r="U97" i="26"/>
  <c r="U96" i="26"/>
  <c r="U90" i="26"/>
  <c r="V78" i="26"/>
  <c r="V84" i="26"/>
  <c r="O84" i="26"/>
  <c r="M99" i="26"/>
  <c r="Q94" i="26"/>
  <c r="P95" i="26"/>
  <c r="Q108" i="26"/>
  <c r="Q85" i="26"/>
  <c r="K85" i="26"/>
  <c r="Q91" i="26"/>
  <c r="O97" i="26"/>
  <c r="J104" i="26"/>
  <c r="P110" i="26"/>
  <c r="S90" i="26"/>
  <c r="K99" i="26"/>
  <c r="S104" i="26"/>
  <c r="N79" i="26"/>
  <c r="K84" i="26"/>
  <c r="K104" i="26"/>
  <c r="S155" i="26"/>
  <c r="N155" i="26"/>
  <c r="S144" i="26"/>
  <c r="R162" i="26"/>
  <c r="M155" i="26"/>
  <c r="O137" i="26"/>
  <c r="J144" i="26"/>
  <c r="P160" i="26"/>
  <c r="P146" i="26"/>
  <c r="O142" i="26"/>
  <c r="P155" i="26"/>
  <c r="K162" i="26"/>
  <c r="O155" i="26"/>
  <c r="M137" i="26"/>
  <c r="S159" i="26"/>
  <c r="S167" i="26"/>
  <c r="J159" i="26"/>
  <c r="K137" i="26"/>
  <c r="Q159" i="26"/>
  <c r="R135" i="26"/>
  <c r="Q148" i="26"/>
  <c r="K139" i="26"/>
  <c r="P167" i="26"/>
  <c r="J161" i="26"/>
  <c r="O94" i="26"/>
  <c r="N146" i="26"/>
  <c r="U94" i="26"/>
  <c r="J94" i="26"/>
  <c r="Q84" i="26"/>
  <c r="O90" i="26"/>
  <c r="J97" i="26"/>
  <c r="N94" i="26"/>
  <c r="Q144" i="26"/>
  <c r="O139" i="26"/>
  <c r="M142" i="26"/>
  <c r="P164" i="26"/>
  <c r="R94" i="26"/>
  <c r="N95" i="26"/>
  <c r="O164" i="26"/>
  <c r="R144" i="26"/>
  <c r="N164" i="26"/>
  <c r="L164" i="26"/>
  <c r="M141" i="26"/>
  <c r="V111" i="26"/>
  <c r="U79" i="26"/>
  <c r="U110" i="26"/>
  <c r="W96" i="26"/>
  <c r="V94" i="26"/>
  <c r="R95" i="26"/>
  <c r="M85" i="26"/>
  <c r="R110" i="26"/>
  <c r="Q79" i="26"/>
  <c r="Q111" i="26"/>
  <c r="S94" i="26"/>
  <c r="N101" i="26"/>
  <c r="P84" i="26"/>
  <c r="N84" i="26"/>
  <c r="L90" i="26"/>
  <c r="R96" i="26"/>
  <c r="K90" i="26"/>
  <c r="M94" i="26"/>
  <c r="L108" i="26"/>
  <c r="S95" i="26"/>
  <c r="J99" i="26"/>
  <c r="J95" i="26"/>
  <c r="K79" i="26"/>
  <c r="O99" i="26"/>
  <c r="S148" i="26"/>
  <c r="O146" i="26"/>
  <c r="P137" i="26"/>
  <c r="K144" i="26"/>
  <c r="L162" i="26"/>
  <c r="N158" i="26"/>
  <c r="L135" i="26"/>
  <c r="R141" i="26"/>
  <c r="N161" i="26"/>
  <c r="L167" i="26"/>
  <c r="P135" i="26"/>
  <c r="M158" i="26"/>
  <c r="K158" i="26"/>
  <c r="K167" i="26"/>
  <c r="L161" i="26"/>
  <c r="J164" i="26"/>
  <c r="S142" i="26"/>
  <c r="Q141" i="26"/>
  <c r="N137" i="26"/>
  <c r="K142" i="26"/>
  <c r="U95" i="26"/>
  <c r="T96" i="26"/>
  <c r="W84" i="26"/>
  <c r="V97" i="26"/>
  <c r="S97" i="26"/>
  <c r="N104" i="26"/>
  <c r="L104" i="26"/>
  <c r="Q83" i="26"/>
  <c r="N97" i="26"/>
  <c r="P99" i="26"/>
  <c r="K83" i="26"/>
  <c r="R155" i="26"/>
  <c r="M162" i="26"/>
  <c r="O141" i="26"/>
  <c r="O161" i="26"/>
  <c r="M144" i="26"/>
  <c r="U88" i="26"/>
  <c r="V88" i="26"/>
  <c r="T88" i="26"/>
  <c r="W88" i="26"/>
  <c r="W85" i="26"/>
  <c r="T85" i="26"/>
  <c r="V85" i="26"/>
  <c r="U85" i="26"/>
  <c r="V99" i="26"/>
  <c r="U99" i="26"/>
  <c r="W99" i="26"/>
  <c r="T99" i="26"/>
  <c r="U104" i="26"/>
  <c r="V104" i="26"/>
  <c r="T104" i="26"/>
  <c r="W104" i="26"/>
  <c r="W93" i="26"/>
  <c r="T93" i="26"/>
  <c r="U93" i="26"/>
  <c r="V93" i="26"/>
  <c r="W109" i="26"/>
  <c r="T109" i="26"/>
  <c r="U109" i="26"/>
  <c r="V109" i="26"/>
  <c r="V83" i="26"/>
  <c r="U83" i="26"/>
  <c r="W83" i="26"/>
  <c r="T83" i="26"/>
  <c r="W101" i="26"/>
  <c r="T101" i="26"/>
  <c r="U101" i="26"/>
  <c r="V101" i="26"/>
  <c r="A6" i="24" l="1"/>
  <c r="A7" i="24"/>
  <c r="A8" i="24"/>
  <c r="A9" i="24"/>
  <c r="A10" i="24"/>
  <c r="A11" i="24"/>
  <c r="A12" i="24"/>
  <c r="A13" i="24"/>
  <c r="A14" i="24"/>
  <c r="A15" i="24"/>
  <c r="A16" i="24"/>
  <c r="A17" i="24"/>
  <c r="A19" i="24"/>
  <c r="A21" i="24"/>
  <c r="A22" i="24"/>
  <c r="A23" i="24"/>
  <c r="A24" i="24"/>
  <c r="A25" i="24"/>
  <c r="A26" i="24"/>
  <c r="A27" i="24"/>
  <c r="A28" i="24"/>
  <c r="A29" i="24"/>
  <c r="A31" i="24"/>
  <c r="A32" i="24"/>
  <c r="A33" i="24"/>
  <c r="A34" i="24"/>
  <c r="A35" i="24"/>
  <c r="A37" i="24"/>
  <c r="A38" i="24"/>
  <c r="A39" i="24"/>
  <c r="A43" i="24"/>
  <c r="A44" i="24"/>
  <c r="A45" i="24"/>
  <c r="A46" i="24"/>
  <c r="A5" i="24"/>
  <c r="A5" i="23"/>
  <c r="A6" i="23"/>
  <c r="A7" i="23"/>
  <c r="A8" i="23"/>
  <c r="A9" i="23"/>
  <c r="A10" i="23"/>
  <c r="A11" i="23"/>
  <c r="A12" i="23"/>
  <c r="A13" i="23"/>
  <c r="A14" i="23"/>
  <c r="A15" i="23"/>
  <c r="A16" i="23"/>
  <c r="A17" i="23"/>
  <c r="A19" i="23"/>
  <c r="A21" i="23"/>
  <c r="A22" i="23"/>
  <c r="A23" i="23"/>
  <c r="A24" i="23"/>
  <c r="A25" i="23"/>
  <c r="A26" i="23"/>
  <c r="A27" i="23"/>
  <c r="A28" i="23"/>
  <c r="A29" i="23"/>
  <c r="A31" i="23"/>
  <c r="A32" i="23"/>
  <c r="A33" i="23"/>
  <c r="A34" i="23"/>
  <c r="A35" i="23"/>
  <c r="A37" i="23"/>
  <c r="A38" i="23"/>
  <c r="A39" i="23"/>
  <c r="A43" i="23"/>
  <c r="A44" i="23"/>
  <c r="A45" i="23"/>
  <c r="A46" i="23"/>
  <c r="A6" i="22"/>
  <c r="A7" i="22"/>
  <c r="A8" i="22"/>
  <c r="A9" i="22"/>
  <c r="A10" i="22"/>
  <c r="A11" i="22"/>
  <c r="A12" i="22"/>
  <c r="A13" i="22"/>
  <c r="A14" i="22"/>
  <c r="A15" i="22"/>
  <c r="A16" i="22"/>
  <c r="A17" i="22"/>
  <c r="A19" i="22"/>
  <c r="A21" i="22"/>
  <c r="A22" i="22"/>
  <c r="A23" i="22"/>
  <c r="A24" i="22"/>
  <c r="A25" i="22"/>
  <c r="A26" i="22"/>
  <c r="A27" i="22"/>
  <c r="A28" i="22"/>
  <c r="A29" i="22"/>
  <c r="A31" i="22"/>
  <c r="A32" i="22"/>
  <c r="A34" i="22"/>
  <c r="A35" i="22"/>
  <c r="A36" i="22"/>
  <c r="A38" i="22"/>
  <c r="A39" i="22"/>
  <c r="A40" i="22"/>
  <c r="A44" i="22"/>
  <c r="A45" i="22"/>
  <c r="A46" i="22"/>
  <c r="A47" i="22"/>
  <c r="A5" i="22"/>
  <c r="A6" i="15"/>
  <c r="A7" i="15"/>
  <c r="A8" i="15"/>
  <c r="A9" i="15"/>
  <c r="A10" i="15"/>
  <c r="A11" i="15"/>
  <c r="A12" i="15"/>
  <c r="A13" i="15"/>
  <c r="A14" i="15"/>
  <c r="A15" i="15"/>
  <c r="A16" i="15"/>
  <c r="A17" i="15"/>
  <c r="A19" i="15"/>
  <c r="A21" i="15"/>
  <c r="A22" i="15"/>
  <c r="A23" i="15"/>
  <c r="A24" i="15"/>
  <c r="A25" i="15"/>
  <c r="A26" i="15"/>
  <c r="A27" i="15"/>
  <c r="A28" i="15"/>
  <c r="A29" i="15"/>
  <c r="A31" i="15"/>
  <c r="A32" i="15"/>
  <c r="A33" i="15"/>
  <c r="A34" i="15"/>
  <c r="A35" i="15"/>
  <c r="A37" i="15"/>
  <c r="A38" i="15"/>
  <c r="A39" i="15"/>
  <c r="A43" i="15"/>
  <c r="A44" i="15"/>
  <c r="A45" i="15"/>
  <c r="A46" i="15"/>
  <c r="A5" i="15"/>
  <c r="A6" i="3"/>
  <c r="A7" i="3"/>
  <c r="A8" i="3"/>
  <c r="A9" i="3"/>
  <c r="A10" i="3"/>
  <c r="A11" i="3"/>
  <c r="A12" i="3"/>
  <c r="A13" i="3"/>
  <c r="A14" i="3"/>
  <c r="A15" i="3"/>
  <c r="A16" i="3"/>
  <c r="A17" i="3"/>
  <c r="A19" i="3"/>
  <c r="A21" i="3"/>
  <c r="A22" i="3"/>
  <c r="A23" i="3"/>
  <c r="A24" i="3"/>
  <c r="A25" i="3"/>
  <c r="A26" i="3"/>
  <c r="A27" i="3"/>
  <c r="A28" i="3"/>
  <c r="A29" i="3"/>
  <c r="A31" i="3"/>
  <c r="A32" i="3"/>
  <c r="A33" i="3"/>
  <c r="A34" i="3"/>
  <c r="A35" i="3"/>
  <c r="A37" i="3"/>
  <c r="A38" i="3"/>
  <c r="A39" i="3"/>
  <c r="A43" i="3"/>
  <c r="A44" i="3"/>
  <c r="A45" i="3"/>
  <c r="A46" i="3"/>
  <c r="A5" i="3"/>
  <c r="A6" i="2"/>
  <c r="A7" i="2"/>
  <c r="A8" i="2"/>
  <c r="A9" i="2"/>
  <c r="A10" i="2"/>
  <c r="A11" i="2"/>
  <c r="A12" i="2"/>
  <c r="A13" i="2"/>
  <c r="A14" i="2"/>
  <c r="A15" i="2"/>
  <c r="A16" i="2"/>
  <c r="A17" i="2"/>
  <c r="A19" i="2"/>
  <c r="A21" i="2"/>
  <c r="A22" i="2"/>
  <c r="A23" i="2"/>
  <c r="A24" i="2"/>
  <c r="A25" i="2"/>
  <c r="A26" i="2"/>
  <c r="A27" i="2"/>
  <c r="A28" i="2"/>
  <c r="A29" i="2"/>
  <c r="A31" i="2"/>
  <c r="A32" i="2"/>
  <c r="A34" i="2"/>
  <c r="A35" i="2"/>
  <c r="A36" i="2"/>
  <c r="A38" i="2"/>
  <c r="A39" i="2"/>
  <c r="A40" i="2"/>
  <c r="A44" i="2"/>
  <c r="A45" i="2"/>
  <c r="A46" i="2"/>
  <c r="A47" i="2"/>
  <c r="A5" i="2"/>
  <c r="L7" i="21"/>
  <c r="H75" i="29" s="1"/>
  <c r="M7" i="21"/>
  <c r="H138" i="29" s="1"/>
  <c r="N7" i="21"/>
  <c r="H14" i="30" s="1"/>
  <c r="O7" i="21"/>
  <c r="H76" i="30" s="1"/>
  <c r="P7" i="21"/>
  <c r="H139" i="30" s="1"/>
  <c r="L8" i="21"/>
  <c r="H77" i="29" s="1"/>
  <c r="M8" i="21"/>
  <c r="H140" i="29" s="1"/>
  <c r="N8" i="21"/>
  <c r="H16" i="30" s="1"/>
  <c r="O8" i="21"/>
  <c r="H78" i="30" s="1"/>
  <c r="P8" i="21"/>
  <c r="H141" i="30" s="1"/>
  <c r="L9" i="21"/>
  <c r="M9" i="21"/>
  <c r="N9" i="21"/>
  <c r="O9" i="21"/>
  <c r="P9" i="21"/>
  <c r="L10" i="21"/>
  <c r="M10" i="21"/>
  <c r="N10" i="21"/>
  <c r="O10" i="21"/>
  <c r="P10" i="21"/>
  <c r="L11" i="21"/>
  <c r="H76" i="29" s="1"/>
  <c r="M11" i="21"/>
  <c r="H139" i="29" s="1"/>
  <c r="N11" i="21"/>
  <c r="H15" i="30" s="1"/>
  <c r="O11" i="21"/>
  <c r="H77" i="30" s="1"/>
  <c r="P11" i="21"/>
  <c r="H140" i="30" s="1"/>
  <c r="L12" i="21"/>
  <c r="M12" i="21"/>
  <c r="N12" i="21"/>
  <c r="O12" i="21"/>
  <c r="P12" i="21"/>
  <c r="L13" i="21"/>
  <c r="M13" i="21"/>
  <c r="N13" i="21"/>
  <c r="O13" i="21"/>
  <c r="P13" i="21"/>
  <c r="L14" i="21"/>
  <c r="M14" i="21"/>
  <c r="N14" i="21"/>
  <c r="O14" i="21"/>
  <c r="P14" i="21"/>
  <c r="L15" i="21"/>
  <c r="H68" i="17" s="1"/>
  <c r="M15" i="21"/>
  <c r="H123" i="17" s="1"/>
  <c r="N15" i="21"/>
  <c r="H13" i="26" s="1"/>
  <c r="O15" i="21"/>
  <c r="H68" i="26" s="1"/>
  <c r="P15" i="21"/>
  <c r="H123" i="26" s="1"/>
  <c r="L16" i="21"/>
  <c r="H78" i="29" s="1"/>
  <c r="M16" i="21"/>
  <c r="H141" i="29" s="1"/>
  <c r="N16" i="21"/>
  <c r="H17" i="30" s="1"/>
  <c r="O16" i="21"/>
  <c r="H79" i="30" s="1"/>
  <c r="P16" i="21"/>
  <c r="H142" i="30" s="1"/>
  <c r="L17" i="21"/>
  <c r="H79" i="29" s="1"/>
  <c r="M17" i="21"/>
  <c r="H142" i="29" s="1"/>
  <c r="N17" i="21"/>
  <c r="H18" i="30" s="1"/>
  <c r="O17" i="21"/>
  <c r="H80" i="30" s="1"/>
  <c r="P17" i="21"/>
  <c r="H143" i="30" s="1"/>
  <c r="L18" i="21"/>
  <c r="H80" i="29" s="1"/>
  <c r="M18" i="21"/>
  <c r="H143" i="29" s="1"/>
  <c r="N18" i="21"/>
  <c r="H19" i="30" s="1"/>
  <c r="O18" i="21"/>
  <c r="H81" i="30" s="1"/>
  <c r="P18" i="21"/>
  <c r="H144" i="30" s="1"/>
  <c r="L19" i="21"/>
  <c r="M19" i="21"/>
  <c r="N19" i="21"/>
  <c r="O19" i="21"/>
  <c r="P19" i="21"/>
  <c r="L20" i="21"/>
  <c r="H81" i="29" s="1"/>
  <c r="M20" i="21"/>
  <c r="H144" i="29" s="1"/>
  <c r="N20" i="21"/>
  <c r="H20" i="30" s="1"/>
  <c r="O20" i="21"/>
  <c r="H82" i="30" s="1"/>
  <c r="P20" i="21"/>
  <c r="H145" i="30" s="1"/>
  <c r="L21" i="21"/>
  <c r="H69" i="17" s="1"/>
  <c r="M21" i="21"/>
  <c r="H124" i="17" s="1"/>
  <c r="N21" i="21"/>
  <c r="H14" i="26" s="1"/>
  <c r="O21" i="21"/>
  <c r="H69" i="26" s="1"/>
  <c r="P21" i="21"/>
  <c r="H124" i="26" s="1"/>
  <c r="L22" i="21"/>
  <c r="H82" i="29" s="1"/>
  <c r="M22" i="21"/>
  <c r="H145" i="29" s="1"/>
  <c r="N22" i="21"/>
  <c r="H21" i="30" s="1"/>
  <c r="O22" i="21"/>
  <c r="H83" i="30" s="1"/>
  <c r="P22" i="21"/>
  <c r="H146" i="30" s="1"/>
  <c r="L23" i="21"/>
  <c r="M23" i="21"/>
  <c r="N23" i="21"/>
  <c r="O23" i="21"/>
  <c r="P23" i="21"/>
  <c r="L24" i="21"/>
  <c r="H83" i="29" s="1"/>
  <c r="M24" i="21"/>
  <c r="H146" i="29" s="1"/>
  <c r="N24" i="21"/>
  <c r="H22" i="30" s="1"/>
  <c r="O24" i="21"/>
  <c r="H84" i="30" s="1"/>
  <c r="P24" i="21"/>
  <c r="H147" i="30" s="1"/>
  <c r="L25" i="21"/>
  <c r="M25" i="21"/>
  <c r="N25" i="21"/>
  <c r="O25" i="21"/>
  <c r="P25" i="21"/>
  <c r="L26" i="21"/>
  <c r="M26" i="21"/>
  <c r="N26" i="21"/>
  <c r="O26" i="21"/>
  <c r="P26" i="21"/>
  <c r="L27" i="21"/>
  <c r="H84" i="29" s="1"/>
  <c r="M27" i="21"/>
  <c r="H147" i="29" s="1"/>
  <c r="N27" i="21"/>
  <c r="H23" i="30" s="1"/>
  <c r="O27" i="21"/>
  <c r="H85" i="30" s="1"/>
  <c r="P27" i="21"/>
  <c r="H148" i="30" s="1"/>
  <c r="L28" i="21"/>
  <c r="H85" i="29" s="1"/>
  <c r="M28" i="21"/>
  <c r="H148" i="29" s="1"/>
  <c r="N28" i="21"/>
  <c r="H24" i="30" s="1"/>
  <c r="O28" i="21"/>
  <c r="H86" i="30" s="1"/>
  <c r="P28" i="21"/>
  <c r="H149" i="30" s="1"/>
  <c r="L29" i="21"/>
  <c r="H86" i="29" s="1"/>
  <c r="M29" i="21"/>
  <c r="H149" i="29" s="1"/>
  <c r="N29" i="21"/>
  <c r="H25" i="30" s="1"/>
  <c r="O29" i="21"/>
  <c r="H87" i="30" s="1"/>
  <c r="P29" i="21"/>
  <c r="H150" i="30" s="1"/>
  <c r="L30" i="21"/>
  <c r="H87" i="29" s="1"/>
  <c r="M30" i="21"/>
  <c r="H150" i="29" s="1"/>
  <c r="N30" i="21"/>
  <c r="H26" i="30" s="1"/>
  <c r="O30" i="21"/>
  <c r="H88" i="30" s="1"/>
  <c r="P30" i="21"/>
  <c r="H151" i="30" s="1"/>
  <c r="L31" i="21"/>
  <c r="H88" i="29" s="1"/>
  <c r="M31" i="21"/>
  <c r="H151" i="29" s="1"/>
  <c r="N31" i="21"/>
  <c r="H27" i="30" s="1"/>
  <c r="O31" i="21"/>
  <c r="H89" i="30" s="1"/>
  <c r="P31" i="21"/>
  <c r="H152" i="30" s="1"/>
  <c r="L32" i="21"/>
  <c r="H89" i="29" s="1"/>
  <c r="M32" i="21"/>
  <c r="H152" i="29" s="1"/>
  <c r="N32" i="21"/>
  <c r="H28" i="30" s="1"/>
  <c r="O32" i="21"/>
  <c r="H90" i="30" s="1"/>
  <c r="P32" i="21"/>
  <c r="H153" i="30" s="1"/>
  <c r="L33" i="21"/>
  <c r="H90" i="29" s="1"/>
  <c r="M33" i="21"/>
  <c r="H153" i="29" s="1"/>
  <c r="N33" i="21"/>
  <c r="H29" i="30" s="1"/>
  <c r="O33" i="21"/>
  <c r="H91" i="30" s="1"/>
  <c r="P33" i="21"/>
  <c r="H154" i="30" s="1"/>
  <c r="L34" i="21"/>
  <c r="H92" i="29" s="1"/>
  <c r="M34" i="21"/>
  <c r="H155" i="29" s="1"/>
  <c r="N34" i="21"/>
  <c r="H31" i="30" s="1"/>
  <c r="O34" i="21"/>
  <c r="H93" i="30" s="1"/>
  <c r="P34" i="21"/>
  <c r="H156" i="30" s="1"/>
  <c r="L35" i="21"/>
  <c r="H93" i="29" s="1"/>
  <c r="M35" i="21"/>
  <c r="H156" i="29" s="1"/>
  <c r="N35" i="21"/>
  <c r="H32" i="30" s="1"/>
  <c r="O35" i="21"/>
  <c r="H94" i="30" s="1"/>
  <c r="P35" i="21"/>
  <c r="H157" i="30" s="1"/>
  <c r="L36" i="21"/>
  <c r="H94" i="29" s="1"/>
  <c r="M36" i="21"/>
  <c r="H157" i="29" s="1"/>
  <c r="N36" i="21"/>
  <c r="H33" i="30" s="1"/>
  <c r="O36" i="21"/>
  <c r="H95" i="30" s="1"/>
  <c r="P36" i="21"/>
  <c r="H158" i="30" s="1"/>
  <c r="L37" i="21"/>
  <c r="M37" i="21"/>
  <c r="N37" i="21"/>
  <c r="O37" i="21"/>
  <c r="P37" i="21"/>
  <c r="L38" i="21"/>
  <c r="H95" i="29" s="1"/>
  <c r="M38" i="21"/>
  <c r="H158" i="29" s="1"/>
  <c r="N38" i="21"/>
  <c r="H34" i="30" s="1"/>
  <c r="O38" i="21"/>
  <c r="H96" i="30" s="1"/>
  <c r="P38" i="21"/>
  <c r="H159" i="30" s="1"/>
  <c r="L39" i="21"/>
  <c r="H96" i="29" s="1"/>
  <c r="M39" i="21"/>
  <c r="H159" i="29" s="1"/>
  <c r="N39" i="21"/>
  <c r="H35" i="30" s="1"/>
  <c r="O39" i="21"/>
  <c r="H97" i="30" s="1"/>
  <c r="P39" i="21"/>
  <c r="H160" i="30" s="1"/>
  <c r="L40" i="21"/>
  <c r="H97" i="29" s="1"/>
  <c r="M40" i="21"/>
  <c r="H160" i="29" s="1"/>
  <c r="N40" i="21"/>
  <c r="H36" i="30" s="1"/>
  <c r="O40" i="21"/>
  <c r="H98" i="30" s="1"/>
  <c r="P40" i="21"/>
  <c r="H161" i="30" s="1"/>
  <c r="L41" i="21"/>
  <c r="H98" i="29" s="1"/>
  <c r="M41" i="21"/>
  <c r="H161" i="29" s="1"/>
  <c r="N41" i="21"/>
  <c r="H37" i="30" s="1"/>
  <c r="O41" i="21"/>
  <c r="H99" i="30" s="1"/>
  <c r="P41" i="21"/>
  <c r="H162" i="30" s="1"/>
  <c r="L42" i="21"/>
  <c r="M42" i="21"/>
  <c r="N42" i="21"/>
  <c r="O42" i="21"/>
  <c r="P42" i="21"/>
  <c r="L43" i="21"/>
  <c r="H70" i="17" s="1"/>
  <c r="M43" i="21"/>
  <c r="H125" i="17" s="1"/>
  <c r="N43" i="21"/>
  <c r="H15" i="26" s="1"/>
  <c r="O43" i="21"/>
  <c r="H70" i="26" s="1"/>
  <c r="P43" i="21"/>
  <c r="H125" i="26" s="1"/>
  <c r="L44" i="21"/>
  <c r="H99" i="29" s="1"/>
  <c r="M44" i="21"/>
  <c r="H162" i="29" s="1"/>
  <c r="N44" i="21"/>
  <c r="H38" i="30" s="1"/>
  <c r="O44" i="21"/>
  <c r="H100" i="30" s="1"/>
  <c r="P44" i="21"/>
  <c r="H163" i="30" s="1"/>
  <c r="L45" i="21"/>
  <c r="H71" i="17" s="1"/>
  <c r="M45" i="21"/>
  <c r="H126" i="17" s="1"/>
  <c r="N45" i="21"/>
  <c r="H16" i="26" s="1"/>
  <c r="O45" i="21"/>
  <c r="H71" i="26" s="1"/>
  <c r="P45" i="21"/>
  <c r="H126" i="26" s="1"/>
  <c r="L46" i="21"/>
  <c r="H72" i="17" s="1"/>
  <c r="M46" i="21"/>
  <c r="H127" i="17" s="1"/>
  <c r="N46" i="21"/>
  <c r="H17" i="26" s="1"/>
  <c r="O46" i="21"/>
  <c r="H72" i="26" s="1"/>
  <c r="P46" i="21"/>
  <c r="H127" i="26" s="1"/>
  <c r="L47" i="21"/>
  <c r="H100" i="29" s="1"/>
  <c r="M47" i="21"/>
  <c r="H163" i="29" s="1"/>
  <c r="N47" i="21"/>
  <c r="H39" i="30" s="1"/>
  <c r="O47" i="21"/>
  <c r="H101" i="30" s="1"/>
  <c r="P47" i="21"/>
  <c r="H164" i="30" s="1"/>
  <c r="L48" i="21"/>
  <c r="H101" i="29" s="1"/>
  <c r="M48" i="21"/>
  <c r="H164" i="29" s="1"/>
  <c r="N48" i="21"/>
  <c r="H40" i="30" s="1"/>
  <c r="O48" i="21"/>
  <c r="H102" i="30" s="1"/>
  <c r="P48" i="21"/>
  <c r="H165" i="30" s="1"/>
  <c r="L49" i="21"/>
  <c r="H73" i="17" s="1"/>
  <c r="M49" i="21"/>
  <c r="H128" i="17" s="1"/>
  <c r="N49" i="21"/>
  <c r="H18" i="26" s="1"/>
  <c r="O49" i="21"/>
  <c r="H73" i="26" s="1"/>
  <c r="P49" i="21"/>
  <c r="H128" i="26" s="1"/>
  <c r="L50" i="21"/>
  <c r="H102" i="29" s="1"/>
  <c r="M50" i="21"/>
  <c r="H165" i="29" s="1"/>
  <c r="N50" i="21"/>
  <c r="H41" i="30" s="1"/>
  <c r="O50" i="21"/>
  <c r="H103" i="30" s="1"/>
  <c r="P50" i="21"/>
  <c r="H166" i="30" s="1"/>
  <c r="L51" i="21"/>
  <c r="H103" i="29" s="1"/>
  <c r="M51" i="21"/>
  <c r="H166" i="29" s="1"/>
  <c r="N51" i="21"/>
  <c r="H42" i="30" s="1"/>
  <c r="O51" i="21"/>
  <c r="H104" i="30" s="1"/>
  <c r="P51" i="21"/>
  <c r="H167" i="30" s="1"/>
  <c r="L52" i="21"/>
  <c r="H104" i="29" s="1"/>
  <c r="M52" i="21"/>
  <c r="H167" i="29" s="1"/>
  <c r="N52" i="21"/>
  <c r="H43" i="30" s="1"/>
  <c r="O52" i="21"/>
  <c r="H105" i="30" s="1"/>
  <c r="P52" i="21"/>
  <c r="H168" i="30" s="1"/>
  <c r="L53" i="21"/>
  <c r="H105" i="29" s="1"/>
  <c r="M53" i="21"/>
  <c r="H168" i="29" s="1"/>
  <c r="N53" i="21"/>
  <c r="H44" i="30" s="1"/>
  <c r="O53" i="21"/>
  <c r="H106" i="30" s="1"/>
  <c r="P53" i="21"/>
  <c r="H169" i="30" s="1"/>
  <c r="L54" i="21"/>
  <c r="H106" i="29" s="1"/>
  <c r="M54" i="21"/>
  <c r="H169" i="29" s="1"/>
  <c r="N54" i="21"/>
  <c r="H45" i="30" s="1"/>
  <c r="O54" i="21"/>
  <c r="H107" i="30" s="1"/>
  <c r="P54" i="21"/>
  <c r="H170" i="30" s="1"/>
  <c r="L55" i="21"/>
  <c r="H107" i="29" s="1"/>
  <c r="M55" i="21"/>
  <c r="H170" i="29" s="1"/>
  <c r="N55" i="21"/>
  <c r="H46" i="30" s="1"/>
  <c r="O55" i="21"/>
  <c r="H108" i="30" s="1"/>
  <c r="P55" i="21"/>
  <c r="H171" i="30" s="1"/>
  <c r="L56" i="21"/>
  <c r="H108" i="29" s="1"/>
  <c r="M56" i="21"/>
  <c r="H171" i="29" s="1"/>
  <c r="N56" i="21"/>
  <c r="H47" i="30" s="1"/>
  <c r="O56" i="21"/>
  <c r="H109" i="30" s="1"/>
  <c r="P56" i="21"/>
  <c r="H172" i="30" s="1"/>
  <c r="L57" i="21"/>
  <c r="M57" i="21"/>
  <c r="N57" i="21"/>
  <c r="O57" i="21"/>
  <c r="P57" i="21"/>
  <c r="L58" i="21"/>
  <c r="H109" i="29" s="1"/>
  <c r="M58" i="21"/>
  <c r="H172" i="29" s="1"/>
  <c r="N58" i="21"/>
  <c r="H48" i="30" s="1"/>
  <c r="O58" i="21"/>
  <c r="H110" i="30" s="1"/>
  <c r="P58" i="21"/>
  <c r="H173" i="30" s="1"/>
  <c r="L59" i="21"/>
  <c r="H110" i="29" s="1"/>
  <c r="M59" i="21"/>
  <c r="H173" i="29" s="1"/>
  <c r="N59" i="21"/>
  <c r="H49" i="30" s="1"/>
  <c r="O59" i="21"/>
  <c r="H111" i="30" s="1"/>
  <c r="P59" i="21"/>
  <c r="H174" i="30" s="1"/>
  <c r="L60" i="21"/>
  <c r="M60" i="21"/>
  <c r="N60" i="21"/>
  <c r="O60" i="21"/>
  <c r="P60" i="21"/>
  <c r="L61" i="21"/>
  <c r="H74" i="17" s="1"/>
  <c r="M61" i="21"/>
  <c r="H129" i="17" s="1"/>
  <c r="N61" i="21"/>
  <c r="H19" i="26" s="1"/>
  <c r="O61" i="21"/>
  <c r="H74" i="26" s="1"/>
  <c r="P61" i="21"/>
  <c r="H129" i="26" s="1"/>
  <c r="L62" i="21"/>
  <c r="H111" i="29" s="1"/>
  <c r="M62" i="21"/>
  <c r="H174" i="29" s="1"/>
  <c r="N62" i="21"/>
  <c r="H50" i="30" s="1"/>
  <c r="O62" i="21"/>
  <c r="H112" i="30" s="1"/>
  <c r="P62" i="21"/>
  <c r="H175" i="30" s="1"/>
  <c r="L63" i="21"/>
  <c r="H75" i="17" s="1"/>
  <c r="M63" i="21"/>
  <c r="H130" i="17" s="1"/>
  <c r="N63" i="21"/>
  <c r="H20" i="26" s="1"/>
  <c r="O63" i="21"/>
  <c r="H75" i="26" s="1"/>
  <c r="P63" i="21"/>
  <c r="H130" i="26" s="1"/>
  <c r="L64" i="21"/>
  <c r="H76" i="17" s="1"/>
  <c r="M64" i="21"/>
  <c r="H131" i="17" s="1"/>
  <c r="N64" i="21"/>
  <c r="H21" i="26" s="1"/>
  <c r="O64" i="21"/>
  <c r="H76" i="26" s="1"/>
  <c r="P64" i="21"/>
  <c r="H131" i="26" s="1"/>
  <c r="L65" i="21"/>
  <c r="M65" i="21"/>
  <c r="N65" i="21"/>
  <c r="O65" i="21"/>
  <c r="P65" i="21"/>
  <c r="L66" i="21"/>
  <c r="H77" i="17" s="1"/>
  <c r="M66" i="21"/>
  <c r="H132" i="17" s="1"/>
  <c r="N66" i="21"/>
  <c r="H22" i="26" s="1"/>
  <c r="O66" i="21"/>
  <c r="H77" i="26" s="1"/>
  <c r="P66" i="21"/>
  <c r="H132" i="26" s="1"/>
  <c r="L67" i="21"/>
  <c r="M67" i="21"/>
  <c r="N67" i="21"/>
  <c r="O67" i="21"/>
  <c r="P67" i="21"/>
  <c r="L68" i="21"/>
  <c r="H112" i="29" s="1"/>
  <c r="M68" i="21"/>
  <c r="H175" i="29" s="1"/>
  <c r="N68" i="21"/>
  <c r="H51" i="30" s="1"/>
  <c r="O68" i="21"/>
  <c r="H113" i="30" s="1"/>
  <c r="P68" i="21"/>
  <c r="H176" i="30" s="1"/>
  <c r="L69" i="21"/>
  <c r="H113" i="29" s="1"/>
  <c r="M69" i="21"/>
  <c r="H176" i="29" s="1"/>
  <c r="N69" i="21"/>
  <c r="H52" i="30" s="1"/>
  <c r="O69" i="21"/>
  <c r="H114" i="30" s="1"/>
  <c r="P69" i="21"/>
  <c r="H177" i="30" s="1"/>
  <c r="L70" i="21"/>
  <c r="H114" i="29" s="1"/>
  <c r="M70" i="21"/>
  <c r="H177" i="29" s="1"/>
  <c r="N70" i="21"/>
  <c r="H53" i="30" s="1"/>
  <c r="O70" i="21"/>
  <c r="H115" i="30" s="1"/>
  <c r="P70" i="21"/>
  <c r="H178" i="30" s="1"/>
  <c r="L71" i="21"/>
  <c r="H78" i="17" s="1"/>
  <c r="M71" i="21"/>
  <c r="H133" i="17" s="1"/>
  <c r="N71" i="21"/>
  <c r="H23" i="26" s="1"/>
  <c r="O71" i="21"/>
  <c r="H78" i="26" s="1"/>
  <c r="P71" i="21"/>
  <c r="H133" i="26" s="1"/>
  <c r="L72" i="21"/>
  <c r="H115" i="29" s="1"/>
  <c r="M72" i="21"/>
  <c r="H178" i="29" s="1"/>
  <c r="N72" i="21"/>
  <c r="H54" i="30" s="1"/>
  <c r="O72" i="21"/>
  <c r="H116" i="30" s="1"/>
  <c r="P72" i="21"/>
  <c r="H179" i="30" s="1"/>
  <c r="V10" i="10"/>
  <c r="G14" i="30" s="1"/>
  <c r="W10" i="10"/>
  <c r="G76" i="30" s="1"/>
  <c r="X10" i="10"/>
  <c r="V11" i="10"/>
  <c r="G13" i="64" s="1"/>
  <c r="W11" i="10"/>
  <c r="G68" i="64" s="1"/>
  <c r="X11" i="10"/>
  <c r="V12" i="10"/>
  <c r="G14" i="64" s="1"/>
  <c r="W12" i="10"/>
  <c r="G69" i="64" s="1"/>
  <c r="X12" i="10"/>
  <c r="V13" i="10"/>
  <c r="G15" i="30" s="1"/>
  <c r="W13" i="10"/>
  <c r="G77" i="30" s="1"/>
  <c r="X13" i="10"/>
  <c r="V14" i="10"/>
  <c r="G16" i="30" s="1"/>
  <c r="W14" i="10"/>
  <c r="G78" i="30" s="1"/>
  <c r="X14" i="10"/>
  <c r="V15" i="10"/>
  <c r="G15" i="64" s="1"/>
  <c r="W15" i="10"/>
  <c r="G70" i="64" s="1"/>
  <c r="X15" i="10"/>
  <c r="V16" i="10"/>
  <c r="G13" i="26" s="1"/>
  <c r="W16" i="10"/>
  <c r="G68" i="26" s="1"/>
  <c r="X16" i="10"/>
  <c r="V17" i="10"/>
  <c r="G17" i="30" s="1"/>
  <c r="W17" i="10"/>
  <c r="G79" i="30" s="1"/>
  <c r="X17" i="10"/>
  <c r="V18" i="10"/>
  <c r="G18" i="30" s="1"/>
  <c r="W18" i="10"/>
  <c r="G80" i="30" s="1"/>
  <c r="X18" i="10"/>
  <c r="V19" i="10"/>
  <c r="G19" i="30" s="1"/>
  <c r="W19" i="10"/>
  <c r="G81" i="30" s="1"/>
  <c r="X19" i="10"/>
  <c r="V20" i="10"/>
  <c r="G16" i="64" s="1"/>
  <c r="W20" i="10"/>
  <c r="G71" i="64" s="1"/>
  <c r="X20" i="10"/>
  <c r="V21" i="10"/>
  <c r="G20" i="30" s="1"/>
  <c r="W21" i="10"/>
  <c r="G82" i="30" s="1"/>
  <c r="X21" i="10"/>
  <c r="V22" i="10"/>
  <c r="G14" i="26" s="1"/>
  <c r="W22" i="10"/>
  <c r="G69" i="26" s="1"/>
  <c r="X22" i="10"/>
  <c r="V23" i="10"/>
  <c r="G21" i="30" s="1"/>
  <c r="W23" i="10"/>
  <c r="G83" i="30" s="1"/>
  <c r="X23" i="10"/>
  <c r="V24" i="10"/>
  <c r="G17" i="64" s="1"/>
  <c r="W24" i="10"/>
  <c r="G72" i="64" s="1"/>
  <c r="X24" i="10"/>
  <c r="V25" i="10"/>
  <c r="G22" i="30" s="1"/>
  <c r="W25" i="10"/>
  <c r="G84" i="30" s="1"/>
  <c r="X25" i="10"/>
  <c r="V26" i="10"/>
  <c r="G18" i="64" s="1"/>
  <c r="W26" i="10"/>
  <c r="G73" i="64" s="1"/>
  <c r="X26" i="10"/>
  <c r="V27" i="10"/>
  <c r="G23" i="30" s="1"/>
  <c r="W27" i="10"/>
  <c r="G85" i="30" s="1"/>
  <c r="X27" i="10"/>
  <c r="V28" i="10"/>
  <c r="G24" i="30" s="1"/>
  <c r="W28" i="10"/>
  <c r="G86" i="30" s="1"/>
  <c r="X28" i="10"/>
  <c r="V29" i="10"/>
  <c r="G25" i="30" s="1"/>
  <c r="W29" i="10"/>
  <c r="G87" i="30" s="1"/>
  <c r="X29" i="10"/>
  <c r="V30" i="10"/>
  <c r="G26" i="30" s="1"/>
  <c r="W30" i="10"/>
  <c r="G88" i="30" s="1"/>
  <c r="X30" i="10"/>
  <c r="V31" i="10"/>
  <c r="G27" i="30" s="1"/>
  <c r="W31" i="10"/>
  <c r="G89" i="30" s="1"/>
  <c r="X31" i="10"/>
  <c r="T32" i="10"/>
  <c r="U32" i="10"/>
  <c r="V32" i="10"/>
  <c r="W32" i="10"/>
  <c r="X32" i="10"/>
  <c r="V33" i="10"/>
  <c r="G28" i="30" s="1"/>
  <c r="W33" i="10"/>
  <c r="G90" i="30" s="1"/>
  <c r="X33" i="10"/>
  <c r="V35" i="10"/>
  <c r="G29" i="30" s="1"/>
  <c r="W35" i="10"/>
  <c r="G91" i="30" s="1"/>
  <c r="X35" i="10"/>
  <c r="V36" i="10"/>
  <c r="G31" i="30" s="1"/>
  <c r="W36" i="10"/>
  <c r="G93" i="30" s="1"/>
  <c r="X36" i="10"/>
  <c r="V37" i="10"/>
  <c r="G32" i="30" s="1"/>
  <c r="W37" i="10"/>
  <c r="G94" i="30" s="1"/>
  <c r="X37" i="10"/>
  <c r="V38" i="10"/>
  <c r="G33" i="30" s="1"/>
  <c r="W38" i="10"/>
  <c r="G95" i="30" s="1"/>
  <c r="X38" i="10"/>
  <c r="G96" i="30"/>
  <c r="G159" i="30"/>
  <c r="V40" i="10"/>
  <c r="G35" i="30" s="1"/>
  <c r="W40" i="10"/>
  <c r="G97" i="30" s="1"/>
  <c r="X40" i="10"/>
  <c r="V41" i="10"/>
  <c r="G36" i="30" s="1"/>
  <c r="W41" i="10"/>
  <c r="G98" i="30" s="1"/>
  <c r="X41" i="10"/>
  <c r="V42" i="10"/>
  <c r="G37" i="30" s="1"/>
  <c r="W42" i="10"/>
  <c r="G99" i="30" s="1"/>
  <c r="X42" i="10"/>
  <c r="V43" i="10"/>
  <c r="G19" i="64" s="1"/>
  <c r="W43" i="10"/>
  <c r="G74" i="64" s="1"/>
  <c r="X43" i="10"/>
  <c r="V44" i="10"/>
  <c r="G15" i="26" s="1"/>
  <c r="W44" i="10"/>
  <c r="G70" i="26" s="1"/>
  <c r="X44" i="10"/>
  <c r="V45" i="10"/>
  <c r="G38" i="30" s="1"/>
  <c r="W45" i="10"/>
  <c r="G100" i="30" s="1"/>
  <c r="X45" i="10"/>
  <c r="V46" i="10"/>
  <c r="G16" i="26" s="1"/>
  <c r="W46" i="10"/>
  <c r="G71" i="26" s="1"/>
  <c r="X46" i="10"/>
  <c r="V47" i="10"/>
  <c r="G17" i="26" s="1"/>
  <c r="W47" i="10"/>
  <c r="G72" i="26" s="1"/>
  <c r="X47" i="10"/>
  <c r="V48" i="10"/>
  <c r="W48" i="10"/>
  <c r="X48" i="10"/>
  <c r="V50" i="10"/>
  <c r="W50" i="10"/>
  <c r="X50" i="10"/>
  <c r="V51" i="10"/>
  <c r="W51" i="10"/>
  <c r="X51" i="10"/>
  <c r="X52" i="10"/>
  <c r="T53" i="10"/>
  <c r="U53" i="10"/>
  <c r="V53" i="10"/>
  <c r="W53" i="10"/>
  <c r="X53" i="10"/>
  <c r="V54" i="10"/>
  <c r="W54" i="10"/>
  <c r="X54" i="10"/>
  <c r="V55" i="10"/>
  <c r="W55" i="10"/>
  <c r="X55" i="10"/>
  <c r="V56" i="10"/>
  <c r="W56" i="10"/>
  <c r="X56" i="10"/>
  <c r="V57" i="10"/>
  <c r="W57" i="10"/>
  <c r="X57" i="10"/>
  <c r="V58" i="10"/>
  <c r="W58" i="10"/>
  <c r="X58" i="10"/>
  <c r="V59" i="10"/>
  <c r="W59" i="10"/>
  <c r="X59" i="10"/>
  <c r="V60" i="10"/>
  <c r="G20" i="64" s="1"/>
  <c r="W60" i="10"/>
  <c r="G75" i="64" s="1"/>
  <c r="X60" i="10"/>
  <c r="V61" i="10"/>
  <c r="W61" i="10"/>
  <c r="X61" i="10"/>
  <c r="V62" i="10"/>
  <c r="W62" i="10"/>
  <c r="X62" i="10"/>
  <c r="V63" i="10"/>
  <c r="W63" i="10"/>
  <c r="X63" i="10"/>
  <c r="V64" i="10"/>
  <c r="W64" i="10"/>
  <c r="X64" i="10"/>
  <c r="V65" i="10"/>
  <c r="W65" i="10"/>
  <c r="X65" i="10"/>
  <c r="V66" i="10"/>
  <c r="W66" i="10"/>
  <c r="X66" i="10"/>
  <c r="V67" i="10"/>
  <c r="W67" i="10"/>
  <c r="X67" i="10"/>
  <c r="V70" i="10"/>
  <c r="W70" i="10"/>
  <c r="X70" i="10"/>
  <c r="V71" i="10"/>
  <c r="G21" i="64" s="1"/>
  <c r="W71" i="10"/>
  <c r="G76" i="64" s="1"/>
  <c r="X71" i="10"/>
  <c r="V72" i="10"/>
  <c r="W72" i="10"/>
  <c r="X72" i="10"/>
  <c r="V73" i="10"/>
  <c r="W73" i="10"/>
  <c r="X73" i="10"/>
  <c r="X9" i="10"/>
  <c r="W9" i="10"/>
  <c r="G75" i="30" s="1"/>
  <c r="V9" i="10"/>
  <c r="G13" i="30" s="1"/>
  <c r="X5" i="10"/>
  <c r="V5" i="10"/>
  <c r="W5" i="10"/>
  <c r="U5" i="10"/>
  <c r="E15" i="18"/>
  <c r="H17" i="55" l="1"/>
  <c r="G126" i="64"/>
  <c r="H21" i="55"/>
  <c r="G130" i="64"/>
  <c r="G60" i="64"/>
  <c r="G59" i="64"/>
  <c r="H22" i="55"/>
  <c r="G131" i="64"/>
  <c r="H20" i="55"/>
  <c r="G129" i="64"/>
  <c r="G125" i="64"/>
  <c r="H16" i="55"/>
  <c r="H15" i="55"/>
  <c r="G124" i="64"/>
  <c r="H14" i="55"/>
  <c r="G123" i="64"/>
  <c r="H19" i="55"/>
  <c r="G128" i="64"/>
  <c r="H18" i="55"/>
  <c r="G127" i="64"/>
  <c r="G114" i="64"/>
  <c r="G115" i="64"/>
  <c r="G127" i="26"/>
  <c r="H18" i="52"/>
  <c r="G125" i="26"/>
  <c r="H16" i="52"/>
  <c r="G124" i="26"/>
  <c r="H15" i="52"/>
  <c r="G126" i="26"/>
  <c r="H17" i="52"/>
  <c r="G123" i="26"/>
  <c r="H14" i="52"/>
  <c r="H17" i="49"/>
  <c r="G140" i="30"/>
  <c r="H30" i="49"/>
  <c r="G153" i="30"/>
  <c r="H33" i="49"/>
  <c r="G156" i="30"/>
  <c r="H24" i="49"/>
  <c r="G147" i="30"/>
  <c r="H19" i="49"/>
  <c r="G142" i="30"/>
  <c r="H27" i="49"/>
  <c r="G150" i="30"/>
  <c r="H22" i="49"/>
  <c r="G145" i="30"/>
  <c r="H15" i="49"/>
  <c r="G138" i="30"/>
  <c r="H16" i="49"/>
  <c r="G139" i="30"/>
  <c r="H29" i="49"/>
  <c r="G152" i="30"/>
  <c r="H28" i="49"/>
  <c r="G151" i="30"/>
  <c r="H18" i="49"/>
  <c r="G141" i="30"/>
  <c r="H20" i="49"/>
  <c r="G143" i="30"/>
  <c r="H40" i="49"/>
  <c r="G163" i="30"/>
  <c r="H23" i="49"/>
  <c r="G146" i="30"/>
  <c r="H39" i="49"/>
  <c r="G162" i="30"/>
  <c r="H26" i="49"/>
  <c r="G149" i="30"/>
  <c r="H38" i="49"/>
  <c r="G161" i="30"/>
  <c r="H35" i="49"/>
  <c r="G158" i="30"/>
  <c r="H25" i="49"/>
  <c r="G148" i="30"/>
  <c r="H21" i="49"/>
  <c r="G144" i="30"/>
  <c r="H37" i="49"/>
  <c r="G160" i="30"/>
  <c r="H34" i="49"/>
  <c r="G157" i="30"/>
  <c r="H31" i="49"/>
  <c r="G154" i="30"/>
  <c r="H170" i="26"/>
  <c r="H169" i="26"/>
  <c r="H114" i="26"/>
  <c r="H115" i="26"/>
  <c r="H60" i="26"/>
  <c r="H59" i="26"/>
  <c r="H169" i="17"/>
  <c r="H170" i="17"/>
  <c r="G34" i="30"/>
  <c r="H114" i="17"/>
  <c r="H115" i="17"/>
  <c r="H186" i="30"/>
  <c r="H185" i="30"/>
  <c r="H122" i="30"/>
  <c r="H123" i="30"/>
  <c r="H60" i="30"/>
  <c r="H61" i="30"/>
  <c r="Y44" i="10"/>
  <c r="G15" i="37" s="1"/>
  <c r="H122" i="29"/>
  <c r="H121" i="29"/>
  <c r="H184" i="29"/>
  <c r="H185" i="29"/>
  <c r="K18" i="50"/>
  <c r="X84" i="10"/>
  <c r="W84" i="10"/>
  <c r="V84" i="10"/>
  <c r="F15" i="18"/>
  <c r="W79" i="10"/>
  <c r="W77" i="10"/>
  <c r="W78" i="10"/>
  <c r="W81" i="10"/>
  <c r="W83" i="10"/>
  <c r="X79" i="10"/>
  <c r="V77" i="10"/>
  <c r="V78" i="10"/>
  <c r="V81" i="10"/>
  <c r="V83" i="10"/>
  <c r="X80" i="10"/>
  <c r="V82" i="10"/>
  <c r="X77" i="10"/>
  <c r="X78" i="10"/>
  <c r="X81" i="10"/>
  <c r="X83" i="10"/>
  <c r="V80" i="10"/>
  <c r="W82" i="10"/>
  <c r="V79" i="10"/>
  <c r="W80" i="10"/>
  <c r="X82" i="10"/>
  <c r="T44" i="10"/>
  <c r="G70" i="17" s="1"/>
  <c r="U44" i="10"/>
  <c r="G125" i="17" s="1"/>
  <c r="M5" i="10"/>
  <c r="L5" i="10"/>
  <c r="J5" i="10"/>
  <c r="K5" i="10"/>
  <c r="G2" i="24"/>
  <c r="I2" i="24"/>
  <c r="J2" i="24"/>
  <c r="K2" i="24"/>
  <c r="L2" i="24"/>
  <c r="M2" i="24"/>
  <c r="N2" i="24"/>
  <c r="O2" i="24"/>
  <c r="P2" i="24"/>
  <c r="Q2" i="24"/>
  <c r="H2" i="24"/>
  <c r="D6" i="24"/>
  <c r="E6" i="24"/>
  <c r="D7" i="24"/>
  <c r="E7" i="24"/>
  <c r="D8" i="24"/>
  <c r="E8" i="24"/>
  <c r="D9" i="24"/>
  <c r="E9" i="24"/>
  <c r="D10" i="24"/>
  <c r="E10" i="24"/>
  <c r="D11" i="24"/>
  <c r="E11" i="24"/>
  <c r="D12" i="24"/>
  <c r="E12" i="24"/>
  <c r="D13" i="24"/>
  <c r="E13" i="24"/>
  <c r="D14" i="24"/>
  <c r="E14" i="24"/>
  <c r="D15" i="24"/>
  <c r="E15" i="24"/>
  <c r="D16" i="24"/>
  <c r="E16" i="24"/>
  <c r="D17" i="24"/>
  <c r="E17" i="24"/>
  <c r="D18" i="24"/>
  <c r="E18" i="24"/>
  <c r="D19" i="24"/>
  <c r="E19" i="24"/>
  <c r="D20" i="24"/>
  <c r="E20" i="24"/>
  <c r="D21" i="24"/>
  <c r="E21" i="24"/>
  <c r="D22" i="24"/>
  <c r="E22" i="24"/>
  <c r="D23" i="24"/>
  <c r="E23" i="24"/>
  <c r="D24" i="24"/>
  <c r="E24" i="24"/>
  <c r="D25" i="24"/>
  <c r="E25" i="24"/>
  <c r="D26" i="24"/>
  <c r="E26" i="24"/>
  <c r="D27" i="24"/>
  <c r="E27" i="24"/>
  <c r="D28" i="24"/>
  <c r="E28" i="24"/>
  <c r="D29" i="24"/>
  <c r="E29" i="24"/>
  <c r="D30" i="24"/>
  <c r="E30" i="24"/>
  <c r="D31" i="24"/>
  <c r="E31" i="24"/>
  <c r="D32" i="24"/>
  <c r="E32" i="24"/>
  <c r="D33" i="24"/>
  <c r="E33" i="24"/>
  <c r="D34" i="24"/>
  <c r="E34" i="24"/>
  <c r="D35" i="24"/>
  <c r="E35" i="24"/>
  <c r="D36" i="24"/>
  <c r="E36" i="24"/>
  <c r="D37" i="24"/>
  <c r="E37" i="24"/>
  <c r="D38" i="24"/>
  <c r="E38" i="24"/>
  <c r="D39" i="24"/>
  <c r="E39" i="24"/>
  <c r="D40" i="24"/>
  <c r="E40" i="24"/>
  <c r="D41" i="24"/>
  <c r="E41" i="24"/>
  <c r="D42" i="24"/>
  <c r="E42" i="24"/>
  <c r="D43" i="24"/>
  <c r="E43" i="24"/>
  <c r="D44" i="24"/>
  <c r="E44" i="24"/>
  <c r="D45" i="24"/>
  <c r="E45" i="24"/>
  <c r="D46" i="24"/>
  <c r="E46" i="24"/>
  <c r="E5" i="24"/>
  <c r="D5" i="24"/>
  <c r="E6" i="23"/>
  <c r="E7" i="23"/>
  <c r="E8" i="23"/>
  <c r="E9" i="23"/>
  <c r="E10" i="23"/>
  <c r="E11" i="23"/>
  <c r="E12" i="23"/>
  <c r="E13" i="23"/>
  <c r="E14" i="23"/>
  <c r="E15" i="23"/>
  <c r="E16" i="23"/>
  <c r="E17" i="23"/>
  <c r="E18" i="23"/>
  <c r="E19" i="23"/>
  <c r="E20" i="23"/>
  <c r="E21" i="23"/>
  <c r="E22" i="23"/>
  <c r="E23" i="23"/>
  <c r="E24" i="23"/>
  <c r="E25" i="23"/>
  <c r="E26" i="23"/>
  <c r="E27" i="23"/>
  <c r="E28" i="23"/>
  <c r="E29" i="23"/>
  <c r="E30" i="23"/>
  <c r="E31" i="23"/>
  <c r="E32" i="23"/>
  <c r="E33" i="23"/>
  <c r="E34" i="23"/>
  <c r="E35" i="23"/>
  <c r="E36" i="23"/>
  <c r="E37" i="23"/>
  <c r="E38" i="23"/>
  <c r="E39" i="23"/>
  <c r="E40" i="23"/>
  <c r="E41" i="23"/>
  <c r="E42" i="23"/>
  <c r="E43" i="23"/>
  <c r="E44" i="23"/>
  <c r="E45" i="23"/>
  <c r="E46" i="23"/>
  <c r="E5" i="23"/>
  <c r="H2" i="23"/>
  <c r="I2" i="23"/>
  <c r="J2" i="23"/>
  <c r="K2" i="23"/>
  <c r="L2" i="23"/>
  <c r="M2" i="23"/>
  <c r="N2" i="23"/>
  <c r="O2" i="23"/>
  <c r="P2" i="23"/>
  <c r="Q2" i="23"/>
  <c r="G2" i="23"/>
  <c r="D6" i="23"/>
  <c r="D7" i="23"/>
  <c r="D8" i="23"/>
  <c r="D9" i="23"/>
  <c r="D10" i="23"/>
  <c r="D11" i="23"/>
  <c r="D12" i="23"/>
  <c r="D13" i="23"/>
  <c r="D14" i="23"/>
  <c r="D15" i="23"/>
  <c r="D16" i="23"/>
  <c r="D17" i="23"/>
  <c r="D18" i="23"/>
  <c r="D19" i="23"/>
  <c r="D20" i="23"/>
  <c r="D21" i="23"/>
  <c r="D22" i="23"/>
  <c r="D23" i="23"/>
  <c r="D24" i="23"/>
  <c r="D25" i="23"/>
  <c r="D26" i="23"/>
  <c r="D27" i="23"/>
  <c r="D28" i="23"/>
  <c r="D29" i="23"/>
  <c r="D30" i="23"/>
  <c r="D31" i="23"/>
  <c r="D32" i="23"/>
  <c r="D33" i="23"/>
  <c r="D34" i="23"/>
  <c r="D35" i="23"/>
  <c r="D36" i="23"/>
  <c r="D37" i="23"/>
  <c r="D38" i="23"/>
  <c r="D39" i="23"/>
  <c r="D40" i="23"/>
  <c r="D41" i="23"/>
  <c r="D42" i="23"/>
  <c r="D43" i="23"/>
  <c r="D44" i="23"/>
  <c r="D45" i="23"/>
  <c r="D46" i="23"/>
  <c r="D5" i="23"/>
  <c r="D6" i="22"/>
  <c r="D7" i="22"/>
  <c r="D8" i="22"/>
  <c r="D9" i="22"/>
  <c r="D10" i="22"/>
  <c r="D11" i="22"/>
  <c r="D12" i="22"/>
  <c r="D13" i="22"/>
  <c r="D14" i="22"/>
  <c r="D15" i="22"/>
  <c r="D16" i="22"/>
  <c r="D17" i="22"/>
  <c r="D18" i="22"/>
  <c r="D19" i="22"/>
  <c r="D20" i="22"/>
  <c r="D21" i="22"/>
  <c r="D22" i="22"/>
  <c r="D23" i="22"/>
  <c r="D24" i="22"/>
  <c r="D25" i="22"/>
  <c r="D26" i="22"/>
  <c r="D27" i="22"/>
  <c r="D28" i="22"/>
  <c r="D29" i="22"/>
  <c r="D30" i="22"/>
  <c r="D31" i="22"/>
  <c r="D32" i="22"/>
  <c r="D34" i="22"/>
  <c r="D35" i="22"/>
  <c r="D36" i="22"/>
  <c r="D37" i="22"/>
  <c r="D38" i="22"/>
  <c r="D39" i="22"/>
  <c r="D40" i="22"/>
  <c r="D41" i="22"/>
  <c r="D42" i="22"/>
  <c r="D43" i="22"/>
  <c r="D44" i="22"/>
  <c r="D45" i="22"/>
  <c r="D46" i="22"/>
  <c r="D47" i="22"/>
  <c r="D5" i="22"/>
  <c r="E47" i="22"/>
  <c r="E46" i="22"/>
  <c r="E45" i="22"/>
  <c r="E44" i="22"/>
  <c r="E43" i="22"/>
  <c r="E42" i="22"/>
  <c r="E41" i="22"/>
  <c r="E40" i="22"/>
  <c r="E39" i="22"/>
  <c r="E38" i="22"/>
  <c r="E37" i="22"/>
  <c r="E36" i="22"/>
  <c r="E35" i="22"/>
  <c r="E34" i="22"/>
  <c r="E32" i="22"/>
  <c r="E31" i="22"/>
  <c r="E30" i="22"/>
  <c r="E29" i="22"/>
  <c r="E28" i="22"/>
  <c r="E27" i="22"/>
  <c r="E26" i="22"/>
  <c r="E25" i="22"/>
  <c r="E24" i="22"/>
  <c r="E23" i="22"/>
  <c r="E22" i="22"/>
  <c r="E21" i="22"/>
  <c r="E20" i="22"/>
  <c r="E19" i="22"/>
  <c r="E18" i="22"/>
  <c r="E17" i="22"/>
  <c r="E16" i="22"/>
  <c r="E15" i="22"/>
  <c r="E14" i="22"/>
  <c r="E13" i="22"/>
  <c r="E12" i="22"/>
  <c r="E11" i="22"/>
  <c r="E10" i="22"/>
  <c r="E9" i="22"/>
  <c r="E8" i="22"/>
  <c r="E7" i="22"/>
  <c r="E6" i="22"/>
  <c r="E5" i="22"/>
  <c r="T5" i="10"/>
  <c r="G5" i="10"/>
  <c r="F20" i="2"/>
  <c r="I20" i="2" s="1"/>
  <c r="L20" i="2" s="1"/>
  <c r="O20" i="2" s="1"/>
  <c r="F18" i="2"/>
  <c r="I18" i="2" s="1"/>
  <c r="L18" i="2" s="1"/>
  <c r="O18" i="2" s="1"/>
  <c r="F37" i="2"/>
  <c r="I37" i="2" s="1"/>
  <c r="L37" i="2" s="1"/>
  <c r="O37" i="2" s="1"/>
  <c r="F43" i="2"/>
  <c r="I43" i="2" s="1"/>
  <c r="L43" i="2" s="1"/>
  <c r="O43" i="2" s="1"/>
  <c r="F42" i="2"/>
  <c r="I42" i="2" s="1"/>
  <c r="L42" i="2" s="1"/>
  <c r="O42" i="2" s="1"/>
  <c r="F41" i="2"/>
  <c r="I41" i="2" s="1"/>
  <c r="L41" i="2" s="1"/>
  <c r="O41" i="2" s="1"/>
  <c r="F15" i="29"/>
  <c r="F16" i="29"/>
  <c r="F17" i="29"/>
  <c r="F18" i="29"/>
  <c r="F19" i="29"/>
  <c r="F20" i="29"/>
  <c r="F21" i="29"/>
  <c r="H18" i="2"/>
  <c r="K18" i="2" s="1"/>
  <c r="N18" i="2" s="1"/>
  <c r="H20" i="2"/>
  <c r="K20" i="2" s="1"/>
  <c r="N20" i="2" s="1"/>
  <c r="F22" i="29"/>
  <c r="F23" i="29"/>
  <c r="F24" i="29"/>
  <c r="F25" i="29"/>
  <c r="F26" i="29"/>
  <c r="F27" i="29"/>
  <c r="F28" i="29"/>
  <c r="F29" i="29"/>
  <c r="F30" i="29"/>
  <c r="F32" i="29"/>
  <c r="F33" i="29"/>
  <c r="F34" i="29"/>
  <c r="H37" i="2"/>
  <c r="K37" i="2" s="1"/>
  <c r="N37" i="2" s="1"/>
  <c r="F35" i="29"/>
  <c r="F36" i="29"/>
  <c r="F37" i="29"/>
  <c r="H41" i="2"/>
  <c r="K41" i="2" s="1"/>
  <c r="N41" i="2" s="1"/>
  <c r="H42" i="2"/>
  <c r="K42" i="2" s="1"/>
  <c r="N42" i="2" s="1"/>
  <c r="H43" i="2"/>
  <c r="K43" i="2" s="1"/>
  <c r="N43" i="2" s="1"/>
  <c r="F38" i="29"/>
  <c r="F39" i="29"/>
  <c r="G169" i="64" l="1"/>
  <c r="G170" i="64"/>
  <c r="H60" i="55"/>
  <c r="H61" i="55"/>
  <c r="I61" i="29"/>
  <c r="I62" i="29"/>
  <c r="Y21" i="10"/>
  <c r="G21" i="46" s="1"/>
  <c r="G69" i="3"/>
  <c r="G60" i="3"/>
  <c r="I109" i="29" s="1"/>
  <c r="G52" i="3"/>
  <c r="I102" i="29" s="1"/>
  <c r="G72" i="3"/>
  <c r="G61" i="3"/>
  <c r="I110" i="29" s="1"/>
  <c r="G54" i="3"/>
  <c r="I103" i="29" s="1"/>
  <c r="G55" i="3"/>
  <c r="I104" i="29" s="1"/>
  <c r="G63" i="3"/>
  <c r="I75" i="53" s="1"/>
  <c r="G73" i="3"/>
  <c r="I112" i="29" s="1"/>
  <c r="G75" i="3"/>
  <c r="I114" i="29" s="1"/>
  <c r="G65" i="3"/>
  <c r="I111" i="29" s="1"/>
  <c r="G57" i="3"/>
  <c r="I106" i="29" s="1"/>
  <c r="G47" i="3"/>
  <c r="G56" i="3"/>
  <c r="I105" i="29" s="1"/>
  <c r="G76" i="3"/>
  <c r="G66" i="3"/>
  <c r="G58" i="3"/>
  <c r="I107" i="29" s="1"/>
  <c r="G48" i="3"/>
  <c r="G74" i="3"/>
  <c r="I113" i="29" s="1"/>
  <c r="G77" i="3"/>
  <c r="I115" i="29" s="1"/>
  <c r="G67" i="3"/>
  <c r="G59" i="3"/>
  <c r="I108" i="29" s="1"/>
  <c r="G49" i="3"/>
  <c r="I100" i="29" s="1"/>
  <c r="L18" i="50"/>
  <c r="G64" i="3"/>
  <c r="G78" i="3"/>
  <c r="I76" i="53" s="1"/>
  <c r="G50" i="3"/>
  <c r="I101" i="29" s="1"/>
  <c r="K61" i="50"/>
  <c r="N78" i="24"/>
  <c r="N58" i="24"/>
  <c r="N74" i="24"/>
  <c r="N70" i="24"/>
  <c r="N54" i="24"/>
  <c r="N50" i="24"/>
  <c r="N71" i="24"/>
  <c r="N67" i="24"/>
  <c r="N63" i="24"/>
  <c r="N59" i="24"/>
  <c r="N55" i="24"/>
  <c r="N51" i="24"/>
  <c r="N66" i="24"/>
  <c r="N62" i="24"/>
  <c r="N48" i="24"/>
  <c r="N76" i="24"/>
  <c r="P133" i="64" s="1"/>
  <c r="N77" i="24"/>
  <c r="N75" i="24"/>
  <c r="N49" i="24"/>
  <c r="N73" i="24"/>
  <c r="N64" i="24"/>
  <c r="N68" i="24"/>
  <c r="N53" i="24"/>
  <c r="N61" i="24"/>
  <c r="N69" i="24"/>
  <c r="P132" i="64" s="1"/>
  <c r="N65" i="24"/>
  <c r="N56" i="24"/>
  <c r="N60" i="24"/>
  <c r="N52" i="24"/>
  <c r="N72" i="24"/>
  <c r="N47" i="24"/>
  <c r="N57" i="24"/>
  <c r="O48" i="24"/>
  <c r="O55" i="24"/>
  <c r="O62" i="24"/>
  <c r="O50" i="24"/>
  <c r="O67" i="24"/>
  <c r="O63" i="24"/>
  <c r="O51" i="24"/>
  <c r="O78" i="24"/>
  <c r="O74" i="24"/>
  <c r="O66" i="24"/>
  <c r="O54" i="24"/>
  <c r="O47" i="24"/>
  <c r="O75" i="24"/>
  <c r="O71" i="24"/>
  <c r="O59" i="24"/>
  <c r="O70" i="24"/>
  <c r="O58" i="24"/>
  <c r="O57" i="24"/>
  <c r="O73" i="24"/>
  <c r="O69" i="24"/>
  <c r="Q132" i="64" s="1"/>
  <c r="O72" i="24"/>
  <c r="O56" i="24"/>
  <c r="O60" i="24"/>
  <c r="O65" i="24"/>
  <c r="O68" i="24"/>
  <c r="O53" i="24"/>
  <c r="O77" i="24"/>
  <c r="O61" i="24"/>
  <c r="O49" i="24"/>
  <c r="O52" i="24"/>
  <c r="O64" i="24"/>
  <c r="O76" i="24"/>
  <c r="Q133" i="64" s="1"/>
  <c r="P71" i="24"/>
  <c r="P59" i="24"/>
  <c r="P75" i="24"/>
  <c r="P63" i="24"/>
  <c r="P55" i="24"/>
  <c r="P47" i="24"/>
  <c r="P67" i="24"/>
  <c r="P51" i="24"/>
  <c r="P53" i="24"/>
  <c r="P49" i="24"/>
  <c r="P73" i="24"/>
  <c r="P50" i="24"/>
  <c r="P58" i="24"/>
  <c r="P66" i="24"/>
  <c r="P74" i="24"/>
  <c r="P56" i="24"/>
  <c r="P64" i="24"/>
  <c r="P72" i="24"/>
  <c r="P77" i="24"/>
  <c r="P69" i="24"/>
  <c r="R132" i="64" s="1"/>
  <c r="P65" i="24"/>
  <c r="P78" i="24"/>
  <c r="P76" i="24"/>
  <c r="R133" i="64" s="1"/>
  <c r="P48" i="24"/>
  <c r="P61" i="24"/>
  <c r="P57" i="24"/>
  <c r="P54" i="24"/>
  <c r="P62" i="24"/>
  <c r="P70" i="24"/>
  <c r="P52" i="24"/>
  <c r="P60" i="24"/>
  <c r="P68" i="24"/>
  <c r="I67" i="24"/>
  <c r="I63" i="24"/>
  <c r="I51" i="24"/>
  <c r="I47" i="24"/>
  <c r="I75" i="24"/>
  <c r="I55" i="24"/>
  <c r="I48" i="24"/>
  <c r="I76" i="24"/>
  <c r="K133" i="64" s="1"/>
  <c r="I71" i="24"/>
  <c r="I59" i="24"/>
  <c r="I62" i="24"/>
  <c r="I58" i="24"/>
  <c r="I54" i="24"/>
  <c r="I50" i="24"/>
  <c r="I57" i="24"/>
  <c r="I73" i="24"/>
  <c r="I66" i="24"/>
  <c r="I69" i="24"/>
  <c r="K132" i="64" s="1"/>
  <c r="I53" i="24"/>
  <c r="I78" i="24"/>
  <c r="I49" i="24"/>
  <c r="I60" i="24"/>
  <c r="I64" i="24"/>
  <c r="I61" i="24"/>
  <c r="I70" i="24"/>
  <c r="I65" i="24"/>
  <c r="I77" i="24"/>
  <c r="I74" i="24"/>
  <c r="I72" i="24"/>
  <c r="I52" i="24"/>
  <c r="I68" i="24"/>
  <c r="I56" i="24"/>
  <c r="K68" i="24"/>
  <c r="K64" i="24"/>
  <c r="K52" i="24"/>
  <c r="K48" i="24"/>
  <c r="K76" i="24"/>
  <c r="M133" i="64" s="1"/>
  <c r="K56" i="24"/>
  <c r="K72" i="24"/>
  <c r="K60" i="24"/>
  <c r="K75" i="24"/>
  <c r="K71" i="24"/>
  <c r="K67" i="24"/>
  <c r="K63" i="24"/>
  <c r="K59" i="24"/>
  <c r="K55" i="24"/>
  <c r="K51" i="24"/>
  <c r="K47" i="24"/>
  <c r="K50" i="24"/>
  <c r="K61" i="24"/>
  <c r="K65" i="24"/>
  <c r="K62" i="24"/>
  <c r="K73" i="24"/>
  <c r="K74" i="24"/>
  <c r="K77" i="24"/>
  <c r="K54" i="24"/>
  <c r="K57" i="24"/>
  <c r="K66" i="24"/>
  <c r="K78" i="24"/>
  <c r="K69" i="24"/>
  <c r="M132" i="64" s="1"/>
  <c r="K49" i="24"/>
  <c r="K53" i="24"/>
  <c r="K58" i="24"/>
  <c r="K70" i="24"/>
  <c r="Q47" i="24"/>
  <c r="Q67" i="24"/>
  <c r="Q63" i="24"/>
  <c r="Q51" i="24"/>
  <c r="Q75" i="24"/>
  <c r="Q55" i="24"/>
  <c r="Q48" i="24"/>
  <c r="Q76" i="24"/>
  <c r="S133" i="64" s="1"/>
  <c r="Q71" i="24"/>
  <c r="Q59" i="24"/>
  <c r="Q62" i="24"/>
  <c r="Q58" i="24"/>
  <c r="Q54" i="24"/>
  <c r="Q50" i="24"/>
  <c r="Q66" i="24"/>
  <c r="Q69" i="24"/>
  <c r="S132" i="64" s="1"/>
  <c r="Q53" i="24"/>
  <c r="Q78" i="24"/>
  <c r="Q49" i="24"/>
  <c r="Q56" i="24"/>
  <c r="Q77" i="24"/>
  <c r="Q60" i="24"/>
  <c r="Q64" i="24"/>
  <c r="Q61" i="24"/>
  <c r="Q70" i="24"/>
  <c r="Q73" i="24"/>
  <c r="Q65" i="24"/>
  <c r="Q74" i="24"/>
  <c r="Q72" i="24"/>
  <c r="Q68" i="24"/>
  <c r="Q57" i="24"/>
  <c r="Q52" i="24"/>
  <c r="H71" i="24"/>
  <c r="H59" i="24"/>
  <c r="H55" i="24"/>
  <c r="H75" i="24"/>
  <c r="H63" i="24"/>
  <c r="H47" i="24"/>
  <c r="H67" i="24"/>
  <c r="H51" i="24"/>
  <c r="H54" i="24"/>
  <c r="H62" i="24"/>
  <c r="H70" i="24"/>
  <c r="H52" i="24"/>
  <c r="H60" i="24"/>
  <c r="H68" i="24"/>
  <c r="H53" i="24"/>
  <c r="H69" i="24"/>
  <c r="J132" i="64" s="1"/>
  <c r="H49" i="24"/>
  <c r="H58" i="24"/>
  <c r="H74" i="24"/>
  <c r="H64" i="24"/>
  <c r="H77" i="24"/>
  <c r="H48" i="24"/>
  <c r="H73" i="24"/>
  <c r="H50" i="24"/>
  <c r="H66" i="24"/>
  <c r="H56" i="24"/>
  <c r="H72" i="24"/>
  <c r="H65" i="24"/>
  <c r="H61" i="24"/>
  <c r="H78" i="24"/>
  <c r="H76" i="24"/>
  <c r="J133" i="64" s="1"/>
  <c r="H57" i="24"/>
  <c r="L71" i="24"/>
  <c r="L67" i="24"/>
  <c r="L63" i="24"/>
  <c r="L59" i="24"/>
  <c r="L55" i="24"/>
  <c r="L51" i="24"/>
  <c r="L48" i="24"/>
  <c r="L47" i="24"/>
  <c r="L57" i="24"/>
  <c r="L53" i="24"/>
  <c r="L78" i="24"/>
  <c r="L54" i="24"/>
  <c r="L76" i="24"/>
  <c r="N133" i="64" s="1"/>
  <c r="L50" i="24"/>
  <c r="L58" i="24"/>
  <c r="L66" i="24"/>
  <c r="L74" i="24"/>
  <c r="L77" i="24"/>
  <c r="L70" i="24"/>
  <c r="L52" i="24"/>
  <c r="L60" i="24"/>
  <c r="L68" i="24"/>
  <c r="L69" i="24"/>
  <c r="N132" i="64" s="1"/>
  <c r="L75" i="24"/>
  <c r="L49" i="24"/>
  <c r="L62" i="24"/>
  <c r="L56" i="24"/>
  <c r="L64" i="24"/>
  <c r="L72" i="24"/>
  <c r="L65" i="24"/>
  <c r="L73" i="24"/>
  <c r="L61" i="24"/>
  <c r="G48" i="24"/>
  <c r="G75" i="24"/>
  <c r="I178" i="30" s="1"/>
  <c r="G67" i="24"/>
  <c r="G55" i="24"/>
  <c r="I168" i="30" s="1"/>
  <c r="G78" i="24"/>
  <c r="G66" i="24"/>
  <c r="G62" i="24"/>
  <c r="G74" i="24"/>
  <c r="I177" i="30" s="1"/>
  <c r="G54" i="24"/>
  <c r="I167" i="30" s="1"/>
  <c r="G47" i="24"/>
  <c r="G71" i="24"/>
  <c r="G63" i="24"/>
  <c r="G59" i="24"/>
  <c r="I172" i="30" s="1"/>
  <c r="G51" i="24"/>
  <c r="G70" i="24"/>
  <c r="G58" i="24"/>
  <c r="I171" i="30" s="1"/>
  <c r="G50" i="24"/>
  <c r="I165" i="30" s="1"/>
  <c r="G64" i="24"/>
  <c r="G76" i="24"/>
  <c r="G57" i="24"/>
  <c r="I170" i="30" s="1"/>
  <c r="G73" i="24"/>
  <c r="I176" i="30" s="1"/>
  <c r="G77" i="24"/>
  <c r="I179" i="30" s="1"/>
  <c r="G56" i="24"/>
  <c r="I169" i="30" s="1"/>
  <c r="G65" i="24"/>
  <c r="I175" i="30" s="1"/>
  <c r="G68" i="24"/>
  <c r="G53" i="24"/>
  <c r="G61" i="24"/>
  <c r="I174" i="30" s="1"/>
  <c r="G69" i="24"/>
  <c r="G72" i="24"/>
  <c r="G49" i="24"/>
  <c r="I164" i="30" s="1"/>
  <c r="G52" i="24"/>
  <c r="I166" i="30" s="1"/>
  <c r="G60" i="24"/>
  <c r="I173" i="30" s="1"/>
  <c r="J72" i="24"/>
  <c r="J60" i="24"/>
  <c r="J76" i="24"/>
  <c r="L133" i="64" s="1"/>
  <c r="J64" i="24"/>
  <c r="J56" i="24"/>
  <c r="J47" i="24"/>
  <c r="J48" i="24"/>
  <c r="J68" i="24"/>
  <c r="J52" i="24"/>
  <c r="J71" i="24"/>
  <c r="J67" i="24"/>
  <c r="J63" i="24"/>
  <c r="J59" i="24"/>
  <c r="J55" i="24"/>
  <c r="J51" i="24"/>
  <c r="J78" i="24"/>
  <c r="J70" i="24"/>
  <c r="J75" i="24"/>
  <c r="J49" i="24"/>
  <c r="J57" i="24"/>
  <c r="J65" i="24"/>
  <c r="J73" i="24"/>
  <c r="J62" i="24"/>
  <c r="J54" i="24"/>
  <c r="J74" i="24"/>
  <c r="J58" i="24"/>
  <c r="J53" i="24"/>
  <c r="J61" i="24"/>
  <c r="J69" i="24"/>
  <c r="L132" i="64" s="1"/>
  <c r="J50" i="24"/>
  <c r="J66" i="24"/>
  <c r="J77" i="24"/>
  <c r="M47" i="24"/>
  <c r="M71" i="24"/>
  <c r="M70" i="24"/>
  <c r="M50" i="24"/>
  <c r="M66" i="24"/>
  <c r="M58" i="24"/>
  <c r="M54" i="24"/>
  <c r="M63" i="24"/>
  <c r="M77" i="24"/>
  <c r="M75" i="24"/>
  <c r="M65" i="24"/>
  <c r="M67" i="24"/>
  <c r="M74" i="24"/>
  <c r="M62" i="24"/>
  <c r="M59" i="24"/>
  <c r="M52" i="24"/>
  <c r="M76" i="24"/>
  <c r="O133" i="64" s="1"/>
  <c r="M55" i="24"/>
  <c r="M56" i="24"/>
  <c r="M72" i="24"/>
  <c r="M73" i="24"/>
  <c r="M53" i="24"/>
  <c r="M69" i="24"/>
  <c r="O132" i="64" s="1"/>
  <c r="M78" i="24"/>
  <c r="M49" i="24"/>
  <c r="M64" i="24"/>
  <c r="M61" i="24"/>
  <c r="M57" i="24"/>
  <c r="M51" i="24"/>
  <c r="M60" i="24"/>
  <c r="M68" i="24"/>
  <c r="M48" i="24"/>
  <c r="N78" i="23"/>
  <c r="N70" i="23"/>
  <c r="N58" i="23"/>
  <c r="N74" i="23"/>
  <c r="N62" i="23"/>
  <c r="N75" i="23"/>
  <c r="N71" i="23"/>
  <c r="N67" i="23"/>
  <c r="N63" i="23"/>
  <c r="N59" i="23"/>
  <c r="N55" i="23"/>
  <c r="N51" i="23"/>
  <c r="N66" i="23"/>
  <c r="N54" i="23"/>
  <c r="N50" i="23"/>
  <c r="N48" i="23"/>
  <c r="N56" i="23"/>
  <c r="N76" i="23"/>
  <c r="P78" i="64" s="1"/>
  <c r="N69" i="23"/>
  <c r="P77" i="64" s="1"/>
  <c r="N53" i="23"/>
  <c r="N68" i="23"/>
  <c r="N49" i="23"/>
  <c r="N57" i="23"/>
  <c r="N65" i="23"/>
  <c r="N61" i="23"/>
  <c r="N60" i="23"/>
  <c r="N77" i="23"/>
  <c r="N47" i="23"/>
  <c r="N52" i="23"/>
  <c r="N72" i="23"/>
  <c r="N64" i="23"/>
  <c r="N73" i="23"/>
  <c r="O48" i="23"/>
  <c r="O55" i="23"/>
  <c r="O74" i="23"/>
  <c r="O70" i="23"/>
  <c r="O58" i="23"/>
  <c r="O75" i="23"/>
  <c r="O63" i="23"/>
  <c r="O51" i="23"/>
  <c r="O62" i="23"/>
  <c r="O50" i="23"/>
  <c r="O47" i="23"/>
  <c r="O71" i="23"/>
  <c r="O67" i="23"/>
  <c r="O59" i="23"/>
  <c r="O78" i="23"/>
  <c r="O66" i="23"/>
  <c r="O54" i="23"/>
  <c r="O57" i="23"/>
  <c r="O68" i="23"/>
  <c r="O72" i="23"/>
  <c r="O73" i="23"/>
  <c r="O52" i="23"/>
  <c r="O64" i="23"/>
  <c r="O61" i="23"/>
  <c r="O65" i="23"/>
  <c r="O60" i="23"/>
  <c r="O53" i="23"/>
  <c r="O76" i="23"/>
  <c r="Q78" i="64" s="1"/>
  <c r="O49" i="23"/>
  <c r="O69" i="23"/>
  <c r="Q77" i="64" s="1"/>
  <c r="O77" i="23"/>
  <c r="O56" i="23"/>
  <c r="Q75" i="23"/>
  <c r="Q71" i="23"/>
  <c r="Q59" i="23"/>
  <c r="Q47" i="23"/>
  <c r="Q63" i="23"/>
  <c r="Q51" i="23"/>
  <c r="Q48" i="23"/>
  <c r="Q67" i="23"/>
  <c r="Q55" i="23"/>
  <c r="Q70" i="23"/>
  <c r="Q66" i="23"/>
  <c r="Q62" i="23"/>
  <c r="Q58" i="23"/>
  <c r="Q54" i="23"/>
  <c r="Q50" i="23"/>
  <c r="Q64" i="23"/>
  <c r="Q61" i="23"/>
  <c r="Q56" i="23"/>
  <c r="Q60" i="23"/>
  <c r="Q73" i="23"/>
  <c r="Q76" i="23"/>
  <c r="S78" i="64" s="1"/>
  <c r="Q74" i="23"/>
  <c r="Q68" i="23"/>
  <c r="Q53" i="23"/>
  <c r="Q65" i="23"/>
  <c r="Q77" i="23"/>
  <c r="Q52" i="23"/>
  <c r="Q78" i="23"/>
  <c r="Q57" i="23"/>
  <c r="Q72" i="23"/>
  <c r="Q69" i="23"/>
  <c r="S77" i="64" s="1"/>
  <c r="Q49" i="23"/>
  <c r="K48" i="23"/>
  <c r="K72" i="23"/>
  <c r="K60" i="23"/>
  <c r="K76" i="23"/>
  <c r="M78" i="64" s="1"/>
  <c r="K64" i="23"/>
  <c r="K52" i="23"/>
  <c r="K68" i="23"/>
  <c r="K56" i="23"/>
  <c r="K75" i="23"/>
  <c r="K71" i="23"/>
  <c r="K67" i="23"/>
  <c r="K63" i="23"/>
  <c r="K59" i="23"/>
  <c r="K55" i="23"/>
  <c r="K51" i="23"/>
  <c r="K74" i="23"/>
  <c r="K61" i="23"/>
  <c r="K47" i="23"/>
  <c r="K77" i="23"/>
  <c r="K49" i="23"/>
  <c r="K69" i="23"/>
  <c r="M77" i="64" s="1"/>
  <c r="K54" i="23"/>
  <c r="K53" i="23"/>
  <c r="K70" i="23"/>
  <c r="K66" i="23"/>
  <c r="K78" i="23"/>
  <c r="K58" i="23"/>
  <c r="K73" i="23"/>
  <c r="K50" i="23"/>
  <c r="K65" i="23"/>
  <c r="K62" i="23"/>
  <c r="K57" i="23"/>
  <c r="I71" i="23"/>
  <c r="I59" i="23"/>
  <c r="I47" i="23"/>
  <c r="I75" i="23"/>
  <c r="I63" i="23"/>
  <c r="I51" i="23"/>
  <c r="I48" i="23"/>
  <c r="I67" i="23"/>
  <c r="I55" i="23"/>
  <c r="I70" i="23"/>
  <c r="I66" i="23"/>
  <c r="I62" i="23"/>
  <c r="I58" i="23"/>
  <c r="I54" i="23"/>
  <c r="I50" i="23"/>
  <c r="I49" i="23"/>
  <c r="I74" i="23"/>
  <c r="I68" i="23"/>
  <c r="I53" i="23"/>
  <c r="I76" i="23"/>
  <c r="K78" i="64" s="1"/>
  <c r="I64" i="23"/>
  <c r="I61" i="23"/>
  <c r="I56" i="23"/>
  <c r="I65" i="23"/>
  <c r="I60" i="23"/>
  <c r="I73" i="23"/>
  <c r="I77" i="23"/>
  <c r="I52" i="23"/>
  <c r="I78" i="23"/>
  <c r="I57" i="23"/>
  <c r="I72" i="23"/>
  <c r="I69" i="23"/>
  <c r="K77" i="64" s="1"/>
  <c r="G48" i="23"/>
  <c r="G59" i="23"/>
  <c r="I109" i="30" s="1"/>
  <c r="G55" i="23"/>
  <c r="I105" i="30" s="1"/>
  <c r="G78" i="23"/>
  <c r="G70" i="23"/>
  <c r="G58" i="23"/>
  <c r="I108" i="30" s="1"/>
  <c r="G75" i="23"/>
  <c r="I115" i="30" s="1"/>
  <c r="G63" i="23"/>
  <c r="G74" i="23"/>
  <c r="I114" i="30" s="1"/>
  <c r="G62" i="23"/>
  <c r="G50" i="23"/>
  <c r="I102" i="30" s="1"/>
  <c r="G47" i="23"/>
  <c r="G71" i="23"/>
  <c r="G67" i="23"/>
  <c r="G51" i="23"/>
  <c r="G66" i="23"/>
  <c r="G54" i="23"/>
  <c r="I104" i="30" s="1"/>
  <c r="G69" i="23"/>
  <c r="G77" i="23"/>
  <c r="I116" i="30" s="1"/>
  <c r="G56" i="23"/>
  <c r="I106" i="30" s="1"/>
  <c r="G53" i="23"/>
  <c r="G72" i="23"/>
  <c r="G57" i="23"/>
  <c r="I107" i="30" s="1"/>
  <c r="G68" i="23"/>
  <c r="G60" i="23"/>
  <c r="I110" i="30" s="1"/>
  <c r="G73" i="23"/>
  <c r="I113" i="30" s="1"/>
  <c r="G52" i="23"/>
  <c r="I103" i="30" s="1"/>
  <c r="G65" i="23"/>
  <c r="I112" i="30" s="1"/>
  <c r="G61" i="23"/>
  <c r="I111" i="30" s="1"/>
  <c r="G64" i="23"/>
  <c r="G76" i="23"/>
  <c r="G49" i="23"/>
  <c r="I101" i="30" s="1"/>
  <c r="J72" i="23"/>
  <c r="J60" i="23"/>
  <c r="J76" i="23"/>
  <c r="L78" i="64" s="1"/>
  <c r="J64" i="23"/>
  <c r="J48" i="23"/>
  <c r="J68" i="23"/>
  <c r="J56" i="23"/>
  <c r="J52" i="23"/>
  <c r="J47" i="23"/>
  <c r="J63" i="23"/>
  <c r="J59" i="23"/>
  <c r="J55" i="23"/>
  <c r="J51" i="23"/>
  <c r="J62" i="23"/>
  <c r="J74" i="23"/>
  <c r="J57" i="23"/>
  <c r="J78" i="23"/>
  <c r="J66" i="23"/>
  <c r="J71" i="23"/>
  <c r="J50" i="23"/>
  <c r="J65" i="23"/>
  <c r="J54" i="23"/>
  <c r="J58" i="23"/>
  <c r="J49" i="23"/>
  <c r="J73" i="23"/>
  <c r="J75" i="23"/>
  <c r="J67" i="23"/>
  <c r="J70" i="23"/>
  <c r="J53" i="23"/>
  <c r="J61" i="23"/>
  <c r="J69" i="23"/>
  <c r="L77" i="64" s="1"/>
  <c r="J77" i="23"/>
  <c r="L71" i="23"/>
  <c r="L67" i="23"/>
  <c r="L63" i="23"/>
  <c r="L59" i="23"/>
  <c r="L55" i="23"/>
  <c r="L51" i="23"/>
  <c r="L48" i="23"/>
  <c r="L47" i="23"/>
  <c r="L72" i="23"/>
  <c r="L65" i="23"/>
  <c r="L75" i="23"/>
  <c r="L57" i="23"/>
  <c r="L76" i="23"/>
  <c r="N78" i="64" s="1"/>
  <c r="L69" i="23"/>
  <c r="N77" i="64" s="1"/>
  <c r="L53" i="23"/>
  <c r="L56" i="23"/>
  <c r="L64" i="23"/>
  <c r="L50" i="23"/>
  <c r="L58" i="23"/>
  <c r="L66" i="23"/>
  <c r="L74" i="23"/>
  <c r="L49" i="23"/>
  <c r="L68" i="23"/>
  <c r="L52" i="23"/>
  <c r="L60" i="23"/>
  <c r="L73" i="23"/>
  <c r="L54" i="23"/>
  <c r="L62" i="23"/>
  <c r="L70" i="23"/>
  <c r="L78" i="23"/>
  <c r="L61" i="23"/>
  <c r="L77" i="23"/>
  <c r="P47" i="23"/>
  <c r="P71" i="23"/>
  <c r="P59" i="23"/>
  <c r="P75" i="23"/>
  <c r="P63" i="23"/>
  <c r="P67" i="23"/>
  <c r="P55" i="23"/>
  <c r="P51" i="23"/>
  <c r="P78" i="23"/>
  <c r="P52" i="23"/>
  <c r="P60" i="23"/>
  <c r="P68" i="23"/>
  <c r="P76" i="23"/>
  <c r="R78" i="64" s="1"/>
  <c r="P69" i="23"/>
  <c r="R77" i="64" s="1"/>
  <c r="P54" i="23"/>
  <c r="P49" i="23"/>
  <c r="P56" i="23"/>
  <c r="P53" i="23"/>
  <c r="P65" i="23"/>
  <c r="P61" i="23"/>
  <c r="P72" i="23"/>
  <c r="P74" i="23"/>
  <c r="P77" i="23"/>
  <c r="P70" i="23"/>
  <c r="P48" i="23"/>
  <c r="P62" i="23"/>
  <c r="P64" i="23"/>
  <c r="P73" i="23"/>
  <c r="P57" i="23"/>
  <c r="P50" i="23"/>
  <c r="P58" i="23"/>
  <c r="P66" i="23"/>
  <c r="H59" i="23"/>
  <c r="H75" i="23"/>
  <c r="H71" i="23"/>
  <c r="H63" i="23"/>
  <c r="H51" i="23"/>
  <c r="H47" i="23"/>
  <c r="H67" i="23"/>
  <c r="H55" i="23"/>
  <c r="H50" i="23"/>
  <c r="H58" i="23"/>
  <c r="H66" i="23"/>
  <c r="H57" i="23"/>
  <c r="H54" i="23"/>
  <c r="H64" i="23"/>
  <c r="H78" i="23"/>
  <c r="H52" i="23"/>
  <c r="H60" i="23"/>
  <c r="H68" i="23"/>
  <c r="H76" i="23"/>
  <c r="J78" i="64" s="1"/>
  <c r="H48" i="23"/>
  <c r="H53" i="23"/>
  <c r="H62" i="23"/>
  <c r="H56" i="23"/>
  <c r="H49" i="23"/>
  <c r="H70" i="23"/>
  <c r="H77" i="23"/>
  <c r="H73" i="23"/>
  <c r="H72" i="23"/>
  <c r="H69" i="23"/>
  <c r="J77" i="64" s="1"/>
  <c r="H74" i="23"/>
  <c r="H65" i="23"/>
  <c r="H61" i="23"/>
  <c r="M70" i="23"/>
  <c r="M57" i="23"/>
  <c r="M77" i="23"/>
  <c r="M64" i="23"/>
  <c r="M65" i="23"/>
  <c r="M73" i="23"/>
  <c r="M68" i="23"/>
  <c r="M76" i="23"/>
  <c r="O78" i="64" s="1"/>
  <c r="M49" i="23"/>
  <c r="M66" i="23"/>
  <c r="M71" i="23"/>
  <c r="M52" i="23"/>
  <c r="M53" i="23"/>
  <c r="M59" i="23"/>
  <c r="M56" i="23"/>
  <c r="M62" i="23"/>
  <c r="M54" i="23"/>
  <c r="M48" i="23"/>
  <c r="M78" i="23"/>
  <c r="M47" i="23"/>
  <c r="M67" i="23"/>
  <c r="M51" i="23"/>
  <c r="M63" i="23"/>
  <c r="M72" i="23"/>
  <c r="M50" i="23"/>
  <c r="M74" i="23"/>
  <c r="M69" i="23"/>
  <c r="O77" i="64" s="1"/>
  <c r="M58" i="23"/>
  <c r="M55" i="23"/>
  <c r="M60" i="23"/>
  <c r="M75" i="23"/>
  <c r="M61" i="23"/>
  <c r="G5" i="23"/>
  <c r="I75" i="30" s="1"/>
  <c r="G5" i="24"/>
  <c r="I138" i="30" s="1"/>
  <c r="B21" i="26"/>
  <c r="B29" i="26"/>
  <c r="I29" i="26" s="1"/>
  <c r="B37" i="26"/>
  <c r="I37" i="26" s="1"/>
  <c r="B45" i="26"/>
  <c r="I45" i="26" s="1"/>
  <c r="B53" i="26"/>
  <c r="I53" i="26" s="1"/>
  <c r="B41" i="26"/>
  <c r="I41" i="26" s="1"/>
  <c r="B40" i="26"/>
  <c r="I40" i="26" s="1"/>
  <c r="B31" i="26"/>
  <c r="I31" i="26" s="1"/>
  <c r="B55" i="26"/>
  <c r="I55" i="26" s="1"/>
  <c r="B30" i="26"/>
  <c r="I30" i="26" s="1"/>
  <c r="B54" i="26"/>
  <c r="I54" i="26" s="1"/>
  <c r="B20" i="26"/>
  <c r="B28" i="26"/>
  <c r="I28" i="26" s="1"/>
  <c r="B36" i="26"/>
  <c r="I36" i="26" s="1"/>
  <c r="B44" i="26"/>
  <c r="I44" i="26" s="1"/>
  <c r="B52" i="26"/>
  <c r="I52" i="26" s="1"/>
  <c r="B33" i="26"/>
  <c r="I33" i="26" s="1"/>
  <c r="B57" i="26"/>
  <c r="I57" i="26" s="1"/>
  <c r="B39" i="26"/>
  <c r="I39" i="26" s="1"/>
  <c r="B38" i="26"/>
  <c r="I38" i="26" s="1"/>
  <c r="B19" i="26"/>
  <c r="B27" i="26"/>
  <c r="I27" i="26" s="1"/>
  <c r="B35" i="26"/>
  <c r="I35" i="26" s="1"/>
  <c r="B43" i="26"/>
  <c r="I43" i="26" s="1"/>
  <c r="B51" i="26"/>
  <c r="I51" i="26" s="1"/>
  <c r="B25" i="26"/>
  <c r="I25" i="26" s="1"/>
  <c r="B49" i="26"/>
  <c r="I49" i="26" s="1"/>
  <c r="B24" i="26"/>
  <c r="I24" i="26" s="1"/>
  <c r="B48" i="26"/>
  <c r="I48" i="26" s="1"/>
  <c r="B46" i="26"/>
  <c r="I46" i="26" s="1"/>
  <c r="B18" i="26"/>
  <c r="B26" i="26"/>
  <c r="I26" i="26" s="1"/>
  <c r="B34" i="26"/>
  <c r="I34" i="26" s="1"/>
  <c r="B42" i="26"/>
  <c r="I42" i="26" s="1"/>
  <c r="B50" i="26"/>
  <c r="I50" i="26" s="1"/>
  <c r="B32" i="26"/>
  <c r="I32" i="26" s="1"/>
  <c r="B56" i="26"/>
  <c r="I56" i="26" s="1"/>
  <c r="B23" i="26"/>
  <c r="B47" i="26"/>
  <c r="I47" i="26" s="1"/>
  <c r="B22" i="26"/>
  <c r="G15" i="18"/>
  <c r="T21" i="10"/>
  <c r="G81" i="29" s="1"/>
  <c r="U21" i="10"/>
  <c r="G144" i="29" s="1"/>
  <c r="G44" i="24"/>
  <c r="G40" i="24"/>
  <c r="G36" i="24"/>
  <c r="G32" i="24"/>
  <c r="I154" i="30" s="1"/>
  <c r="G28" i="24"/>
  <c r="I151" i="30" s="1"/>
  <c r="G24" i="24"/>
  <c r="G20" i="24"/>
  <c r="G16" i="24"/>
  <c r="G12" i="24"/>
  <c r="G8" i="24"/>
  <c r="G38" i="24"/>
  <c r="I160" i="30" s="1"/>
  <c r="P43" i="23"/>
  <c r="P11" i="23"/>
  <c r="H37" i="23"/>
  <c r="N26" i="24"/>
  <c r="Q45" i="24"/>
  <c r="Q41" i="24"/>
  <c r="I37" i="24"/>
  <c r="I29" i="24"/>
  <c r="I21" i="24"/>
  <c r="I17" i="24"/>
  <c r="Q9" i="24"/>
  <c r="O5" i="23"/>
  <c r="G43" i="24"/>
  <c r="I162" i="30" s="1"/>
  <c r="G39" i="24"/>
  <c r="I161" i="30" s="1"/>
  <c r="G35" i="24"/>
  <c r="I158" i="30" s="1"/>
  <c r="G31" i="24"/>
  <c r="I153" i="30" s="1"/>
  <c r="G27" i="24"/>
  <c r="I150" i="30" s="1"/>
  <c r="G23" i="24"/>
  <c r="I147" i="30" s="1"/>
  <c r="G19" i="24"/>
  <c r="G15" i="24"/>
  <c r="I144" i="30" s="1"/>
  <c r="G11" i="24"/>
  <c r="G7" i="24"/>
  <c r="M36" i="24"/>
  <c r="L31" i="24"/>
  <c r="O5" i="24"/>
  <c r="M31" i="24"/>
  <c r="N39" i="24"/>
  <c r="N15" i="24"/>
  <c r="N42" i="24"/>
  <c r="N10" i="24"/>
  <c r="N45" i="24"/>
  <c r="O41" i="24"/>
  <c r="N37" i="24"/>
  <c r="O33" i="24"/>
  <c r="N29" i="24"/>
  <c r="O25" i="24"/>
  <c r="N21" i="24"/>
  <c r="O17" i="24"/>
  <c r="N13" i="24"/>
  <c r="O9" i="24"/>
  <c r="L43" i="24"/>
  <c r="L35" i="24"/>
  <c r="L27" i="24"/>
  <c r="L19" i="24"/>
  <c r="L11" i="24"/>
  <c r="I5" i="24"/>
  <c r="L7" i="24"/>
  <c r="M39" i="24"/>
  <c r="M23" i="24"/>
  <c r="N31" i="24"/>
  <c r="N34" i="24"/>
  <c r="P33" i="24"/>
  <c r="P25" i="24"/>
  <c r="P13" i="24"/>
  <c r="H5" i="24"/>
  <c r="J9" i="24"/>
  <c r="M43" i="24"/>
  <c r="M35" i="24"/>
  <c r="M27" i="24"/>
  <c r="M19" i="24"/>
  <c r="M11" i="24"/>
  <c r="P5" i="24"/>
  <c r="L15" i="24"/>
  <c r="M7" i="24"/>
  <c r="N7" i="24"/>
  <c r="N18" i="24"/>
  <c r="H21" i="23"/>
  <c r="M46" i="24"/>
  <c r="G42" i="24"/>
  <c r="M38" i="24"/>
  <c r="G34" i="24"/>
  <c r="I157" i="30" s="1"/>
  <c r="M30" i="24"/>
  <c r="G26" i="24"/>
  <c r="I149" i="30" s="1"/>
  <c r="M22" i="24"/>
  <c r="G18" i="24"/>
  <c r="M14" i="24"/>
  <c r="G10" i="24"/>
  <c r="I141" i="30" s="1"/>
  <c r="M6" i="24"/>
  <c r="K33" i="24"/>
  <c r="N43" i="24"/>
  <c r="N35" i="24"/>
  <c r="N27" i="24"/>
  <c r="N19" i="24"/>
  <c r="N11" i="24"/>
  <c r="Q5" i="24"/>
  <c r="L39" i="24"/>
  <c r="L23" i="24"/>
  <c r="M15" i="24"/>
  <c r="N23" i="24"/>
  <c r="N46" i="24"/>
  <c r="N38" i="24"/>
  <c r="N30" i="24"/>
  <c r="N22" i="24"/>
  <c r="N14" i="24"/>
  <c r="N6" i="24"/>
  <c r="P45" i="24"/>
  <c r="J44" i="24"/>
  <c r="H33" i="24"/>
  <c r="J32" i="24"/>
  <c r="H25" i="24"/>
  <c r="P21" i="24"/>
  <c r="J20" i="24"/>
  <c r="J16" i="24"/>
  <c r="G46" i="24"/>
  <c r="I163" i="30" s="1"/>
  <c r="O46" i="24"/>
  <c r="K44" i="24"/>
  <c r="O38" i="24"/>
  <c r="I33" i="24"/>
  <c r="O26" i="24"/>
  <c r="K24" i="24"/>
  <c r="O18" i="24"/>
  <c r="I13" i="24"/>
  <c r="H42" i="24"/>
  <c r="J41" i="24"/>
  <c r="P38" i="24"/>
  <c r="J37" i="24"/>
  <c r="P34" i="24"/>
  <c r="J33" i="24"/>
  <c r="P30" i="24"/>
  <c r="J29" i="24"/>
  <c r="P26" i="24"/>
  <c r="J25" i="24"/>
  <c r="P22" i="24"/>
  <c r="H14" i="24"/>
  <c r="L12" i="24"/>
  <c r="H10" i="24"/>
  <c r="H6" i="24"/>
  <c r="K39" i="23"/>
  <c r="J12" i="23"/>
  <c r="I46" i="24"/>
  <c r="Q42" i="24"/>
  <c r="O39" i="24"/>
  <c r="I38" i="24"/>
  <c r="Q34" i="24"/>
  <c r="O31" i="24"/>
  <c r="M28" i="24"/>
  <c r="K25" i="24"/>
  <c r="K21" i="24"/>
  <c r="I18" i="24"/>
  <c r="I14" i="24"/>
  <c r="K5" i="24"/>
  <c r="H40" i="23"/>
  <c r="H32" i="23"/>
  <c r="H24" i="23"/>
  <c r="H16" i="23"/>
  <c r="H8" i="23"/>
  <c r="M11" i="23"/>
  <c r="P37" i="23"/>
  <c r="P21" i="23"/>
  <c r="G6" i="24"/>
  <c r="I139" i="30" s="1"/>
  <c r="J46" i="24"/>
  <c r="L45" i="24"/>
  <c r="N44" i="24"/>
  <c r="P43" i="24"/>
  <c r="H43" i="24"/>
  <c r="J42" i="24"/>
  <c r="L41" i="24"/>
  <c r="N40" i="24"/>
  <c r="P39" i="24"/>
  <c r="H39" i="24"/>
  <c r="J38" i="24"/>
  <c r="L37" i="24"/>
  <c r="N36" i="24"/>
  <c r="P35" i="24"/>
  <c r="H35" i="24"/>
  <c r="J34" i="24"/>
  <c r="L33" i="24"/>
  <c r="N32" i="24"/>
  <c r="P31" i="24"/>
  <c r="H31" i="24"/>
  <c r="J30" i="24"/>
  <c r="L29" i="24"/>
  <c r="N28" i="24"/>
  <c r="P27" i="24"/>
  <c r="H27" i="24"/>
  <c r="J26" i="24"/>
  <c r="L25" i="24"/>
  <c r="N24" i="24"/>
  <c r="P23" i="24"/>
  <c r="H23" i="24"/>
  <c r="J22" i="24"/>
  <c r="L21" i="24"/>
  <c r="N20" i="24"/>
  <c r="P19" i="24"/>
  <c r="H19" i="24"/>
  <c r="J18" i="24"/>
  <c r="L17" i="24"/>
  <c r="N16" i="24"/>
  <c r="P15" i="24"/>
  <c r="H15" i="24"/>
  <c r="J14" i="24"/>
  <c r="L13" i="24"/>
  <c r="N12" i="24"/>
  <c r="P11" i="24"/>
  <c r="H11" i="24"/>
  <c r="J10" i="24"/>
  <c r="L9" i="24"/>
  <c r="N8" i="24"/>
  <c r="P7" i="24"/>
  <c r="H7" i="24"/>
  <c r="J6" i="24"/>
  <c r="L5" i="24"/>
  <c r="H41" i="24"/>
  <c r="P37" i="24"/>
  <c r="J36" i="24"/>
  <c r="J28" i="24"/>
  <c r="I45" i="24"/>
  <c r="I41" i="24"/>
  <c r="Q37" i="24"/>
  <c r="Q33" i="24"/>
  <c r="Q29" i="24"/>
  <c r="Q25" i="24"/>
  <c r="Q21" i="24"/>
  <c r="I9" i="24"/>
  <c r="K8" i="24"/>
  <c r="O6" i="24"/>
  <c r="P46" i="24"/>
  <c r="H38" i="24"/>
  <c r="L36" i="24"/>
  <c r="H34" i="24"/>
  <c r="L32" i="24"/>
  <c r="H30" i="24"/>
  <c r="L28" i="24"/>
  <c r="H26" i="24"/>
  <c r="L24" i="24"/>
  <c r="H22" i="24"/>
  <c r="P18" i="24"/>
  <c r="K31" i="23"/>
  <c r="K7" i="23"/>
  <c r="L11" i="23"/>
  <c r="J28" i="23"/>
  <c r="M44" i="24"/>
  <c r="M40" i="24"/>
  <c r="K37" i="24"/>
  <c r="I34" i="24"/>
  <c r="I30" i="24"/>
  <c r="Q26" i="24"/>
  <c r="O23" i="24"/>
  <c r="M20" i="24"/>
  <c r="K17" i="24"/>
  <c r="M16" i="24"/>
  <c r="K13" i="24"/>
  <c r="M12" i="24"/>
  <c r="O11" i="24"/>
  <c r="Q10" i="24"/>
  <c r="I10" i="24"/>
  <c r="K9" i="24"/>
  <c r="M8" i="24"/>
  <c r="I6" i="24"/>
  <c r="G41" i="23"/>
  <c r="G33" i="23"/>
  <c r="I93" i="30" s="1"/>
  <c r="G25" i="23"/>
  <c r="I85" i="30" s="1"/>
  <c r="G17" i="23"/>
  <c r="I82" i="30" s="1"/>
  <c r="G9" i="23"/>
  <c r="I77" i="30" s="1"/>
  <c r="G46" i="23"/>
  <c r="I100" i="30" s="1"/>
  <c r="G38" i="23"/>
  <c r="I97" i="30" s="1"/>
  <c r="G14" i="24"/>
  <c r="I143" i="30" s="1"/>
  <c r="K46" i="24"/>
  <c r="M45" i="24"/>
  <c r="O44" i="24"/>
  <c r="Q43" i="24"/>
  <c r="I43" i="24"/>
  <c r="K42" i="24"/>
  <c r="M41" i="24"/>
  <c r="O40" i="24"/>
  <c r="Q39" i="24"/>
  <c r="I39" i="24"/>
  <c r="K38" i="24"/>
  <c r="M37" i="24"/>
  <c r="O36" i="24"/>
  <c r="Q35" i="24"/>
  <c r="I35" i="24"/>
  <c r="K34" i="24"/>
  <c r="M33" i="24"/>
  <c r="O32" i="24"/>
  <c r="Q31" i="24"/>
  <c r="I31" i="24"/>
  <c r="K30" i="24"/>
  <c r="M29" i="24"/>
  <c r="O28" i="24"/>
  <c r="Q27" i="24"/>
  <c r="I27" i="24"/>
  <c r="K26" i="24"/>
  <c r="M25" i="24"/>
  <c r="O24" i="24"/>
  <c r="Q23" i="24"/>
  <c r="I23" i="24"/>
  <c r="K22" i="24"/>
  <c r="M21" i="24"/>
  <c r="O20" i="24"/>
  <c r="Q19" i="24"/>
  <c r="I19" i="24"/>
  <c r="K18" i="24"/>
  <c r="M17" i="24"/>
  <c r="O16" i="24"/>
  <c r="Q15" i="24"/>
  <c r="I15" i="24"/>
  <c r="K14" i="24"/>
  <c r="M13" i="24"/>
  <c r="O12" i="24"/>
  <c r="Q11" i="24"/>
  <c r="I11" i="24"/>
  <c r="K10" i="24"/>
  <c r="M9" i="24"/>
  <c r="O8" i="24"/>
  <c r="Q7" i="24"/>
  <c r="I7" i="24"/>
  <c r="K6" i="24"/>
  <c r="M5" i="24"/>
  <c r="H45" i="24"/>
  <c r="P41" i="24"/>
  <c r="H37" i="24"/>
  <c r="P29" i="24"/>
  <c r="H21" i="24"/>
  <c r="P17" i="24"/>
  <c r="H13" i="24"/>
  <c r="J12" i="24"/>
  <c r="P9" i="24"/>
  <c r="O30" i="24"/>
  <c r="K28" i="24"/>
  <c r="I25" i="24"/>
  <c r="Q17" i="24"/>
  <c r="Q13" i="24"/>
  <c r="K12" i="24"/>
  <c r="O10" i="24"/>
  <c r="J45" i="24"/>
  <c r="L44" i="24"/>
  <c r="L40" i="24"/>
  <c r="J21" i="24"/>
  <c r="L20" i="24"/>
  <c r="H18" i="24"/>
  <c r="J17" i="24"/>
  <c r="L16" i="24"/>
  <c r="P14" i="24"/>
  <c r="J13" i="24"/>
  <c r="P10" i="24"/>
  <c r="L8" i="24"/>
  <c r="J5" i="24"/>
  <c r="K23" i="23"/>
  <c r="Q46" i="24"/>
  <c r="O43" i="24"/>
  <c r="K41" i="24"/>
  <c r="Q38" i="24"/>
  <c r="O35" i="24"/>
  <c r="M32" i="24"/>
  <c r="K29" i="24"/>
  <c r="M24" i="24"/>
  <c r="I22" i="24"/>
  <c r="Q18" i="24"/>
  <c r="Q14" i="24"/>
  <c r="O7" i="24"/>
  <c r="G33" i="24"/>
  <c r="I156" i="30" s="1"/>
  <c r="G22" i="24"/>
  <c r="L46" i="24"/>
  <c r="P44" i="24"/>
  <c r="H44" i="24"/>
  <c r="J43" i="24"/>
  <c r="L42" i="24"/>
  <c r="N41" i="24"/>
  <c r="P40" i="24"/>
  <c r="H40" i="24"/>
  <c r="J39" i="24"/>
  <c r="L38" i="24"/>
  <c r="P36" i="24"/>
  <c r="H36" i="24"/>
  <c r="J35" i="24"/>
  <c r="L34" i="24"/>
  <c r="N33" i="24"/>
  <c r="P32" i="24"/>
  <c r="H32" i="24"/>
  <c r="J31" i="24"/>
  <c r="L30" i="24"/>
  <c r="P28" i="24"/>
  <c r="H28" i="24"/>
  <c r="J27" i="24"/>
  <c r="L26" i="24"/>
  <c r="N25" i="24"/>
  <c r="P24" i="24"/>
  <c r="H24" i="24"/>
  <c r="J23" i="24"/>
  <c r="L22" i="24"/>
  <c r="P20" i="24"/>
  <c r="H20" i="24"/>
  <c r="J19" i="24"/>
  <c r="L18" i="24"/>
  <c r="N17" i="24"/>
  <c r="P16" i="24"/>
  <c r="H16" i="24"/>
  <c r="J15" i="24"/>
  <c r="L14" i="24"/>
  <c r="P12" i="24"/>
  <c r="H12" i="24"/>
  <c r="J123" i="64" s="1"/>
  <c r="J11" i="24"/>
  <c r="L10" i="24"/>
  <c r="N9" i="24"/>
  <c r="P8" i="24"/>
  <c r="H8" i="24"/>
  <c r="J7" i="24"/>
  <c r="L6" i="24"/>
  <c r="N5" i="24"/>
  <c r="J40" i="24"/>
  <c r="H29" i="24"/>
  <c r="J24" i="24"/>
  <c r="H17" i="24"/>
  <c r="H9" i="24"/>
  <c r="J8" i="24"/>
  <c r="O42" i="24"/>
  <c r="K40" i="24"/>
  <c r="K36" i="24"/>
  <c r="O34" i="24"/>
  <c r="K32" i="24"/>
  <c r="O22" i="24"/>
  <c r="K20" i="24"/>
  <c r="K16" i="24"/>
  <c r="O14" i="24"/>
  <c r="H46" i="24"/>
  <c r="P42" i="24"/>
  <c r="P6" i="24"/>
  <c r="K15" i="23"/>
  <c r="J44" i="23"/>
  <c r="K45" i="24"/>
  <c r="I42" i="24"/>
  <c r="Q30" i="24"/>
  <c r="O27" i="24"/>
  <c r="I26" i="24"/>
  <c r="Q22" i="24"/>
  <c r="O19" i="24"/>
  <c r="O15" i="24"/>
  <c r="Q6" i="24"/>
  <c r="H43" i="23"/>
  <c r="P35" i="23"/>
  <c r="H27" i="23"/>
  <c r="P19" i="23"/>
  <c r="H11" i="23"/>
  <c r="G45" i="24"/>
  <c r="G37" i="24"/>
  <c r="I159" i="30" s="1"/>
  <c r="G29" i="24"/>
  <c r="I152" i="30" s="1"/>
  <c r="G21" i="24"/>
  <c r="I146" i="30" s="1"/>
  <c r="G13" i="24"/>
  <c r="I142" i="30" s="1"/>
  <c r="H19" i="23"/>
  <c r="G30" i="24"/>
  <c r="O45" i="24"/>
  <c r="Q44" i="24"/>
  <c r="I44" i="24"/>
  <c r="K43" i="24"/>
  <c r="M42" i="24"/>
  <c r="Q40" i="24"/>
  <c r="I40" i="24"/>
  <c r="K39" i="24"/>
  <c r="O37" i="24"/>
  <c r="Q36" i="24"/>
  <c r="I36" i="24"/>
  <c r="K35" i="24"/>
  <c r="M34" i="24"/>
  <c r="Q32" i="24"/>
  <c r="I32" i="24"/>
  <c r="K31" i="24"/>
  <c r="O29" i="24"/>
  <c r="Q28" i="24"/>
  <c r="I28" i="24"/>
  <c r="K27" i="24"/>
  <c r="M26" i="24"/>
  <c r="Q24" i="24"/>
  <c r="I24" i="24"/>
  <c r="K23" i="24"/>
  <c r="O21" i="24"/>
  <c r="Q20" i="24"/>
  <c r="I20" i="24"/>
  <c r="K19" i="24"/>
  <c r="M18" i="24"/>
  <c r="Q16" i="24"/>
  <c r="I16" i="24"/>
  <c r="K15" i="24"/>
  <c r="O13" i="24"/>
  <c r="Q12" i="24"/>
  <c r="I12" i="24"/>
  <c r="K11" i="24"/>
  <c r="M10" i="24"/>
  <c r="Q8" i="24"/>
  <c r="I8" i="24"/>
  <c r="K7" i="24"/>
  <c r="G9" i="24"/>
  <c r="I140" i="30" s="1"/>
  <c r="J16" i="23"/>
  <c r="G17" i="24"/>
  <c r="I145" i="30" s="1"/>
  <c r="P27" i="23"/>
  <c r="G41" i="24"/>
  <c r="G25" i="24"/>
  <c r="I148" i="30" s="1"/>
  <c r="K45" i="23"/>
  <c r="K29" i="23"/>
  <c r="J32" i="23"/>
  <c r="H35" i="23"/>
  <c r="G23" i="23"/>
  <c r="I84" i="30" s="1"/>
  <c r="L43" i="23"/>
  <c r="L27" i="23"/>
  <c r="K37" i="23"/>
  <c r="H5" i="23"/>
  <c r="M34" i="23"/>
  <c r="M10" i="23"/>
  <c r="L5" i="23"/>
  <c r="P23" i="23"/>
  <c r="H7" i="23"/>
  <c r="L7" i="23"/>
  <c r="H45" i="23"/>
  <c r="J40" i="23"/>
  <c r="L35" i="23"/>
  <c r="H29" i="23"/>
  <c r="J24" i="23"/>
  <c r="L19" i="23"/>
  <c r="H13" i="23"/>
  <c r="J8" i="23"/>
  <c r="K21" i="23"/>
  <c r="M83" i="30" s="1"/>
  <c r="N16" i="23"/>
  <c r="M18" i="23"/>
  <c r="P31" i="23"/>
  <c r="L23" i="23"/>
  <c r="G44" i="23"/>
  <c r="G36" i="23"/>
  <c r="G28" i="23"/>
  <c r="I88" i="30" s="1"/>
  <c r="G20" i="23"/>
  <c r="G12" i="23"/>
  <c r="Q6" i="23"/>
  <c r="K40" i="23"/>
  <c r="M35" i="23"/>
  <c r="K24" i="23"/>
  <c r="M19" i="23"/>
  <c r="K8" i="23"/>
  <c r="M43" i="23"/>
  <c r="M27" i="23"/>
  <c r="K16" i="23"/>
  <c r="M16" i="23"/>
  <c r="M26" i="23"/>
  <c r="O7" i="23"/>
  <c r="G45" i="23"/>
  <c r="G37" i="23"/>
  <c r="I96" i="30" s="1"/>
  <c r="G29" i="23"/>
  <c r="I89" i="30" s="1"/>
  <c r="G21" i="23"/>
  <c r="I83" i="30" s="1"/>
  <c r="G13" i="23"/>
  <c r="I79" i="30" s="1"/>
  <c r="G6" i="23"/>
  <c r="I76" i="30" s="1"/>
  <c r="J14" i="23"/>
  <c r="P45" i="23"/>
  <c r="M40" i="23"/>
  <c r="P29" i="23"/>
  <c r="M24" i="23"/>
  <c r="M8" i="23"/>
  <c r="K32" i="23"/>
  <c r="M32" i="23"/>
  <c r="P5" i="23"/>
  <c r="M42" i="23"/>
  <c r="H39" i="23"/>
  <c r="H15" i="23"/>
  <c r="L39" i="23"/>
  <c r="M46" i="23"/>
  <c r="M38" i="23"/>
  <c r="M30" i="23"/>
  <c r="M22" i="23"/>
  <c r="M14" i="23"/>
  <c r="M6" i="23"/>
  <c r="G15" i="23"/>
  <c r="I81" i="30" s="1"/>
  <c r="J36" i="23"/>
  <c r="L31" i="23"/>
  <c r="J20" i="23"/>
  <c r="L15" i="23"/>
  <c r="N26" i="23"/>
  <c r="H25" i="23"/>
  <c r="H17" i="23"/>
  <c r="G39" i="23"/>
  <c r="I98" i="30" s="1"/>
  <c r="G18" i="23"/>
  <c r="O46" i="23"/>
  <c r="Q45" i="23"/>
  <c r="I45" i="23"/>
  <c r="K44" i="23"/>
  <c r="O42" i="23"/>
  <c r="Q41" i="23"/>
  <c r="I41" i="23"/>
  <c r="M39" i="23"/>
  <c r="O38" i="23"/>
  <c r="Q37" i="23"/>
  <c r="I37" i="23"/>
  <c r="K36" i="23"/>
  <c r="O34" i="23"/>
  <c r="Q33" i="23"/>
  <c r="I33" i="23"/>
  <c r="M31" i="23"/>
  <c r="O30" i="23"/>
  <c r="Q29" i="23"/>
  <c r="I29" i="23"/>
  <c r="K28" i="23"/>
  <c r="O26" i="23"/>
  <c r="Q25" i="23"/>
  <c r="I25" i="23"/>
  <c r="M23" i="23"/>
  <c r="O22" i="23"/>
  <c r="Q21" i="23"/>
  <c r="I21" i="23"/>
  <c r="K20" i="23"/>
  <c r="O18" i="23"/>
  <c r="Q17" i="23"/>
  <c r="I17" i="23"/>
  <c r="M15" i="23"/>
  <c r="O14" i="23"/>
  <c r="I13" i="23"/>
  <c r="K12" i="23"/>
  <c r="O10" i="23"/>
  <c r="Q9" i="23"/>
  <c r="I9" i="23"/>
  <c r="M7" i="23"/>
  <c r="O6" i="23"/>
  <c r="Q5" i="23"/>
  <c r="I5" i="23"/>
  <c r="G43" i="23"/>
  <c r="I99" i="30" s="1"/>
  <c r="G35" i="23"/>
  <c r="I95" i="30" s="1"/>
  <c r="G27" i="23"/>
  <c r="I87" i="30" s="1"/>
  <c r="G19" i="23"/>
  <c r="G11" i="23"/>
  <c r="G42" i="23"/>
  <c r="G22" i="23"/>
  <c r="P46" i="23"/>
  <c r="H46" i="23"/>
  <c r="J45" i="23"/>
  <c r="L44" i="23"/>
  <c r="N43" i="23"/>
  <c r="P42" i="23"/>
  <c r="H42" i="23"/>
  <c r="J41" i="23"/>
  <c r="L40" i="23"/>
  <c r="N39" i="23"/>
  <c r="P38" i="23"/>
  <c r="H38" i="23"/>
  <c r="J37" i="23"/>
  <c r="L36" i="23"/>
  <c r="N35" i="23"/>
  <c r="P34" i="23"/>
  <c r="H34" i="23"/>
  <c r="J33" i="23"/>
  <c r="L32" i="23"/>
  <c r="N31" i="23"/>
  <c r="P30" i="23"/>
  <c r="H30" i="23"/>
  <c r="J29" i="23"/>
  <c r="L28" i="23"/>
  <c r="N27" i="23"/>
  <c r="P26" i="23"/>
  <c r="H26" i="23"/>
  <c r="J25" i="23"/>
  <c r="L24" i="23"/>
  <c r="N23" i="23"/>
  <c r="P22" i="23"/>
  <c r="H22" i="23"/>
  <c r="J21" i="23"/>
  <c r="L20" i="23"/>
  <c r="N19" i="23"/>
  <c r="P18" i="23"/>
  <c r="H18" i="23"/>
  <c r="J17" i="23"/>
  <c r="L16" i="23"/>
  <c r="N15" i="23"/>
  <c r="P14" i="23"/>
  <c r="H14" i="23"/>
  <c r="J13" i="23"/>
  <c r="L12" i="23"/>
  <c r="N11" i="23"/>
  <c r="P10" i="23"/>
  <c r="H10" i="23"/>
  <c r="J9" i="23"/>
  <c r="L8" i="23"/>
  <c r="N7" i="23"/>
  <c r="P6" i="23"/>
  <c r="H6" i="23"/>
  <c r="J5" i="23"/>
  <c r="P41" i="23"/>
  <c r="N38" i="23"/>
  <c r="N6" i="23"/>
  <c r="I46" i="23"/>
  <c r="M44" i="23"/>
  <c r="O43" i="23"/>
  <c r="Q42" i="23"/>
  <c r="I42" i="23"/>
  <c r="K41" i="23"/>
  <c r="O39" i="23"/>
  <c r="O35" i="23"/>
  <c r="Q34" i="23"/>
  <c r="I34" i="23"/>
  <c r="K33" i="23"/>
  <c r="O31" i="23"/>
  <c r="Q30" i="23"/>
  <c r="I30" i="23"/>
  <c r="O27" i="23"/>
  <c r="O19" i="23"/>
  <c r="Q18" i="23"/>
  <c r="I18" i="23"/>
  <c r="K17" i="23"/>
  <c r="O15" i="23"/>
  <c r="I14" i="23"/>
  <c r="O11" i="23"/>
  <c r="I10" i="23"/>
  <c r="K5" i="23"/>
  <c r="N40" i="23"/>
  <c r="L33" i="23"/>
  <c r="H31" i="23"/>
  <c r="L25" i="23"/>
  <c r="H23" i="23"/>
  <c r="P15" i="23"/>
  <c r="L9" i="23"/>
  <c r="P7" i="23"/>
  <c r="G30" i="23"/>
  <c r="G7" i="23"/>
  <c r="K46" i="23"/>
  <c r="M45" i="23"/>
  <c r="O44" i="23"/>
  <c r="Q43" i="23"/>
  <c r="I43" i="23"/>
  <c r="K42" i="23"/>
  <c r="M41" i="23"/>
  <c r="O40" i="23"/>
  <c r="Q39" i="23"/>
  <c r="I39" i="23"/>
  <c r="K38" i="23"/>
  <c r="M37" i="23"/>
  <c r="O36" i="23"/>
  <c r="Q35" i="23"/>
  <c r="I35" i="23"/>
  <c r="K34" i="23"/>
  <c r="M33" i="23"/>
  <c r="O32" i="23"/>
  <c r="Q31" i="23"/>
  <c r="I31" i="23"/>
  <c r="K30" i="23"/>
  <c r="M29" i="23"/>
  <c r="O28" i="23"/>
  <c r="Q27" i="23"/>
  <c r="I27" i="23"/>
  <c r="K26" i="23"/>
  <c r="M25" i="23"/>
  <c r="O24" i="23"/>
  <c r="Q23" i="23"/>
  <c r="I23" i="23"/>
  <c r="K22" i="23"/>
  <c r="M21" i="23"/>
  <c r="O20" i="23"/>
  <c r="Q19" i="23"/>
  <c r="I19" i="23"/>
  <c r="K18" i="23"/>
  <c r="M17" i="23"/>
  <c r="O16" i="23"/>
  <c r="Q15" i="23"/>
  <c r="I15" i="23"/>
  <c r="K14" i="23"/>
  <c r="O12" i="23"/>
  <c r="Q68" i="64" s="1"/>
  <c r="Q11" i="23"/>
  <c r="I11" i="23"/>
  <c r="K10" i="23"/>
  <c r="M9" i="23"/>
  <c r="O8" i="23"/>
  <c r="Q7" i="23"/>
  <c r="I7" i="23"/>
  <c r="K6" i="23"/>
  <c r="M5" i="23"/>
  <c r="N34" i="23"/>
  <c r="N22" i="23"/>
  <c r="N18" i="23"/>
  <c r="N14" i="23"/>
  <c r="P9" i="23"/>
  <c r="Q46" i="23"/>
  <c r="Q38" i="23"/>
  <c r="I38" i="23"/>
  <c r="M36" i="23"/>
  <c r="M28" i="23"/>
  <c r="Q26" i="23"/>
  <c r="I26" i="23"/>
  <c r="K25" i="23"/>
  <c r="O23" i="23"/>
  <c r="Q22" i="23"/>
  <c r="I22" i="23"/>
  <c r="M20" i="23"/>
  <c r="Q14" i="23"/>
  <c r="I6" i="23"/>
  <c r="G26" i="23"/>
  <c r="I86" i="30" s="1"/>
  <c r="L41" i="23"/>
  <c r="P39" i="23"/>
  <c r="J38" i="23"/>
  <c r="L37" i="23"/>
  <c r="N36" i="23"/>
  <c r="J34" i="23"/>
  <c r="N32" i="23"/>
  <c r="J26" i="23"/>
  <c r="J22" i="23"/>
  <c r="L21" i="23"/>
  <c r="N20" i="23"/>
  <c r="L17" i="23"/>
  <c r="J10" i="23"/>
  <c r="N8" i="23"/>
  <c r="J6" i="23"/>
  <c r="G31" i="23"/>
  <c r="I90" i="30" s="1"/>
  <c r="G10" i="23"/>
  <c r="I78" i="30" s="1"/>
  <c r="L46" i="23"/>
  <c r="N45" i="23"/>
  <c r="P44" i="23"/>
  <c r="H44" i="23"/>
  <c r="J43" i="23"/>
  <c r="L42" i="23"/>
  <c r="N41" i="23"/>
  <c r="P40" i="23"/>
  <c r="J39" i="23"/>
  <c r="L38" i="23"/>
  <c r="N37" i="23"/>
  <c r="P36" i="23"/>
  <c r="H36" i="23"/>
  <c r="J35" i="23"/>
  <c r="L34" i="23"/>
  <c r="N33" i="23"/>
  <c r="P32" i="23"/>
  <c r="J31" i="23"/>
  <c r="L30" i="23"/>
  <c r="N29" i="23"/>
  <c r="P28" i="23"/>
  <c r="H28" i="23"/>
  <c r="J27" i="23"/>
  <c r="L26" i="23"/>
  <c r="N25" i="23"/>
  <c r="P24" i="23"/>
  <c r="J23" i="23"/>
  <c r="L22" i="23"/>
  <c r="N21" i="23"/>
  <c r="P20" i="23"/>
  <c r="H20" i="23"/>
  <c r="J19" i="23"/>
  <c r="L18" i="23"/>
  <c r="N17" i="23"/>
  <c r="P16" i="23"/>
  <c r="J15" i="23"/>
  <c r="L14" i="23"/>
  <c r="P12" i="23"/>
  <c r="R68" i="64" s="1"/>
  <c r="H12" i="23"/>
  <c r="J11" i="23"/>
  <c r="L10" i="23"/>
  <c r="N9" i="23"/>
  <c r="P8" i="23"/>
  <c r="J7" i="23"/>
  <c r="L6" i="23"/>
  <c r="N5" i="23"/>
  <c r="N46" i="23"/>
  <c r="N42" i="23"/>
  <c r="H41" i="23"/>
  <c r="P33" i="23"/>
  <c r="H33" i="23"/>
  <c r="N30" i="23"/>
  <c r="P25" i="23"/>
  <c r="P17" i="23"/>
  <c r="N10" i="23"/>
  <c r="H9" i="23"/>
  <c r="M12" i="23"/>
  <c r="Q10" i="23"/>
  <c r="K9" i="23"/>
  <c r="J46" i="23"/>
  <c r="L45" i="23"/>
  <c r="N44" i="23"/>
  <c r="J42" i="23"/>
  <c r="J30" i="23"/>
  <c r="L29" i="23"/>
  <c r="N28" i="23"/>
  <c r="N24" i="23"/>
  <c r="J18" i="23"/>
  <c r="N12" i="23"/>
  <c r="G40" i="23"/>
  <c r="G32" i="23"/>
  <c r="I91" i="30" s="1"/>
  <c r="G24" i="23"/>
  <c r="G16" i="23"/>
  <c r="G8" i="23"/>
  <c r="G34" i="23"/>
  <c r="I94" i="30" s="1"/>
  <c r="G14" i="23"/>
  <c r="I80" i="30" s="1"/>
  <c r="O45" i="23"/>
  <c r="Q44" i="23"/>
  <c r="I44" i="23"/>
  <c r="K43" i="23"/>
  <c r="O41" i="23"/>
  <c r="Q40" i="23"/>
  <c r="I40" i="23"/>
  <c r="O37" i="23"/>
  <c r="Q36" i="23"/>
  <c r="I36" i="23"/>
  <c r="K35" i="23"/>
  <c r="O33" i="23"/>
  <c r="Q32" i="23"/>
  <c r="I32" i="23"/>
  <c r="O29" i="23"/>
  <c r="Q28" i="23"/>
  <c r="I28" i="23"/>
  <c r="K27" i="23"/>
  <c r="O25" i="23"/>
  <c r="Q24" i="23"/>
  <c r="I24" i="23"/>
  <c r="O21" i="23"/>
  <c r="Q20" i="23"/>
  <c r="I20" i="23"/>
  <c r="K19" i="23"/>
  <c r="O17" i="23"/>
  <c r="Q16" i="23"/>
  <c r="I16" i="23"/>
  <c r="Q12" i="23"/>
  <c r="I12" i="23"/>
  <c r="K11" i="23"/>
  <c r="O9" i="23"/>
  <c r="Q8" i="23"/>
  <c r="I8" i="23"/>
  <c r="T12" i="17"/>
  <c r="B69" i="17"/>
  <c r="B14" i="17"/>
  <c r="I14" i="17" s="1"/>
  <c r="B15" i="17"/>
  <c r="I15" i="17" s="1"/>
  <c r="B16" i="17"/>
  <c r="I16" i="17" s="1"/>
  <c r="B17" i="17"/>
  <c r="I17" i="17" s="1"/>
  <c r="B13" i="17"/>
  <c r="C168" i="17"/>
  <c r="A167" i="17"/>
  <c r="A166" i="17"/>
  <c r="A165" i="17"/>
  <c r="A164" i="17"/>
  <c r="A163" i="17"/>
  <c r="A162" i="17"/>
  <c r="A161" i="17"/>
  <c r="A160" i="17"/>
  <c r="A159" i="17"/>
  <c r="A158" i="17"/>
  <c r="A157" i="17"/>
  <c r="A156" i="17"/>
  <c r="A155" i="17"/>
  <c r="A154" i="17"/>
  <c r="A153" i="17"/>
  <c r="A152" i="17"/>
  <c r="A151" i="17"/>
  <c r="A150" i="17"/>
  <c r="A149" i="17"/>
  <c r="A148" i="17"/>
  <c r="A147" i="17"/>
  <c r="A146" i="17"/>
  <c r="A145" i="17"/>
  <c r="A144" i="17"/>
  <c r="A143" i="17"/>
  <c r="A142" i="17"/>
  <c r="A141" i="17"/>
  <c r="A140" i="17"/>
  <c r="A139" i="17"/>
  <c r="A138" i="17"/>
  <c r="A137" i="17"/>
  <c r="A136" i="17"/>
  <c r="A135" i="17"/>
  <c r="A134" i="17"/>
  <c r="A133" i="17"/>
  <c r="A132" i="17"/>
  <c r="A131" i="17"/>
  <c r="A130" i="17"/>
  <c r="A129" i="17"/>
  <c r="A128" i="17"/>
  <c r="A127" i="17"/>
  <c r="A126" i="17"/>
  <c r="A125" i="17"/>
  <c r="A124" i="17"/>
  <c r="A123" i="17"/>
  <c r="T122" i="17"/>
  <c r="S122" i="17"/>
  <c r="R122" i="17"/>
  <c r="Q122" i="17"/>
  <c r="P122" i="17"/>
  <c r="O122" i="17"/>
  <c r="N122" i="17"/>
  <c r="M122" i="17"/>
  <c r="L122" i="17"/>
  <c r="K122" i="17"/>
  <c r="G121" i="17"/>
  <c r="C113" i="17"/>
  <c r="A112" i="17"/>
  <c r="A111" i="17"/>
  <c r="A110" i="17"/>
  <c r="A109" i="17"/>
  <c r="A108" i="17"/>
  <c r="A107" i="17"/>
  <c r="A106" i="17"/>
  <c r="A105" i="17"/>
  <c r="A104" i="17"/>
  <c r="A103" i="17"/>
  <c r="A102" i="17"/>
  <c r="A101" i="17"/>
  <c r="A100" i="17"/>
  <c r="A99" i="17"/>
  <c r="A98" i="17"/>
  <c r="A97" i="17"/>
  <c r="A96" i="17"/>
  <c r="A95" i="17"/>
  <c r="A94" i="17"/>
  <c r="A93" i="17"/>
  <c r="A92" i="17"/>
  <c r="A91" i="17"/>
  <c r="A90" i="17"/>
  <c r="A89" i="17"/>
  <c r="A88" i="17"/>
  <c r="A87" i="17"/>
  <c r="A86" i="17"/>
  <c r="A85" i="17"/>
  <c r="A84" i="17"/>
  <c r="A83" i="17"/>
  <c r="A82" i="17"/>
  <c r="A81" i="17"/>
  <c r="A80" i="17"/>
  <c r="A79" i="17"/>
  <c r="A78" i="17"/>
  <c r="A77" i="17"/>
  <c r="A76" i="17"/>
  <c r="A75" i="17"/>
  <c r="A74" i="17"/>
  <c r="A73" i="17"/>
  <c r="A72" i="17"/>
  <c r="A71" i="17"/>
  <c r="A70" i="17"/>
  <c r="A69" i="17"/>
  <c r="A68" i="17"/>
  <c r="W67" i="17"/>
  <c r="V67" i="17"/>
  <c r="U67" i="17"/>
  <c r="T67" i="17"/>
  <c r="S67" i="17"/>
  <c r="R67" i="17"/>
  <c r="Q67" i="17"/>
  <c r="P67" i="17"/>
  <c r="O67" i="17"/>
  <c r="N67" i="17"/>
  <c r="M67" i="17"/>
  <c r="L67" i="17"/>
  <c r="K67" i="17"/>
  <c r="G66" i="17"/>
  <c r="C58" i="17"/>
  <c r="G17" i="17"/>
  <c r="G16" i="17"/>
  <c r="G15" i="17"/>
  <c r="G14" i="17"/>
  <c r="W12" i="17"/>
  <c r="V12" i="17"/>
  <c r="U12" i="17"/>
  <c r="S12" i="17"/>
  <c r="R12" i="17"/>
  <c r="Q12" i="17"/>
  <c r="P12" i="17"/>
  <c r="O12" i="17"/>
  <c r="N12" i="17"/>
  <c r="M12" i="17"/>
  <c r="L12" i="17"/>
  <c r="K12" i="17"/>
  <c r="J12" i="17"/>
  <c r="G11" i="17"/>
  <c r="E45" i="10"/>
  <c r="E42" i="10"/>
  <c r="E40" i="10"/>
  <c r="E39" i="10"/>
  <c r="E38" i="10"/>
  <c r="E37" i="10"/>
  <c r="E36" i="10"/>
  <c r="E35" i="10"/>
  <c r="E33" i="10"/>
  <c r="E31" i="10"/>
  <c r="E30" i="10"/>
  <c r="E29" i="10"/>
  <c r="E28" i="10"/>
  <c r="E27" i="10"/>
  <c r="E25" i="10"/>
  <c r="E23" i="10"/>
  <c r="E21" i="10"/>
  <c r="E19" i="10"/>
  <c r="E18" i="10"/>
  <c r="E17" i="10"/>
  <c r="E14" i="10"/>
  <c r="E13" i="10"/>
  <c r="E10" i="10"/>
  <c r="E9" i="10"/>
  <c r="L75" i="64" l="1"/>
  <c r="R123" i="64"/>
  <c r="P123" i="64"/>
  <c r="J125" i="64"/>
  <c r="R70" i="64"/>
  <c r="N125" i="64"/>
  <c r="R75" i="64"/>
  <c r="K76" i="64"/>
  <c r="N130" i="64"/>
  <c r="M70" i="64"/>
  <c r="J69" i="64"/>
  <c r="L124" i="64"/>
  <c r="R124" i="64"/>
  <c r="R125" i="64"/>
  <c r="R73" i="64"/>
  <c r="N71" i="64"/>
  <c r="S76" i="64"/>
  <c r="Q75" i="64"/>
  <c r="P72" i="64"/>
  <c r="O127" i="64"/>
  <c r="J128" i="64"/>
  <c r="R127" i="64"/>
  <c r="R128" i="64"/>
  <c r="R130" i="64"/>
  <c r="L130" i="64"/>
  <c r="P68" i="64"/>
  <c r="J70" i="64"/>
  <c r="S68" i="64"/>
  <c r="S123" i="64"/>
  <c r="Q125" i="64"/>
  <c r="M130" i="64"/>
  <c r="N73" i="64"/>
  <c r="S73" i="64"/>
  <c r="J127" i="64"/>
  <c r="J126" i="64"/>
  <c r="K73" i="64"/>
  <c r="R126" i="64"/>
  <c r="K68" i="64"/>
  <c r="O70" i="64"/>
  <c r="K123" i="64"/>
  <c r="Q73" i="64"/>
  <c r="N126" i="64"/>
  <c r="M126" i="64"/>
  <c r="M69" i="64"/>
  <c r="Q70" i="64"/>
  <c r="N70" i="64"/>
  <c r="K125" i="64"/>
  <c r="P125" i="64"/>
  <c r="J76" i="64"/>
  <c r="N72" i="64"/>
  <c r="K72" i="64"/>
  <c r="M73" i="64"/>
  <c r="S72" i="64"/>
  <c r="Q74" i="64"/>
  <c r="L128" i="64"/>
  <c r="L127" i="64"/>
  <c r="N127" i="64"/>
  <c r="J131" i="64"/>
  <c r="S129" i="64"/>
  <c r="S130" i="64"/>
  <c r="S127" i="64"/>
  <c r="M128" i="64"/>
  <c r="K129" i="64"/>
  <c r="K127" i="64"/>
  <c r="R131" i="64"/>
  <c r="Q129" i="64"/>
  <c r="Q128" i="64"/>
  <c r="P126" i="64"/>
  <c r="P127" i="64"/>
  <c r="O76" i="64"/>
  <c r="J71" i="64"/>
  <c r="R76" i="64"/>
  <c r="L73" i="64"/>
  <c r="L72" i="64"/>
  <c r="K74" i="64"/>
  <c r="M74" i="64"/>
  <c r="P75" i="64"/>
  <c r="O128" i="64"/>
  <c r="P129" i="64"/>
  <c r="P130" i="64"/>
  <c r="P131" i="64"/>
  <c r="L125" i="64"/>
  <c r="Q69" i="64"/>
  <c r="P76" i="64"/>
  <c r="N128" i="64"/>
  <c r="L76" i="64"/>
  <c r="M75" i="64"/>
  <c r="K130" i="64"/>
  <c r="N75" i="64"/>
  <c r="Q124" i="64"/>
  <c r="S74" i="64"/>
  <c r="O69" i="64"/>
  <c r="L123" i="64"/>
  <c r="O130" i="64"/>
  <c r="Q131" i="64"/>
  <c r="J68" i="64"/>
  <c r="S70" i="64"/>
  <c r="R69" i="64"/>
  <c r="J124" i="64"/>
  <c r="L68" i="64"/>
  <c r="R72" i="64"/>
  <c r="R71" i="64"/>
  <c r="N74" i="64"/>
  <c r="L71" i="64"/>
  <c r="M72" i="64"/>
  <c r="Q72" i="64"/>
  <c r="O126" i="64"/>
  <c r="J130" i="64"/>
  <c r="S126" i="64"/>
  <c r="K131" i="64"/>
  <c r="R129" i="64"/>
  <c r="Q127" i="64"/>
  <c r="O73" i="64"/>
  <c r="L126" i="64"/>
  <c r="K69" i="64"/>
  <c r="M124" i="64"/>
  <c r="J73" i="64"/>
  <c r="P70" i="64"/>
  <c r="S69" i="64"/>
  <c r="N68" i="64"/>
  <c r="N69" i="64"/>
  <c r="M123" i="64"/>
  <c r="Q123" i="64"/>
  <c r="K124" i="64"/>
  <c r="O124" i="64"/>
  <c r="N124" i="64"/>
  <c r="O71" i="64"/>
  <c r="O74" i="64"/>
  <c r="J72" i="64"/>
  <c r="L74" i="64"/>
  <c r="S71" i="64"/>
  <c r="P71" i="64"/>
  <c r="P73" i="64"/>
  <c r="O131" i="64"/>
  <c r="L129" i="64"/>
  <c r="N129" i="64"/>
  <c r="J129" i="64"/>
  <c r="S128" i="64"/>
  <c r="M127" i="64"/>
  <c r="K126" i="64"/>
  <c r="Q126" i="64"/>
  <c r="P128" i="64"/>
  <c r="M125" i="64"/>
  <c r="Q76" i="64"/>
  <c r="O68" i="64"/>
  <c r="P69" i="64"/>
  <c r="L70" i="64"/>
  <c r="S124" i="64"/>
  <c r="O125" i="64"/>
  <c r="O123" i="64"/>
  <c r="P124" i="64"/>
  <c r="J75" i="64"/>
  <c r="R74" i="64"/>
  <c r="K75" i="64"/>
  <c r="K71" i="64"/>
  <c r="M76" i="64"/>
  <c r="S75" i="64"/>
  <c r="Q71" i="64"/>
  <c r="L131" i="64"/>
  <c r="M131" i="64"/>
  <c r="K128" i="64"/>
  <c r="P74" i="64"/>
  <c r="J74" i="64"/>
  <c r="N123" i="64"/>
  <c r="S125" i="64"/>
  <c r="L69" i="64"/>
  <c r="M68" i="64"/>
  <c r="K70" i="64"/>
  <c r="O72" i="64"/>
  <c r="O75" i="64"/>
  <c r="N76" i="64"/>
  <c r="M71" i="64"/>
  <c r="O129" i="64"/>
  <c r="N131" i="64"/>
  <c r="S131" i="64"/>
  <c r="M129" i="64"/>
  <c r="Q130" i="64"/>
  <c r="I72" i="26"/>
  <c r="I72" i="64"/>
  <c r="I68" i="26"/>
  <c r="I68" i="64"/>
  <c r="I75" i="26"/>
  <c r="I75" i="64"/>
  <c r="I73" i="26"/>
  <c r="I73" i="64"/>
  <c r="I123" i="26"/>
  <c r="I123" i="64"/>
  <c r="I74" i="26"/>
  <c r="I74" i="64"/>
  <c r="I76" i="26"/>
  <c r="I76" i="64"/>
  <c r="I128" i="26"/>
  <c r="I128" i="64"/>
  <c r="I130" i="26"/>
  <c r="I130" i="64"/>
  <c r="I71" i="26"/>
  <c r="I71" i="64"/>
  <c r="I132" i="26"/>
  <c r="I132" i="64"/>
  <c r="F132" i="64" s="1"/>
  <c r="I78" i="26"/>
  <c r="I78" i="64"/>
  <c r="F78" i="64" s="1"/>
  <c r="I69" i="26"/>
  <c r="I69" i="64"/>
  <c r="I125" i="26"/>
  <c r="I125" i="64"/>
  <c r="I124" i="26"/>
  <c r="I124" i="64"/>
  <c r="I133" i="26"/>
  <c r="I133" i="64"/>
  <c r="F133" i="64" s="1"/>
  <c r="I131" i="26"/>
  <c r="I131" i="64"/>
  <c r="I127" i="26"/>
  <c r="I127" i="64"/>
  <c r="I70" i="26"/>
  <c r="I70" i="64"/>
  <c r="I77" i="26"/>
  <c r="I77" i="64"/>
  <c r="F77" i="64" s="1"/>
  <c r="I129" i="26"/>
  <c r="I129" i="64"/>
  <c r="I126" i="26"/>
  <c r="I126" i="64"/>
  <c r="D19" i="30"/>
  <c r="D20" i="61"/>
  <c r="D28" i="61"/>
  <c r="D27" i="30"/>
  <c r="D37" i="30"/>
  <c r="D38" i="61"/>
  <c r="D21" i="61"/>
  <c r="D20" i="30"/>
  <c r="D29" i="61"/>
  <c r="D28" i="30"/>
  <c r="D38" i="30"/>
  <c r="D39" i="61"/>
  <c r="D21" i="30"/>
  <c r="D22" i="61"/>
  <c r="D14" i="30"/>
  <c r="D15" i="61"/>
  <c r="D22" i="30"/>
  <c r="D23" i="61"/>
  <c r="D16" i="61"/>
  <c r="D15" i="30"/>
  <c r="D16" i="30"/>
  <c r="D17" i="61"/>
  <c r="D25" i="61"/>
  <c r="D24" i="30"/>
  <c r="D33" i="30"/>
  <c r="D34" i="61"/>
  <c r="D29" i="30"/>
  <c r="D30" i="61"/>
  <c r="D32" i="61"/>
  <c r="D31" i="30"/>
  <c r="D33" i="61"/>
  <c r="D32" i="30"/>
  <c r="D17" i="30"/>
  <c r="D18" i="61"/>
  <c r="D25" i="30"/>
  <c r="D26" i="61"/>
  <c r="D34" i="30"/>
  <c r="D35" i="61"/>
  <c r="D24" i="61"/>
  <c r="D23" i="30"/>
  <c r="D18" i="30"/>
  <c r="D19" i="61"/>
  <c r="D26" i="30"/>
  <c r="D27" i="61"/>
  <c r="D35" i="30"/>
  <c r="D36" i="61"/>
  <c r="J62" i="50"/>
  <c r="D14" i="61"/>
  <c r="C14" i="61" s="1"/>
  <c r="J13" i="17"/>
  <c r="I13" i="17"/>
  <c r="K13" i="17"/>
  <c r="I185" i="30"/>
  <c r="I186" i="30"/>
  <c r="I123" i="30"/>
  <c r="I122" i="30"/>
  <c r="B123" i="17"/>
  <c r="M18" i="50"/>
  <c r="D35" i="50"/>
  <c r="D16" i="50"/>
  <c r="D24" i="50"/>
  <c r="D33" i="50"/>
  <c r="D18" i="50"/>
  <c r="D25" i="50"/>
  <c r="D14" i="50"/>
  <c r="C14" i="50" s="1"/>
  <c r="D30" i="50"/>
  <c r="D29" i="50"/>
  <c r="D38" i="50"/>
  <c r="D26" i="50"/>
  <c r="D34" i="50"/>
  <c r="D15" i="50"/>
  <c r="D32" i="50"/>
  <c r="D22" i="50"/>
  <c r="D21" i="50"/>
  <c r="D20" i="50"/>
  <c r="D28" i="50"/>
  <c r="D37" i="50"/>
  <c r="D17" i="50"/>
  <c r="D23" i="50"/>
  <c r="D39" i="50"/>
  <c r="D19" i="50"/>
  <c r="D27" i="50"/>
  <c r="D36" i="50"/>
  <c r="L61" i="50"/>
  <c r="K62" i="50" s="1"/>
  <c r="R146" i="30"/>
  <c r="J148" i="30"/>
  <c r="R147" i="30"/>
  <c r="D26" i="46"/>
  <c r="N96" i="30"/>
  <c r="S101" i="30"/>
  <c r="S113" i="30"/>
  <c r="O94" i="30"/>
  <c r="O177" i="30"/>
  <c r="N173" i="30"/>
  <c r="L153" i="30"/>
  <c r="J173" i="30"/>
  <c r="J174" i="30"/>
  <c r="M160" i="30"/>
  <c r="L167" i="30"/>
  <c r="L176" i="30"/>
  <c r="P163" i="30"/>
  <c r="P149" i="30"/>
  <c r="D34" i="46"/>
  <c r="S88" i="30"/>
  <c r="Q96" i="30"/>
  <c r="S106" i="30"/>
  <c r="Q112" i="30"/>
  <c r="M115" i="30"/>
  <c r="L114" i="30"/>
  <c r="S108" i="30"/>
  <c r="R93" i="30"/>
  <c r="L87" i="30"/>
  <c r="N94" i="30"/>
  <c r="R106" i="30"/>
  <c r="P116" i="30"/>
  <c r="L108" i="30"/>
  <c r="K86" i="30"/>
  <c r="K101" i="30"/>
  <c r="S114" i="30"/>
  <c r="R107" i="30"/>
  <c r="O89" i="30"/>
  <c r="S95" i="30"/>
  <c r="K105" i="30"/>
  <c r="O111" i="30"/>
  <c r="M114" i="30"/>
  <c r="N93" i="30"/>
  <c r="M93" i="30"/>
  <c r="Q99" i="30"/>
  <c r="M107" i="30"/>
  <c r="J107" i="30"/>
  <c r="R80" i="30"/>
  <c r="P87" i="30"/>
  <c r="J94" i="30"/>
  <c r="R100" i="30"/>
  <c r="P109" i="30"/>
  <c r="K93" i="30"/>
  <c r="K107" i="30"/>
  <c r="K112" i="30"/>
  <c r="K113" i="30"/>
  <c r="O104" i="30"/>
  <c r="O95" i="30"/>
  <c r="N109" i="30"/>
  <c r="K154" i="30"/>
  <c r="S169" i="30"/>
  <c r="R171" i="30"/>
  <c r="Q143" i="30"/>
  <c r="J166" i="30"/>
  <c r="L172" i="30"/>
  <c r="P176" i="30"/>
  <c r="S160" i="30"/>
  <c r="R170" i="30"/>
  <c r="K153" i="30"/>
  <c r="O159" i="30"/>
  <c r="S162" i="30"/>
  <c r="K165" i="30"/>
  <c r="O170" i="30"/>
  <c r="J157" i="30"/>
  <c r="S152" i="30"/>
  <c r="K175" i="30"/>
  <c r="L166" i="30"/>
  <c r="L143" i="30"/>
  <c r="J150" i="30"/>
  <c r="N156" i="30"/>
  <c r="R161" i="30"/>
  <c r="L163" i="30"/>
  <c r="R172" i="30"/>
  <c r="K163" i="30"/>
  <c r="M176" i="30"/>
  <c r="R157" i="30"/>
  <c r="Q149" i="30"/>
  <c r="M173" i="30"/>
  <c r="P160" i="30"/>
  <c r="O172" i="30"/>
  <c r="Q156" i="30"/>
  <c r="Q175" i="30"/>
  <c r="P177" i="30"/>
  <c r="K179" i="30"/>
  <c r="R115" i="30"/>
  <c r="D33" i="46"/>
  <c r="K88" i="30"/>
  <c r="K106" i="30"/>
  <c r="Q113" i="30"/>
  <c r="N113" i="30"/>
  <c r="J93" i="30"/>
  <c r="J112" i="30"/>
  <c r="N86" i="30"/>
  <c r="P93" i="30"/>
  <c r="L105" i="30"/>
  <c r="L94" i="30"/>
  <c r="P106" i="30"/>
  <c r="M113" i="30"/>
  <c r="P94" i="30"/>
  <c r="Q88" i="30"/>
  <c r="K95" i="30"/>
  <c r="M104" i="30"/>
  <c r="Q110" i="30"/>
  <c r="O113" i="30"/>
  <c r="J90" i="30"/>
  <c r="R105" i="30"/>
  <c r="Q90" i="30"/>
  <c r="Q105" i="30"/>
  <c r="M112" i="30"/>
  <c r="J80" i="30"/>
  <c r="R86" i="30"/>
  <c r="L93" i="30"/>
  <c r="P98" i="30"/>
  <c r="J100" i="30"/>
  <c r="N103" i="30"/>
  <c r="R108" i="30"/>
  <c r="L112" i="30"/>
  <c r="O90" i="30"/>
  <c r="O98" i="30"/>
  <c r="O105" i="30"/>
  <c r="R113" i="30"/>
  <c r="O100" i="30"/>
  <c r="R89" i="30"/>
  <c r="J111" i="30"/>
  <c r="N99" i="30"/>
  <c r="L91" i="30"/>
  <c r="M153" i="30"/>
  <c r="M161" i="30"/>
  <c r="K169" i="30"/>
  <c r="J109" i="30"/>
  <c r="Q150" i="30"/>
  <c r="M174" i="30"/>
  <c r="L110" i="30"/>
  <c r="N169" i="30"/>
  <c r="R151" i="30"/>
  <c r="L162" i="30"/>
  <c r="L165" i="30"/>
  <c r="N171" i="30"/>
  <c r="P175" i="30"/>
  <c r="Q158" i="30"/>
  <c r="L169" i="30"/>
  <c r="J179" i="30"/>
  <c r="K162" i="30"/>
  <c r="Q169" i="30"/>
  <c r="S178" i="30"/>
  <c r="M159" i="30"/>
  <c r="M90" i="30"/>
  <c r="N154" i="30"/>
  <c r="K174" i="30"/>
  <c r="L149" i="30"/>
  <c r="P154" i="30"/>
  <c r="J161" i="30"/>
  <c r="P166" i="30"/>
  <c r="J172" i="30"/>
  <c r="N175" i="30"/>
  <c r="L156" i="30"/>
  <c r="L174" i="30"/>
  <c r="Q167" i="30"/>
  <c r="J102" i="30"/>
  <c r="N168" i="30"/>
  <c r="P172" i="30"/>
  <c r="O165" i="30"/>
  <c r="R156" i="30"/>
  <c r="N172" i="30"/>
  <c r="P152" i="30"/>
  <c r="P174" i="30"/>
  <c r="K159" i="30"/>
  <c r="K176" i="30"/>
  <c r="R99" i="30"/>
  <c r="L95" i="30"/>
  <c r="P107" i="30"/>
  <c r="P110" i="30"/>
  <c r="Q115" i="30"/>
  <c r="J113" i="30"/>
  <c r="S105" i="30"/>
  <c r="K94" i="30"/>
  <c r="S107" i="30"/>
  <c r="O87" i="30"/>
  <c r="R87" i="30"/>
  <c r="S154" i="30"/>
  <c r="J115" i="30"/>
  <c r="N160" i="30"/>
  <c r="S165" i="30"/>
  <c r="J143" i="30"/>
  <c r="P168" i="30"/>
  <c r="P178" i="30"/>
  <c r="P159" i="30"/>
  <c r="P108" i="30"/>
  <c r="L98" i="30"/>
  <c r="S87" i="30"/>
  <c r="K80" i="30"/>
  <c r="J86" i="30"/>
  <c r="J108" i="30"/>
  <c r="L116" i="30"/>
  <c r="Q80" i="30"/>
  <c r="Q97" i="30"/>
  <c r="P104" i="30"/>
  <c r="Q159" i="30"/>
  <c r="K149" i="30"/>
  <c r="R167" i="30"/>
  <c r="O154" i="30"/>
  <c r="O152" i="30"/>
  <c r="L160" i="30"/>
  <c r="Q161" i="30"/>
  <c r="M166" i="30"/>
  <c r="P165" i="30"/>
  <c r="N153" i="30"/>
  <c r="D15" i="49"/>
  <c r="D39" i="46"/>
  <c r="M95" i="30"/>
  <c r="Q111" i="30"/>
  <c r="P101" i="30"/>
  <c r="L86" i="30"/>
  <c r="M80" i="30"/>
  <c r="O93" i="30"/>
  <c r="Q103" i="30"/>
  <c r="O112" i="30"/>
  <c r="S89" i="30"/>
  <c r="N102" i="30"/>
  <c r="Q174" i="30"/>
  <c r="L150" i="30"/>
  <c r="M152" i="30"/>
  <c r="O169" i="30"/>
  <c r="L170" i="30"/>
  <c r="O174" i="30"/>
  <c r="N151" i="30"/>
  <c r="R162" i="30"/>
  <c r="J156" i="30"/>
  <c r="O143" i="30"/>
  <c r="O163" i="30"/>
  <c r="O168" i="30"/>
  <c r="D29" i="46"/>
  <c r="Q93" i="30"/>
  <c r="M99" i="30"/>
  <c r="K103" i="30"/>
  <c r="S110" i="30"/>
  <c r="P88" i="30"/>
  <c r="P96" i="30"/>
  <c r="R103" i="30"/>
  <c r="J110" i="30"/>
  <c r="N114" i="30"/>
  <c r="K97" i="30"/>
  <c r="P80" i="30"/>
  <c r="M86" i="30"/>
  <c r="Q91" i="30"/>
  <c r="K98" i="30"/>
  <c r="S102" i="30"/>
  <c r="M108" i="30"/>
  <c r="O116" i="30"/>
  <c r="P103" i="30"/>
  <c r="Q87" i="30"/>
  <c r="Q98" i="30"/>
  <c r="O103" i="30"/>
  <c r="L96" i="30"/>
  <c r="P99" i="30"/>
  <c r="J101" i="30"/>
  <c r="N106" i="30"/>
  <c r="P115" i="30"/>
  <c r="K89" i="30"/>
  <c r="K96" i="30"/>
  <c r="K111" i="30"/>
  <c r="K116" i="30"/>
  <c r="P86" i="30"/>
  <c r="N98" i="30"/>
  <c r="M91" i="30"/>
  <c r="O101" i="30"/>
  <c r="R90" i="30"/>
  <c r="O115" i="30"/>
  <c r="M116" i="30"/>
  <c r="K151" i="30"/>
  <c r="S166" i="30"/>
  <c r="S173" i="30"/>
  <c r="R95" i="30"/>
  <c r="Q165" i="30"/>
  <c r="J163" i="30"/>
  <c r="M154" i="30"/>
  <c r="N149" i="30"/>
  <c r="P156" i="30"/>
  <c r="J169" i="30"/>
  <c r="J167" i="30"/>
  <c r="J159" i="30"/>
  <c r="S150" i="30"/>
  <c r="M157" i="30"/>
  <c r="M167" i="30"/>
  <c r="Q173" i="30"/>
  <c r="O176" i="30"/>
  <c r="S149" i="30"/>
  <c r="M170" i="30"/>
  <c r="L88" i="30"/>
  <c r="J149" i="30"/>
  <c r="L151" i="30"/>
  <c r="J175" i="30"/>
  <c r="J162" i="30"/>
  <c r="P169" i="30"/>
  <c r="R178" i="30"/>
  <c r="S157" i="30"/>
  <c r="S171" i="30"/>
  <c r="M98" i="30"/>
  <c r="R149" i="30"/>
  <c r="Q163" i="30"/>
  <c r="L154" i="30"/>
  <c r="P158" i="30"/>
  <c r="O150" i="30"/>
  <c r="O161" i="30"/>
  <c r="N158" i="30"/>
  <c r="O153" i="30"/>
  <c r="S174" i="30"/>
  <c r="S86" i="30"/>
  <c r="K115" i="30"/>
  <c r="R94" i="30"/>
  <c r="N110" i="30"/>
  <c r="S93" i="30"/>
  <c r="S112" i="30"/>
  <c r="J105" i="30"/>
  <c r="J89" i="30"/>
  <c r="M89" i="30"/>
  <c r="N177" i="30"/>
  <c r="M169" i="30"/>
  <c r="O179" i="30"/>
  <c r="L157" i="30"/>
  <c r="P173" i="30"/>
  <c r="M179" i="30"/>
  <c r="K156" i="30"/>
  <c r="L173" i="30"/>
  <c r="D32" i="46"/>
  <c r="M87" i="30"/>
  <c r="N100" i="30"/>
  <c r="P111" i="30"/>
  <c r="L101" i="30"/>
  <c r="S100" i="30"/>
  <c r="M94" i="30"/>
  <c r="S109" i="30"/>
  <c r="S104" i="30"/>
  <c r="P97" i="30"/>
  <c r="R97" i="30"/>
  <c r="Q104" i="30"/>
  <c r="O97" i="30"/>
  <c r="L80" i="30"/>
  <c r="M168" i="30"/>
  <c r="R102" i="30"/>
  <c r="K171" i="30"/>
  <c r="L179" i="30"/>
  <c r="J151" i="30"/>
  <c r="M105" i="30"/>
  <c r="R176" i="30"/>
  <c r="S158" i="30"/>
  <c r="S168" i="30"/>
  <c r="K178" i="30"/>
  <c r="K170" i="30"/>
  <c r="L171" i="30"/>
  <c r="N179" i="30"/>
  <c r="K143" i="30"/>
  <c r="M175" i="30"/>
  <c r="J171" i="30"/>
  <c r="Q177" i="30"/>
  <c r="O167" i="30"/>
  <c r="N165" i="30"/>
  <c r="P171" i="30"/>
  <c r="D30" i="46"/>
  <c r="S103" i="30"/>
  <c r="N97" i="30"/>
  <c r="R110" i="30"/>
  <c r="S98" i="30"/>
  <c r="J97" i="30"/>
  <c r="R101" i="30"/>
  <c r="S111" i="30"/>
  <c r="S116" i="30"/>
  <c r="O114" i="30"/>
  <c r="M96" i="30"/>
  <c r="S151" i="30"/>
  <c r="Q179" i="30"/>
  <c r="N166" i="30"/>
  <c r="Q157" i="30"/>
  <c r="N157" i="30"/>
  <c r="R169" i="30"/>
  <c r="K158" i="30"/>
  <c r="K168" i="30"/>
  <c r="M177" i="30"/>
  <c r="J153" i="30"/>
  <c r="J165" i="30"/>
  <c r="L152" i="30"/>
  <c r="N162" i="30"/>
  <c r="M164" i="30"/>
  <c r="D38" i="46"/>
  <c r="D28" i="46"/>
  <c r="D37" i="46"/>
  <c r="S91" i="30"/>
  <c r="M102" i="30"/>
  <c r="K110" i="30"/>
  <c r="Q116" i="30"/>
  <c r="N107" i="30"/>
  <c r="P100" i="30"/>
  <c r="P89" i="30"/>
  <c r="J103" i="30"/>
  <c r="L109" i="30"/>
  <c r="P113" i="30"/>
  <c r="R98" i="30"/>
  <c r="S90" i="30"/>
  <c r="M97" i="30"/>
  <c r="K102" i="30"/>
  <c r="O107" i="30"/>
  <c r="Q95" i="30"/>
  <c r="O110" i="30"/>
  <c r="P105" i="30"/>
  <c r="R114" i="30"/>
  <c r="M88" i="30"/>
  <c r="M103" i="30"/>
  <c r="M110" i="30"/>
  <c r="N90" i="30"/>
  <c r="O80" i="30"/>
  <c r="R111" i="30"/>
  <c r="O86" i="30"/>
  <c r="O109" i="30"/>
  <c r="M106" i="30"/>
  <c r="J95" i="30"/>
  <c r="M111" i="30"/>
  <c r="M150" i="30"/>
  <c r="M158" i="30"/>
  <c r="M162" i="30"/>
  <c r="K166" i="30"/>
  <c r="K173" i="30"/>
  <c r="J87" i="30"/>
  <c r="K177" i="30"/>
  <c r="R179" i="30"/>
  <c r="R154" i="30"/>
  <c r="L168" i="30"/>
  <c r="S163" i="30"/>
  <c r="S177" i="30"/>
  <c r="R143" i="30"/>
  <c r="R152" i="30"/>
  <c r="M143" i="30"/>
  <c r="K150" i="30"/>
  <c r="O156" i="30"/>
  <c r="S161" i="30"/>
  <c r="M163" i="30"/>
  <c r="S172" i="30"/>
  <c r="K167" i="30"/>
  <c r="R163" i="30"/>
  <c r="S179" i="30"/>
  <c r="R174" i="30"/>
  <c r="N152" i="30"/>
  <c r="R158" i="30"/>
  <c r="R168" i="30"/>
  <c r="J178" i="30"/>
  <c r="R96" i="30"/>
  <c r="Q153" i="30"/>
  <c r="Q168" i="30"/>
  <c r="J176" i="30"/>
  <c r="P150" i="30"/>
  <c r="O160" i="30"/>
  <c r="N150" i="30"/>
  <c r="P179" i="30"/>
  <c r="S170" i="30"/>
  <c r="J106" i="30"/>
  <c r="L102" i="30"/>
  <c r="D35" i="46"/>
  <c r="Q89" i="30"/>
  <c r="Q107" i="30"/>
  <c r="J88" i="30"/>
  <c r="K99" i="30"/>
  <c r="K108" i="30"/>
  <c r="N88" i="30"/>
  <c r="J104" i="30"/>
  <c r="L113" i="30"/>
  <c r="N115" i="30"/>
  <c r="O171" i="30"/>
  <c r="R166" i="30"/>
  <c r="S143" i="30"/>
  <c r="S153" i="30"/>
  <c r="M171" i="30"/>
  <c r="S156" i="30"/>
  <c r="R150" i="30"/>
  <c r="N176" i="30"/>
  <c r="L159" i="30"/>
  <c r="P157" i="30"/>
  <c r="N178" i="30"/>
  <c r="D25" i="46"/>
  <c r="R91" i="30"/>
  <c r="N104" i="30"/>
  <c r="P91" i="30"/>
  <c r="L104" i="30"/>
  <c r="N91" i="30"/>
  <c r="P102" i="30"/>
  <c r="Q100" i="30"/>
  <c r="L103" i="30"/>
  <c r="J98" i="30"/>
  <c r="L106" i="30"/>
  <c r="N87" i="30"/>
  <c r="Q152" i="30"/>
  <c r="N143" i="30"/>
  <c r="L158" i="30"/>
  <c r="P170" i="30"/>
  <c r="Q172" i="30"/>
  <c r="L175" i="30"/>
  <c r="K157" i="30"/>
  <c r="R159" i="30"/>
  <c r="R153" i="30"/>
  <c r="R165" i="30"/>
  <c r="N161" i="30"/>
  <c r="O162" i="30"/>
  <c r="Q170" i="30"/>
  <c r="K152" i="30"/>
  <c r="N89" i="30"/>
  <c r="N112" i="30"/>
  <c r="L90" i="30"/>
  <c r="L115" i="30"/>
  <c r="S97" i="30"/>
  <c r="K87" i="30"/>
  <c r="M100" i="30"/>
  <c r="K109" i="30"/>
  <c r="K104" i="30"/>
  <c r="P90" i="30"/>
  <c r="L107" i="30"/>
  <c r="S96" i="30"/>
  <c r="R116" i="30"/>
  <c r="J99" i="30"/>
  <c r="S167" i="30"/>
  <c r="J177" i="30"/>
  <c r="J152" i="30"/>
  <c r="M151" i="30"/>
  <c r="Q151" i="30"/>
  <c r="O173" i="30"/>
  <c r="N159" i="30"/>
  <c r="N170" i="30"/>
  <c r="K160" i="30"/>
  <c r="P143" i="30"/>
  <c r="P162" i="30"/>
  <c r="O158" i="30"/>
  <c r="S175" i="30"/>
  <c r="D19" i="46"/>
  <c r="D27" i="46"/>
  <c r="D36" i="46"/>
  <c r="K91" i="30"/>
  <c r="M109" i="30"/>
  <c r="L100" i="30"/>
  <c r="N116" i="30"/>
  <c r="N80" i="30"/>
  <c r="R88" i="30"/>
  <c r="L99" i="30"/>
  <c r="N101" i="30"/>
  <c r="N108" i="30"/>
  <c r="P112" i="30"/>
  <c r="L97" i="30"/>
  <c r="N111" i="30"/>
  <c r="S80" i="30"/>
  <c r="O88" i="30"/>
  <c r="Q102" i="30"/>
  <c r="P114" i="30"/>
  <c r="K90" i="30"/>
  <c r="O96" i="30"/>
  <c r="S99" i="30"/>
  <c r="M101" i="30"/>
  <c r="Q106" i="30"/>
  <c r="S115" i="30"/>
  <c r="S94" i="30"/>
  <c r="K100" i="30"/>
  <c r="Q109" i="30"/>
  <c r="K114" i="30"/>
  <c r="R112" i="30"/>
  <c r="L89" i="30"/>
  <c r="P95" i="30"/>
  <c r="R104" i="30"/>
  <c r="L111" i="30"/>
  <c r="J114" i="30"/>
  <c r="Q86" i="30"/>
  <c r="Q94" i="30"/>
  <c r="Q101" i="30"/>
  <c r="Q108" i="30"/>
  <c r="Q114" i="30"/>
  <c r="O91" i="30"/>
  <c r="O106" i="30"/>
  <c r="O99" i="30"/>
  <c r="O102" i="30"/>
  <c r="N105" i="30"/>
  <c r="N95" i="30"/>
  <c r="J116" i="30"/>
  <c r="O108" i="30"/>
  <c r="R109" i="30"/>
  <c r="O149" i="30"/>
  <c r="O157" i="30"/>
  <c r="M165" i="30"/>
  <c r="M172" i="30"/>
  <c r="M178" i="30"/>
  <c r="J154" i="30"/>
  <c r="L161" i="30"/>
  <c r="N163" i="30"/>
  <c r="N167" i="30"/>
  <c r="R173" i="30"/>
  <c r="L178" i="30"/>
  <c r="Q162" i="30"/>
  <c r="Q171" i="30"/>
  <c r="R175" i="30"/>
  <c r="M149" i="30"/>
  <c r="Q154" i="30"/>
  <c r="K161" i="30"/>
  <c r="Q166" i="30"/>
  <c r="K172" i="30"/>
  <c r="O175" i="30"/>
  <c r="Q178" i="30"/>
  <c r="J160" i="30"/>
  <c r="R177" i="30"/>
  <c r="S159" i="30"/>
  <c r="S176" i="30"/>
  <c r="J170" i="30"/>
  <c r="P151" i="30"/>
  <c r="J158" i="30"/>
  <c r="J168" i="30"/>
  <c r="N174" i="30"/>
  <c r="L177" i="30"/>
  <c r="J91" i="30"/>
  <c r="O151" i="30"/>
  <c r="O166" i="30"/>
  <c r="R160" i="30"/>
  <c r="Q160" i="30"/>
  <c r="P167" i="30"/>
  <c r="M156" i="30"/>
  <c r="O178" i="30"/>
  <c r="P153" i="30"/>
  <c r="Q176" i="30"/>
  <c r="P161" i="30"/>
  <c r="J96" i="30"/>
  <c r="K13" i="23"/>
  <c r="D29" i="29"/>
  <c r="D37" i="29"/>
  <c r="D25" i="29"/>
  <c r="D32" i="29"/>
  <c r="D30" i="29"/>
  <c r="D39" i="29"/>
  <c r="D27" i="29"/>
  <c r="D26" i="29"/>
  <c r="D35" i="29"/>
  <c r="D19" i="29"/>
  <c r="D34" i="29"/>
  <c r="D33" i="29"/>
  <c r="D38" i="29"/>
  <c r="D28" i="29"/>
  <c r="D36" i="29"/>
  <c r="B71" i="17"/>
  <c r="I71" i="17" s="1"/>
  <c r="B70" i="17"/>
  <c r="B68" i="17"/>
  <c r="B127" i="17"/>
  <c r="B126" i="17"/>
  <c r="B72" i="17"/>
  <c r="I72" i="17" s="1"/>
  <c r="B125" i="17"/>
  <c r="J85" i="30"/>
  <c r="L82" i="30"/>
  <c r="Q147" i="30"/>
  <c r="J145" i="30"/>
  <c r="O84" i="30"/>
  <c r="M146" i="30"/>
  <c r="O145" i="30"/>
  <c r="L146" i="30"/>
  <c r="J83" i="30"/>
  <c r="R148" i="30"/>
  <c r="Q82" i="30"/>
  <c r="L148" i="30"/>
  <c r="J147" i="30"/>
  <c r="Q84" i="30"/>
  <c r="N147" i="30"/>
  <c r="Q145" i="30"/>
  <c r="P85" i="30"/>
  <c r="R82" i="30"/>
  <c r="Q146" i="30"/>
  <c r="K147" i="30"/>
  <c r="O146" i="30"/>
  <c r="P147" i="30"/>
  <c r="M84" i="30"/>
  <c r="K146" i="30"/>
  <c r="P82" i="30"/>
  <c r="N83" i="30"/>
  <c r="N145" i="30"/>
  <c r="K145" i="30"/>
  <c r="Q148" i="30"/>
  <c r="L145" i="30"/>
  <c r="P146" i="30"/>
  <c r="S146" i="30"/>
  <c r="P84" i="30"/>
  <c r="R85" i="30"/>
  <c r="K83" i="30"/>
  <c r="O147" i="30"/>
  <c r="S145" i="30"/>
  <c r="J84" i="30"/>
  <c r="Q83" i="30"/>
  <c r="O82" i="30"/>
  <c r="N82" i="30"/>
  <c r="K82" i="30"/>
  <c r="M145" i="30"/>
  <c r="J146" i="30"/>
  <c r="R83" i="30"/>
  <c r="L147" i="30"/>
  <c r="N84" i="30"/>
  <c r="M82" i="30"/>
  <c r="R145" i="30"/>
  <c r="S147" i="30"/>
  <c r="P83" i="30"/>
  <c r="S82" i="30"/>
  <c r="P145" i="30"/>
  <c r="N85" i="30"/>
  <c r="S84" i="30"/>
  <c r="R84" i="30"/>
  <c r="J82" i="30"/>
  <c r="N146" i="30"/>
  <c r="M147" i="30"/>
  <c r="L84" i="30"/>
  <c r="K84" i="30"/>
  <c r="O83" i="30"/>
  <c r="S148" i="30"/>
  <c r="O148" i="30"/>
  <c r="M148" i="30"/>
  <c r="M72" i="26"/>
  <c r="O71" i="26"/>
  <c r="O78" i="30"/>
  <c r="R125" i="26"/>
  <c r="R140" i="30"/>
  <c r="K71" i="26"/>
  <c r="K78" i="30"/>
  <c r="P69" i="26"/>
  <c r="P76" i="30"/>
  <c r="L70" i="26"/>
  <c r="L77" i="30"/>
  <c r="N73" i="26"/>
  <c r="N81" i="30"/>
  <c r="O69" i="26"/>
  <c r="O76" i="30"/>
  <c r="R71" i="26"/>
  <c r="R78" i="30"/>
  <c r="Q125" i="26"/>
  <c r="Q140" i="30"/>
  <c r="P127" i="26"/>
  <c r="P142" i="30"/>
  <c r="R128" i="26"/>
  <c r="R144" i="30"/>
  <c r="J125" i="26"/>
  <c r="J140" i="30"/>
  <c r="O123" i="26"/>
  <c r="O138" i="30"/>
  <c r="P123" i="26"/>
  <c r="P138" i="30"/>
  <c r="J124" i="26"/>
  <c r="J139" i="30"/>
  <c r="P128" i="26"/>
  <c r="P144" i="30"/>
  <c r="P70" i="26"/>
  <c r="P77" i="30"/>
  <c r="N68" i="26"/>
  <c r="N75" i="30"/>
  <c r="S70" i="26"/>
  <c r="S77" i="30"/>
  <c r="R72" i="26"/>
  <c r="N71" i="26"/>
  <c r="N78" i="30"/>
  <c r="S123" i="26"/>
  <c r="S138" i="30"/>
  <c r="R123" i="26"/>
  <c r="R138" i="30"/>
  <c r="J128" i="26"/>
  <c r="J144" i="30"/>
  <c r="S126" i="26"/>
  <c r="S141" i="30"/>
  <c r="P133" i="26"/>
  <c r="P148" i="30"/>
  <c r="L127" i="26"/>
  <c r="L142" i="30"/>
  <c r="K127" i="26"/>
  <c r="K142" i="30"/>
  <c r="M69" i="26"/>
  <c r="M76" i="30"/>
  <c r="Q70" i="26"/>
  <c r="Q77" i="30"/>
  <c r="K128" i="26"/>
  <c r="K144" i="30"/>
  <c r="S127" i="26"/>
  <c r="S142" i="30"/>
  <c r="R124" i="26"/>
  <c r="R139" i="30"/>
  <c r="N125" i="26"/>
  <c r="N140" i="30"/>
  <c r="L75" i="26"/>
  <c r="L83" i="30"/>
  <c r="O70" i="26"/>
  <c r="O77" i="30"/>
  <c r="Q73" i="26"/>
  <c r="Q81" i="30"/>
  <c r="K70" i="26"/>
  <c r="K77" i="30"/>
  <c r="Q124" i="26"/>
  <c r="Q139" i="30"/>
  <c r="K126" i="26"/>
  <c r="K141" i="30"/>
  <c r="N127" i="26"/>
  <c r="N142" i="30"/>
  <c r="S68" i="26"/>
  <c r="S75" i="30"/>
  <c r="N72" i="26"/>
  <c r="O78" i="26"/>
  <c r="O85" i="30"/>
  <c r="O73" i="26"/>
  <c r="O81" i="30"/>
  <c r="O126" i="26"/>
  <c r="O141" i="30"/>
  <c r="K68" i="26"/>
  <c r="K75" i="30"/>
  <c r="Q72" i="26"/>
  <c r="S78" i="26"/>
  <c r="S85" i="30"/>
  <c r="J71" i="26"/>
  <c r="J78" i="30"/>
  <c r="M70" i="26"/>
  <c r="M77" i="30"/>
  <c r="R69" i="26"/>
  <c r="R76" i="30"/>
  <c r="M125" i="26"/>
  <c r="M140" i="30"/>
  <c r="S124" i="26"/>
  <c r="S139" i="30"/>
  <c r="O125" i="26"/>
  <c r="O140" i="30"/>
  <c r="Q126" i="26"/>
  <c r="Q141" i="30"/>
  <c r="R126" i="26"/>
  <c r="R141" i="30"/>
  <c r="L68" i="26"/>
  <c r="L75" i="30"/>
  <c r="N133" i="26"/>
  <c r="N148" i="30"/>
  <c r="M128" i="26"/>
  <c r="M144" i="30"/>
  <c r="P124" i="26"/>
  <c r="P139" i="30"/>
  <c r="P126" i="26"/>
  <c r="P141" i="30"/>
  <c r="N124" i="26"/>
  <c r="N139" i="30"/>
  <c r="S73" i="26"/>
  <c r="S81" i="30"/>
  <c r="L71" i="26"/>
  <c r="L78" i="30"/>
  <c r="M126" i="26"/>
  <c r="M141" i="30"/>
  <c r="J69" i="26"/>
  <c r="J76" i="30"/>
  <c r="O127" i="26"/>
  <c r="O142" i="30"/>
  <c r="S69" i="26"/>
  <c r="S76" i="30"/>
  <c r="M68" i="26"/>
  <c r="M75" i="30"/>
  <c r="K123" i="26"/>
  <c r="K138" i="30"/>
  <c r="L124" i="26"/>
  <c r="L139" i="30"/>
  <c r="Q127" i="26"/>
  <c r="Q142" i="30"/>
  <c r="J73" i="26"/>
  <c r="J81" i="30"/>
  <c r="Q69" i="26"/>
  <c r="Q76" i="30"/>
  <c r="L72" i="26"/>
  <c r="L79" i="30"/>
  <c r="M78" i="26"/>
  <c r="M85" i="30"/>
  <c r="M124" i="26"/>
  <c r="M139" i="30"/>
  <c r="K133" i="26"/>
  <c r="K148" i="30"/>
  <c r="L125" i="26"/>
  <c r="L140" i="30"/>
  <c r="O124" i="26"/>
  <c r="O139" i="30"/>
  <c r="P125" i="26"/>
  <c r="P140" i="30"/>
  <c r="K78" i="26"/>
  <c r="K85" i="30"/>
  <c r="P68" i="26"/>
  <c r="P75" i="30"/>
  <c r="N70" i="26"/>
  <c r="N77" i="30"/>
  <c r="R68" i="26"/>
  <c r="R75" i="30"/>
  <c r="P72" i="26"/>
  <c r="R73" i="26"/>
  <c r="R81" i="30"/>
  <c r="O72" i="26"/>
  <c r="P71" i="26"/>
  <c r="P78" i="30"/>
  <c r="S72" i="26"/>
  <c r="R70" i="26"/>
  <c r="R77" i="30"/>
  <c r="M71" i="26"/>
  <c r="M78" i="30"/>
  <c r="L128" i="26"/>
  <c r="L144" i="30"/>
  <c r="M123" i="26"/>
  <c r="M138" i="30"/>
  <c r="Q123" i="26"/>
  <c r="Q138" i="30"/>
  <c r="K124" i="26"/>
  <c r="K139" i="30"/>
  <c r="Q128" i="26"/>
  <c r="Q144" i="30"/>
  <c r="J126" i="26"/>
  <c r="J141" i="30"/>
  <c r="M127" i="26"/>
  <c r="M142" i="30"/>
  <c r="S125" i="26"/>
  <c r="S140" i="30"/>
  <c r="O68" i="26"/>
  <c r="O75" i="30"/>
  <c r="L69" i="26"/>
  <c r="L76" i="30"/>
  <c r="S71" i="26"/>
  <c r="S78" i="30"/>
  <c r="N69" i="26"/>
  <c r="N76" i="30"/>
  <c r="L123" i="26"/>
  <c r="L138" i="30"/>
  <c r="N126" i="26"/>
  <c r="N141" i="30"/>
  <c r="K73" i="26"/>
  <c r="K81" i="30"/>
  <c r="P73" i="26"/>
  <c r="P81" i="30"/>
  <c r="J72" i="26"/>
  <c r="J79" i="30"/>
  <c r="Q68" i="26"/>
  <c r="Q75" i="30"/>
  <c r="J70" i="26"/>
  <c r="J77" i="30"/>
  <c r="J123" i="26"/>
  <c r="J138" i="30"/>
  <c r="K125" i="26"/>
  <c r="K140" i="30"/>
  <c r="K69" i="26"/>
  <c r="K76" i="30"/>
  <c r="Q78" i="26"/>
  <c r="Q85" i="30"/>
  <c r="Q71" i="26"/>
  <c r="Q78" i="30"/>
  <c r="M73" i="26"/>
  <c r="M81" i="30"/>
  <c r="N128" i="26"/>
  <c r="N144" i="30"/>
  <c r="L126" i="26"/>
  <c r="L141" i="30"/>
  <c r="L78" i="26"/>
  <c r="L85" i="30"/>
  <c r="J68" i="26"/>
  <c r="J75" i="30"/>
  <c r="S75" i="26"/>
  <c r="S83" i="30"/>
  <c r="K72" i="26"/>
  <c r="K79" i="30"/>
  <c r="L73" i="26"/>
  <c r="L81" i="30"/>
  <c r="S128" i="26"/>
  <c r="S144" i="30"/>
  <c r="O128" i="26"/>
  <c r="O144" i="30"/>
  <c r="N123" i="26"/>
  <c r="N138" i="30"/>
  <c r="J127" i="26"/>
  <c r="J142" i="30"/>
  <c r="R127" i="26"/>
  <c r="R142" i="30"/>
  <c r="L74" i="26"/>
  <c r="Q76" i="26"/>
  <c r="J129" i="26"/>
  <c r="K76" i="26"/>
  <c r="M76" i="26"/>
  <c r="O75" i="26"/>
  <c r="M129" i="26"/>
  <c r="M75" i="26"/>
  <c r="N74" i="26"/>
  <c r="J74" i="26"/>
  <c r="K129" i="26"/>
  <c r="P130" i="26"/>
  <c r="S76" i="26"/>
  <c r="J75" i="26"/>
  <c r="R131" i="26"/>
  <c r="K130" i="26"/>
  <c r="N131" i="26"/>
  <c r="S130" i="26"/>
  <c r="O76" i="26"/>
  <c r="P75" i="26"/>
  <c r="O129" i="26"/>
  <c r="Q130" i="26"/>
  <c r="L130" i="26"/>
  <c r="P131" i="26"/>
  <c r="N75" i="26"/>
  <c r="J132" i="26"/>
  <c r="J133" i="26"/>
  <c r="L132" i="26"/>
  <c r="L133" i="26"/>
  <c r="N77" i="26"/>
  <c r="N78" i="26"/>
  <c r="O132" i="26"/>
  <c r="O133" i="26"/>
  <c r="Q132" i="26"/>
  <c r="Q133" i="26"/>
  <c r="S132" i="26"/>
  <c r="S133" i="26"/>
  <c r="M132" i="26"/>
  <c r="M133" i="26"/>
  <c r="R77" i="26"/>
  <c r="R78" i="26"/>
  <c r="R132" i="26"/>
  <c r="R133" i="26"/>
  <c r="P77" i="26"/>
  <c r="P78" i="26"/>
  <c r="J77" i="26"/>
  <c r="J78" i="26"/>
  <c r="K132" i="26"/>
  <c r="L77" i="26"/>
  <c r="Q77" i="26"/>
  <c r="O77" i="26"/>
  <c r="M77" i="26"/>
  <c r="N132" i="26"/>
  <c r="K77" i="26"/>
  <c r="S77" i="26"/>
  <c r="P132" i="26"/>
  <c r="L76" i="26"/>
  <c r="J131" i="26"/>
  <c r="K131" i="26"/>
  <c r="L131" i="26"/>
  <c r="O131" i="26"/>
  <c r="M131" i="26"/>
  <c r="J76" i="26"/>
  <c r="S131" i="26"/>
  <c r="P76" i="26"/>
  <c r="N76" i="26"/>
  <c r="Q131" i="26"/>
  <c r="R76" i="26"/>
  <c r="M130" i="26"/>
  <c r="R130" i="26"/>
  <c r="J130" i="26"/>
  <c r="O130" i="26"/>
  <c r="Q75" i="26"/>
  <c r="R75" i="26"/>
  <c r="N130" i="26"/>
  <c r="K75" i="26"/>
  <c r="Q129" i="26"/>
  <c r="K74" i="26"/>
  <c r="R74" i="26"/>
  <c r="P74" i="26"/>
  <c r="S74" i="26"/>
  <c r="S129" i="26"/>
  <c r="P129" i="26"/>
  <c r="Q74" i="26"/>
  <c r="N129" i="26"/>
  <c r="O74" i="26"/>
  <c r="R129" i="26"/>
  <c r="L129" i="26"/>
  <c r="M74" i="26"/>
  <c r="T121" i="17"/>
  <c r="T11" i="17"/>
  <c r="U11" i="17" s="1"/>
  <c r="V11" i="17" s="1"/>
  <c r="W11" i="17" s="1"/>
  <c r="O50" i="26"/>
  <c r="J50" i="26"/>
  <c r="N50" i="26"/>
  <c r="K50" i="26"/>
  <c r="P50" i="26"/>
  <c r="R50" i="26"/>
  <c r="Q50" i="26"/>
  <c r="M50" i="26"/>
  <c r="L50" i="26"/>
  <c r="S50" i="26"/>
  <c r="P47" i="26"/>
  <c r="J47" i="26"/>
  <c r="L47" i="26"/>
  <c r="M47" i="26"/>
  <c r="R47" i="26"/>
  <c r="S47" i="26"/>
  <c r="N47" i="26"/>
  <c r="K47" i="26"/>
  <c r="Q47" i="26"/>
  <c r="O47" i="26"/>
  <c r="K48" i="26"/>
  <c r="M48" i="26"/>
  <c r="S48" i="26"/>
  <c r="O48" i="26"/>
  <c r="Q48" i="26"/>
  <c r="J48" i="26"/>
  <c r="L48" i="26"/>
  <c r="N48" i="26"/>
  <c r="R48" i="26"/>
  <c r="P48" i="26"/>
  <c r="Q43" i="26"/>
  <c r="S43" i="26"/>
  <c r="K43" i="26"/>
  <c r="L43" i="26"/>
  <c r="O43" i="26"/>
  <c r="R43" i="26"/>
  <c r="M43" i="26"/>
  <c r="N43" i="26"/>
  <c r="P43" i="26"/>
  <c r="J43" i="26"/>
  <c r="P33" i="26"/>
  <c r="M33" i="26"/>
  <c r="K33" i="26"/>
  <c r="N33" i="26"/>
  <c r="J33" i="26"/>
  <c r="S33" i="26"/>
  <c r="O33" i="26"/>
  <c r="Q33" i="26"/>
  <c r="R33" i="26"/>
  <c r="L33" i="26"/>
  <c r="P54" i="26"/>
  <c r="L54" i="26"/>
  <c r="O54" i="26"/>
  <c r="N54" i="26"/>
  <c r="Q54" i="26"/>
  <c r="K54" i="26"/>
  <c r="R54" i="26"/>
  <c r="S54" i="26"/>
  <c r="M54" i="26"/>
  <c r="J54" i="26"/>
  <c r="P41" i="26"/>
  <c r="J41" i="26"/>
  <c r="R41" i="26"/>
  <c r="S41" i="26"/>
  <c r="O41" i="26"/>
  <c r="L41" i="26"/>
  <c r="K41" i="26"/>
  <c r="N41" i="26"/>
  <c r="Q41" i="26"/>
  <c r="M41" i="26"/>
  <c r="J51" i="26"/>
  <c r="M51" i="26"/>
  <c r="P51" i="26"/>
  <c r="R51" i="26"/>
  <c r="L51" i="26"/>
  <c r="O51" i="26"/>
  <c r="Q51" i="26"/>
  <c r="K51" i="26"/>
  <c r="N51" i="26"/>
  <c r="S51" i="26"/>
  <c r="P57" i="26"/>
  <c r="Q57" i="26"/>
  <c r="S57" i="26"/>
  <c r="J57" i="26"/>
  <c r="O57" i="26"/>
  <c r="L57" i="26"/>
  <c r="M57" i="26"/>
  <c r="K57" i="26"/>
  <c r="R57" i="26"/>
  <c r="N57" i="26"/>
  <c r="J29" i="26"/>
  <c r="N29" i="26"/>
  <c r="S29" i="26"/>
  <c r="P29" i="26"/>
  <c r="R29" i="26"/>
  <c r="M29" i="26"/>
  <c r="K29" i="26"/>
  <c r="O29" i="26"/>
  <c r="L29" i="26"/>
  <c r="Q29" i="26"/>
  <c r="K35" i="26"/>
  <c r="S35" i="26"/>
  <c r="Q35" i="26"/>
  <c r="M35" i="26"/>
  <c r="N35" i="26"/>
  <c r="P35" i="26"/>
  <c r="J35" i="26"/>
  <c r="R35" i="26"/>
  <c r="O35" i="26"/>
  <c r="L35" i="26"/>
  <c r="R30" i="26"/>
  <c r="Q30" i="26"/>
  <c r="P30" i="26"/>
  <c r="L30" i="26"/>
  <c r="N30" i="26"/>
  <c r="M30" i="26"/>
  <c r="O30" i="26"/>
  <c r="K30" i="26"/>
  <c r="S30" i="26"/>
  <c r="J30" i="26"/>
  <c r="J37" i="26"/>
  <c r="Q37" i="26"/>
  <c r="L37" i="26"/>
  <c r="O37" i="26"/>
  <c r="M37" i="26"/>
  <c r="N37" i="26"/>
  <c r="K37" i="26"/>
  <c r="P37" i="26"/>
  <c r="R37" i="26"/>
  <c r="S37" i="26"/>
  <c r="L32" i="26"/>
  <c r="P32" i="26"/>
  <c r="J32" i="26"/>
  <c r="K32" i="26"/>
  <c r="S32" i="26"/>
  <c r="O32" i="26"/>
  <c r="Q32" i="26"/>
  <c r="N32" i="26"/>
  <c r="R32" i="26"/>
  <c r="M32" i="26"/>
  <c r="R26" i="26"/>
  <c r="Q26" i="26"/>
  <c r="S26" i="26"/>
  <c r="L26" i="26"/>
  <c r="M26" i="26"/>
  <c r="O26" i="26"/>
  <c r="N26" i="26"/>
  <c r="P26" i="26"/>
  <c r="K26" i="26"/>
  <c r="J26" i="26"/>
  <c r="K25" i="26"/>
  <c r="R25" i="26"/>
  <c r="L25" i="26"/>
  <c r="S25" i="26"/>
  <c r="P25" i="26"/>
  <c r="J25" i="26"/>
  <c r="O25" i="26"/>
  <c r="N25" i="26"/>
  <c r="Q25" i="26"/>
  <c r="M25" i="26"/>
  <c r="P38" i="26"/>
  <c r="N38" i="26"/>
  <c r="S38" i="26"/>
  <c r="L38" i="26"/>
  <c r="Q38" i="26"/>
  <c r="K38" i="26"/>
  <c r="R38" i="26"/>
  <c r="J38" i="26"/>
  <c r="M38" i="26"/>
  <c r="O38" i="26"/>
  <c r="O36" i="26"/>
  <c r="P36" i="26"/>
  <c r="Q36" i="26"/>
  <c r="L36" i="26"/>
  <c r="J36" i="26"/>
  <c r="R36" i="26"/>
  <c r="K36" i="26"/>
  <c r="M36" i="26"/>
  <c r="S36" i="26"/>
  <c r="N36" i="26"/>
  <c r="M31" i="26"/>
  <c r="O31" i="26"/>
  <c r="J31" i="26"/>
  <c r="L31" i="26"/>
  <c r="K31" i="26"/>
  <c r="Q31" i="26"/>
  <c r="P31" i="26"/>
  <c r="S31" i="26"/>
  <c r="N31" i="26"/>
  <c r="R31" i="26"/>
  <c r="M53" i="26"/>
  <c r="N53" i="26"/>
  <c r="O53" i="26"/>
  <c r="J53" i="26"/>
  <c r="Q53" i="26"/>
  <c r="K53" i="26"/>
  <c r="L53" i="26"/>
  <c r="P53" i="26"/>
  <c r="R53" i="26"/>
  <c r="S53" i="26"/>
  <c r="Q39" i="26"/>
  <c r="N39" i="26"/>
  <c r="O39" i="26"/>
  <c r="K39" i="26"/>
  <c r="M39" i="26"/>
  <c r="S39" i="26"/>
  <c r="J39" i="26"/>
  <c r="L39" i="26"/>
  <c r="P39" i="26"/>
  <c r="R39" i="26"/>
  <c r="L40" i="26"/>
  <c r="O40" i="26"/>
  <c r="Q40" i="26"/>
  <c r="R40" i="26"/>
  <c r="S40" i="26"/>
  <c r="N40" i="26"/>
  <c r="P40" i="26"/>
  <c r="K40" i="26"/>
  <c r="J40" i="26"/>
  <c r="M40" i="26"/>
  <c r="K45" i="26"/>
  <c r="J45" i="26"/>
  <c r="P45" i="26"/>
  <c r="S45" i="26"/>
  <c r="N45" i="26"/>
  <c r="R45" i="26"/>
  <c r="Q45" i="26"/>
  <c r="O45" i="26"/>
  <c r="L45" i="26"/>
  <c r="M45" i="26"/>
  <c r="L56" i="26"/>
  <c r="P56" i="26"/>
  <c r="Q56" i="26"/>
  <c r="K56" i="26"/>
  <c r="M56" i="26"/>
  <c r="N56" i="26"/>
  <c r="S56" i="26"/>
  <c r="R56" i="26"/>
  <c r="J56" i="26"/>
  <c r="O56" i="26"/>
  <c r="M34" i="26"/>
  <c r="Q34" i="26"/>
  <c r="S34" i="26"/>
  <c r="O34" i="26"/>
  <c r="R34" i="26"/>
  <c r="P34" i="26"/>
  <c r="J34" i="26"/>
  <c r="N34" i="26"/>
  <c r="L34" i="26"/>
  <c r="K34" i="26"/>
  <c r="O49" i="26"/>
  <c r="J49" i="26"/>
  <c r="Q49" i="26"/>
  <c r="P49" i="26"/>
  <c r="L49" i="26"/>
  <c r="N49" i="26"/>
  <c r="S49" i="26"/>
  <c r="R49" i="26"/>
  <c r="M49" i="26"/>
  <c r="K49" i="26"/>
  <c r="L44" i="26"/>
  <c r="J44" i="26"/>
  <c r="S44" i="26"/>
  <c r="O44" i="26"/>
  <c r="Q44" i="26"/>
  <c r="R44" i="26"/>
  <c r="K44" i="26"/>
  <c r="M44" i="26"/>
  <c r="P44" i="26"/>
  <c r="N44" i="26"/>
  <c r="S55" i="26"/>
  <c r="Q55" i="26"/>
  <c r="O55" i="26"/>
  <c r="P55" i="26"/>
  <c r="R55" i="26"/>
  <c r="K55" i="26"/>
  <c r="M55" i="26"/>
  <c r="J55" i="26"/>
  <c r="L55" i="26"/>
  <c r="N55" i="26"/>
  <c r="K24" i="26"/>
  <c r="R24" i="26"/>
  <c r="S24" i="26"/>
  <c r="N24" i="26"/>
  <c r="J24" i="26"/>
  <c r="O24" i="26"/>
  <c r="Q24" i="26"/>
  <c r="P24" i="26"/>
  <c r="L24" i="26"/>
  <c r="M24" i="26"/>
  <c r="M46" i="26"/>
  <c r="O46" i="26"/>
  <c r="N46" i="26"/>
  <c r="J46" i="26"/>
  <c r="S46" i="26"/>
  <c r="K46" i="26"/>
  <c r="L46" i="26"/>
  <c r="Q46" i="26"/>
  <c r="P46" i="26"/>
  <c r="R46" i="26"/>
  <c r="S28" i="26"/>
  <c r="R28" i="26"/>
  <c r="P28" i="26"/>
  <c r="K28" i="26"/>
  <c r="M28" i="26"/>
  <c r="O28" i="26"/>
  <c r="J28" i="26"/>
  <c r="Q28" i="26"/>
  <c r="N28" i="26"/>
  <c r="L28" i="26"/>
  <c r="M42" i="26"/>
  <c r="P42" i="26"/>
  <c r="Q42" i="26"/>
  <c r="N42" i="26"/>
  <c r="O42" i="26"/>
  <c r="L42" i="26"/>
  <c r="K42" i="26"/>
  <c r="S42" i="26"/>
  <c r="J42" i="26"/>
  <c r="R42" i="26"/>
  <c r="J27" i="26"/>
  <c r="O27" i="26"/>
  <c r="N27" i="26"/>
  <c r="L27" i="26"/>
  <c r="M27" i="26"/>
  <c r="R27" i="26"/>
  <c r="Q27" i="26"/>
  <c r="S27" i="26"/>
  <c r="K27" i="26"/>
  <c r="P27" i="26"/>
  <c r="N52" i="26"/>
  <c r="K52" i="26"/>
  <c r="M52" i="26"/>
  <c r="J52" i="26"/>
  <c r="S52" i="26"/>
  <c r="Q52" i="26"/>
  <c r="L52" i="26"/>
  <c r="R52" i="26"/>
  <c r="O52" i="26"/>
  <c r="P52" i="26"/>
  <c r="H15" i="18"/>
  <c r="B124" i="17"/>
  <c r="D7" i="3"/>
  <c r="E7" i="3"/>
  <c r="D8" i="3"/>
  <c r="E8" i="3"/>
  <c r="D11" i="3"/>
  <c r="E11" i="3"/>
  <c r="D12" i="3"/>
  <c r="E12" i="3"/>
  <c r="D16" i="3"/>
  <c r="E16" i="3"/>
  <c r="D19" i="3"/>
  <c r="E19" i="3"/>
  <c r="D22" i="3"/>
  <c r="E22" i="3"/>
  <c r="D24" i="3"/>
  <c r="E24" i="3"/>
  <c r="D44" i="3"/>
  <c r="E44" i="3"/>
  <c r="D45" i="3"/>
  <c r="E45" i="3"/>
  <c r="D7" i="15"/>
  <c r="E7" i="15"/>
  <c r="D8" i="15"/>
  <c r="E8" i="15"/>
  <c r="D11" i="15"/>
  <c r="E11" i="15"/>
  <c r="D12" i="15"/>
  <c r="E12" i="15"/>
  <c r="D16" i="15"/>
  <c r="E16" i="15"/>
  <c r="D19" i="15"/>
  <c r="E19" i="15"/>
  <c r="D22" i="15"/>
  <c r="E22" i="15"/>
  <c r="D24" i="15"/>
  <c r="E24" i="15"/>
  <c r="D44" i="15"/>
  <c r="E44" i="15"/>
  <c r="D45" i="15"/>
  <c r="E45" i="15"/>
  <c r="I72" i="10"/>
  <c r="Y72" i="10" s="1"/>
  <c r="I73" i="10"/>
  <c r="Y73" i="10" s="1"/>
  <c r="E69" i="10"/>
  <c r="E65" i="10"/>
  <c r="E64" i="10"/>
  <c r="E63" i="10"/>
  <c r="E61" i="10"/>
  <c r="E47" i="10"/>
  <c r="E46" i="10"/>
  <c r="E44" i="10"/>
  <c r="E22" i="10"/>
  <c r="E16" i="10"/>
  <c r="R169" i="64" l="1"/>
  <c r="J114" i="64"/>
  <c r="R170" i="64"/>
  <c r="K115" i="64"/>
  <c r="J169" i="64"/>
  <c r="S169" i="64"/>
  <c r="L170" i="64"/>
  <c r="Q114" i="64"/>
  <c r="O170" i="64"/>
  <c r="P114" i="64"/>
  <c r="R115" i="64"/>
  <c r="S114" i="64"/>
  <c r="Q169" i="64"/>
  <c r="M169" i="64"/>
  <c r="K114" i="64"/>
  <c r="O169" i="64"/>
  <c r="F125" i="64"/>
  <c r="F73" i="64"/>
  <c r="M170" i="64"/>
  <c r="K170" i="64"/>
  <c r="O114" i="64"/>
  <c r="J170" i="64"/>
  <c r="J115" i="64"/>
  <c r="M115" i="64"/>
  <c r="S115" i="64"/>
  <c r="F128" i="64"/>
  <c r="N169" i="64"/>
  <c r="N114" i="64"/>
  <c r="L115" i="64"/>
  <c r="F126" i="64"/>
  <c r="F127" i="64"/>
  <c r="S170" i="64"/>
  <c r="M114" i="64"/>
  <c r="P170" i="64"/>
  <c r="L169" i="64"/>
  <c r="L114" i="64"/>
  <c r="N170" i="64"/>
  <c r="O115" i="64"/>
  <c r="Q170" i="64"/>
  <c r="Q115" i="64"/>
  <c r="F131" i="64"/>
  <c r="F76" i="64"/>
  <c r="F69" i="64"/>
  <c r="F71" i="64"/>
  <c r="N115" i="64"/>
  <c r="P169" i="64"/>
  <c r="F74" i="64"/>
  <c r="P115" i="64"/>
  <c r="R114" i="64"/>
  <c r="K169" i="64"/>
  <c r="F129" i="64"/>
  <c r="F70" i="64"/>
  <c r="F124" i="64"/>
  <c r="F130" i="64"/>
  <c r="F75" i="64"/>
  <c r="F72" i="64"/>
  <c r="D23" i="63"/>
  <c r="D23" i="64"/>
  <c r="I115" i="64"/>
  <c r="I114" i="64"/>
  <c r="F68" i="64"/>
  <c r="I170" i="64"/>
  <c r="I169" i="64"/>
  <c r="F123" i="64"/>
  <c r="D22" i="63"/>
  <c r="D22" i="64"/>
  <c r="D94" i="30"/>
  <c r="D157" i="30"/>
  <c r="D139" i="30"/>
  <c r="D76" i="30"/>
  <c r="D162" i="30"/>
  <c r="D99" i="30"/>
  <c r="D140" i="30"/>
  <c r="D77" i="30"/>
  <c r="D152" i="30"/>
  <c r="D89" i="30"/>
  <c r="D148" i="30"/>
  <c r="D85" i="30"/>
  <c r="D82" i="30"/>
  <c r="D145" i="30"/>
  <c r="D160" i="30"/>
  <c r="D97" i="30"/>
  <c r="D146" i="30"/>
  <c r="D83" i="30"/>
  <c r="D88" i="30"/>
  <c r="D151" i="30"/>
  <c r="D87" i="30"/>
  <c r="D150" i="30"/>
  <c r="D154" i="30"/>
  <c r="D91" i="30"/>
  <c r="D100" i="30"/>
  <c r="D163" i="30"/>
  <c r="D86" i="30"/>
  <c r="D149" i="30"/>
  <c r="D159" i="30"/>
  <c r="D96" i="30"/>
  <c r="D141" i="30"/>
  <c r="D78" i="30"/>
  <c r="D153" i="30"/>
  <c r="D90" i="30"/>
  <c r="C15" i="61"/>
  <c r="C16" i="61" s="1"/>
  <c r="D93" i="30"/>
  <c r="D156" i="30"/>
  <c r="D80" i="30"/>
  <c r="D143" i="30"/>
  <c r="D79" i="30"/>
  <c r="D142" i="30"/>
  <c r="D95" i="30"/>
  <c r="D158" i="30"/>
  <c r="D147" i="30"/>
  <c r="D84" i="30"/>
  <c r="D144" i="30"/>
  <c r="D81" i="30"/>
  <c r="Y68" i="10"/>
  <c r="T68" i="10"/>
  <c r="U68" i="10"/>
  <c r="D16" i="62"/>
  <c r="D14" i="62"/>
  <c r="D17" i="62"/>
  <c r="D13" i="62"/>
  <c r="C13" i="62" s="1"/>
  <c r="D15" i="62"/>
  <c r="Y16" i="10"/>
  <c r="G13" i="37" s="1"/>
  <c r="Y12" i="10"/>
  <c r="G14" i="63" s="1"/>
  <c r="Y65" i="10"/>
  <c r="Y26" i="10"/>
  <c r="G18" i="63" s="1"/>
  <c r="Y11" i="10"/>
  <c r="G13" i="63" s="1"/>
  <c r="Y46" i="10"/>
  <c r="G16" i="37" s="1"/>
  <c r="Y22" i="10"/>
  <c r="G14" i="37" s="1"/>
  <c r="Y15" i="10"/>
  <c r="G15" i="63" s="1"/>
  <c r="Y64" i="10"/>
  <c r="Y71" i="10"/>
  <c r="G21" i="63" s="1"/>
  <c r="Y70" i="10"/>
  <c r="Y63" i="10"/>
  <c r="Y60" i="10"/>
  <c r="G20" i="63" s="1"/>
  <c r="Y61" i="10"/>
  <c r="Y43" i="10"/>
  <c r="G19" i="63" s="1"/>
  <c r="Y20" i="10"/>
  <c r="G16" i="63" s="1"/>
  <c r="Y67" i="10"/>
  <c r="Y47" i="10"/>
  <c r="G17" i="37" s="1"/>
  <c r="Y24" i="10"/>
  <c r="G17" i="63" s="1"/>
  <c r="N18" i="50"/>
  <c r="D17" i="51"/>
  <c r="D16" i="51"/>
  <c r="D15" i="51"/>
  <c r="D13" i="51"/>
  <c r="C13" i="51" s="1"/>
  <c r="D14" i="51"/>
  <c r="C15" i="50"/>
  <c r="C16" i="50" s="1"/>
  <c r="M61" i="50"/>
  <c r="F156" i="30"/>
  <c r="F161" i="30"/>
  <c r="F96" i="30"/>
  <c r="F162" i="30"/>
  <c r="F93" i="30"/>
  <c r="F100" i="30"/>
  <c r="F160" i="30"/>
  <c r="F80" i="30"/>
  <c r="F87" i="30"/>
  <c r="F154" i="30"/>
  <c r="F99" i="30"/>
  <c r="F95" i="30"/>
  <c r="F86" i="30"/>
  <c r="F94" i="30"/>
  <c r="F149" i="30"/>
  <c r="F151" i="30"/>
  <c r="F157" i="30"/>
  <c r="F90" i="30"/>
  <c r="F143" i="30"/>
  <c r="F91" i="30"/>
  <c r="F158" i="30"/>
  <c r="F88" i="30"/>
  <c r="F97" i="30"/>
  <c r="F89" i="30"/>
  <c r="F153" i="30"/>
  <c r="F150" i="30"/>
  <c r="F152" i="30"/>
  <c r="F159" i="30"/>
  <c r="F98" i="30"/>
  <c r="F163" i="30"/>
  <c r="R164" i="30"/>
  <c r="R185" i="30" s="1"/>
  <c r="Q164" i="30"/>
  <c r="Q186" i="30" s="1"/>
  <c r="O164" i="30"/>
  <c r="O186" i="30" s="1"/>
  <c r="N164" i="30"/>
  <c r="N186" i="30" s="1"/>
  <c r="J164" i="30"/>
  <c r="J185" i="30" s="1"/>
  <c r="P164" i="30"/>
  <c r="P185" i="30" s="1"/>
  <c r="L164" i="30"/>
  <c r="L186" i="30" s="1"/>
  <c r="K164" i="30"/>
  <c r="K186" i="30" s="1"/>
  <c r="S164" i="30"/>
  <c r="S186" i="30" s="1"/>
  <c r="M79" i="30"/>
  <c r="M123" i="30" s="1"/>
  <c r="D16" i="49"/>
  <c r="D13" i="37"/>
  <c r="C13" i="37" s="1"/>
  <c r="D14" i="46"/>
  <c r="C14" i="46" s="1"/>
  <c r="D22" i="46"/>
  <c r="D21" i="46"/>
  <c r="D15" i="37"/>
  <c r="D16" i="46"/>
  <c r="D24" i="46"/>
  <c r="D20" i="46"/>
  <c r="D17" i="37"/>
  <c r="D18" i="46"/>
  <c r="D14" i="37"/>
  <c r="D15" i="46"/>
  <c r="D23" i="46"/>
  <c r="D16" i="37"/>
  <c r="D17" i="46"/>
  <c r="D162" i="29"/>
  <c r="D99" i="29"/>
  <c r="D150" i="29"/>
  <c r="D87" i="29"/>
  <c r="D95" i="29"/>
  <c r="D158" i="29"/>
  <c r="D153" i="29"/>
  <c r="D90" i="29"/>
  <c r="D152" i="29"/>
  <c r="D89" i="29"/>
  <c r="D160" i="29"/>
  <c r="D97" i="29"/>
  <c r="D159" i="29"/>
  <c r="D96" i="29"/>
  <c r="D85" i="29"/>
  <c r="D148" i="29"/>
  <c r="D151" i="29"/>
  <c r="D88" i="29"/>
  <c r="D156" i="29"/>
  <c r="D93" i="29"/>
  <c r="D149" i="29"/>
  <c r="D86" i="29"/>
  <c r="D161" i="29"/>
  <c r="D98" i="29"/>
  <c r="D79" i="29"/>
  <c r="D142" i="29"/>
  <c r="D157" i="29"/>
  <c r="D94" i="29"/>
  <c r="D155" i="29"/>
  <c r="D92" i="29"/>
  <c r="F84" i="30"/>
  <c r="F82" i="30"/>
  <c r="F145" i="30"/>
  <c r="F147" i="30"/>
  <c r="F146" i="30"/>
  <c r="F77" i="30"/>
  <c r="F85" i="30"/>
  <c r="F148" i="30"/>
  <c r="F83" i="30"/>
  <c r="D15" i="29"/>
  <c r="D23" i="29"/>
  <c r="D21" i="29"/>
  <c r="J123" i="30"/>
  <c r="J122" i="30"/>
  <c r="F75" i="30"/>
  <c r="F81" i="30"/>
  <c r="F140" i="30"/>
  <c r="F141" i="30"/>
  <c r="D24" i="29"/>
  <c r="D22" i="29"/>
  <c r="M186" i="30"/>
  <c r="M185" i="30"/>
  <c r="D20" i="29"/>
  <c r="F76" i="30"/>
  <c r="D13" i="30"/>
  <c r="D14" i="29"/>
  <c r="L123" i="30"/>
  <c r="L122" i="30"/>
  <c r="F78" i="30"/>
  <c r="D16" i="29"/>
  <c r="K123" i="30"/>
  <c r="K122" i="30"/>
  <c r="F138" i="30"/>
  <c r="D18" i="29"/>
  <c r="D17" i="29"/>
  <c r="F144" i="30"/>
  <c r="F142" i="30"/>
  <c r="F139" i="30"/>
  <c r="S170" i="26"/>
  <c r="J169" i="26"/>
  <c r="K114" i="26"/>
  <c r="L115" i="26"/>
  <c r="N114" i="26"/>
  <c r="P169" i="26"/>
  <c r="O114" i="26"/>
  <c r="N115" i="26"/>
  <c r="J115" i="26"/>
  <c r="J114" i="26"/>
  <c r="R170" i="26"/>
  <c r="J170" i="26"/>
  <c r="S169" i="26"/>
  <c r="S114" i="26"/>
  <c r="K169" i="26"/>
  <c r="M170" i="26"/>
  <c r="K170" i="26"/>
  <c r="M169" i="26"/>
  <c r="M114" i="26"/>
  <c r="S115" i="26"/>
  <c r="L170" i="26"/>
  <c r="O170" i="26"/>
  <c r="R115" i="26"/>
  <c r="R114" i="26"/>
  <c r="L169" i="26"/>
  <c r="P114" i="26"/>
  <c r="K115" i="26"/>
  <c r="O169" i="26"/>
  <c r="L114" i="26"/>
  <c r="Q114" i="26"/>
  <c r="Q170" i="26"/>
  <c r="N170" i="26"/>
  <c r="O115" i="26"/>
  <c r="Q115" i="26"/>
  <c r="R169" i="26"/>
  <c r="P170" i="26"/>
  <c r="N169" i="26"/>
  <c r="M115" i="26"/>
  <c r="P115" i="26"/>
  <c r="Q169" i="26"/>
  <c r="I15" i="18"/>
  <c r="L13" i="23"/>
  <c r="U65" i="10"/>
  <c r="T65" i="10"/>
  <c r="T26" i="10"/>
  <c r="G73" i="53" s="1"/>
  <c r="U26" i="10"/>
  <c r="G128" i="53" s="1"/>
  <c r="U11" i="10"/>
  <c r="G123" i="53" s="1"/>
  <c r="T11" i="10"/>
  <c r="G68" i="53" s="1"/>
  <c r="T16" i="10"/>
  <c r="G68" i="17" s="1"/>
  <c r="U16" i="10"/>
  <c r="G123" i="17" s="1"/>
  <c r="U12" i="10"/>
  <c r="G124" i="53" s="1"/>
  <c r="T12" i="10"/>
  <c r="G69" i="53" s="1"/>
  <c r="U72" i="10"/>
  <c r="T72" i="10"/>
  <c r="U73" i="10"/>
  <c r="T73" i="10"/>
  <c r="U46" i="10"/>
  <c r="G126" i="17" s="1"/>
  <c r="T46" i="10"/>
  <c r="G71" i="17" s="1"/>
  <c r="U20" i="10"/>
  <c r="G126" i="53" s="1"/>
  <c r="T20" i="10"/>
  <c r="G71" i="53" s="1"/>
  <c r="T61" i="10"/>
  <c r="U61" i="10"/>
  <c r="U43" i="10"/>
  <c r="G129" i="53" s="1"/>
  <c r="T43" i="10"/>
  <c r="G74" i="53" s="1"/>
  <c r="U22" i="10"/>
  <c r="G124" i="17" s="1"/>
  <c r="T22" i="10"/>
  <c r="G69" i="17" s="1"/>
  <c r="T15" i="10"/>
  <c r="G70" i="53" s="1"/>
  <c r="U15" i="10"/>
  <c r="G125" i="53" s="1"/>
  <c r="T67" i="10"/>
  <c r="U67" i="10"/>
  <c r="U47" i="10"/>
  <c r="G127" i="17" s="1"/>
  <c r="T47" i="10"/>
  <c r="G72" i="17" s="1"/>
  <c r="U24" i="10"/>
  <c r="G127" i="53" s="1"/>
  <c r="T24" i="10"/>
  <c r="G72" i="53" s="1"/>
  <c r="T63" i="10"/>
  <c r="U63" i="10"/>
  <c r="T60" i="10"/>
  <c r="G75" i="53" s="1"/>
  <c r="F75" i="53" s="1"/>
  <c r="U60" i="10"/>
  <c r="G130" i="53" s="1"/>
  <c r="U64" i="10"/>
  <c r="T64" i="10"/>
  <c r="U71" i="10"/>
  <c r="G131" i="53" s="1"/>
  <c r="T71" i="10"/>
  <c r="G76" i="53" s="1"/>
  <c r="F76" i="53" s="1"/>
  <c r="U70" i="10"/>
  <c r="T70" i="10"/>
  <c r="D13" i="17"/>
  <c r="D123" i="17" s="1"/>
  <c r="D13" i="26"/>
  <c r="D16" i="17"/>
  <c r="D126" i="17" s="1"/>
  <c r="D16" i="26"/>
  <c r="D17" i="17"/>
  <c r="D72" i="17" s="1"/>
  <c r="D17" i="26"/>
  <c r="D15" i="17"/>
  <c r="D70" i="17" s="1"/>
  <c r="D15" i="26"/>
  <c r="D14" i="17"/>
  <c r="D69" i="17" s="1"/>
  <c r="D14" i="26"/>
  <c r="G22" i="3"/>
  <c r="I72" i="53" s="1"/>
  <c r="F72" i="53" s="1"/>
  <c r="G11" i="3"/>
  <c r="I70" i="53" s="1"/>
  <c r="G24" i="3"/>
  <c r="I73" i="53" s="1"/>
  <c r="G12" i="3"/>
  <c r="I68" i="17" s="1"/>
  <c r="G45" i="3"/>
  <c r="I70" i="17" s="1"/>
  <c r="G19" i="3"/>
  <c r="I69" i="17" s="1"/>
  <c r="G8" i="3"/>
  <c r="I69" i="53" s="1"/>
  <c r="G44" i="3"/>
  <c r="I74" i="53" s="1"/>
  <c r="G16" i="3"/>
  <c r="I71" i="53" s="1"/>
  <c r="F71" i="53" s="1"/>
  <c r="G7" i="3"/>
  <c r="I68" i="53" s="1"/>
  <c r="F70" i="53" l="1"/>
  <c r="F73" i="53"/>
  <c r="G114" i="53"/>
  <c r="G115" i="53"/>
  <c r="G59" i="63"/>
  <c r="G60" i="63"/>
  <c r="F69" i="53"/>
  <c r="G169" i="53"/>
  <c r="G170" i="53"/>
  <c r="F74" i="53"/>
  <c r="F169" i="64"/>
  <c r="F170" i="64"/>
  <c r="F114" i="64"/>
  <c r="F115" i="64"/>
  <c r="D77" i="64"/>
  <c r="D132" i="64"/>
  <c r="D133" i="64"/>
  <c r="D78" i="64"/>
  <c r="I115" i="53"/>
  <c r="I114" i="53"/>
  <c r="F68" i="53"/>
  <c r="C17" i="61"/>
  <c r="L62" i="50"/>
  <c r="C14" i="62"/>
  <c r="C15" i="62" s="1"/>
  <c r="O18" i="50"/>
  <c r="C14" i="51"/>
  <c r="C15" i="51" s="1"/>
  <c r="C16" i="51" s="1"/>
  <c r="C17" i="51" s="1"/>
  <c r="C17" i="50"/>
  <c r="C18" i="50" s="1"/>
  <c r="N61" i="50"/>
  <c r="R186" i="30"/>
  <c r="O185" i="30"/>
  <c r="L185" i="30"/>
  <c r="Q185" i="30"/>
  <c r="S185" i="30"/>
  <c r="N185" i="30"/>
  <c r="P186" i="30"/>
  <c r="K185" i="30"/>
  <c r="J186" i="30"/>
  <c r="D17" i="49"/>
  <c r="N79" i="30"/>
  <c r="N123" i="30" s="1"/>
  <c r="M122" i="30"/>
  <c r="U84" i="10"/>
  <c r="T84" i="10"/>
  <c r="C14" i="37"/>
  <c r="C15" i="46"/>
  <c r="D84" i="29"/>
  <c r="D147" i="29"/>
  <c r="D145" i="29"/>
  <c r="D82" i="29"/>
  <c r="D144" i="29"/>
  <c r="D81" i="29"/>
  <c r="D138" i="29"/>
  <c r="D75" i="29"/>
  <c r="D146" i="29"/>
  <c r="D83" i="29"/>
  <c r="D138" i="30"/>
  <c r="C138" i="30" s="1"/>
  <c r="D75" i="30"/>
  <c r="C75" i="30" s="1"/>
  <c r="C13" i="30"/>
  <c r="D143" i="29"/>
  <c r="D80" i="29"/>
  <c r="D139" i="29"/>
  <c r="D76" i="29"/>
  <c r="D140" i="29"/>
  <c r="D77" i="29"/>
  <c r="D141" i="29"/>
  <c r="D78" i="29"/>
  <c r="D137" i="29"/>
  <c r="C137" i="29" s="1"/>
  <c r="D74" i="29"/>
  <c r="C74" i="29" s="1"/>
  <c r="C14" i="29"/>
  <c r="J15" i="18"/>
  <c r="M13" i="23"/>
  <c r="T82" i="10"/>
  <c r="U82" i="10"/>
  <c r="D127" i="17"/>
  <c r="D71" i="17"/>
  <c r="D125" i="17"/>
  <c r="D124" i="17"/>
  <c r="D68" i="17"/>
  <c r="D123" i="26"/>
  <c r="C123" i="26" s="1"/>
  <c r="C13" i="26"/>
  <c r="C14" i="26" s="1"/>
  <c r="D68" i="26"/>
  <c r="C68" i="26" s="1"/>
  <c r="F69" i="26"/>
  <c r="F72" i="26"/>
  <c r="D124" i="26"/>
  <c r="D69" i="26"/>
  <c r="C13" i="17"/>
  <c r="C14" i="17" s="1"/>
  <c r="D70" i="26"/>
  <c r="D125" i="26"/>
  <c r="D127" i="26"/>
  <c r="D72" i="26"/>
  <c r="D71" i="26"/>
  <c r="D126" i="26"/>
  <c r="F71" i="26"/>
  <c r="F70" i="26"/>
  <c r="F114" i="53" l="1"/>
  <c r="F115" i="53"/>
  <c r="G77" i="63"/>
  <c r="G66" i="63"/>
  <c r="G73" i="63"/>
  <c r="C18" i="61"/>
  <c r="C19" i="61" s="1"/>
  <c r="M62" i="50"/>
  <c r="C16" i="62"/>
  <c r="C17" i="62" s="1"/>
  <c r="P18" i="50"/>
  <c r="C19" i="50"/>
  <c r="C20" i="50" s="1"/>
  <c r="O61" i="50"/>
  <c r="N62" i="50" s="1"/>
  <c r="N122" i="30"/>
  <c r="O79" i="30"/>
  <c r="O122" i="30" s="1"/>
  <c r="D18" i="49"/>
  <c r="D19" i="49" s="1"/>
  <c r="C15" i="37"/>
  <c r="C16" i="46"/>
  <c r="C14" i="30"/>
  <c r="C15" i="30" s="1"/>
  <c r="C138" i="29"/>
  <c r="C75" i="29"/>
  <c r="C15" i="29"/>
  <c r="C16" i="29" s="1"/>
  <c r="C139" i="30"/>
  <c r="C76" i="30"/>
  <c r="K15" i="18"/>
  <c r="N13" i="23"/>
  <c r="C124" i="26"/>
  <c r="C125" i="26" s="1"/>
  <c r="C126" i="26" s="1"/>
  <c r="C15" i="17"/>
  <c r="C16" i="17" s="1"/>
  <c r="C17" i="17" s="1"/>
  <c r="C15" i="26"/>
  <c r="C16" i="26" s="1"/>
  <c r="C17" i="26" s="1"/>
  <c r="I114" i="26"/>
  <c r="I115" i="26"/>
  <c r="F68" i="26"/>
  <c r="C69" i="26"/>
  <c r="G78" i="63" l="1"/>
  <c r="G74" i="63"/>
  <c r="C20" i="61"/>
  <c r="C140" i="30"/>
  <c r="C141" i="30" s="1"/>
  <c r="Q18" i="50"/>
  <c r="P61" i="50"/>
  <c r="O62" i="50" s="1"/>
  <c r="C21" i="50"/>
  <c r="O123" i="30"/>
  <c r="D20" i="49"/>
  <c r="D21" i="49" s="1"/>
  <c r="P79" i="30"/>
  <c r="P122" i="30" s="1"/>
  <c r="C16" i="37"/>
  <c r="C17" i="46"/>
  <c r="C76" i="29"/>
  <c r="C77" i="30"/>
  <c r="C139" i="29"/>
  <c r="C17" i="29"/>
  <c r="C16" i="30"/>
  <c r="L15" i="18"/>
  <c r="O13" i="23"/>
  <c r="C127" i="26"/>
  <c r="C70" i="26"/>
  <c r="B1" i="11"/>
  <c r="E24" i="10" s="1"/>
  <c r="D35" i="15"/>
  <c r="E35" i="15"/>
  <c r="D17" i="63" l="1"/>
  <c r="D17" i="64"/>
  <c r="C78" i="30"/>
  <c r="C18" i="46"/>
  <c r="C19" i="46" s="1"/>
  <c r="C21" i="61"/>
  <c r="C17" i="30"/>
  <c r="D17" i="54"/>
  <c r="R18" i="50"/>
  <c r="D17" i="53"/>
  <c r="Q61" i="50"/>
  <c r="P62" i="50" s="1"/>
  <c r="C22" i="50"/>
  <c r="C23" i="50" s="1"/>
  <c r="C24" i="50" s="1"/>
  <c r="C25" i="50" s="1"/>
  <c r="P123" i="30"/>
  <c r="Q79" i="30"/>
  <c r="Q122" i="30" s="1"/>
  <c r="D22" i="49"/>
  <c r="D23" i="49" s="1"/>
  <c r="C17" i="37"/>
  <c r="C77" i="29"/>
  <c r="C18" i="29"/>
  <c r="C142" i="30"/>
  <c r="C140" i="29"/>
  <c r="M15" i="18"/>
  <c r="P13" i="23"/>
  <c r="C71" i="26"/>
  <c r="E20" i="10"/>
  <c r="E60" i="10"/>
  <c r="E26" i="10"/>
  <c r="E15" i="10"/>
  <c r="E11" i="10"/>
  <c r="E43" i="10"/>
  <c r="E71" i="10"/>
  <c r="E12" i="10"/>
  <c r="D35" i="3"/>
  <c r="E35" i="3"/>
  <c r="D21" i="63" l="1"/>
  <c r="D21" i="64"/>
  <c r="D13" i="63"/>
  <c r="C13" i="63" s="1"/>
  <c r="D13" i="64"/>
  <c r="D15" i="63"/>
  <c r="D15" i="64"/>
  <c r="D18" i="63"/>
  <c r="D18" i="64"/>
  <c r="D19" i="63"/>
  <c r="D19" i="64"/>
  <c r="D20" i="63"/>
  <c r="D20" i="64"/>
  <c r="D16" i="63"/>
  <c r="D16" i="64"/>
  <c r="D127" i="64"/>
  <c r="D72" i="64"/>
  <c r="D14" i="63"/>
  <c r="D14" i="64"/>
  <c r="C18" i="30"/>
  <c r="C19" i="30" s="1"/>
  <c r="C20" i="30" s="1"/>
  <c r="C21" i="30" s="1"/>
  <c r="C79" i="30"/>
  <c r="C22" i="61"/>
  <c r="C78" i="29"/>
  <c r="C79" i="29" s="1"/>
  <c r="D16" i="54"/>
  <c r="D13" i="54"/>
  <c r="C13" i="54" s="1"/>
  <c r="D14" i="54"/>
  <c r="D19" i="54"/>
  <c r="D15" i="54"/>
  <c r="D18" i="54"/>
  <c r="S18" i="50"/>
  <c r="D13" i="53"/>
  <c r="D19" i="53"/>
  <c r="D127" i="53"/>
  <c r="D72" i="53"/>
  <c r="D14" i="53"/>
  <c r="D16" i="53"/>
  <c r="D18" i="53"/>
  <c r="D15" i="53"/>
  <c r="R61" i="50"/>
  <c r="Q62" i="50" s="1"/>
  <c r="C26" i="50"/>
  <c r="C27" i="50" s="1"/>
  <c r="Q123" i="30"/>
  <c r="R79" i="30"/>
  <c r="R123" i="30" s="1"/>
  <c r="D24" i="49"/>
  <c r="D25" i="49" s="1"/>
  <c r="C20" i="46"/>
  <c r="C19" i="29"/>
  <c r="C20" i="29" s="1"/>
  <c r="C143" i="30"/>
  <c r="C141" i="29"/>
  <c r="Q13" i="23"/>
  <c r="C72" i="26"/>
  <c r="G35" i="3"/>
  <c r="I94" i="29" s="1"/>
  <c r="D6" i="15"/>
  <c r="E6" i="15"/>
  <c r="D10" i="15"/>
  <c r="E10" i="15"/>
  <c r="D9" i="15"/>
  <c r="E9" i="15"/>
  <c r="D13" i="15"/>
  <c r="E13" i="15"/>
  <c r="D14" i="15"/>
  <c r="E14" i="15"/>
  <c r="D15" i="15"/>
  <c r="E15" i="15"/>
  <c r="D17" i="15"/>
  <c r="E17" i="15"/>
  <c r="D18" i="15"/>
  <c r="E18" i="15"/>
  <c r="D20" i="15"/>
  <c r="E20" i="15"/>
  <c r="D21" i="15"/>
  <c r="E21" i="15"/>
  <c r="D23" i="15"/>
  <c r="E23" i="15"/>
  <c r="D25" i="15"/>
  <c r="E25" i="15"/>
  <c r="D26" i="15"/>
  <c r="E26" i="15"/>
  <c r="D27" i="15"/>
  <c r="E27" i="15"/>
  <c r="D28" i="15"/>
  <c r="E28" i="15"/>
  <c r="D29" i="15"/>
  <c r="E29" i="15"/>
  <c r="D30" i="15"/>
  <c r="E30" i="15"/>
  <c r="D31" i="15"/>
  <c r="E31" i="15"/>
  <c r="D33" i="15"/>
  <c r="E33" i="15"/>
  <c r="D34" i="15"/>
  <c r="E34" i="15"/>
  <c r="D36" i="15"/>
  <c r="E36" i="15"/>
  <c r="D37" i="15"/>
  <c r="E37" i="15"/>
  <c r="D38" i="15"/>
  <c r="E38" i="15"/>
  <c r="D39" i="15"/>
  <c r="E39" i="15"/>
  <c r="D40" i="15"/>
  <c r="E40" i="15"/>
  <c r="D42" i="15"/>
  <c r="E42" i="15"/>
  <c r="D43" i="15"/>
  <c r="E43" i="15"/>
  <c r="D46" i="15"/>
  <c r="E46" i="15"/>
  <c r="D32" i="15"/>
  <c r="E32" i="15"/>
  <c r="D41" i="15"/>
  <c r="E41" i="15"/>
  <c r="E5" i="15"/>
  <c r="D5" i="15"/>
  <c r="C14" i="63" l="1"/>
  <c r="C15" i="63" s="1"/>
  <c r="C16" i="63" s="1"/>
  <c r="D71" i="64"/>
  <c r="D126" i="64"/>
  <c r="D70" i="64"/>
  <c r="D125" i="64"/>
  <c r="D73" i="64"/>
  <c r="D128" i="64"/>
  <c r="D75" i="64"/>
  <c r="D130" i="64"/>
  <c r="D124" i="64"/>
  <c r="D69" i="64"/>
  <c r="D129" i="64"/>
  <c r="D74" i="64"/>
  <c r="D131" i="64"/>
  <c r="D76" i="64"/>
  <c r="D123" i="64"/>
  <c r="C123" i="64" s="1"/>
  <c r="D68" i="64"/>
  <c r="C68" i="64" s="1"/>
  <c r="C13" i="64"/>
  <c r="C23" i="61"/>
  <c r="C24" i="61" s="1"/>
  <c r="C25" i="61" s="1"/>
  <c r="C26" i="61" s="1"/>
  <c r="C27" i="61" s="1"/>
  <c r="C28" i="61" s="1"/>
  <c r="C29" i="61" s="1"/>
  <c r="C30" i="61" s="1"/>
  <c r="C31" i="61" s="1"/>
  <c r="C32" i="61" s="1"/>
  <c r="C33" i="61" s="1"/>
  <c r="C34" i="61" s="1"/>
  <c r="C80" i="30"/>
  <c r="C14" i="54"/>
  <c r="C15" i="54" s="1"/>
  <c r="C16" i="54" s="1"/>
  <c r="Y38" i="10"/>
  <c r="G34" i="46" s="1"/>
  <c r="S61" i="50"/>
  <c r="R62" i="50" s="1"/>
  <c r="F18" i="50"/>
  <c r="D126" i="53"/>
  <c r="D71" i="53"/>
  <c r="D129" i="53"/>
  <c r="D74" i="53"/>
  <c r="D124" i="53"/>
  <c r="D69" i="53"/>
  <c r="D123" i="53"/>
  <c r="C13" i="53"/>
  <c r="D68" i="53"/>
  <c r="D70" i="53"/>
  <c r="D125" i="53"/>
  <c r="D73" i="53"/>
  <c r="D128" i="53"/>
  <c r="C28" i="50"/>
  <c r="C29" i="50" s="1"/>
  <c r="C30" i="50" s="1"/>
  <c r="C31" i="50" s="1"/>
  <c r="D26" i="49"/>
  <c r="R122" i="30"/>
  <c r="S79" i="30"/>
  <c r="S123" i="30" s="1"/>
  <c r="C21" i="46"/>
  <c r="C21" i="29"/>
  <c r="C22" i="29" s="1"/>
  <c r="C144" i="30"/>
  <c r="C80" i="29"/>
  <c r="C81" i="29" s="1"/>
  <c r="C82" i="29" s="1"/>
  <c r="C83" i="29" s="1"/>
  <c r="C84" i="29" s="1"/>
  <c r="C22" i="30"/>
  <c r="C142" i="29"/>
  <c r="U38" i="10"/>
  <c r="G157" i="29" s="1"/>
  <c r="T38" i="10"/>
  <c r="C17" i="63" l="1"/>
  <c r="C18" i="63" s="1"/>
  <c r="C19" i="63" s="1"/>
  <c r="C14" i="64"/>
  <c r="C15" i="64" s="1"/>
  <c r="C124" i="64"/>
  <c r="C125" i="64" s="1"/>
  <c r="C126" i="64" s="1"/>
  <c r="C127" i="64" s="1"/>
  <c r="C69" i="64"/>
  <c r="C70" i="64" s="1"/>
  <c r="C35" i="61"/>
  <c r="C36" i="61" s="1"/>
  <c r="C37" i="61" s="1"/>
  <c r="C81" i="30"/>
  <c r="C82" i="30" s="1"/>
  <c r="G94" i="29"/>
  <c r="F94" i="29" s="1"/>
  <c r="C17" i="54"/>
  <c r="C18" i="54" s="1"/>
  <c r="C14" i="53"/>
  <c r="C32" i="50"/>
  <c r="C33" i="50" s="1"/>
  <c r="C34" i="50" s="1"/>
  <c r="C35" i="50" s="1"/>
  <c r="C36" i="50" s="1"/>
  <c r="C37" i="50" s="1"/>
  <c r="C38" i="50" s="1"/>
  <c r="C39" i="50" s="1"/>
  <c r="D27" i="49"/>
  <c r="D28" i="49" s="1"/>
  <c r="D29" i="49" s="1"/>
  <c r="D30" i="49" s="1"/>
  <c r="D31" i="49" s="1"/>
  <c r="S122" i="30"/>
  <c r="F79" i="30"/>
  <c r="C22" i="46"/>
  <c r="C23" i="46" s="1"/>
  <c r="C24" i="46" s="1"/>
  <c r="C23" i="29"/>
  <c r="C24" i="29" s="1"/>
  <c r="C145" i="30"/>
  <c r="C146" i="30" s="1"/>
  <c r="C147" i="30" s="1"/>
  <c r="C148" i="30" s="1"/>
  <c r="C85" i="29"/>
  <c r="C23" i="30"/>
  <c r="C24" i="30" s="1"/>
  <c r="C25" i="30" s="1"/>
  <c r="C26" i="30" s="1"/>
  <c r="C143" i="29"/>
  <c r="G18" i="2"/>
  <c r="G20" i="2"/>
  <c r="J20" i="2" s="1"/>
  <c r="M20" i="2" s="1"/>
  <c r="G37" i="2"/>
  <c r="G41" i="2"/>
  <c r="G43" i="2"/>
  <c r="J43" i="2" s="1"/>
  <c r="M43" i="2" s="1"/>
  <c r="G42" i="2"/>
  <c r="J42" i="2" s="1"/>
  <c r="M42" i="2" s="1"/>
  <c r="D6" i="3"/>
  <c r="E6" i="3"/>
  <c r="D10" i="3"/>
  <c r="E10" i="3"/>
  <c r="D9" i="3"/>
  <c r="E9" i="3"/>
  <c r="D13" i="3"/>
  <c r="E13" i="3"/>
  <c r="D14" i="3"/>
  <c r="E14" i="3"/>
  <c r="D15" i="3"/>
  <c r="E15" i="3"/>
  <c r="D17" i="3"/>
  <c r="E17" i="3"/>
  <c r="D18" i="3"/>
  <c r="E18" i="3"/>
  <c r="D20" i="3"/>
  <c r="E20" i="3"/>
  <c r="D21" i="3"/>
  <c r="E21" i="3"/>
  <c r="D23" i="3"/>
  <c r="E23" i="3"/>
  <c r="D25" i="3"/>
  <c r="E25" i="3"/>
  <c r="D26" i="3"/>
  <c r="E26" i="3"/>
  <c r="D27" i="3"/>
  <c r="E27" i="3"/>
  <c r="D28" i="3"/>
  <c r="E28" i="3"/>
  <c r="D29" i="3"/>
  <c r="E29" i="3"/>
  <c r="D30" i="3"/>
  <c r="E30" i="3"/>
  <c r="D31" i="3"/>
  <c r="E31" i="3"/>
  <c r="D33" i="3"/>
  <c r="E33" i="3"/>
  <c r="D34" i="3"/>
  <c r="E34" i="3"/>
  <c r="D36" i="3"/>
  <c r="E36" i="3"/>
  <c r="D37" i="3"/>
  <c r="E37" i="3"/>
  <c r="D38" i="3"/>
  <c r="E38" i="3"/>
  <c r="D39" i="3"/>
  <c r="E39" i="3"/>
  <c r="D40" i="3"/>
  <c r="E40" i="3"/>
  <c r="D42" i="3"/>
  <c r="E42" i="3"/>
  <c r="D43" i="3"/>
  <c r="E43" i="3"/>
  <c r="D46" i="3"/>
  <c r="E46" i="3"/>
  <c r="D32" i="3"/>
  <c r="E32" i="3"/>
  <c r="D41" i="3"/>
  <c r="E41" i="3"/>
  <c r="M1" i="14"/>
  <c r="L1" i="14"/>
  <c r="K1" i="14"/>
  <c r="J1" i="14"/>
  <c r="I1" i="14"/>
  <c r="H1" i="14"/>
  <c r="G1" i="14"/>
  <c r="F1" i="14"/>
  <c r="E1" i="14"/>
  <c r="D1" i="14"/>
  <c r="C1" i="14"/>
  <c r="M1" i="13"/>
  <c r="L1" i="13"/>
  <c r="K1" i="13"/>
  <c r="J1" i="13"/>
  <c r="I1" i="13"/>
  <c r="H1" i="13"/>
  <c r="G1" i="13"/>
  <c r="F1" i="13"/>
  <c r="E1" i="13"/>
  <c r="D1" i="13"/>
  <c r="M1" i="11"/>
  <c r="L1" i="11"/>
  <c r="K1" i="11"/>
  <c r="J1" i="11"/>
  <c r="I1" i="11"/>
  <c r="H1" i="11"/>
  <c r="G1" i="11"/>
  <c r="F1" i="11"/>
  <c r="E1" i="11"/>
  <c r="D1" i="11"/>
  <c r="C1" i="11"/>
  <c r="C71" i="64" l="1"/>
  <c r="C72" i="64" s="1"/>
  <c r="C73" i="64" s="1"/>
  <c r="C128" i="64"/>
  <c r="C129" i="64" s="1"/>
  <c r="C16" i="64"/>
  <c r="C17" i="64" s="1"/>
  <c r="C20" i="63"/>
  <c r="C21" i="63" s="1"/>
  <c r="C22" i="63" s="1"/>
  <c r="C23" i="63" s="1"/>
  <c r="C38" i="61"/>
  <c r="C39" i="61" s="1"/>
  <c r="C83" i="30"/>
  <c r="C84" i="30" s="1"/>
  <c r="C85" i="30" s="1"/>
  <c r="U18" i="50"/>
  <c r="V18" i="50" s="1"/>
  <c r="M2" i="38"/>
  <c r="N2" i="38"/>
  <c r="G2" i="38"/>
  <c r="O2" i="38"/>
  <c r="H2" i="38"/>
  <c r="P2" i="38"/>
  <c r="I2" i="38"/>
  <c r="Q2" i="38"/>
  <c r="J2" i="38"/>
  <c r="K2" i="38"/>
  <c r="L2" i="38"/>
  <c r="C19" i="54"/>
  <c r="C15" i="53"/>
  <c r="C16" i="53" s="1"/>
  <c r="C25" i="46"/>
  <c r="C26" i="46" s="1"/>
  <c r="C27" i="46" s="1"/>
  <c r="C28" i="46" s="1"/>
  <c r="C29" i="46" s="1"/>
  <c r="C30" i="46" s="1"/>
  <c r="C31" i="46" s="1"/>
  <c r="C32" i="46" s="1"/>
  <c r="C33" i="46" s="1"/>
  <c r="C34" i="46" s="1"/>
  <c r="C35" i="46" s="1"/>
  <c r="C36" i="46" s="1"/>
  <c r="C37" i="46" s="1"/>
  <c r="C38" i="46" s="1"/>
  <c r="C39" i="46" s="1"/>
  <c r="C149" i="30"/>
  <c r="C150" i="30" s="1"/>
  <c r="C151" i="30" s="1"/>
  <c r="C152" i="30" s="1"/>
  <c r="C153" i="30" s="1"/>
  <c r="C154" i="30" s="1"/>
  <c r="C155" i="30" s="1"/>
  <c r="C156" i="30" s="1"/>
  <c r="C157" i="30" s="1"/>
  <c r="C158" i="30" s="1"/>
  <c r="C159" i="30" s="1"/>
  <c r="C160" i="30" s="1"/>
  <c r="C161" i="30" s="1"/>
  <c r="C162" i="30" s="1"/>
  <c r="C163" i="30" s="1"/>
  <c r="C27" i="30"/>
  <c r="C28" i="30" s="1"/>
  <c r="C25" i="29"/>
  <c r="C26" i="29" s="1"/>
  <c r="C144" i="29"/>
  <c r="C145" i="29" s="1"/>
  <c r="C146" i="29" s="1"/>
  <c r="C147" i="29" s="1"/>
  <c r="C86" i="29"/>
  <c r="C87" i="29" s="1"/>
  <c r="J18" i="2"/>
  <c r="J41" i="2"/>
  <c r="J37" i="2"/>
  <c r="H2" i="3"/>
  <c r="H51" i="3" s="1"/>
  <c r="I2" i="3"/>
  <c r="I51" i="3" s="1"/>
  <c r="J2" i="22"/>
  <c r="G2" i="22"/>
  <c r="O2" i="15"/>
  <c r="O51" i="15" s="1"/>
  <c r="I2" i="22"/>
  <c r="Q2" i="22"/>
  <c r="N2" i="15"/>
  <c r="N51" i="15" s="1"/>
  <c r="M2" i="22"/>
  <c r="H2" i="15"/>
  <c r="H51" i="15" s="1"/>
  <c r="L2" i="22"/>
  <c r="I2" i="15"/>
  <c r="I51" i="15" s="1"/>
  <c r="Q2" i="15"/>
  <c r="Q51" i="15" s="1"/>
  <c r="K2" i="22"/>
  <c r="P2" i="15"/>
  <c r="P51" i="15" s="1"/>
  <c r="H2" i="22"/>
  <c r="P2" i="22"/>
  <c r="M2" i="15"/>
  <c r="M51" i="15" s="1"/>
  <c r="J2" i="15"/>
  <c r="J51" i="15" s="1"/>
  <c r="O2" i="22"/>
  <c r="L2" i="15"/>
  <c r="L51" i="15" s="1"/>
  <c r="N2" i="22"/>
  <c r="K2" i="15"/>
  <c r="K51" i="15" s="1"/>
  <c r="G2" i="15"/>
  <c r="G43" i="3"/>
  <c r="I98" i="29" s="1"/>
  <c r="G38" i="3"/>
  <c r="I96" i="29" s="1"/>
  <c r="G33" i="3"/>
  <c r="I92" i="29" s="1"/>
  <c r="G28" i="3"/>
  <c r="I87" i="29" s="1"/>
  <c r="G23" i="3"/>
  <c r="I83" i="29" s="1"/>
  <c r="G17" i="3"/>
  <c r="I81" i="29" s="1"/>
  <c r="F81" i="29" s="1"/>
  <c r="G9" i="3"/>
  <c r="I76" i="29" s="1"/>
  <c r="G40" i="3"/>
  <c r="G36" i="3"/>
  <c r="G30" i="3"/>
  <c r="G26" i="3"/>
  <c r="I85" i="29" s="1"/>
  <c r="G20" i="3"/>
  <c r="G14" i="3"/>
  <c r="I79" i="29" s="1"/>
  <c r="G6" i="3"/>
  <c r="I75" i="29" s="1"/>
  <c r="G41" i="3"/>
  <c r="G46" i="3"/>
  <c r="I99" i="29" s="1"/>
  <c r="G39" i="3"/>
  <c r="I97" i="29" s="1"/>
  <c r="G34" i="3"/>
  <c r="I93" i="29" s="1"/>
  <c r="G29" i="3"/>
  <c r="I88" i="29" s="1"/>
  <c r="G25" i="3"/>
  <c r="I84" i="29" s="1"/>
  <c r="G18" i="3"/>
  <c r="G13" i="3"/>
  <c r="I78" i="29" s="1"/>
  <c r="G32" i="3"/>
  <c r="I90" i="29" s="1"/>
  <c r="G42" i="3"/>
  <c r="G37" i="3"/>
  <c r="I95" i="29" s="1"/>
  <c r="G31" i="3"/>
  <c r="I89" i="29" s="1"/>
  <c r="G27" i="3"/>
  <c r="I86" i="29" s="1"/>
  <c r="G21" i="3"/>
  <c r="I82" i="29" s="1"/>
  <c r="G15" i="3"/>
  <c r="I80" i="29" s="1"/>
  <c r="G10" i="3"/>
  <c r="I77" i="29" s="1"/>
  <c r="Y17" i="10"/>
  <c r="G18" i="46" s="1"/>
  <c r="C74" i="64" l="1"/>
  <c r="C75" i="64" s="1"/>
  <c r="C76" i="64" s="1"/>
  <c r="C77" i="64" s="1"/>
  <c r="C78" i="64" s="1"/>
  <c r="C114" i="64" s="1"/>
  <c r="C115" i="64" s="1"/>
  <c r="C18" i="64"/>
  <c r="C19" i="64" s="1"/>
  <c r="C130" i="64"/>
  <c r="C131" i="64" s="1"/>
  <c r="C132" i="64" s="1"/>
  <c r="C133" i="64" s="1"/>
  <c r="C169" i="64" s="1"/>
  <c r="C59" i="63"/>
  <c r="W18" i="50"/>
  <c r="I51" i="38"/>
  <c r="I70" i="38"/>
  <c r="I77" i="38"/>
  <c r="I68" i="38"/>
  <c r="I41" i="38"/>
  <c r="I29" i="38"/>
  <c r="I44" i="38"/>
  <c r="I22" i="38"/>
  <c r="I34" i="38"/>
  <c r="I48" i="38"/>
  <c r="I66" i="38"/>
  <c r="I73" i="38"/>
  <c r="I76" i="38"/>
  <c r="I37" i="38"/>
  <c r="I21" i="38"/>
  <c r="I12" i="38"/>
  <c r="I71" i="38"/>
  <c r="I62" i="38"/>
  <c r="I60" i="38"/>
  <c r="I69" i="38"/>
  <c r="I33" i="38"/>
  <c r="I17" i="38"/>
  <c r="I36" i="38"/>
  <c r="I7" i="38"/>
  <c r="I35" i="38"/>
  <c r="I59" i="38"/>
  <c r="I58" i="38"/>
  <c r="I72" i="38"/>
  <c r="I52" i="38"/>
  <c r="I9" i="38"/>
  <c r="I28" i="38"/>
  <c r="I16" i="38"/>
  <c r="I47" i="38"/>
  <c r="I63" i="38"/>
  <c r="I50" i="38"/>
  <c r="I56" i="38"/>
  <c r="I32" i="38"/>
  <c r="I11" i="38"/>
  <c r="I38" i="38"/>
  <c r="I67" i="38"/>
  <c r="I78" i="38"/>
  <c r="I64" i="38"/>
  <c r="I65" i="38"/>
  <c r="I8" i="38"/>
  <c r="I25" i="38"/>
  <c r="I24" i="38"/>
  <c r="I27" i="38"/>
  <c r="I46" i="38"/>
  <c r="I61" i="38"/>
  <c r="I30" i="38"/>
  <c r="I39" i="38"/>
  <c r="I42" i="38"/>
  <c r="I31" i="38"/>
  <c r="I53" i="38"/>
  <c r="I26" i="38"/>
  <c r="I15" i="38"/>
  <c r="I6" i="38"/>
  <c r="I75" i="38"/>
  <c r="I23" i="38"/>
  <c r="I19" i="38"/>
  <c r="I74" i="38"/>
  <c r="I40" i="38"/>
  <c r="I10" i="38"/>
  <c r="I18" i="38"/>
  <c r="I55" i="38"/>
  <c r="I20" i="38"/>
  <c r="I54" i="38"/>
  <c r="I45" i="38"/>
  <c r="I57" i="38"/>
  <c r="I5" i="38"/>
  <c r="I14" i="38"/>
  <c r="I49" i="38"/>
  <c r="I43" i="38"/>
  <c r="I13" i="38"/>
  <c r="P47" i="38"/>
  <c r="P73" i="38"/>
  <c r="P66" i="38"/>
  <c r="P61" i="38"/>
  <c r="P19" i="38"/>
  <c r="P15" i="38"/>
  <c r="P18" i="38"/>
  <c r="P11" i="38"/>
  <c r="P12" i="38"/>
  <c r="P25" i="38"/>
  <c r="P63" i="38"/>
  <c r="P52" i="38"/>
  <c r="P74" i="38"/>
  <c r="P54" i="38"/>
  <c r="P59" i="38"/>
  <c r="P60" i="38"/>
  <c r="P77" i="38"/>
  <c r="P62" i="38"/>
  <c r="P26" i="38"/>
  <c r="P27" i="38"/>
  <c r="P28" i="38"/>
  <c r="P17" i="38"/>
  <c r="P55" i="38"/>
  <c r="P68" i="38"/>
  <c r="P69" i="38"/>
  <c r="P70" i="38"/>
  <c r="P8" i="38"/>
  <c r="P75" i="38"/>
  <c r="P53" i="38"/>
  <c r="P65" i="38"/>
  <c r="P64" i="38"/>
  <c r="P31" i="38"/>
  <c r="P36" i="38"/>
  <c r="P6" i="38"/>
  <c r="P38" i="38"/>
  <c r="P39" i="38"/>
  <c r="P37" i="38"/>
  <c r="P71" i="38"/>
  <c r="P49" i="38"/>
  <c r="P50" i="38"/>
  <c r="P72" i="38"/>
  <c r="P24" i="38"/>
  <c r="P10" i="38"/>
  <c r="P42" i="38"/>
  <c r="P35" i="38"/>
  <c r="P58" i="38"/>
  <c r="P22" i="38"/>
  <c r="P23" i="38"/>
  <c r="P33" i="38"/>
  <c r="P56" i="38"/>
  <c r="P20" i="38"/>
  <c r="P30" i="38"/>
  <c r="P7" i="38"/>
  <c r="P29" i="38"/>
  <c r="P48" i="38"/>
  <c r="P34" i="38"/>
  <c r="P21" i="38"/>
  <c r="P78" i="38"/>
  <c r="P32" i="38"/>
  <c r="P9" i="38"/>
  <c r="P5" i="38"/>
  <c r="P51" i="38"/>
  <c r="P57" i="38"/>
  <c r="P40" i="38"/>
  <c r="P45" i="38"/>
  <c r="P67" i="38"/>
  <c r="P76" i="38"/>
  <c r="P14" i="38"/>
  <c r="P43" i="38"/>
  <c r="P16" i="38"/>
  <c r="P41" i="38"/>
  <c r="P46" i="38"/>
  <c r="P44" i="38"/>
  <c r="P13" i="38"/>
  <c r="H47" i="38"/>
  <c r="H78" i="38"/>
  <c r="H68" i="38"/>
  <c r="H65" i="38"/>
  <c r="H16" i="38"/>
  <c r="H6" i="38"/>
  <c r="H38" i="38"/>
  <c r="H27" i="38"/>
  <c r="H63" i="38"/>
  <c r="H48" i="38"/>
  <c r="H76" i="38"/>
  <c r="H56" i="38"/>
  <c r="H31" i="38"/>
  <c r="H29" i="38"/>
  <c r="H40" i="38"/>
  <c r="H15" i="38"/>
  <c r="H59" i="38"/>
  <c r="H57" i="38"/>
  <c r="H77" i="38"/>
  <c r="H64" i="38"/>
  <c r="H13" i="38"/>
  <c r="H14" i="38"/>
  <c r="H46" i="38"/>
  <c r="H44" i="38"/>
  <c r="H39" i="38"/>
  <c r="H55" i="38"/>
  <c r="H69" i="38"/>
  <c r="H50" i="38"/>
  <c r="H72" i="38"/>
  <c r="H41" i="38"/>
  <c r="H32" i="38"/>
  <c r="H75" i="38"/>
  <c r="H54" i="38"/>
  <c r="H49" i="38"/>
  <c r="H66" i="38"/>
  <c r="H7" i="38"/>
  <c r="H5" i="38"/>
  <c r="H25" i="38"/>
  <c r="H26" i="38"/>
  <c r="H11" i="38"/>
  <c r="H21" i="38"/>
  <c r="H23" i="38"/>
  <c r="H71" i="38"/>
  <c r="H62" i="38"/>
  <c r="H52" i="38"/>
  <c r="H74" i="38"/>
  <c r="H30" i="38"/>
  <c r="H60" i="38"/>
  <c r="H42" i="38"/>
  <c r="H43" i="38"/>
  <c r="H19" i="38"/>
  <c r="H58" i="38"/>
  <c r="H24" i="38"/>
  <c r="H37" i="38"/>
  <c r="H61" i="38"/>
  <c r="H45" i="38"/>
  <c r="H17" i="38"/>
  <c r="H67" i="38"/>
  <c r="H51" i="38"/>
  <c r="H18" i="38"/>
  <c r="H70" i="38"/>
  <c r="H8" i="38"/>
  <c r="H35" i="38"/>
  <c r="H22" i="38"/>
  <c r="H12" i="38"/>
  <c r="H73" i="38"/>
  <c r="H28" i="38"/>
  <c r="H10" i="38"/>
  <c r="H36" i="38"/>
  <c r="H53" i="38"/>
  <c r="H34" i="38"/>
  <c r="H9" i="38"/>
  <c r="H20" i="38"/>
  <c r="H33" i="38"/>
  <c r="O75" i="38"/>
  <c r="O55" i="38"/>
  <c r="O77" i="38"/>
  <c r="O76" i="38"/>
  <c r="O40" i="38"/>
  <c r="O6" i="38"/>
  <c r="O29" i="38"/>
  <c r="O67" i="38"/>
  <c r="O51" i="38"/>
  <c r="O60" i="38"/>
  <c r="O49" i="38"/>
  <c r="O78" i="38"/>
  <c r="O74" i="38"/>
  <c r="O64" i="38"/>
  <c r="O56" i="38"/>
  <c r="O22" i="38"/>
  <c r="O26" i="38"/>
  <c r="O44" i="38"/>
  <c r="O21" i="38"/>
  <c r="O70" i="38"/>
  <c r="O66" i="38"/>
  <c r="O65" i="38"/>
  <c r="O69" i="38"/>
  <c r="O30" i="38"/>
  <c r="O48" i="38"/>
  <c r="O71" i="38"/>
  <c r="O54" i="38"/>
  <c r="O53" i="38"/>
  <c r="O42" i="38"/>
  <c r="O23" i="38"/>
  <c r="O31" i="38"/>
  <c r="O12" i="38"/>
  <c r="O43" i="38"/>
  <c r="O35" i="38"/>
  <c r="O5" i="38"/>
  <c r="O50" i="38"/>
  <c r="O63" i="38"/>
  <c r="O57" i="38"/>
  <c r="O52" i="38"/>
  <c r="O46" i="38"/>
  <c r="O61" i="38"/>
  <c r="O17" i="38"/>
  <c r="O72" i="38"/>
  <c r="O14" i="38"/>
  <c r="O36" i="38"/>
  <c r="O9" i="38"/>
  <c r="O73" i="38"/>
  <c r="O58" i="38"/>
  <c r="O27" i="38"/>
  <c r="O34" i="38"/>
  <c r="O15" i="38"/>
  <c r="O28" i="38"/>
  <c r="O37" i="38"/>
  <c r="O59" i="38"/>
  <c r="O7" i="38"/>
  <c r="O16" i="38"/>
  <c r="O19" i="38"/>
  <c r="O33" i="38"/>
  <c r="O38" i="38"/>
  <c r="O32" i="38"/>
  <c r="O45" i="38"/>
  <c r="O47" i="38"/>
  <c r="O10" i="38"/>
  <c r="O20" i="38"/>
  <c r="O8" i="38"/>
  <c r="O62" i="38"/>
  <c r="O24" i="38"/>
  <c r="O11" i="38"/>
  <c r="O25" i="38"/>
  <c r="O39" i="38"/>
  <c r="O68" i="38"/>
  <c r="O18" i="38"/>
  <c r="O41" i="38"/>
  <c r="O13" i="38"/>
  <c r="L63" i="38"/>
  <c r="L70" i="38"/>
  <c r="L76" i="38"/>
  <c r="L56" i="38"/>
  <c r="L5" i="38"/>
  <c r="L18" i="38"/>
  <c r="L23" i="38"/>
  <c r="L31" i="38"/>
  <c r="L43" i="38"/>
  <c r="L35" i="38"/>
  <c r="L12" i="38"/>
  <c r="L59" i="38"/>
  <c r="L78" i="38"/>
  <c r="L61" i="38"/>
  <c r="L64" i="38"/>
  <c r="L34" i="38"/>
  <c r="L14" i="38"/>
  <c r="L55" i="38"/>
  <c r="L66" i="38"/>
  <c r="L53" i="38"/>
  <c r="L72" i="38"/>
  <c r="L30" i="38"/>
  <c r="L25" i="38"/>
  <c r="L6" i="38"/>
  <c r="L11" i="38"/>
  <c r="L39" i="38"/>
  <c r="L19" i="38"/>
  <c r="L8" i="38"/>
  <c r="L51" i="38"/>
  <c r="L69" i="38"/>
  <c r="L77" i="38"/>
  <c r="L49" i="38"/>
  <c r="L9" i="38"/>
  <c r="L41" i="38"/>
  <c r="L75" i="38"/>
  <c r="L47" i="38"/>
  <c r="L52" i="38"/>
  <c r="L58" i="38"/>
  <c r="L17" i="38"/>
  <c r="L29" i="38"/>
  <c r="L36" i="38"/>
  <c r="L20" i="38"/>
  <c r="L71" i="38"/>
  <c r="L54" i="38"/>
  <c r="L60" i="38"/>
  <c r="L74" i="38"/>
  <c r="L37" i="38"/>
  <c r="L45" i="38"/>
  <c r="L46" i="38"/>
  <c r="L21" i="38"/>
  <c r="L68" i="38"/>
  <c r="L42" i="38"/>
  <c r="L10" i="38"/>
  <c r="L50" i="38"/>
  <c r="L26" i="38"/>
  <c r="L22" i="38"/>
  <c r="L44" i="38"/>
  <c r="L73" i="38"/>
  <c r="L15" i="38"/>
  <c r="L57" i="38"/>
  <c r="L27" i="38"/>
  <c r="L48" i="38"/>
  <c r="L38" i="38"/>
  <c r="L32" i="38"/>
  <c r="L62" i="38"/>
  <c r="L33" i="38"/>
  <c r="L28" i="38"/>
  <c r="L40" i="38"/>
  <c r="L16" i="38"/>
  <c r="L7" i="38"/>
  <c r="L65" i="38"/>
  <c r="L24" i="38"/>
  <c r="L67" i="38"/>
  <c r="L13" i="38"/>
  <c r="G62" i="38"/>
  <c r="G36" i="38"/>
  <c r="G68" i="38"/>
  <c r="G53" i="38"/>
  <c r="G71" i="38"/>
  <c r="G18" i="38"/>
  <c r="G41" i="38"/>
  <c r="G70" i="38"/>
  <c r="G42" i="38"/>
  <c r="G20" i="38"/>
  <c r="G51" i="38"/>
  <c r="G40" i="38"/>
  <c r="G21" i="38"/>
  <c r="G44" i="38"/>
  <c r="G11" i="38"/>
  <c r="G59" i="38"/>
  <c r="G64" i="38"/>
  <c r="G7" i="38"/>
  <c r="G60" i="38"/>
  <c r="G61" i="38"/>
  <c r="G75" i="38"/>
  <c r="G25" i="38"/>
  <c r="G15" i="38"/>
  <c r="G38" i="38"/>
  <c r="G48" i="38"/>
  <c r="G54" i="38"/>
  <c r="G55" i="38"/>
  <c r="G19" i="38"/>
  <c r="G30" i="38"/>
  <c r="G37" i="38"/>
  <c r="G52" i="38"/>
  <c r="G73" i="38"/>
  <c r="G47" i="38"/>
  <c r="G76" i="38"/>
  <c r="G74" i="38"/>
  <c r="G33" i="38"/>
  <c r="G32" i="38"/>
  <c r="G49" i="38"/>
  <c r="G27" i="38"/>
  <c r="G58" i="38"/>
  <c r="G72" i="38"/>
  <c r="G69" i="38"/>
  <c r="G56" i="38"/>
  <c r="G46" i="38"/>
  <c r="G5" i="38"/>
  <c r="G16" i="38"/>
  <c r="G50" i="38"/>
  <c r="G43" i="38"/>
  <c r="G17" i="38"/>
  <c r="G24" i="38"/>
  <c r="G66" i="38"/>
  <c r="G45" i="38"/>
  <c r="G9" i="38"/>
  <c r="G31" i="38"/>
  <c r="G23" i="38"/>
  <c r="G8" i="38"/>
  <c r="G29" i="38"/>
  <c r="G63" i="38"/>
  <c r="G34" i="38"/>
  <c r="G57" i="38"/>
  <c r="G14" i="38"/>
  <c r="G13" i="38"/>
  <c r="G78" i="38"/>
  <c r="G22" i="38"/>
  <c r="G26" i="38"/>
  <c r="G28" i="38"/>
  <c r="G77" i="38"/>
  <c r="G10" i="38"/>
  <c r="G39" i="38"/>
  <c r="G12" i="38"/>
  <c r="G35" i="38"/>
  <c r="G67" i="38"/>
  <c r="G65" i="38"/>
  <c r="G6" i="38"/>
  <c r="K52" i="38"/>
  <c r="K63" i="38"/>
  <c r="K77" i="38"/>
  <c r="K58" i="38"/>
  <c r="K44" i="38"/>
  <c r="K7" i="38"/>
  <c r="K60" i="38"/>
  <c r="K59" i="38"/>
  <c r="K53" i="38"/>
  <c r="K69" i="38"/>
  <c r="K76" i="38"/>
  <c r="K55" i="38"/>
  <c r="K57" i="38"/>
  <c r="K70" i="38"/>
  <c r="K32" i="38"/>
  <c r="K12" i="38"/>
  <c r="K23" i="38"/>
  <c r="K31" i="38"/>
  <c r="K22" i="38"/>
  <c r="K43" i="38"/>
  <c r="K42" i="38"/>
  <c r="K68" i="38"/>
  <c r="K51" i="38"/>
  <c r="K66" i="38"/>
  <c r="K62" i="38"/>
  <c r="K34" i="38"/>
  <c r="K16" i="38"/>
  <c r="K11" i="38"/>
  <c r="K48" i="38"/>
  <c r="K75" i="38"/>
  <c r="K61" i="38"/>
  <c r="K65" i="38"/>
  <c r="K8" i="38"/>
  <c r="K27" i="38"/>
  <c r="K38" i="38"/>
  <c r="K45" i="38"/>
  <c r="K29" i="38"/>
  <c r="K72" i="38"/>
  <c r="K71" i="38"/>
  <c r="K73" i="38"/>
  <c r="K50" i="38"/>
  <c r="K28" i="38"/>
  <c r="K36" i="38"/>
  <c r="K54" i="38"/>
  <c r="K40" i="38"/>
  <c r="K35" i="38"/>
  <c r="K41" i="38"/>
  <c r="K49" i="38"/>
  <c r="K39" i="38"/>
  <c r="K6" i="38"/>
  <c r="K37" i="38"/>
  <c r="K78" i="38"/>
  <c r="K24" i="38"/>
  <c r="K30" i="38"/>
  <c r="K9" i="38"/>
  <c r="K5" i="38"/>
  <c r="K15" i="38"/>
  <c r="K26" i="38"/>
  <c r="K64" i="38"/>
  <c r="K18" i="38"/>
  <c r="K20" i="38"/>
  <c r="K14" i="38"/>
  <c r="K25" i="38"/>
  <c r="K67" i="38"/>
  <c r="K21" i="38"/>
  <c r="K33" i="38"/>
  <c r="K47" i="38"/>
  <c r="K46" i="38"/>
  <c r="K10" i="38"/>
  <c r="K17" i="38"/>
  <c r="K74" i="38"/>
  <c r="K19" i="38"/>
  <c r="K56" i="38"/>
  <c r="K13" i="38"/>
  <c r="N62" i="38"/>
  <c r="N59" i="38"/>
  <c r="N53" i="38"/>
  <c r="N64" i="38"/>
  <c r="N22" i="38"/>
  <c r="N24" i="38"/>
  <c r="N39" i="38"/>
  <c r="N26" i="38"/>
  <c r="N45" i="38"/>
  <c r="N29" i="38"/>
  <c r="N58" i="38"/>
  <c r="N55" i="38"/>
  <c r="N61" i="38"/>
  <c r="N56" i="38"/>
  <c r="N38" i="38"/>
  <c r="N36" i="38"/>
  <c r="N20" i="38"/>
  <c r="N40" i="38"/>
  <c r="N43" i="38"/>
  <c r="N54" i="38"/>
  <c r="N51" i="38"/>
  <c r="N69" i="38"/>
  <c r="N57" i="38"/>
  <c r="N7" i="38"/>
  <c r="N6" i="38"/>
  <c r="N41" i="38"/>
  <c r="N25" i="38"/>
  <c r="N50" i="38"/>
  <c r="N78" i="38"/>
  <c r="N77" i="38"/>
  <c r="N68" i="38"/>
  <c r="N30" i="38"/>
  <c r="N16" i="38"/>
  <c r="N34" i="38"/>
  <c r="N8" i="38"/>
  <c r="N74" i="38"/>
  <c r="N71" i="38"/>
  <c r="N52" i="38"/>
  <c r="N76" i="38"/>
  <c r="N35" i="38"/>
  <c r="N12" i="38"/>
  <c r="N10" i="38"/>
  <c r="N23" i="38"/>
  <c r="N32" i="38"/>
  <c r="N18" i="38"/>
  <c r="N70" i="38"/>
  <c r="N67" i="38"/>
  <c r="N65" i="38"/>
  <c r="N49" i="38"/>
  <c r="N14" i="38"/>
  <c r="N44" i="38"/>
  <c r="N72" i="38"/>
  <c r="N46" i="38"/>
  <c r="N28" i="38"/>
  <c r="N21" i="38"/>
  <c r="N47" i="38"/>
  <c r="N31" i="38"/>
  <c r="N17" i="38"/>
  <c r="N73" i="38"/>
  <c r="N42" i="38"/>
  <c r="N60" i="38"/>
  <c r="N9" i="38"/>
  <c r="N66" i="38"/>
  <c r="N75" i="38"/>
  <c r="N27" i="38"/>
  <c r="N63" i="38"/>
  <c r="N11" i="38"/>
  <c r="N37" i="38"/>
  <c r="N19" i="38"/>
  <c r="N48" i="38"/>
  <c r="N15" i="38"/>
  <c r="N33" i="38"/>
  <c r="N5" i="38"/>
  <c r="N13" i="38"/>
  <c r="J48" i="38"/>
  <c r="J67" i="38"/>
  <c r="J74" i="38"/>
  <c r="J58" i="38"/>
  <c r="J12" i="38"/>
  <c r="J16" i="38"/>
  <c r="J10" i="38"/>
  <c r="J42" i="38"/>
  <c r="J64" i="38"/>
  <c r="J63" i="38"/>
  <c r="J53" i="38"/>
  <c r="J50" i="38"/>
  <c r="J44" i="38"/>
  <c r="J60" i="38"/>
  <c r="J59" i="38"/>
  <c r="J61" i="38"/>
  <c r="J57" i="38"/>
  <c r="J21" i="38"/>
  <c r="J17" i="38"/>
  <c r="J8" i="38"/>
  <c r="J18" i="38"/>
  <c r="J15" i="38"/>
  <c r="J56" i="38"/>
  <c r="J55" i="38"/>
  <c r="J69" i="38"/>
  <c r="J78" i="38"/>
  <c r="J9" i="38"/>
  <c r="J76" i="38"/>
  <c r="J47" i="38"/>
  <c r="J62" i="38"/>
  <c r="J73" i="38"/>
  <c r="J33" i="38"/>
  <c r="J40" i="38"/>
  <c r="J30" i="38"/>
  <c r="J19" i="38"/>
  <c r="J20" i="38"/>
  <c r="J72" i="38"/>
  <c r="J75" i="38"/>
  <c r="J65" i="38"/>
  <c r="J66" i="38"/>
  <c r="J39" i="38"/>
  <c r="J54" i="38"/>
  <c r="J34" i="38"/>
  <c r="J77" i="38"/>
  <c r="J38" i="38"/>
  <c r="J31" i="38"/>
  <c r="J35" i="38"/>
  <c r="J49" i="38"/>
  <c r="J70" i="38"/>
  <c r="J45" i="38"/>
  <c r="J7" i="38"/>
  <c r="J24" i="38"/>
  <c r="J43" i="38"/>
  <c r="J52" i="38"/>
  <c r="J14" i="38"/>
  <c r="J5" i="38"/>
  <c r="J71" i="38"/>
  <c r="J11" i="38"/>
  <c r="J32" i="38"/>
  <c r="J22" i="38"/>
  <c r="J25" i="38"/>
  <c r="J36" i="38"/>
  <c r="J46" i="38"/>
  <c r="J41" i="38"/>
  <c r="J27" i="38"/>
  <c r="J23" i="38"/>
  <c r="J51" i="38"/>
  <c r="J37" i="38"/>
  <c r="J26" i="38"/>
  <c r="J68" i="38"/>
  <c r="J28" i="38"/>
  <c r="J6" i="38"/>
  <c r="J29" i="38"/>
  <c r="J13" i="38"/>
  <c r="M47" i="38"/>
  <c r="M58" i="38"/>
  <c r="M65" i="38"/>
  <c r="M69" i="38"/>
  <c r="M16" i="38"/>
  <c r="M31" i="38"/>
  <c r="M46" i="38"/>
  <c r="M43" i="38"/>
  <c r="M35" i="38"/>
  <c r="M29" i="38"/>
  <c r="M59" i="38"/>
  <c r="M70" i="38"/>
  <c r="M51" i="38"/>
  <c r="M66" i="38"/>
  <c r="M8" i="38"/>
  <c r="M68" i="38"/>
  <c r="M78" i="38"/>
  <c r="M72" i="38"/>
  <c r="M74" i="38"/>
  <c r="M12" i="38"/>
  <c r="M36" i="38"/>
  <c r="M40" i="38"/>
  <c r="M22" i="38"/>
  <c r="M34" i="38"/>
  <c r="M41" i="38"/>
  <c r="M49" i="38"/>
  <c r="M75" i="38"/>
  <c r="M61" i="38"/>
  <c r="M57" i="38"/>
  <c r="M7" i="38"/>
  <c r="M24" i="38"/>
  <c r="M71" i="38"/>
  <c r="M56" i="38"/>
  <c r="M73" i="38"/>
  <c r="M60" i="38"/>
  <c r="M18" i="38"/>
  <c r="M17" i="38"/>
  <c r="M50" i="38"/>
  <c r="M55" i="38"/>
  <c r="M54" i="38"/>
  <c r="M48" i="38"/>
  <c r="M44" i="38"/>
  <c r="M15" i="38"/>
  <c r="M28" i="38"/>
  <c r="M14" i="38"/>
  <c r="M52" i="38"/>
  <c r="M32" i="38"/>
  <c r="M11" i="38"/>
  <c r="M77" i="38"/>
  <c r="M30" i="38"/>
  <c r="M42" i="38"/>
  <c r="M39" i="38"/>
  <c r="M10" i="38"/>
  <c r="M62" i="38"/>
  <c r="M20" i="38"/>
  <c r="M6" i="38"/>
  <c r="M19" i="38"/>
  <c r="M53" i="38"/>
  <c r="M63" i="38"/>
  <c r="M23" i="38"/>
  <c r="M25" i="38"/>
  <c r="M76" i="38"/>
  <c r="M38" i="38"/>
  <c r="M5" i="38"/>
  <c r="M45" i="38"/>
  <c r="M26" i="38"/>
  <c r="M64" i="38"/>
  <c r="M9" i="38"/>
  <c r="M27" i="38"/>
  <c r="M67" i="38"/>
  <c r="M37" i="38"/>
  <c r="M33" i="38"/>
  <c r="M21" i="38"/>
  <c r="M13" i="38"/>
  <c r="Q51" i="38"/>
  <c r="Q70" i="38"/>
  <c r="Q76" i="38"/>
  <c r="Q52" i="38"/>
  <c r="Q45" i="38"/>
  <c r="Q21" i="38"/>
  <c r="Q27" i="38"/>
  <c r="Q42" i="38"/>
  <c r="Q15" i="38"/>
  <c r="Q40" i="38"/>
  <c r="Q24" i="38"/>
  <c r="Q8" i="38"/>
  <c r="Q48" i="38"/>
  <c r="Q66" i="38"/>
  <c r="Q60" i="38"/>
  <c r="Q64" i="38"/>
  <c r="Q71" i="38"/>
  <c r="Q62" i="38"/>
  <c r="Q72" i="38"/>
  <c r="Q49" i="38"/>
  <c r="Q9" i="38"/>
  <c r="Q30" i="38"/>
  <c r="Q36" i="38"/>
  <c r="Q20" i="38"/>
  <c r="Q59" i="38"/>
  <c r="Q58" i="38"/>
  <c r="Q53" i="38"/>
  <c r="Q61" i="38"/>
  <c r="Q41" i="38"/>
  <c r="Q29" i="38"/>
  <c r="Q47" i="38"/>
  <c r="Q63" i="38"/>
  <c r="Q50" i="38"/>
  <c r="Q56" i="38"/>
  <c r="Q17" i="38"/>
  <c r="Q14" i="38"/>
  <c r="Q39" i="38"/>
  <c r="Q26" i="38"/>
  <c r="Q12" i="38"/>
  <c r="Q67" i="38"/>
  <c r="Q78" i="38"/>
  <c r="Q73" i="38"/>
  <c r="Q65" i="38"/>
  <c r="Q25" i="38"/>
  <c r="Q11" i="38"/>
  <c r="Q57" i="38"/>
  <c r="Q37" i="38"/>
  <c r="Q16" i="38"/>
  <c r="Q69" i="38"/>
  <c r="Q77" i="38"/>
  <c r="Q35" i="38"/>
  <c r="Q19" i="38"/>
  <c r="Q28" i="38"/>
  <c r="Q75" i="38"/>
  <c r="Q7" i="38"/>
  <c r="Q38" i="38"/>
  <c r="Q43" i="38"/>
  <c r="Q34" i="38"/>
  <c r="Q74" i="38"/>
  <c r="Q33" i="38"/>
  <c r="Q32" i="38"/>
  <c r="Q54" i="38"/>
  <c r="Q5" i="38"/>
  <c r="Q46" i="38"/>
  <c r="Q22" i="38"/>
  <c r="Q31" i="38"/>
  <c r="Q10" i="38"/>
  <c r="Q18" i="38"/>
  <c r="Q44" i="38"/>
  <c r="Q68" i="38"/>
  <c r="Q23" i="38"/>
  <c r="Q55" i="38"/>
  <c r="Q6" i="38"/>
  <c r="Q13" i="38"/>
  <c r="C17" i="53"/>
  <c r="C18" i="53" s="1"/>
  <c r="H13" i="22"/>
  <c r="J17" i="30" s="1"/>
  <c r="H48" i="22"/>
  <c r="H76" i="22"/>
  <c r="H72" i="22"/>
  <c r="H60" i="22"/>
  <c r="H56" i="22"/>
  <c r="H52" i="22"/>
  <c r="H68" i="22"/>
  <c r="H64" i="22"/>
  <c r="H55" i="22"/>
  <c r="H63" i="22"/>
  <c r="H71" i="22"/>
  <c r="H49" i="22"/>
  <c r="H50" i="22"/>
  <c r="H77" i="22"/>
  <c r="J23" i="64" s="1"/>
  <c r="H67" i="22"/>
  <c r="H78" i="22"/>
  <c r="H53" i="22"/>
  <c r="H69" i="22"/>
  <c r="H59" i="22"/>
  <c r="H74" i="22"/>
  <c r="H61" i="22"/>
  <c r="H70" i="22"/>
  <c r="J22" i="64" s="1"/>
  <c r="H51" i="22"/>
  <c r="H75" i="22"/>
  <c r="H66" i="22"/>
  <c r="H58" i="22"/>
  <c r="H79" i="22"/>
  <c r="H57" i="22"/>
  <c r="H65" i="22"/>
  <c r="H73" i="22"/>
  <c r="H54" i="22"/>
  <c r="H62" i="22"/>
  <c r="N75" i="22"/>
  <c r="N71" i="22"/>
  <c r="N59" i="22"/>
  <c r="N55" i="22"/>
  <c r="N79" i="22"/>
  <c r="N67" i="22"/>
  <c r="N76" i="22"/>
  <c r="N72" i="22"/>
  <c r="N68" i="22"/>
  <c r="N64" i="22"/>
  <c r="N60" i="22"/>
  <c r="N56" i="22"/>
  <c r="N52" i="22"/>
  <c r="N63" i="22"/>
  <c r="N51" i="22"/>
  <c r="N49" i="22"/>
  <c r="N77" i="22"/>
  <c r="P23" i="64" s="1"/>
  <c r="N78" i="22"/>
  <c r="N57" i="22"/>
  <c r="N58" i="22"/>
  <c r="N74" i="22"/>
  <c r="N73" i="22"/>
  <c r="N69" i="22"/>
  <c r="N54" i="22"/>
  <c r="N62" i="22"/>
  <c r="N70" i="22"/>
  <c r="P22" i="64" s="1"/>
  <c r="N48" i="22"/>
  <c r="N53" i="22"/>
  <c r="N50" i="22"/>
  <c r="N65" i="22"/>
  <c r="N61" i="22"/>
  <c r="N66" i="22"/>
  <c r="K49" i="22"/>
  <c r="K77" i="22"/>
  <c r="M23" i="64" s="1"/>
  <c r="K65" i="22"/>
  <c r="K53" i="22"/>
  <c r="K69" i="22"/>
  <c r="K57" i="22"/>
  <c r="K73" i="22"/>
  <c r="K61" i="22"/>
  <c r="K76" i="22"/>
  <c r="K72" i="22"/>
  <c r="K68" i="22"/>
  <c r="K64" i="22"/>
  <c r="K60" i="22"/>
  <c r="K56" i="22"/>
  <c r="K52" i="22"/>
  <c r="K48" i="22"/>
  <c r="K55" i="22"/>
  <c r="K50" i="22"/>
  <c r="K51" i="22"/>
  <c r="K70" i="22"/>
  <c r="M22" i="64" s="1"/>
  <c r="K67" i="22"/>
  <c r="K79" i="22"/>
  <c r="K74" i="22"/>
  <c r="K78" i="22"/>
  <c r="K71" i="22"/>
  <c r="K66" i="22"/>
  <c r="K59" i="22"/>
  <c r="K58" i="22"/>
  <c r="K63" i="22"/>
  <c r="K54" i="22"/>
  <c r="K62" i="22"/>
  <c r="K75" i="22"/>
  <c r="I48" i="22"/>
  <c r="I76" i="22"/>
  <c r="I64" i="22"/>
  <c r="I52" i="22"/>
  <c r="I68" i="22"/>
  <c r="I56" i="22"/>
  <c r="I49" i="22"/>
  <c r="I72" i="22"/>
  <c r="I60" i="22"/>
  <c r="I79" i="22"/>
  <c r="I75" i="22"/>
  <c r="I71" i="22"/>
  <c r="I67" i="22"/>
  <c r="I63" i="22"/>
  <c r="I59" i="22"/>
  <c r="I55" i="22"/>
  <c r="I51" i="22"/>
  <c r="I62" i="22"/>
  <c r="I69" i="22"/>
  <c r="I61" i="22"/>
  <c r="I74" i="22"/>
  <c r="I66" i="22"/>
  <c r="I53" i="22"/>
  <c r="I65" i="22"/>
  <c r="I77" i="22"/>
  <c r="K23" i="64" s="1"/>
  <c r="I54" i="22"/>
  <c r="I78" i="22"/>
  <c r="I70" i="22"/>
  <c r="K22" i="64" s="1"/>
  <c r="I57" i="22"/>
  <c r="I73" i="22"/>
  <c r="I50" i="22"/>
  <c r="I58" i="22"/>
  <c r="Q48" i="22"/>
  <c r="Q76" i="22"/>
  <c r="Q64" i="22"/>
  <c r="Q52" i="22"/>
  <c r="Q68" i="22"/>
  <c r="Q56" i="22"/>
  <c r="Q49" i="22"/>
  <c r="Q72" i="22"/>
  <c r="Q60" i="22"/>
  <c r="Q79" i="22"/>
  <c r="Q75" i="22"/>
  <c r="Q71" i="22"/>
  <c r="Q67" i="22"/>
  <c r="Q63" i="22"/>
  <c r="Q59" i="22"/>
  <c r="Q55" i="22"/>
  <c r="Q51" i="22"/>
  <c r="Q61" i="22"/>
  <c r="Q74" i="22"/>
  <c r="Q65" i="22"/>
  <c r="Q77" i="22"/>
  <c r="S23" i="64" s="1"/>
  <c r="Q70" i="22"/>
  <c r="S22" i="64" s="1"/>
  <c r="Q54" i="22"/>
  <c r="Q69" i="22"/>
  <c r="Q66" i="22"/>
  <c r="Q78" i="22"/>
  <c r="Q53" i="22"/>
  <c r="Q58" i="22"/>
  <c r="Q57" i="22"/>
  <c r="Q73" i="22"/>
  <c r="Q50" i="22"/>
  <c r="Q62" i="22"/>
  <c r="P48" i="22"/>
  <c r="P76" i="22"/>
  <c r="P72" i="22"/>
  <c r="P60" i="22"/>
  <c r="P56" i="22"/>
  <c r="P68" i="22"/>
  <c r="P64" i="22"/>
  <c r="P52" i="22"/>
  <c r="P49" i="22"/>
  <c r="P54" i="22"/>
  <c r="P67" i="22"/>
  <c r="P59" i="22"/>
  <c r="P75" i="22"/>
  <c r="P78" i="22"/>
  <c r="P53" i="22"/>
  <c r="P61" i="22"/>
  <c r="P69" i="22"/>
  <c r="P77" i="22"/>
  <c r="R23" i="64" s="1"/>
  <c r="P51" i="22"/>
  <c r="P50" i="22"/>
  <c r="P66" i="22"/>
  <c r="P70" i="22"/>
  <c r="R22" i="64" s="1"/>
  <c r="P79" i="22"/>
  <c r="P57" i="22"/>
  <c r="P65" i="22"/>
  <c r="P73" i="22"/>
  <c r="P58" i="22"/>
  <c r="P62" i="22"/>
  <c r="P55" i="22"/>
  <c r="P63" i="22"/>
  <c r="P71" i="22"/>
  <c r="P74" i="22"/>
  <c r="M55" i="22"/>
  <c r="M71" i="22"/>
  <c r="M50" i="22"/>
  <c r="M77" i="22"/>
  <c r="O23" i="64" s="1"/>
  <c r="M48" i="22"/>
  <c r="M67" i="22"/>
  <c r="M68" i="22"/>
  <c r="M72" i="22"/>
  <c r="M53" i="22"/>
  <c r="M63" i="22"/>
  <c r="M69" i="22"/>
  <c r="M70" i="22"/>
  <c r="O22" i="64" s="1"/>
  <c r="M58" i="22"/>
  <c r="M74" i="22"/>
  <c r="M57" i="22"/>
  <c r="M59" i="22"/>
  <c r="M79" i="22"/>
  <c r="M78" i="22"/>
  <c r="M65" i="22"/>
  <c r="M60" i="22"/>
  <c r="M64" i="22"/>
  <c r="M73" i="22"/>
  <c r="M75" i="22"/>
  <c r="M76" i="22"/>
  <c r="M62" i="22"/>
  <c r="M52" i="22"/>
  <c r="M56" i="22"/>
  <c r="M61" i="22"/>
  <c r="M49" i="22"/>
  <c r="M66" i="22"/>
  <c r="M54" i="22"/>
  <c r="M51" i="22"/>
  <c r="L72" i="22"/>
  <c r="L68" i="22"/>
  <c r="L64" i="22"/>
  <c r="L60" i="22"/>
  <c r="L56" i="22"/>
  <c r="L52" i="22"/>
  <c r="L49" i="22"/>
  <c r="L48" i="22"/>
  <c r="L55" i="22"/>
  <c r="L63" i="22"/>
  <c r="L71" i="22"/>
  <c r="L79" i="22"/>
  <c r="L67" i="22"/>
  <c r="L50" i="22"/>
  <c r="L77" i="22"/>
  <c r="N23" i="64" s="1"/>
  <c r="L74" i="22"/>
  <c r="L78" i="22"/>
  <c r="L58" i="22"/>
  <c r="L76" i="22"/>
  <c r="L59" i="22"/>
  <c r="L53" i="22"/>
  <c r="L61" i="22"/>
  <c r="L69" i="22"/>
  <c r="L54" i="22"/>
  <c r="L66" i="22"/>
  <c r="L51" i="22"/>
  <c r="L75" i="22"/>
  <c r="L57" i="22"/>
  <c r="L65" i="22"/>
  <c r="L73" i="22"/>
  <c r="L62" i="22"/>
  <c r="L70" i="22"/>
  <c r="N22" i="64" s="1"/>
  <c r="J77" i="22"/>
  <c r="L23" i="64" s="1"/>
  <c r="J73" i="22"/>
  <c r="J61" i="22"/>
  <c r="J57" i="22"/>
  <c r="J69" i="22"/>
  <c r="J48" i="22"/>
  <c r="J49" i="22"/>
  <c r="J65" i="22"/>
  <c r="J53" i="22"/>
  <c r="J72" i="22"/>
  <c r="J68" i="22"/>
  <c r="J64" i="22"/>
  <c r="J60" i="22"/>
  <c r="J56" i="22"/>
  <c r="J52" i="22"/>
  <c r="J75" i="22"/>
  <c r="J58" i="22"/>
  <c r="J74" i="22"/>
  <c r="J79" i="22"/>
  <c r="J67" i="22"/>
  <c r="L20" i="64" s="1"/>
  <c r="J54" i="22"/>
  <c r="J62" i="22"/>
  <c r="J70" i="22"/>
  <c r="L22" i="64" s="1"/>
  <c r="J78" i="22"/>
  <c r="J63" i="22"/>
  <c r="J66" i="22"/>
  <c r="J71" i="22"/>
  <c r="J59" i="22"/>
  <c r="J76" i="22"/>
  <c r="J51" i="22"/>
  <c r="J55" i="22"/>
  <c r="J50" i="22"/>
  <c r="O49" i="22"/>
  <c r="O64" i="22"/>
  <c r="O52" i="22"/>
  <c r="O75" i="22"/>
  <c r="O63" i="22"/>
  <c r="O76" i="22"/>
  <c r="O72" i="22"/>
  <c r="O60" i="22"/>
  <c r="O79" i="22"/>
  <c r="O67" i="22"/>
  <c r="O55" i="22"/>
  <c r="O48" i="22"/>
  <c r="O68" i="22"/>
  <c r="O56" i="22"/>
  <c r="O71" i="22"/>
  <c r="O59" i="22"/>
  <c r="O51" i="22"/>
  <c r="O58" i="22"/>
  <c r="O53" i="22"/>
  <c r="O74" i="22"/>
  <c r="O65" i="22"/>
  <c r="O62" i="22"/>
  <c r="O78" i="22"/>
  <c r="O61" i="22"/>
  <c r="O54" i="22"/>
  <c r="O66" i="22"/>
  <c r="O73" i="22"/>
  <c r="O77" i="22"/>
  <c r="Q23" i="64" s="1"/>
  <c r="O50" i="22"/>
  <c r="O57" i="22"/>
  <c r="O70" i="22"/>
  <c r="Q22" i="64" s="1"/>
  <c r="O69" i="22"/>
  <c r="G49" i="22"/>
  <c r="G64" i="22"/>
  <c r="G79" i="22"/>
  <c r="G67" i="22"/>
  <c r="G51" i="22"/>
  <c r="I40" i="30" s="1"/>
  <c r="G76" i="22"/>
  <c r="I53" i="30" s="1"/>
  <c r="G52" i="22"/>
  <c r="G55" i="22"/>
  <c r="I42" i="30" s="1"/>
  <c r="G48" i="22"/>
  <c r="G72" i="22"/>
  <c r="G68" i="22"/>
  <c r="G60" i="22"/>
  <c r="I47" i="30" s="1"/>
  <c r="G56" i="22"/>
  <c r="I43" i="30" s="1"/>
  <c r="G75" i="22"/>
  <c r="I52" i="30" s="1"/>
  <c r="G71" i="22"/>
  <c r="G63" i="22"/>
  <c r="G59" i="22"/>
  <c r="I46" i="30" s="1"/>
  <c r="G70" i="22"/>
  <c r="G69" i="22"/>
  <c r="G73" i="22"/>
  <c r="G74" i="22"/>
  <c r="I51" i="30" s="1"/>
  <c r="G58" i="22"/>
  <c r="I45" i="30" s="1"/>
  <c r="G66" i="22"/>
  <c r="I50" i="30" s="1"/>
  <c r="G54" i="22"/>
  <c r="G53" i="22"/>
  <c r="I41" i="30" s="1"/>
  <c r="G65" i="22"/>
  <c r="G78" i="22"/>
  <c r="I54" i="30" s="1"/>
  <c r="G61" i="22"/>
  <c r="I48" i="30" s="1"/>
  <c r="G62" i="22"/>
  <c r="I49" i="30" s="1"/>
  <c r="G50" i="22"/>
  <c r="I39" i="30" s="1"/>
  <c r="G57" i="22"/>
  <c r="I44" i="30" s="1"/>
  <c r="G77" i="22"/>
  <c r="G47" i="15"/>
  <c r="I126" i="17" s="1"/>
  <c r="G69" i="15"/>
  <c r="G77" i="15"/>
  <c r="I178" i="29" s="1"/>
  <c r="G71" i="15"/>
  <c r="G65" i="15"/>
  <c r="I174" i="29" s="1"/>
  <c r="G61" i="15"/>
  <c r="I173" i="29" s="1"/>
  <c r="G57" i="15"/>
  <c r="I169" i="29" s="1"/>
  <c r="G53" i="15"/>
  <c r="G50" i="15"/>
  <c r="I164" i="29" s="1"/>
  <c r="G75" i="15"/>
  <c r="I177" i="29" s="1"/>
  <c r="G73" i="15"/>
  <c r="I175" i="29" s="1"/>
  <c r="G67" i="15"/>
  <c r="G63" i="15"/>
  <c r="I130" i="53" s="1"/>
  <c r="F130" i="53" s="1"/>
  <c r="G59" i="15"/>
  <c r="I171" i="29" s="1"/>
  <c r="G55" i="15"/>
  <c r="I167" i="29" s="1"/>
  <c r="G48" i="15"/>
  <c r="I127" i="17" s="1"/>
  <c r="G72" i="15"/>
  <c r="G74" i="15"/>
  <c r="I176" i="29" s="1"/>
  <c r="G60" i="15"/>
  <c r="I172" i="29" s="1"/>
  <c r="G64" i="15"/>
  <c r="G66" i="15"/>
  <c r="G54" i="15"/>
  <c r="I166" i="29" s="1"/>
  <c r="G76" i="15"/>
  <c r="G51" i="15"/>
  <c r="G56" i="15"/>
  <c r="I168" i="29" s="1"/>
  <c r="G58" i="15"/>
  <c r="I170" i="29" s="1"/>
  <c r="G49" i="15"/>
  <c r="I163" i="29" s="1"/>
  <c r="G68" i="15"/>
  <c r="G52" i="15"/>
  <c r="I165" i="29" s="1"/>
  <c r="G78" i="15"/>
  <c r="I131" i="53" s="1"/>
  <c r="F131" i="53" s="1"/>
  <c r="G70" i="15"/>
  <c r="G62" i="15"/>
  <c r="M142" i="29"/>
  <c r="M185" i="29" s="1"/>
  <c r="O142" i="29"/>
  <c r="O184" i="29" s="1"/>
  <c r="L142" i="29"/>
  <c r="L185" i="29" s="1"/>
  <c r="R142" i="29"/>
  <c r="R185" i="29" s="1"/>
  <c r="P142" i="29"/>
  <c r="P184" i="29" s="1"/>
  <c r="J79" i="29"/>
  <c r="J121" i="29" s="1"/>
  <c r="J142" i="29"/>
  <c r="J185" i="29" s="1"/>
  <c r="K79" i="29"/>
  <c r="K122" i="29" s="1"/>
  <c r="K142" i="29"/>
  <c r="K184" i="29" s="1"/>
  <c r="N142" i="29"/>
  <c r="N185" i="29" s="1"/>
  <c r="S142" i="29"/>
  <c r="S184" i="29" s="1"/>
  <c r="Q142" i="29"/>
  <c r="Q184" i="29" s="1"/>
  <c r="C88" i="29"/>
  <c r="C89" i="29" s="1"/>
  <c r="C90" i="29" s="1"/>
  <c r="C91" i="29" s="1"/>
  <c r="C92" i="29" s="1"/>
  <c r="C93" i="29" s="1"/>
  <c r="C94" i="29" s="1"/>
  <c r="C95" i="29" s="1"/>
  <c r="C96" i="29" s="1"/>
  <c r="C97" i="29" s="1"/>
  <c r="C98" i="29" s="1"/>
  <c r="C99" i="29" s="1"/>
  <c r="C86" i="30"/>
  <c r="C87" i="30" s="1"/>
  <c r="C88" i="30" s="1"/>
  <c r="C89" i="30" s="1"/>
  <c r="C90" i="30" s="1"/>
  <c r="C91" i="30" s="1"/>
  <c r="C92" i="30" s="1"/>
  <c r="C93" i="30" s="1"/>
  <c r="C94" i="30" s="1"/>
  <c r="C95" i="30" s="1"/>
  <c r="C96" i="30" s="1"/>
  <c r="C97" i="30" s="1"/>
  <c r="C98" i="30" s="1"/>
  <c r="C99" i="30" s="1"/>
  <c r="C100" i="30" s="1"/>
  <c r="C29" i="30"/>
  <c r="C30" i="30" s="1"/>
  <c r="C31" i="30" s="1"/>
  <c r="C32" i="30" s="1"/>
  <c r="C27" i="29"/>
  <c r="C28" i="29" s="1"/>
  <c r="C29" i="29" s="1"/>
  <c r="C30" i="29" s="1"/>
  <c r="C31" i="29" s="1"/>
  <c r="C32" i="29" s="1"/>
  <c r="C33" i="29" s="1"/>
  <c r="C34" i="29" s="1"/>
  <c r="C35" i="29" s="1"/>
  <c r="C36" i="29" s="1"/>
  <c r="C37" i="29" s="1"/>
  <c r="C38" i="29" s="1"/>
  <c r="C39" i="29" s="1"/>
  <c r="C148" i="29"/>
  <c r="C149" i="29" s="1"/>
  <c r="C150" i="29" s="1"/>
  <c r="C151" i="29" s="1"/>
  <c r="C152" i="29" s="1"/>
  <c r="C153" i="29" s="1"/>
  <c r="C154" i="29" s="1"/>
  <c r="C155" i="29" s="1"/>
  <c r="C156" i="29" s="1"/>
  <c r="C157" i="29" s="1"/>
  <c r="C158" i="29" s="1"/>
  <c r="C159" i="29" s="1"/>
  <c r="C160" i="29" s="1"/>
  <c r="C161" i="29" s="1"/>
  <c r="C162" i="29" s="1"/>
  <c r="U17" i="10"/>
  <c r="G141" i="29" s="1"/>
  <c r="T17" i="10"/>
  <c r="M18" i="2"/>
  <c r="M41" i="2"/>
  <c r="M37" i="2"/>
  <c r="G16" i="15"/>
  <c r="I126" i="53" s="1"/>
  <c r="F126" i="53" s="1"/>
  <c r="G44" i="15"/>
  <c r="I129" i="53" s="1"/>
  <c r="F129" i="53" s="1"/>
  <c r="G11" i="15"/>
  <c r="I125" i="53" s="1"/>
  <c r="F125" i="53" s="1"/>
  <c r="G7" i="15"/>
  <c r="I123" i="53" s="1"/>
  <c r="G45" i="15"/>
  <c r="I125" i="17" s="1"/>
  <c r="G22" i="15"/>
  <c r="I127" i="53" s="1"/>
  <c r="F127" i="53" s="1"/>
  <c r="G12" i="15"/>
  <c r="I123" i="17" s="1"/>
  <c r="G24" i="15"/>
  <c r="I128" i="53" s="1"/>
  <c r="F128" i="53" s="1"/>
  <c r="G8" i="15"/>
  <c r="I124" i="53" s="1"/>
  <c r="F124" i="53" s="1"/>
  <c r="G19" i="15"/>
  <c r="I124" i="17" s="1"/>
  <c r="G35" i="15"/>
  <c r="I157" i="29" s="1"/>
  <c r="F157" i="29" s="1"/>
  <c r="G20" i="15"/>
  <c r="G21" i="15"/>
  <c r="I145" i="29" s="1"/>
  <c r="G33" i="15"/>
  <c r="I155" i="29" s="1"/>
  <c r="G46" i="15"/>
  <c r="I162" i="29" s="1"/>
  <c r="G9" i="15"/>
  <c r="I139" i="29" s="1"/>
  <c r="G26" i="15"/>
  <c r="I148" i="29" s="1"/>
  <c r="G27" i="15"/>
  <c r="I149" i="29" s="1"/>
  <c r="G38" i="15"/>
  <c r="I159" i="29" s="1"/>
  <c r="G25" i="15"/>
  <c r="I147" i="29" s="1"/>
  <c r="G30" i="15"/>
  <c r="G31" i="15"/>
  <c r="I152" i="29" s="1"/>
  <c r="G43" i="15"/>
  <c r="I161" i="29" s="1"/>
  <c r="G39" i="15"/>
  <c r="I160" i="29" s="1"/>
  <c r="G29" i="15"/>
  <c r="I151" i="29" s="1"/>
  <c r="G36" i="15"/>
  <c r="G37" i="15"/>
  <c r="I158" i="29" s="1"/>
  <c r="G5" i="15"/>
  <c r="I137" i="29" s="1"/>
  <c r="G40" i="15"/>
  <c r="G42" i="15"/>
  <c r="G41" i="15"/>
  <c r="G28" i="15"/>
  <c r="I150" i="29" s="1"/>
  <c r="G18" i="15"/>
  <c r="G32" i="15"/>
  <c r="I153" i="29" s="1"/>
  <c r="G17" i="15"/>
  <c r="I144" i="29" s="1"/>
  <c r="F144" i="29" s="1"/>
  <c r="G13" i="15"/>
  <c r="I141" i="29" s="1"/>
  <c r="G6" i="15"/>
  <c r="I138" i="29" s="1"/>
  <c r="G10" i="15"/>
  <c r="I140" i="29" s="1"/>
  <c r="G23" i="15"/>
  <c r="I146" i="29" s="1"/>
  <c r="G34" i="15"/>
  <c r="I156" i="29" s="1"/>
  <c r="G14" i="15"/>
  <c r="I142" i="29" s="1"/>
  <c r="G15" i="15"/>
  <c r="I143" i="29" s="1"/>
  <c r="L45" i="22"/>
  <c r="L32" i="22"/>
  <c r="L40" i="22"/>
  <c r="L37" i="22"/>
  <c r="L5" i="22"/>
  <c r="L43" i="22"/>
  <c r="L35" i="22"/>
  <c r="L26" i="22"/>
  <c r="L18" i="22"/>
  <c r="L10" i="22"/>
  <c r="L13" i="22"/>
  <c r="L39" i="22"/>
  <c r="L6" i="22"/>
  <c r="L28" i="22"/>
  <c r="L16" i="22"/>
  <c r="L19" i="22"/>
  <c r="L20" i="22"/>
  <c r="L27" i="22"/>
  <c r="L36" i="22"/>
  <c r="L22" i="22"/>
  <c r="L9" i="22"/>
  <c r="L24" i="22"/>
  <c r="L44" i="22"/>
  <c r="L12" i="22"/>
  <c r="L42" i="22"/>
  <c r="L21" i="22"/>
  <c r="L25" i="22"/>
  <c r="L47" i="22"/>
  <c r="L14" i="22"/>
  <c r="L11" i="22"/>
  <c r="L34" i="22"/>
  <c r="L8" i="22"/>
  <c r="L7" i="22"/>
  <c r="L38" i="22"/>
  <c r="L17" i="22"/>
  <c r="L15" i="22"/>
  <c r="L46" i="22"/>
  <c r="L30" i="22"/>
  <c r="L23" i="22"/>
  <c r="L41" i="22"/>
  <c r="L31" i="22"/>
  <c r="L29" i="22"/>
  <c r="J15" i="22"/>
  <c r="J16" i="22"/>
  <c r="J37" i="22"/>
  <c r="J5" i="22"/>
  <c r="J39" i="22"/>
  <c r="J29" i="22"/>
  <c r="J26" i="22"/>
  <c r="J11" i="22"/>
  <c r="J44" i="22"/>
  <c r="J32" i="22"/>
  <c r="J35" i="22"/>
  <c r="J30" i="22"/>
  <c r="J14" i="22"/>
  <c r="J31" i="22"/>
  <c r="J18" i="22"/>
  <c r="J12" i="22"/>
  <c r="J46" i="22"/>
  <c r="J13" i="22"/>
  <c r="J22" i="22"/>
  <c r="J47" i="22"/>
  <c r="J7" i="22"/>
  <c r="J40" i="22"/>
  <c r="J24" i="22"/>
  <c r="J42" i="22"/>
  <c r="J34" i="22"/>
  <c r="J25" i="22"/>
  <c r="J17" i="22"/>
  <c r="J9" i="22"/>
  <c r="J45" i="22"/>
  <c r="J27" i="22"/>
  <c r="J41" i="22"/>
  <c r="J20" i="22"/>
  <c r="J43" i="22"/>
  <c r="J21" i="22"/>
  <c r="J10" i="22"/>
  <c r="J36" i="22"/>
  <c r="J6" i="22"/>
  <c r="J23" i="22"/>
  <c r="J28" i="22"/>
  <c r="J38" i="22"/>
  <c r="J19" i="22"/>
  <c r="J8" i="22"/>
  <c r="Q5" i="22"/>
  <c r="Q23" i="22"/>
  <c r="Q47" i="22"/>
  <c r="Q39" i="22"/>
  <c r="Q37" i="22"/>
  <c r="Q8" i="22"/>
  <c r="Q40" i="22"/>
  <c r="Q41" i="22"/>
  <c r="Q27" i="22"/>
  <c r="Q35" i="22"/>
  <c r="Q30" i="22"/>
  <c r="Q29" i="22"/>
  <c r="Q18" i="22"/>
  <c r="Q44" i="22"/>
  <c r="Q11" i="22"/>
  <c r="Q28" i="22"/>
  <c r="Q32" i="22"/>
  <c r="Q38" i="22"/>
  <c r="Q36" i="22"/>
  <c r="Q45" i="22"/>
  <c r="Q31" i="22"/>
  <c r="Q22" i="22"/>
  <c r="Q26" i="22"/>
  <c r="Q20" i="22"/>
  <c r="Q7" i="22"/>
  <c r="Q14" i="22"/>
  <c r="Q15" i="22"/>
  <c r="Q10" i="22"/>
  <c r="Q24" i="22"/>
  <c r="Q46" i="22"/>
  <c r="Q13" i="22"/>
  <c r="Q42" i="22"/>
  <c r="Q34" i="22"/>
  <c r="Q25" i="22"/>
  <c r="Q17" i="22"/>
  <c r="Q9" i="22"/>
  <c r="Q19" i="22"/>
  <c r="Q12" i="22"/>
  <c r="Q43" i="22"/>
  <c r="Q6" i="22"/>
  <c r="Q21" i="22"/>
  <c r="Q16" i="22"/>
  <c r="O34" i="22"/>
  <c r="O23" i="22"/>
  <c r="O47" i="22"/>
  <c r="O39" i="22"/>
  <c r="O30" i="22"/>
  <c r="O22" i="22"/>
  <c r="O14" i="22"/>
  <c r="O37" i="22"/>
  <c r="O19" i="22"/>
  <c r="O46" i="22"/>
  <c r="O43" i="22"/>
  <c r="O18" i="22"/>
  <c r="O42" i="22"/>
  <c r="O28" i="22"/>
  <c r="O36" i="22"/>
  <c r="O15" i="22"/>
  <c r="O6" i="22"/>
  <c r="O24" i="22"/>
  <c r="O40" i="22"/>
  <c r="O38" i="22"/>
  <c r="O26" i="22"/>
  <c r="O11" i="22"/>
  <c r="O20" i="22"/>
  <c r="O8" i="22"/>
  <c r="O9" i="22"/>
  <c r="O7" i="22"/>
  <c r="O45" i="22"/>
  <c r="O12" i="22"/>
  <c r="O29" i="22"/>
  <c r="O35" i="22"/>
  <c r="O5" i="22"/>
  <c r="O16" i="22"/>
  <c r="O25" i="22"/>
  <c r="O32" i="22"/>
  <c r="O27" i="22"/>
  <c r="O31" i="22"/>
  <c r="O21" i="22"/>
  <c r="O17" i="22"/>
  <c r="O10" i="22"/>
  <c r="O13" i="22"/>
  <c r="O41" i="22"/>
  <c r="O44" i="22"/>
  <c r="G47" i="22"/>
  <c r="I38" i="30" s="1"/>
  <c r="G37" i="22"/>
  <c r="G23" i="22"/>
  <c r="I22" i="30" s="1"/>
  <c r="G30" i="22"/>
  <c r="G39" i="22"/>
  <c r="I35" i="30" s="1"/>
  <c r="G40" i="22"/>
  <c r="I36" i="30" s="1"/>
  <c r="G16" i="22"/>
  <c r="G18" i="22"/>
  <c r="G36" i="22"/>
  <c r="I33" i="30" s="1"/>
  <c r="G9" i="22"/>
  <c r="I15" i="30" s="1"/>
  <c r="G12" i="22"/>
  <c r="G8" i="22"/>
  <c r="G29" i="22"/>
  <c r="I27" i="30" s="1"/>
  <c r="G32" i="22"/>
  <c r="I29" i="30" s="1"/>
  <c r="G19" i="22"/>
  <c r="G26" i="22"/>
  <c r="I24" i="30" s="1"/>
  <c r="G20" i="22"/>
  <c r="G43" i="22"/>
  <c r="G17" i="22"/>
  <c r="I20" i="30" s="1"/>
  <c r="G45" i="22"/>
  <c r="G31" i="22"/>
  <c r="I28" i="30" s="1"/>
  <c r="G21" i="22"/>
  <c r="I21" i="30" s="1"/>
  <c r="G42" i="22"/>
  <c r="G28" i="22"/>
  <c r="I26" i="30" s="1"/>
  <c r="G22" i="22"/>
  <c r="G15" i="22"/>
  <c r="I19" i="30" s="1"/>
  <c r="G35" i="22"/>
  <c r="I32" i="30" s="1"/>
  <c r="G25" i="22"/>
  <c r="I23" i="30" s="1"/>
  <c r="G7" i="22"/>
  <c r="G38" i="22"/>
  <c r="I34" i="30" s="1"/>
  <c r="G6" i="22"/>
  <c r="I14" i="30" s="1"/>
  <c r="G13" i="22"/>
  <c r="I17" i="30" s="1"/>
  <c r="G34" i="22"/>
  <c r="I31" i="30" s="1"/>
  <c r="G24" i="22"/>
  <c r="G14" i="22"/>
  <c r="I18" i="30" s="1"/>
  <c r="G11" i="22"/>
  <c r="G44" i="22"/>
  <c r="I37" i="30" s="1"/>
  <c r="G10" i="22"/>
  <c r="I16" i="30" s="1"/>
  <c r="G5" i="22"/>
  <c r="I13" i="30" s="1"/>
  <c r="G46" i="22"/>
  <c r="G41" i="22"/>
  <c r="G27" i="22"/>
  <c r="I25" i="30" s="1"/>
  <c r="H31" i="22"/>
  <c r="H15" i="22"/>
  <c r="H24" i="22"/>
  <c r="H22" i="22"/>
  <c r="H6" i="22"/>
  <c r="H7" i="22"/>
  <c r="H42" i="22"/>
  <c r="H40" i="22"/>
  <c r="H45" i="22"/>
  <c r="H37" i="22"/>
  <c r="H28" i="22"/>
  <c r="H20" i="22"/>
  <c r="H12" i="22"/>
  <c r="H27" i="22"/>
  <c r="H41" i="22"/>
  <c r="H8" i="22"/>
  <c r="H17" i="22"/>
  <c r="H30" i="22"/>
  <c r="H5" i="22"/>
  <c r="H21" i="22"/>
  <c r="H38" i="22"/>
  <c r="H36" i="22"/>
  <c r="H32" i="22"/>
  <c r="H46" i="22"/>
  <c r="H39" i="22"/>
  <c r="H11" i="22"/>
  <c r="H29" i="22"/>
  <c r="H9" i="22"/>
  <c r="H43" i="22"/>
  <c r="H35" i="22"/>
  <c r="H26" i="22"/>
  <c r="H18" i="22"/>
  <c r="H10" i="22"/>
  <c r="H44" i="22"/>
  <c r="H23" i="22"/>
  <c r="H16" i="22"/>
  <c r="H19" i="22"/>
  <c r="H25" i="22"/>
  <c r="H34" i="22"/>
  <c r="H47" i="22"/>
  <c r="H14" i="22"/>
  <c r="M8" i="22"/>
  <c r="M35" i="22"/>
  <c r="M10" i="22"/>
  <c r="M39" i="22"/>
  <c r="M45" i="22"/>
  <c r="M19" i="22"/>
  <c r="M17" i="22"/>
  <c r="M23" i="22"/>
  <c r="M15" i="22"/>
  <c r="M24" i="22"/>
  <c r="M30" i="22"/>
  <c r="M29" i="22"/>
  <c r="M27" i="22"/>
  <c r="M22" i="22"/>
  <c r="M6" i="22"/>
  <c r="M26" i="22"/>
  <c r="M7" i="22"/>
  <c r="M38" i="22"/>
  <c r="M5" i="22"/>
  <c r="M41" i="22"/>
  <c r="M47" i="22"/>
  <c r="M40" i="22"/>
  <c r="M18" i="22"/>
  <c r="M11" i="22"/>
  <c r="M14" i="22"/>
  <c r="M12" i="22"/>
  <c r="M36" i="22"/>
  <c r="M25" i="22"/>
  <c r="M34" i="22"/>
  <c r="M37" i="22"/>
  <c r="M16" i="22"/>
  <c r="M21" i="22"/>
  <c r="M32" i="22"/>
  <c r="M42" i="22"/>
  <c r="M20" i="22"/>
  <c r="M44" i="22"/>
  <c r="M46" i="22"/>
  <c r="M13" i="22"/>
  <c r="M28" i="22"/>
  <c r="M43" i="22"/>
  <c r="M9" i="22"/>
  <c r="M31" i="22"/>
  <c r="P47" i="22"/>
  <c r="P39" i="22"/>
  <c r="P30" i="22"/>
  <c r="P22" i="22"/>
  <c r="P14" i="22"/>
  <c r="P27" i="22"/>
  <c r="P21" i="22"/>
  <c r="P43" i="22"/>
  <c r="P10" i="22"/>
  <c r="P9" i="22"/>
  <c r="P24" i="22"/>
  <c r="P23" i="22"/>
  <c r="P29" i="22"/>
  <c r="P19" i="22"/>
  <c r="P18" i="22"/>
  <c r="P34" i="22"/>
  <c r="P32" i="22"/>
  <c r="P36" i="22"/>
  <c r="P6" i="22"/>
  <c r="P5" i="22"/>
  <c r="P7" i="22"/>
  <c r="P45" i="22"/>
  <c r="P37" i="22"/>
  <c r="P28" i="22"/>
  <c r="P20" i="22"/>
  <c r="P12" i="22"/>
  <c r="P31" i="22"/>
  <c r="P15" i="22"/>
  <c r="P26" i="22"/>
  <c r="P16" i="22"/>
  <c r="P25" i="22"/>
  <c r="P17" i="22"/>
  <c r="P46" i="22"/>
  <c r="P35" i="22"/>
  <c r="P11" i="22"/>
  <c r="P40" i="22"/>
  <c r="P38" i="22"/>
  <c r="P42" i="22"/>
  <c r="P41" i="22"/>
  <c r="P8" i="22"/>
  <c r="P44" i="22"/>
  <c r="P13" i="22"/>
  <c r="N37" i="22"/>
  <c r="N22" i="22"/>
  <c r="N19" i="22"/>
  <c r="N8" i="22"/>
  <c r="N25" i="22"/>
  <c r="N32" i="22"/>
  <c r="N18" i="22"/>
  <c r="N40" i="22"/>
  <c r="N31" i="22"/>
  <c r="N23" i="22"/>
  <c r="N15" i="22"/>
  <c r="N7" i="22"/>
  <c r="N16" i="22"/>
  <c r="N27" i="22"/>
  <c r="N45" i="22"/>
  <c r="N30" i="22"/>
  <c r="N41" i="22"/>
  <c r="N26" i="22"/>
  <c r="N42" i="22"/>
  <c r="N28" i="22"/>
  <c r="N14" i="22"/>
  <c r="N47" i="22"/>
  <c r="N44" i="22"/>
  <c r="N11" i="22"/>
  <c r="N12" i="22"/>
  <c r="N39" i="22"/>
  <c r="N17" i="22"/>
  <c r="N24" i="22"/>
  <c r="N10" i="22"/>
  <c r="N43" i="22"/>
  <c r="N46" i="22"/>
  <c r="N38" i="22"/>
  <c r="N29" i="22"/>
  <c r="N21" i="22"/>
  <c r="N13" i="22"/>
  <c r="N5" i="22"/>
  <c r="N20" i="22"/>
  <c r="N6" i="22"/>
  <c r="N35" i="22"/>
  <c r="N36" i="22"/>
  <c r="N34" i="22"/>
  <c r="N9" i="22"/>
  <c r="K17" i="22"/>
  <c r="K30" i="22"/>
  <c r="K25" i="22"/>
  <c r="K19" i="22"/>
  <c r="K8" i="22"/>
  <c r="K14" i="22"/>
  <c r="K28" i="22"/>
  <c r="K13" i="22"/>
  <c r="K15" i="22"/>
  <c r="K36" i="22"/>
  <c r="K38" i="22"/>
  <c r="K41" i="22"/>
  <c r="K32" i="22"/>
  <c r="K24" i="22"/>
  <c r="K16" i="22"/>
  <c r="K18" i="22"/>
  <c r="K21" i="22"/>
  <c r="K11" i="22"/>
  <c r="K29" i="22"/>
  <c r="K37" i="22"/>
  <c r="K35" i="22"/>
  <c r="K22" i="22"/>
  <c r="K10" i="22"/>
  <c r="K34" i="22"/>
  <c r="K39" i="22"/>
  <c r="K6" i="22"/>
  <c r="K42" i="22"/>
  <c r="K40" i="22"/>
  <c r="K46" i="22"/>
  <c r="K5" i="22"/>
  <c r="K23" i="22"/>
  <c r="K20" i="22"/>
  <c r="K44" i="22"/>
  <c r="K43" i="22"/>
  <c r="K27" i="22"/>
  <c r="K26" i="22"/>
  <c r="K31" i="22"/>
  <c r="K47" i="22"/>
  <c r="K45" i="22"/>
  <c r="K12" i="22"/>
  <c r="K9" i="22"/>
  <c r="K7" i="22"/>
  <c r="I44" i="22"/>
  <c r="I11" i="22"/>
  <c r="I28" i="22"/>
  <c r="I38" i="22"/>
  <c r="I37" i="22"/>
  <c r="I6" i="22"/>
  <c r="I31" i="22"/>
  <c r="I26" i="22"/>
  <c r="I20" i="22"/>
  <c r="I35" i="22"/>
  <c r="I32" i="22"/>
  <c r="I47" i="22"/>
  <c r="I46" i="22"/>
  <c r="I21" i="22"/>
  <c r="I16" i="22"/>
  <c r="I5" i="22"/>
  <c r="I8" i="22"/>
  <c r="I42" i="22"/>
  <c r="I34" i="22"/>
  <c r="I25" i="22"/>
  <c r="I17" i="22"/>
  <c r="I9" i="22"/>
  <c r="I19" i="22"/>
  <c r="I12" i="22"/>
  <c r="I30" i="22"/>
  <c r="I29" i="22"/>
  <c r="I14" i="22"/>
  <c r="I18" i="22"/>
  <c r="I22" i="22"/>
  <c r="I39" i="22"/>
  <c r="I10" i="22"/>
  <c r="I40" i="22"/>
  <c r="I7" i="22"/>
  <c r="I43" i="22"/>
  <c r="I41" i="22"/>
  <c r="I27" i="22"/>
  <c r="I15" i="22"/>
  <c r="I24" i="22"/>
  <c r="I13" i="22"/>
  <c r="I36" i="22"/>
  <c r="I45" i="22"/>
  <c r="I23" i="22"/>
  <c r="E5" i="3"/>
  <c r="D5" i="3"/>
  <c r="Y62" i="10"/>
  <c r="G51" i="46" s="1"/>
  <c r="Y57" i="10"/>
  <c r="G48" i="46" s="1"/>
  <c r="Y56" i="10"/>
  <c r="G47" i="46" s="1"/>
  <c r="Y45" i="10"/>
  <c r="G39" i="46" s="1"/>
  <c r="Y37" i="10"/>
  <c r="G33" i="46" s="1"/>
  <c r="Y36" i="10"/>
  <c r="G32" i="46" s="1"/>
  <c r="Y35" i="10"/>
  <c r="G30" i="46" s="1"/>
  <c r="Y29" i="10"/>
  <c r="G26" i="46" s="1"/>
  <c r="Y27" i="10"/>
  <c r="G24" i="46" s="1"/>
  <c r="Y25" i="10"/>
  <c r="G23" i="46" s="1"/>
  <c r="T74" i="10"/>
  <c r="U74" i="10"/>
  <c r="Q20" i="64" l="1"/>
  <c r="K15" i="64"/>
  <c r="Q14" i="64"/>
  <c r="N17" i="64"/>
  <c r="Q15" i="64"/>
  <c r="L19" i="64"/>
  <c r="N16" i="64"/>
  <c r="K19" i="64"/>
  <c r="O13" i="64"/>
  <c r="M20" i="64"/>
  <c r="L18" i="64"/>
  <c r="N13" i="64"/>
  <c r="Q21" i="64"/>
  <c r="O21" i="64"/>
  <c r="C20" i="64"/>
  <c r="C21" i="64" s="1"/>
  <c r="C22" i="64" s="1"/>
  <c r="C23" i="64" s="1"/>
  <c r="C59" i="64" s="1"/>
  <c r="C60" i="64" s="1"/>
  <c r="P17" i="64"/>
  <c r="L15" i="64"/>
  <c r="M13" i="64"/>
  <c r="S14" i="64"/>
  <c r="R13" i="64"/>
  <c r="S17" i="64"/>
  <c r="M15" i="64"/>
  <c r="P20" i="64"/>
  <c r="O15" i="64"/>
  <c r="J14" i="64"/>
  <c r="M14" i="64"/>
  <c r="N15" i="64"/>
  <c r="Q19" i="64"/>
  <c r="N19" i="64"/>
  <c r="N20" i="64"/>
  <c r="O17" i="64"/>
  <c r="O16" i="64"/>
  <c r="S20" i="64"/>
  <c r="S21" i="64"/>
  <c r="K20" i="64"/>
  <c r="K21" i="64"/>
  <c r="P18" i="64"/>
  <c r="J19" i="64"/>
  <c r="P13" i="64"/>
  <c r="J21" i="64"/>
  <c r="Q16" i="64"/>
  <c r="S18" i="64"/>
  <c r="K18" i="64"/>
  <c r="J17" i="64"/>
  <c r="R18" i="64"/>
  <c r="M16" i="64"/>
  <c r="J13" i="64"/>
  <c r="L17" i="64"/>
  <c r="K17" i="64"/>
  <c r="M18" i="64"/>
  <c r="J20" i="64"/>
  <c r="P15" i="64"/>
  <c r="R15" i="64"/>
  <c r="L16" i="64"/>
  <c r="N18" i="64"/>
  <c r="O20" i="64"/>
  <c r="R21" i="64"/>
  <c r="P19" i="64"/>
  <c r="J18" i="64"/>
  <c r="K13" i="64"/>
  <c r="R14" i="64"/>
  <c r="L14" i="64"/>
  <c r="Q18" i="64"/>
  <c r="L21" i="64"/>
  <c r="O19" i="64"/>
  <c r="R20" i="64"/>
  <c r="M21" i="64"/>
  <c r="M19" i="64"/>
  <c r="P16" i="64"/>
  <c r="C170" i="64"/>
  <c r="N14" i="64"/>
  <c r="S19" i="64"/>
  <c r="K14" i="64"/>
  <c r="P14" i="64"/>
  <c r="J15" i="64"/>
  <c r="Q13" i="64"/>
  <c r="S13" i="64"/>
  <c r="S15" i="64"/>
  <c r="L13" i="64"/>
  <c r="N21" i="64"/>
  <c r="O18" i="64"/>
  <c r="O14" i="64"/>
  <c r="Q17" i="64"/>
  <c r="R19" i="64"/>
  <c r="R17" i="64"/>
  <c r="R16" i="64"/>
  <c r="S16" i="64"/>
  <c r="K16" i="64"/>
  <c r="M17" i="64"/>
  <c r="P21" i="64"/>
  <c r="J16" i="64"/>
  <c r="I20" i="26"/>
  <c r="I20" i="64"/>
  <c r="I22" i="26"/>
  <c r="I22" i="64"/>
  <c r="F22" i="64" s="1"/>
  <c r="I16" i="26"/>
  <c r="I16" i="64"/>
  <c r="I17" i="26"/>
  <c r="I17" i="64"/>
  <c r="I21" i="26"/>
  <c r="I21" i="64"/>
  <c r="I15" i="26"/>
  <c r="I15" i="64"/>
  <c r="I23" i="26"/>
  <c r="I23" i="64"/>
  <c r="F23" i="64" s="1"/>
  <c r="I13" i="26"/>
  <c r="I13" i="64"/>
  <c r="I19" i="26"/>
  <c r="I19" i="64"/>
  <c r="I14" i="26"/>
  <c r="I14" i="64"/>
  <c r="I18" i="26"/>
  <c r="I18" i="64"/>
  <c r="C60" i="63"/>
  <c r="M19" i="37"/>
  <c r="M19" i="63"/>
  <c r="N19" i="37"/>
  <c r="N19" i="63"/>
  <c r="Q14" i="37"/>
  <c r="Q14" i="63"/>
  <c r="Q18" i="37"/>
  <c r="Q18" i="63"/>
  <c r="J23" i="37"/>
  <c r="J23" i="63"/>
  <c r="O13" i="37"/>
  <c r="O13" i="63"/>
  <c r="O22" i="37"/>
  <c r="O22" i="63"/>
  <c r="P16" i="37"/>
  <c r="P16" i="63"/>
  <c r="M22" i="37"/>
  <c r="M22" i="63"/>
  <c r="I15" i="37"/>
  <c r="I15" i="63"/>
  <c r="I14" i="37"/>
  <c r="I14" i="63"/>
  <c r="N17" i="37"/>
  <c r="N17" i="63"/>
  <c r="N22" i="37"/>
  <c r="N22" i="63"/>
  <c r="Q13" i="37"/>
  <c r="Q13" i="63"/>
  <c r="Q21" i="37"/>
  <c r="Q21" i="63"/>
  <c r="J21" i="37"/>
  <c r="J21" i="63"/>
  <c r="J17" i="37"/>
  <c r="J17" i="63"/>
  <c r="S22" i="37"/>
  <c r="S22" i="63"/>
  <c r="S18" i="37"/>
  <c r="S18" i="63"/>
  <c r="O19" i="37"/>
  <c r="O19" i="63"/>
  <c r="L16" i="37"/>
  <c r="L16" i="63"/>
  <c r="L13" i="37"/>
  <c r="L13" i="63"/>
  <c r="P20" i="37"/>
  <c r="P20" i="63"/>
  <c r="P21" i="37"/>
  <c r="P21" i="63"/>
  <c r="P23" i="37"/>
  <c r="P23" i="63"/>
  <c r="I20" i="37"/>
  <c r="I20" i="63"/>
  <c r="I18" i="37"/>
  <c r="I18" i="63"/>
  <c r="N18" i="37"/>
  <c r="N18" i="63"/>
  <c r="Q22" i="37"/>
  <c r="Q22" i="63"/>
  <c r="J13" i="37"/>
  <c r="J13" i="63"/>
  <c r="J16" i="37"/>
  <c r="J16" i="63"/>
  <c r="R23" i="37"/>
  <c r="R23" i="63"/>
  <c r="R20" i="37"/>
  <c r="R20" i="63"/>
  <c r="K23" i="37"/>
  <c r="K23" i="63"/>
  <c r="S23" i="37"/>
  <c r="S23" i="63"/>
  <c r="M16" i="37"/>
  <c r="M16" i="63"/>
  <c r="M23" i="37"/>
  <c r="M23" i="63"/>
  <c r="J14" i="37"/>
  <c r="J14" i="63"/>
  <c r="R14" i="37"/>
  <c r="R14" i="63"/>
  <c r="S21" i="37"/>
  <c r="S21" i="63"/>
  <c r="L23" i="37"/>
  <c r="L23" i="63"/>
  <c r="P22" i="37"/>
  <c r="P22" i="63"/>
  <c r="M14" i="37"/>
  <c r="M14" i="63"/>
  <c r="M20" i="37"/>
  <c r="M20" i="63"/>
  <c r="K14" i="37"/>
  <c r="K14" i="63"/>
  <c r="O14" i="37"/>
  <c r="O14" i="63"/>
  <c r="O16" i="37"/>
  <c r="O16" i="63"/>
  <c r="I19" i="37"/>
  <c r="I19" i="63"/>
  <c r="N14" i="37"/>
  <c r="N14" i="63"/>
  <c r="N23" i="37"/>
  <c r="N23" i="63"/>
  <c r="R13" i="37"/>
  <c r="R13" i="63"/>
  <c r="S20" i="37"/>
  <c r="S20" i="63"/>
  <c r="L15" i="37"/>
  <c r="L15" i="63"/>
  <c r="L21" i="37"/>
  <c r="L21" i="63"/>
  <c r="P19" i="37"/>
  <c r="P19" i="63"/>
  <c r="I21" i="37"/>
  <c r="I21" i="63"/>
  <c r="Q23" i="37"/>
  <c r="Q23" i="63"/>
  <c r="K19" i="37"/>
  <c r="K19" i="63"/>
  <c r="K17" i="37"/>
  <c r="K17" i="63"/>
  <c r="Q17" i="37"/>
  <c r="Q17" i="63"/>
  <c r="J20" i="37"/>
  <c r="J20" i="63"/>
  <c r="P17" i="37"/>
  <c r="P17" i="63"/>
  <c r="M21" i="37"/>
  <c r="M21" i="63"/>
  <c r="I23" i="37"/>
  <c r="I23" i="63"/>
  <c r="R21" i="37"/>
  <c r="R21" i="63"/>
  <c r="K15" i="37"/>
  <c r="K15" i="63"/>
  <c r="K22" i="37"/>
  <c r="K22" i="63"/>
  <c r="S16" i="37"/>
  <c r="S16" i="63"/>
  <c r="O15" i="37"/>
  <c r="O15" i="63"/>
  <c r="O17" i="37"/>
  <c r="O17" i="63"/>
  <c r="L14" i="37"/>
  <c r="L14" i="63"/>
  <c r="M18" i="37"/>
  <c r="M18" i="63"/>
  <c r="I16" i="37"/>
  <c r="I16" i="63"/>
  <c r="N13" i="37"/>
  <c r="N13" i="63"/>
  <c r="Q20" i="37"/>
  <c r="Q20" i="63"/>
  <c r="R22" i="37"/>
  <c r="R22" i="63"/>
  <c r="R16" i="37"/>
  <c r="R16" i="63"/>
  <c r="S17" i="37"/>
  <c r="S17" i="63"/>
  <c r="S15" i="37"/>
  <c r="S15" i="63"/>
  <c r="L22" i="37"/>
  <c r="L22" i="63"/>
  <c r="L19" i="37"/>
  <c r="L19" i="63"/>
  <c r="L17" i="37"/>
  <c r="L17" i="63"/>
  <c r="M17" i="37"/>
  <c r="M17" i="63"/>
  <c r="N21" i="37"/>
  <c r="N21" i="63"/>
  <c r="R17" i="37"/>
  <c r="R17" i="63"/>
  <c r="R19" i="37"/>
  <c r="R19" i="63"/>
  <c r="K16" i="37"/>
  <c r="K16" i="63"/>
  <c r="K18" i="37"/>
  <c r="K18" i="63"/>
  <c r="O18" i="37"/>
  <c r="O18" i="63"/>
  <c r="P13" i="37"/>
  <c r="P13" i="63"/>
  <c r="P15" i="37"/>
  <c r="P15" i="63"/>
  <c r="J18" i="37"/>
  <c r="J18" i="63"/>
  <c r="J22" i="37"/>
  <c r="J22" i="63"/>
  <c r="S19" i="37"/>
  <c r="S19" i="63"/>
  <c r="M13" i="37"/>
  <c r="M13" i="63"/>
  <c r="I22" i="37"/>
  <c r="I22" i="63"/>
  <c r="N16" i="37"/>
  <c r="N16" i="63"/>
  <c r="Q16" i="37"/>
  <c r="Q16" i="63"/>
  <c r="Q19" i="37"/>
  <c r="Q19" i="63"/>
  <c r="J15" i="37"/>
  <c r="J15" i="63"/>
  <c r="S13" i="37"/>
  <c r="S13" i="63"/>
  <c r="L18" i="37"/>
  <c r="L18" i="63"/>
  <c r="P14" i="37"/>
  <c r="P14" i="63"/>
  <c r="P18" i="37"/>
  <c r="P18" i="63"/>
  <c r="I17" i="37"/>
  <c r="I17" i="63"/>
  <c r="N20" i="37"/>
  <c r="N20" i="63"/>
  <c r="Q15" i="37"/>
  <c r="Q15" i="63"/>
  <c r="R15" i="37"/>
  <c r="R15" i="63"/>
  <c r="K20" i="37"/>
  <c r="K20" i="63"/>
  <c r="S14" i="37"/>
  <c r="S14" i="63"/>
  <c r="O21" i="37"/>
  <c r="O21" i="63"/>
  <c r="O23" i="37"/>
  <c r="O23" i="63"/>
  <c r="O20" i="37"/>
  <c r="O20" i="63"/>
  <c r="L20" i="37"/>
  <c r="L20" i="63"/>
  <c r="M15" i="37"/>
  <c r="M15" i="63"/>
  <c r="I13" i="37"/>
  <c r="I13" i="63"/>
  <c r="N15" i="37"/>
  <c r="N15" i="63"/>
  <c r="J19" i="37"/>
  <c r="J19" i="63"/>
  <c r="R18" i="37"/>
  <c r="R18" i="63"/>
  <c r="K21" i="37"/>
  <c r="K21" i="63"/>
  <c r="K13" i="37"/>
  <c r="K13" i="63"/>
  <c r="I169" i="53"/>
  <c r="F169" i="53" s="1"/>
  <c r="I170" i="53"/>
  <c r="F170" i="53" s="1"/>
  <c r="F123" i="53"/>
  <c r="C33" i="30"/>
  <c r="C34" i="30" s="1"/>
  <c r="C35" i="30" s="1"/>
  <c r="C36" i="30" s="1"/>
  <c r="C37" i="30" s="1"/>
  <c r="C38" i="30" s="1"/>
  <c r="K25" i="52"/>
  <c r="K33" i="52"/>
  <c r="K41" i="52"/>
  <c r="K49" i="52"/>
  <c r="I31" i="52"/>
  <c r="I39" i="52"/>
  <c r="I47" i="52"/>
  <c r="H29" i="52"/>
  <c r="H37" i="52"/>
  <c r="H45" i="52"/>
  <c r="H53" i="52"/>
  <c r="K44" i="52"/>
  <c r="K52" i="52"/>
  <c r="I42" i="52"/>
  <c r="H40" i="52"/>
  <c r="K45" i="52"/>
  <c r="I43" i="52"/>
  <c r="H41" i="52"/>
  <c r="K30" i="52"/>
  <c r="I28" i="52"/>
  <c r="H26" i="52"/>
  <c r="I37" i="52"/>
  <c r="H35" i="52"/>
  <c r="K26" i="52"/>
  <c r="K34" i="52"/>
  <c r="K42" i="52"/>
  <c r="K50" i="52"/>
  <c r="I32" i="52"/>
  <c r="I40" i="52"/>
  <c r="I48" i="52"/>
  <c r="H30" i="52"/>
  <c r="H38" i="52"/>
  <c r="H46" i="52"/>
  <c r="H54" i="52"/>
  <c r="K36" i="52"/>
  <c r="I26" i="52"/>
  <c r="I50" i="52"/>
  <c r="H48" i="52"/>
  <c r="K53" i="52"/>
  <c r="I35" i="52"/>
  <c r="H33" i="52"/>
  <c r="K38" i="52"/>
  <c r="I36" i="52"/>
  <c r="H34" i="52"/>
  <c r="K31" i="52"/>
  <c r="I29" i="52"/>
  <c r="H27" i="52"/>
  <c r="K27" i="52"/>
  <c r="K35" i="52"/>
  <c r="K43" i="52"/>
  <c r="K51" i="52"/>
  <c r="I25" i="52"/>
  <c r="I33" i="52"/>
  <c r="I41" i="52"/>
  <c r="I49" i="52"/>
  <c r="H31" i="52"/>
  <c r="H39" i="52"/>
  <c r="H47" i="52"/>
  <c r="K28" i="52"/>
  <c r="I34" i="52"/>
  <c r="H32" i="52"/>
  <c r="K29" i="52"/>
  <c r="I27" i="52"/>
  <c r="H25" i="52"/>
  <c r="K54" i="52"/>
  <c r="I52" i="52"/>
  <c r="H42" i="52"/>
  <c r="K47" i="52"/>
  <c r="I45" i="52"/>
  <c r="H43" i="52"/>
  <c r="K32" i="52"/>
  <c r="K40" i="52"/>
  <c r="K48" i="52"/>
  <c r="I30" i="52"/>
  <c r="I38" i="52"/>
  <c r="I46" i="52"/>
  <c r="I54" i="52"/>
  <c r="H28" i="52"/>
  <c r="H36" i="52"/>
  <c r="H44" i="52"/>
  <c r="H52" i="52"/>
  <c r="K37" i="52"/>
  <c r="I51" i="52"/>
  <c r="H49" i="52"/>
  <c r="K46" i="52"/>
  <c r="I44" i="52"/>
  <c r="H50" i="52"/>
  <c r="K39" i="52"/>
  <c r="I53" i="52"/>
  <c r="H51" i="52"/>
  <c r="K45" i="49"/>
  <c r="K54" i="49"/>
  <c r="K41" i="49"/>
  <c r="K43" i="49"/>
  <c r="K53" i="49"/>
  <c r="K21" i="52"/>
  <c r="K47" i="49"/>
  <c r="K55" i="49"/>
  <c r="K23" i="52"/>
  <c r="K20" i="52"/>
  <c r="K19" i="52"/>
  <c r="K24" i="52"/>
  <c r="K42" i="49"/>
  <c r="K51" i="49"/>
  <c r="K49" i="49"/>
  <c r="K50" i="49"/>
  <c r="K56" i="49"/>
  <c r="K52" i="49"/>
  <c r="K46" i="49"/>
  <c r="K22" i="52"/>
  <c r="K44" i="49"/>
  <c r="K48" i="49"/>
  <c r="AA54" i="51"/>
  <c r="AB54" i="51" s="1"/>
  <c r="AC54" i="51" s="1"/>
  <c r="AD54" i="51" s="1"/>
  <c r="Z47" i="51"/>
  <c r="AB47" i="51" s="1"/>
  <c r="AC47" i="51" s="1"/>
  <c r="Z39" i="51"/>
  <c r="AB39" i="51" s="1"/>
  <c r="AC39" i="51" s="1"/>
  <c r="Z31" i="51"/>
  <c r="AB31" i="51" s="1"/>
  <c r="AC31" i="51" s="1"/>
  <c r="Z23" i="51"/>
  <c r="AB23" i="51" s="1"/>
  <c r="AC23" i="51" s="1"/>
  <c r="G55" i="62"/>
  <c r="Z44" i="51"/>
  <c r="AB44" i="51" s="1"/>
  <c r="AC44" i="51" s="1"/>
  <c r="G19" i="62"/>
  <c r="Z27" i="51"/>
  <c r="AB27" i="51" s="1"/>
  <c r="AC27" i="51" s="1"/>
  <c r="Z34" i="51"/>
  <c r="AB34" i="51" s="1"/>
  <c r="AC34" i="51" s="1"/>
  <c r="Z26" i="51"/>
  <c r="AB26" i="51" s="1"/>
  <c r="AC26" i="51" s="1"/>
  <c r="D57" i="62"/>
  <c r="C57" i="62" s="1"/>
  <c r="AA55" i="62"/>
  <c r="AB55" i="62" s="1"/>
  <c r="AC55" i="62" s="1"/>
  <c r="AD55" i="62" s="1"/>
  <c r="Z52" i="62"/>
  <c r="AB52" i="62" s="1"/>
  <c r="AC52" i="62" s="1"/>
  <c r="Z50" i="62"/>
  <c r="AB50" i="62" s="1"/>
  <c r="AC50" i="62" s="1"/>
  <c r="Z46" i="62"/>
  <c r="AB46" i="62" s="1"/>
  <c r="AC46" i="62" s="1"/>
  <c r="Z40" i="62"/>
  <c r="AB40" i="62" s="1"/>
  <c r="AC40" i="62" s="1"/>
  <c r="Z36" i="62"/>
  <c r="AB36" i="62" s="1"/>
  <c r="AC36" i="62" s="1"/>
  <c r="Z30" i="62"/>
  <c r="AB30" i="62" s="1"/>
  <c r="AC30" i="62" s="1"/>
  <c r="Z24" i="62"/>
  <c r="AB24" i="62" s="1"/>
  <c r="AC24" i="62" s="1"/>
  <c r="Z18" i="62"/>
  <c r="AB18" i="62" s="1"/>
  <c r="AC18" i="62" s="1"/>
  <c r="Z46" i="51"/>
  <c r="AB46" i="51" s="1"/>
  <c r="AC46" i="51" s="1"/>
  <c r="Z38" i="51"/>
  <c r="AB38" i="51" s="1"/>
  <c r="AC38" i="51" s="1"/>
  <c r="Z30" i="51"/>
  <c r="AB30" i="51" s="1"/>
  <c r="AC30" i="51" s="1"/>
  <c r="Z22" i="51"/>
  <c r="AB22" i="51" s="1"/>
  <c r="AC22" i="51" s="1"/>
  <c r="AA57" i="62"/>
  <c r="AB57" i="62" s="1"/>
  <c r="AC57" i="62" s="1"/>
  <c r="AD57" i="62" s="1"/>
  <c r="D55" i="62"/>
  <c r="C55" i="62" s="1"/>
  <c r="Z53" i="62"/>
  <c r="AB53" i="62" s="1"/>
  <c r="AC53" i="62" s="1"/>
  <c r="Z51" i="62"/>
  <c r="AB51" i="62" s="1"/>
  <c r="AC51" i="62" s="1"/>
  <c r="Z49" i="62"/>
  <c r="AB49" i="62" s="1"/>
  <c r="AC49" i="62" s="1"/>
  <c r="Z47" i="62"/>
  <c r="AB47" i="62" s="1"/>
  <c r="AC47" i="62" s="1"/>
  <c r="Z45" i="62"/>
  <c r="AB45" i="62" s="1"/>
  <c r="AC45" i="62" s="1"/>
  <c r="Z43" i="62"/>
  <c r="AB43" i="62" s="1"/>
  <c r="AC43" i="62" s="1"/>
  <c r="Z41" i="62"/>
  <c r="AB41" i="62" s="1"/>
  <c r="AC41" i="62" s="1"/>
  <c r="Z39" i="62"/>
  <c r="AB39" i="62" s="1"/>
  <c r="AC39" i="62" s="1"/>
  <c r="Z37" i="62"/>
  <c r="AB37" i="62" s="1"/>
  <c r="AC37" i="62" s="1"/>
  <c r="Z35" i="62"/>
  <c r="AB35" i="62" s="1"/>
  <c r="AC35" i="62" s="1"/>
  <c r="Z33" i="62"/>
  <c r="AB33" i="62" s="1"/>
  <c r="AC33" i="62" s="1"/>
  <c r="AD33" i="62" s="1"/>
  <c r="Z31" i="62"/>
  <c r="AB31" i="62" s="1"/>
  <c r="AC31" i="62" s="1"/>
  <c r="Z29" i="62"/>
  <c r="AB29" i="62" s="1"/>
  <c r="AC29" i="62" s="1"/>
  <c r="Z27" i="62"/>
  <c r="AB27" i="62" s="1"/>
  <c r="AC27" i="62" s="1"/>
  <c r="Z25" i="62"/>
  <c r="AB25" i="62" s="1"/>
  <c r="AC25" i="62" s="1"/>
  <c r="Z23" i="62"/>
  <c r="AB23" i="62" s="1"/>
  <c r="AC23" i="62" s="1"/>
  <c r="Z21" i="62"/>
  <c r="AB21" i="62" s="1"/>
  <c r="AC21" i="62" s="1"/>
  <c r="Z19" i="62"/>
  <c r="AB19" i="62" s="1"/>
  <c r="AC19" i="62" s="1"/>
  <c r="Z36" i="51"/>
  <c r="AB36" i="51" s="1"/>
  <c r="AC36" i="51" s="1"/>
  <c r="Z28" i="51"/>
  <c r="AB28" i="51" s="1"/>
  <c r="AC28" i="51" s="1"/>
  <c r="AA54" i="62"/>
  <c r="AB54" i="62" s="1"/>
  <c r="AC54" i="62" s="1"/>
  <c r="AD54" i="62" s="1"/>
  <c r="G49" i="62"/>
  <c r="G45" i="62"/>
  <c r="G41" i="62"/>
  <c r="G37" i="62"/>
  <c r="G33" i="62"/>
  <c r="G29" i="62"/>
  <c r="G25" i="62"/>
  <c r="G21" i="62"/>
  <c r="AA56" i="51"/>
  <c r="AB56" i="51" s="1"/>
  <c r="AC56" i="51" s="1"/>
  <c r="AD56" i="51" s="1"/>
  <c r="Z43" i="51"/>
  <c r="AB43" i="51" s="1"/>
  <c r="AC43" i="51" s="1"/>
  <c r="Z35" i="51"/>
  <c r="AB35" i="51" s="1"/>
  <c r="AC35" i="51" s="1"/>
  <c r="G57" i="62"/>
  <c r="Z42" i="51"/>
  <c r="AB42" i="51" s="1"/>
  <c r="AC42" i="51" s="1"/>
  <c r="Z18" i="51"/>
  <c r="AB18" i="51" s="1"/>
  <c r="AC18" i="51" s="1"/>
  <c r="Z42" i="62"/>
  <c r="AB42" i="62" s="1"/>
  <c r="AC42" i="62" s="1"/>
  <c r="Z34" i="62"/>
  <c r="AB34" i="62" s="1"/>
  <c r="AC34" i="62" s="1"/>
  <c r="Z26" i="62"/>
  <c r="AB26" i="62" s="1"/>
  <c r="AC26" i="62" s="1"/>
  <c r="Z20" i="62"/>
  <c r="AB20" i="62" s="1"/>
  <c r="AC20" i="62" s="1"/>
  <c r="AA57" i="51"/>
  <c r="AB57" i="51" s="1"/>
  <c r="AC57" i="51" s="1"/>
  <c r="AD57" i="51" s="1"/>
  <c r="Z53" i="51"/>
  <c r="AB53" i="51" s="1"/>
  <c r="AC53" i="51" s="1"/>
  <c r="Z45" i="51"/>
  <c r="AB45" i="51" s="1"/>
  <c r="AC45" i="51" s="1"/>
  <c r="Z37" i="51"/>
  <c r="AB37" i="51" s="1"/>
  <c r="AC37" i="51" s="1"/>
  <c r="Z29" i="51"/>
  <c r="AB29" i="51" s="1"/>
  <c r="AC29" i="51" s="1"/>
  <c r="Z21" i="51"/>
  <c r="AB21" i="51" s="1"/>
  <c r="AC21" i="51" s="1"/>
  <c r="G56" i="62"/>
  <c r="Z52" i="51"/>
  <c r="AB52" i="51" s="1"/>
  <c r="AC52" i="51" s="1"/>
  <c r="Z20" i="51"/>
  <c r="AB20" i="51" s="1"/>
  <c r="AC20" i="51" s="1"/>
  <c r="D56" i="62"/>
  <c r="C56" i="62" s="1"/>
  <c r="G53" i="62"/>
  <c r="G51" i="62"/>
  <c r="G47" i="62"/>
  <c r="G43" i="62"/>
  <c r="G39" i="62"/>
  <c r="G35" i="62"/>
  <c r="G31" i="62"/>
  <c r="G27" i="62"/>
  <c r="G23" i="62"/>
  <c r="Z51" i="51"/>
  <c r="AB51" i="51" s="1"/>
  <c r="AC51" i="51" s="1"/>
  <c r="Z19" i="51"/>
  <c r="AB19" i="51" s="1"/>
  <c r="AC19" i="51" s="1"/>
  <c r="Z50" i="51"/>
  <c r="AB50" i="51" s="1"/>
  <c r="AC50" i="51" s="1"/>
  <c r="Z48" i="62"/>
  <c r="AB48" i="62" s="1"/>
  <c r="AC48" i="62" s="1"/>
  <c r="Z44" i="62"/>
  <c r="AB44" i="62" s="1"/>
  <c r="AC44" i="62" s="1"/>
  <c r="Z38" i="62"/>
  <c r="AB38" i="62" s="1"/>
  <c r="AC38" i="62" s="1"/>
  <c r="Z32" i="62"/>
  <c r="AB32" i="62" s="1"/>
  <c r="AC32" i="62" s="1"/>
  <c r="Z28" i="62"/>
  <c r="AB28" i="62" s="1"/>
  <c r="AC28" i="62" s="1"/>
  <c r="Z22" i="62"/>
  <c r="AB22" i="62" s="1"/>
  <c r="AC22" i="62" s="1"/>
  <c r="AA55" i="51"/>
  <c r="AB55" i="51" s="1"/>
  <c r="AC55" i="51" s="1"/>
  <c r="AD55" i="51" s="1"/>
  <c r="Z49" i="51"/>
  <c r="AB49" i="51" s="1"/>
  <c r="AC49" i="51" s="1"/>
  <c r="Z41" i="51"/>
  <c r="AB41" i="51" s="1"/>
  <c r="AC41" i="51" s="1"/>
  <c r="Z33" i="51"/>
  <c r="AB33" i="51" s="1"/>
  <c r="AC33" i="51" s="1"/>
  <c r="AD33" i="51" s="1"/>
  <c r="Z25" i="51"/>
  <c r="AB25" i="51" s="1"/>
  <c r="AC25" i="51" s="1"/>
  <c r="G54" i="62"/>
  <c r="Z48" i="51"/>
  <c r="AB48" i="51" s="1"/>
  <c r="AC48" i="51" s="1"/>
  <c r="Z40" i="51"/>
  <c r="AB40" i="51" s="1"/>
  <c r="AC40" i="51" s="1"/>
  <c r="Z32" i="51"/>
  <c r="AB32" i="51" s="1"/>
  <c r="AC32" i="51" s="1"/>
  <c r="Z24" i="51"/>
  <c r="AB24" i="51" s="1"/>
  <c r="AC24" i="51" s="1"/>
  <c r="AA56" i="62"/>
  <c r="AB56" i="62" s="1"/>
  <c r="AC56" i="62" s="1"/>
  <c r="AD56" i="62" s="1"/>
  <c r="T56" i="62" s="1"/>
  <c r="D54" i="62"/>
  <c r="C54" i="62" s="1"/>
  <c r="G52" i="62"/>
  <c r="G50" i="62"/>
  <c r="G48" i="62"/>
  <c r="G46" i="62"/>
  <c r="G44" i="62"/>
  <c r="G42" i="62"/>
  <c r="G40" i="62"/>
  <c r="G38" i="62"/>
  <c r="G36" i="62"/>
  <c r="G34" i="62"/>
  <c r="G32" i="62"/>
  <c r="G30" i="62"/>
  <c r="G28" i="62"/>
  <c r="G26" i="62"/>
  <c r="G24" i="62"/>
  <c r="G22" i="62"/>
  <c r="G20" i="62"/>
  <c r="G18" i="62"/>
  <c r="AA59" i="50"/>
  <c r="AB59" i="50" s="1"/>
  <c r="AC59" i="50" s="1"/>
  <c r="AD59" i="50" s="1"/>
  <c r="G45" i="61"/>
  <c r="F45" i="61" s="1"/>
  <c r="G53" i="61"/>
  <c r="F53" i="61" s="1"/>
  <c r="X56" i="61"/>
  <c r="Y56" i="61" s="1"/>
  <c r="Z56" i="61" s="1"/>
  <c r="AA56" i="61" s="1"/>
  <c r="G41" i="61"/>
  <c r="F41" i="61" s="1"/>
  <c r="X57" i="61"/>
  <c r="Y57" i="61" s="1"/>
  <c r="Z57" i="61" s="1"/>
  <c r="AA57" i="61" s="1"/>
  <c r="G42" i="61"/>
  <c r="F42" i="61" s="1"/>
  <c r="G46" i="61"/>
  <c r="F46" i="61" s="1"/>
  <c r="G54" i="61"/>
  <c r="F54" i="61" s="1"/>
  <c r="G51" i="61"/>
  <c r="F51" i="61" s="1"/>
  <c r="AA58" i="50"/>
  <c r="AB58" i="50" s="1"/>
  <c r="AC58" i="50" s="1"/>
  <c r="AD58" i="50" s="1"/>
  <c r="G47" i="61"/>
  <c r="F47" i="61" s="1"/>
  <c r="G55" i="61"/>
  <c r="F55" i="61" s="1"/>
  <c r="G40" i="61"/>
  <c r="G56" i="61"/>
  <c r="AA57" i="50"/>
  <c r="AB57" i="50" s="1"/>
  <c r="AC57" i="50" s="1"/>
  <c r="AD57" i="50" s="1"/>
  <c r="G49" i="61"/>
  <c r="F49" i="61" s="1"/>
  <c r="G50" i="61"/>
  <c r="F50" i="61" s="1"/>
  <c r="X58" i="61"/>
  <c r="Y58" i="61" s="1"/>
  <c r="Z58" i="61" s="1"/>
  <c r="AA58" i="61" s="1"/>
  <c r="G59" i="61"/>
  <c r="X59" i="61"/>
  <c r="Y59" i="61" s="1"/>
  <c r="Z59" i="61" s="1"/>
  <c r="AA59" i="61" s="1"/>
  <c r="G44" i="61"/>
  <c r="F44" i="61" s="1"/>
  <c r="G52" i="61"/>
  <c r="F52" i="61" s="1"/>
  <c r="G48" i="61"/>
  <c r="F48" i="61" s="1"/>
  <c r="G57" i="61"/>
  <c r="G58" i="61"/>
  <c r="AA56" i="50"/>
  <c r="AB56" i="50" s="1"/>
  <c r="AC56" i="50" s="1"/>
  <c r="AD56" i="50" s="1"/>
  <c r="G43" i="61"/>
  <c r="F43" i="61" s="1"/>
  <c r="H55" i="49"/>
  <c r="G139" i="26"/>
  <c r="F139" i="26" s="1"/>
  <c r="G147" i="26"/>
  <c r="F147" i="26" s="1"/>
  <c r="G155" i="26"/>
  <c r="F155" i="26" s="1"/>
  <c r="G163" i="26"/>
  <c r="F163" i="26" s="1"/>
  <c r="G82" i="26"/>
  <c r="F82" i="26" s="1"/>
  <c r="G90" i="26"/>
  <c r="F90" i="26" s="1"/>
  <c r="G98" i="26"/>
  <c r="F98" i="26" s="1"/>
  <c r="G106" i="26"/>
  <c r="F106" i="26" s="1"/>
  <c r="G25" i="26"/>
  <c r="F25" i="26" s="1"/>
  <c r="G33" i="26"/>
  <c r="F33" i="26" s="1"/>
  <c r="G41" i="26"/>
  <c r="F41" i="26" s="1"/>
  <c r="G49" i="26"/>
  <c r="F49" i="26" s="1"/>
  <c r="G57" i="26"/>
  <c r="F57" i="26" s="1"/>
  <c r="G31" i="37"/>
  <c r="F31" i="37" s="1"/>
  <c r="G39" i="37"/>
  <c r="F39" i="37" s="1"/>
  <c r="G47" i="37"/>
  <c r="F47" i="37" s="1"/>
  <c r="G55" i="37"/>
  <c r="F55" i="37" s="1"/>
  <c r="G139" i="17"/>
  <c r="G147" i="17"/>
  <c r="G155" i="17"/>
  <c r="G163" i="17"/>
  <c r="G82" i="17"/>
  <c r="G90" i="17"/>
  <c r="G98" i="17"/>
  <c r="G106" i="17"/>
  <c r="G181" i="30"/>
  <c r="F181" i="30" s="1"/>
  <c r="G56" i="30"/>
  <c r="F56" i="30" s="1"/>
  <c r="G180" i="29"/>
  <c r="F180" i="29" s="1"/>
  <c r="G150" i="26"/>
  <c r="F150" i="26" s="1"/>
  <c r="G85" i="26"/>
  <c r="F85" i="26" s="1"/>
  <c r="G109" i="26"/>
  <c r="F109" i="26" s="1"/>
  <c r="G44" i="26"/>
  <c r="F44" i="26" s="1"/>
  <c r="G26" i="37"/>
  <c r="F26" i="37" s="1"/>
  <c r="G50" i="37"/>
  <c r="F50" i="37" s="1"/>
  <c r="G150" i="17"/>
  <c r="G166" i="17"/>
  <c r="G101" i="17"/>
  <c r="G56" i="46"/>
  <c r="F56" i="46" s="1"/>
  <c r="G143" i="26"/>
  <c r="F143" i="26" s="1"/>
  <c r="G167" i="26"/>
  <c r="F167" i="26" s="1"/>
  <c r="G102" i="26"/>
  <c r="F102" i="26" s="1"/>
  <c r="G37" i="26"/>
  <c r="F37" i="26" s="1"/>
  <c r="G27" i="37"/>
  <c r="F27" i="37" s="1"/>
  <c r="G51" i="37"/>
  <c r="F51" i="37" s="1"/>
  <c r="G151" i="17"/>
  <c r="G86" i="17"/>
  <c r="G110" i="17"/>
  <c r="G117" i="29"/>
  <c r="F117" i="29" s="1"/>
  <c r="G152" i="26"/>
  <c r="F152" i="26" s="1"/>
  <c r="G87" i="26"/>
  <c r="F87" i="26" s="1"/>
  <c r="G111" i="26"/>
  <c r="F111" i="26" s="1"/>
  <c r="G46" i="26"/>
  <c r="F46" i="26" s="1"/>
  <c r="G36" i="37"/>
  <c r="F36" i="37" s="1"/>
  <c r="G152" i="17"/>
  <c r="G87" i="17"/>
  <c r="G119" i="30"/>
  <c r="F119" i="30" s="1"/>
  <c r="I55" i="49"/>
  <c r="G140" i="26"/>
  <c r="F140" i="26" s="1"/>
  <c r="G148" i="26"/>
  <c r="F148" i="26" s="1"/>
  <c r="G156" i="26"/>
  <c r="F156" i="26" s="1"/>
  <c r="G164" i="26"/>
  <c r="F164" i="26" s="1"/>
  <c r="G83" i="26"/>
  <c r="F83" i="26" s="1"/>
  <c r="G91" i="26"/>
  <c r="F91" i="26" s="1"/>
  <c r="G99" i="26"/>
  <c r="F99" i="26" s="1"/>
  <c r="G107" i="26"/>
  <c r="F107" i="26" s="1"/>
  <c r="G26" i="26"/>
  <c r="F26" i="26" s="1"/>
  <c r="G34" i="26"/>
  <c r="F34" i="26" s="1"/>
  <c r="G42" i="26"/>
  <c r="F42" i="26" s="1"/>
  <c r="G50" i="26"/>
  <c r="F50" i="26" s="1"/>
  <c r="G24" i="37"/>
  <c r="F24" i="37" s="1"/>
  <c r="G32" i="37"/>
  <c r="F32" i="37" s="1"/>
  <c r="G40" i="37"/>
  <c r="F40" i="37" s="1"/>
  <c r="G48" i="37"/>
  <c r="F48" i="37" s="1"/>
  <c r="G56" i="37"/>
  <c r="F56" i="37" s="1"/>
  <c r="G140" i="17"/>
  <c r="G148" i="17"/>
  <c r="G156" i="17"/>
  <c r="G164" i="17"/>
  <c r="G83" i="17"/>
  <c r="G91" i="17"/>
  <c r="G99" i="17"/>
  <c r="G107" i="17"/>
  <c r="G182" i="30"/>
  <c r="F182" i="30" s="1"/>
  <c r="G57" i="30"/>
  <c r="F57" i="30" s="1"/>
  <c r="G181" i="29"/>
  <c r="F181" i="29" s="1"/>
  <c r="G142" i="26"/>
  <c r="F142" i="26" s="1"/>
  <c r="G158" i="26"/>
  <c r="F158" i="26" s="1"/>
  <c r="G101" i="26"/>
  <c r="F101" i="26" s="1"/>
  <c r="G36" i="26"/>
  <c r="F36" i="26" s="1"/>
  <c r="G34" i="37"/>
  <c r="F34" i="37" s="1"/>
  <c r="G134" i="17"/>
  <c r="G158" i="17"/>
  <c r="G93" i="17"/>
  <c r="G117" i="30"/>
  <c r="F117" i="30" s="1"/>
  <c r="G135" i="26"/>
  <c r="F135" i="26" s="1"/>
  <c r="G159" i="26"/>
  <c r="F159" i="26" s="1"/>
  <c r="G94" i="26"/>
  <c r="F94" i="26" s="1"/>
  <c r="G29" i="26"/>
  <c r="F29" i="26" s="1"/>
  <c r="G53" i="26"/>
  <c r="F53" i="26" s="1"/>
  <c r="G43" i="37"/>
  <c r="F43" i="37" s="1"/>
  <c r="G143" i="17"/>
  <c r="G167" i="17"/>
  <c r="G102" i="17"/>
  <c r="G57" i="46"/>
  <c r="F57" i="46" s="1"/>
  <c r="G144" i="26"/>
  <c r="F144" i="26" s="1"/>
  <c r="G79" i="26"/>
  <c r="F79" i="26" s="1"/>
  <c r="G103" i="26"/>
  <c r="F103" i="26" s="1"/>
  <c r="G38" i="26"/>
  <c r="F38" i="26" s="1"/>
  <c r="G28" i="37"/>
  <c r="F28" i="37" s="1"/>
  <c r="G52" i="37"/>
  <c r="F52" i="37" s="1"/>
  <c r="G160" i="17"/>
  <c r="G103" i="17"/>
  <c r="G118" i="29"/>
  <c r="F118" i="29" s="1"/>
  <c r="G141" i="26"/>
  <c r="F141" i="26" s="1"/>
  <c r="G149" i="26"/>
  <c r="F149" i="26" s="1"/>
  <c r="G157" i="26"/>
  <c r="F157" i="26" s="1"/>
  <c r="G165" i="26"/>
  <c r="F165" i="26" s="1"/>
  <c r="G84" i="26"/>
  <c r="F84" i="26" s="1"/>
  <c r="G92" i="26"/>
  <c r="F92" i="26" s="1"/>
  <c r="G100" i="26"/>
  <c r="F100" i="26" s="1"/>
  <c r="G108" i="26"/>
  <c r="F108" i="26" s="1"/>
  <c r="G27" i="26"/>
  <c r="F27" i="26" s="1"/>
  <c r="G35" i="26"/>
  <c r="F35" i="26" s="1"/>
  <c r="G43" i="26"/>
  <c r="F43" i="26" s="1"/>
  <c r="G51" i="26"/>
  <c r="F51" i="26" s="1"/>
  <c r="G25" i="37"/>
  <c r="F25" i="37" s="1"/>
  <c r="G33" i="37"/>
  <c r="F33" i="37" s="1"/>
  <c r="G41" i="37"/>
  <c r="F41" i="37" s="1"/>
  <c r="G49" i="37"/>
  <c r="F49" i="37" s="1"/>
  <c r="G57" i="37"/>
  <c r="F57" i="37" s="1"/>
  <c r="G141" i="17"/>
  <c r="G149" i="17"/>
  <c r="G157" i="17"/>
  <c r="G165" i="17"/>
  <c r="G84" i="17"/>
  <c r="G92" i="17"/>
  <c r="G100" i="17"/>
  <c r="G108" i="17"/>
  <c r="G183" i="30"/>
  <c r="F183" i="30" s="1"/>
  <c r="G58" i="30"/>
  <c r="F58" i="30" s="1"/>
  <c r="G182" i="29"/>
  <c r="F182" i="29" s="1"/>
  <c r="G134" i="26"/>
  <c r="F134" i="26" s="1"/>
  <c r="G166" i="26"/>
  <c r="F166" i="26" s="1"/>
  <c r="G93" i="26"/>
  <c r="F93" i="26" s="1"/>
  <c r="G28" i="26"/>
  <c r="F28" i="26" s="1"/>
  <c r="G52" i="26"/>
  <c r="F52" i="26" s="1"/>
  <c r="G42" i="37"/>
  <c r="F42" i="37" s="1"/>
  <c r="G142" i="17"/>
  <c r="G85" i="17"/>
  <c r="G109" i="17"/>
  <c r="G116" i="29"/>
  <c r="F116" i="29" s="1"/>
  <c r="G151" i="26"/>
  <c r="F151" i="26" s="1"/>
  <c r="G86" i="26"/>
  <c r="F86" i="26" s="1"/>
  <c r="G110" i="26"/>
  <c r="F110" i="26" s="1"/>
  <c r="G45" i="26"/>
  <c r="F45" i="26" s="1"/>
  <c r="G35" i="37"/>
  <c r="F35" i="37" s="1"/>
  <c r="G135" i="17"/>
  <c r="G159" i="17"/>
  <c r="G94" i="17"/>
  <c r="G118" i="30"/>
  <c r="F118" i="30" s="1"/>
  <c r="G136" i="26"/>
  <c r="F136" i="26" s="1"/>
  <c r="G160" i="26"/>
  <c r="F160" i="26" s="1"/>
  <c r="G95" i="26"/>
  <c r="F95" i="26" s="1"/>
  <c r="G30" i="26"/>
  <c r="F30" i="26" s="1"/>
  <c r="G54" i="26"/>
  <c r="F54" i="26" s="1"/>
  <c r="G44" i="37"/>
  <c r="F44" i="37" s="1"/>
  <c r="G144" i="17"/>
  <c r="G79" i="17"/>
  <c r="G111" i="17"/>
  <c r="G137" i="26"/>
  <c r="F137" i="26" s="1"/>
  <c r="G145" i="26"/>
  <c r="F145" i="26" s="1"/>
  <c r="G153" i="26"/>
  <c r="F153" i="26" s="1"/>
  <c r="G161" i="26"/>
  <c r="F161" i="26" s="1"/>
  <c r="G80" i="26"/>
  <c r="F80" i="26" s="1"/>
  <c r="G88" i="26"/>
  <c r="F88" i="26" s="1"/>
  <c r="G96" i="26"/>
  <c r="F96" i="26" s="1"/>
  <c r="G104" i="26"/>
  <c r="F104" i="26" s="1"/>
  <c r="G112" i="26"/>
  <c r="F112" i="26" s="1"/>
  <c r="G31" i="26"/>
  <c r="F31" i="26" s="1"/>
  <c r="G39" i="26"/>
  <c r="F39" i="26" s="1"/>
  <c r="G47" i="26"/>
  <c r="F47" i="26" s="1"/>
  <c r="G55" i="26"/>
  <c r="F55" i="26" s="1"/>
  <c r="G29" i="37"/>
  <c r="F29" i="37" s="1"/>
  <c r="G37" i="37"/>
  <c r="F37" i="37" s="1"/>
  <c r="G45" i="37"/>
  <c r="F45" i="37" s="1"/>
  <c r="G53" i="37"/>
  <c r="F53" i="37" s="1"/>
  <c r="G137" i="17"/>
  <c r="G145" i="17"/>
  <c r="G153" i="17"/>
  <c r="G161" i="17"/>
  <c r="G80" i="17"/>
  <c r="G88" i="17"/>
  <c r="G96" i="17"/>
  <c r="G104" i="17"/>
  <c r="G112" i="17"/>
  <c r="G120" i="30"/>
  <c r="F120" i="30" s="1"/>
  <c r="G59" i="46"/>
  <c r="F59" i="46" s="1"/>
  <c r="G119" i="29"/>
  <c r="F119" i="29" s="1"/>
  <c r="G138" i="26"/>
  <c r="F138" i="26" s="1"/>
  <c r="G146" i="26"/>
  <c r="F146" i="26" s="1"/>
  <c r="G154" i="26"/>
  <c r="F154" i="26" s="1"/>
  <c r="G162" i="26"/>
  <c r="F162" i="26" s="1"/>
  <c r="G81" i="26"/>
  <c r="F81" i="26" s="1"/>
  <c r="G89" i="26"/>
  <c r="F89" i="26" s="1"/>
  <c r="G97" i="26"/>
  <c r="F97" i="26" s="1"/>
  <c r="G105" i="26"/>
  <c r="F105" i="26" s="1"/>
  <c r="G24" i="26"/>
  <c r="F24" i="26" s="1"/>
  <c r="G32" i="26"/>
  <c r="F32" i="26" s="1"/>
  <c r="G40" i="26"/>
  <c r="F40" i="26" s="1"/>
  <c r="G48" i="26"/>
  <c r="F48" i="26" s="1"/>
  <c r="G56" i="26"/>
  <c r="F56" i="26" s="1"/>
  <c r="G30" i="37"/>
  <c r="F30" i="37" s="1"/>
  <c r="G38" i="37"/>
  <c r="F38" i="37" s="1"/>
  <c r="G46" i="37"/>
  <c r="F46" i="37" s="1"/>
  <c r="G54" i="37"/>
  <c r="F54" i="37" s="1"/>
  <c r="G138" i="17"/>
  <c r="G146" i="17"/>
  <c r="G154" i="17"/>
  <c r="G162" i="17"/>
  <c r="G81" i="17"/>
  <c r="G89" i="17"/>
  <c r="G97" i="17"/>
  <c r="G105" i="17"/>
  <c r="G180" i="30"/>
  <c r="F180" i="30" s="1"/>
  <c r="G55" i="30"/>
  <c r="F55" i="30" s="1"/>
  <c r="G179" i="29"/>
  <c r="F179" i="29" s="1"/>
  <c r="G136" i="17"/>
  <c r="G95" i="17"/>
  <c r="G58" i="46"/>
  <c r="F58" i="46" s="1"/>
  <c r="I23" i="52"/>
  <c r="I20" i="52"/>
  <c r="I19" i="52"/>
  <c r="I48" i="49"/>
  <c r="I41" i="49"/>
  <c r="I47" i="49"/>
  <c r="I50" i="49"/>
  <c r="I22" i="52"/>
  <c r="I45" i="49"/>
  <c r="I21" i="52"/>
  <c r="I56" i="49"/>
  <c r="I52" i="49"/>
  <c r="I53" i="49"/>
  <c r="I54" i="49"/>
  <c r="I42" i="49"/>
  <c r="I43" i="49"/>
  <c r="I46" i="49"/>
  <c r="I49" i="49"/>
  <c r="I51" i="49"/>
  <c r="I24" i="52"/>
  <c r="I44" i="49"/>
  <c r="G42" i="30"/>
  <c r="G104" i="30"/>
  <c r="F104" i="30" s="1"/>
  <c r="D35" i="62"/>
  <c r="G73" i="26"/>
  <c r="G18" i="26"/>
  <c r="G128" i="26"/>
  <c r="F128" i="26" s="1"/>
  <c r="H19" i="52"/>
  <c r="G73" i="17"/>
  <c r="G18" i="37"/>
  <c r="G128" i="17"/>
  <c r="G44" i="46"/>
  <c r="G115" i="30"/>
  <c r="F115" i="30" s="1"/>
  <c r="G178" i="30"/>
  <c r="F178" i="30" s="1"/>
  <c r="G75" i="26"/>
  <c r="F75" i="26" s="1"/>
  <c r="G23" i="26"/>
  <c r="G77" i="26"/>
  <c r="F77" i="26" s="1"/>
  <c r="G74" i="26"/>
  <c r="F74" i="26" s="1"/>
  <c r="G76" i="26"/>
  <c r="F76" i="26" s="1"/>
  <c r="G132" i="26"/>
  <c r="F132" i="26" s="1"/>
  <c r="H48" i="49"/>
  <c r="H52" i="49"/>
  <c r="H43" i="49"/>
  <c r="H41" i="49"/>
  <c r="H49" i="49"/>
  <c r="G116" i="30"/>
  <c r="F116" i="30" s="1"/>
  <c r="G78" i="26"/>
  <c r="F78" i="26" s="1"/>
  <c r="H45" i="49"/>
  <c r="G20" i="26"/>
  <c r="G22" i="26"/>
  <c r="H24" i="52"/>
  <c r="G179" i="30"/>
  <c r="F179" i="30" s="1"/>
  <c r="G174" i="30"/>
  <c r="F174" i="30" s="1"/>
  <c r="G48" i="30"/>
  <c r="G106" i="30"/>
  <c r="F106" i="30" s="1"/>
  <c r="G101" i="30"/>
  <c r="G46" i="30"/>
  <c r="G108" i="30"/>
  <c r="F108" i="30" s="1"/>
  <c r="H23" i="52"/>
  <c r="G171" i="30"/>
  <c r="F171" i="30" s="1"/>
  <c r="G175" i="30"/>
  <c r="F175" i="30" s="1"/>
  <c r="G166" i="30"/>
  <c r="F166" i="30" s="1"/>
  <c r="G164" i="30"/>
  <c r="G172" i="30"/>
  <c r="F172" i="30" s="1"/>
  <c r="G107" i="30"/>
  <c r="F107" i="30" s="1"/>
  <c r="G112" i="30"/>
  <c r="F112" i="30" s="1"/>
  <c r="G105" i="30"/>
  <c r="F105" i="30" s="1"/>
  <c r="G131" i="26"/>
  <c r="F131" i="26" s="1"/>
  <c r="H53" i="49"/>
  <c r="G111" i="30"/>
  <c r="F111" i="30" s="1"/>
  <c r="G169" i="30"/>
  <c r="F169" i="30" s="1"/>
  <c r="G173" i="30"/>
  <c r="F173" i="30" s="1"/>
  <c r="G167" i="29"/>
  <c r="F167" i="29" s="1"/>
  <c r="G114" i="30"/>
  <c r="F114" i="30" s="1"/>
  <c r="G54" i="30"/>
  <c r="G51" i="30"/>
  <c r="G113" i="30"/>
  <c r="F113" i="30" s="1"/>
  <c r="H22" i="52"/>
  <c r="G168" i="30"/>
  <c r="F168" i="30" s="1"/>
  <c r="G176" i="30"/>
  <c r="F176" i="30" s="1"/>
  <c r="G53" i="30"/>
  <c r="G40" i="30"/>
  <c r="G50" i="30"/>
  <c r="G52" i="30"/>
  <c r="G109" i="30"/>
  <c r="F109" i="30" s="1"/>
  <c r="G19" i="26"/>
  <c r="G133" i="26"/>
  <c r="F133" i="26" s="1"/>
  <c r="H56" i="49"/>
  <c r="H46" i="49"/>
  <c r="H51" i="49"/>
  <c r="H50" i="49"/>
  <c r="G49" i="30"/>
  <c r="G110" i="30"/>
  <c r="F110" i="30" s="1"/>
  <c r="G45" i="30"/>
  <c r="G44" i="30"/>
  <c r="G41" i="30"/>
  <c r="G47" i="30"/>
  <c r="G43" i="30"/>
  <c r="G129" i="26"/>
  <c r="F129" i="26" s="1"/>
  <c r="G130" i="26"/>
  <c r="F130" i="26" s="1"/>
  <c r="H54" i="49"/>
  <c r="H44" i="49"/>
  <c r="H42" i="49"/>
  <c r="H47" i="49"/>
  <c r="G104" i="29"/>
  <c r="F104" i="29" s="1"/>
  <c r="G103" i="30"/>
  <c r="F103" i="30" s="1"/>
  <c r="G21" i="26"/>
  <c r="G39" i="30"/>
  <c r="G102" i="30"/>
  <c r="F102" i="30" s="1"/>
  <c r="H20" i="52"/>
  <c r="H21" i="52"/>
  <c r="G177" i="30"/>
  <c r="F177" i="30" s="1"/>
  <c r="G167" i="30"/>
  <c r="F167" i="30" s="1"/>
  <c r="G165" i="30"/>
  <c r="F165" i="30" s="1"/>
  <c r="G170" i="30"/>
  <c r="F170" i="30" s="1"/>
  <c r="D31" i="62"/>
  <c r="D25" i="62"/>
  <c r="D26" i="62"/>
  <c r="D30" i="62"/>
  <c r="D27" i="62"/>
  <c r="D32" i="62"/>
  <c r="D36" i="62"/>
  <c r="D28" i="62"/>
  <c r="D33" i="62"/>
  <c r="D18" i="62"/>
  <c r="C18" i="62" s="1"/>
  <c r="D37" i="62"/>
  <c r="D29" i="62"/>
  <c r="D34" i="62"/>
  <c r="D24" i="62"/>
  <c r="D23" i="62"/>
  <c r="D19" i="62"/>
  <c r="D20" i="62"/>
  <c r="D22" i="62"/>
  <c r="D21" i="62"/>
  <c r="G133" i="17"/>
  <c r="G131" i="17"/>
  <c r="G78" i="17"/>
  <c r="G115" i="29"/>
  <c r="F115" i="29" s="1"/>
  <c r="G55" i="46"/>
  <c r="G76" i="17"/>
  <c r="G53" i="46"/>
  <c r="G23" i="37"/>
  <c r="G129" i="17"/>
  <c r="G54" i="46"/>
  <c r="G130" i="17"/>
  <c r="G22" i="37"/>
  <c r="G114" i="29"/>
  <c r="F114" i="29" s="1"/>
  <c r="G176" i="29"/>
  <c r="F176" i="29" s="1"/>
  <c r="G21" i="37"/>
  <c r="G132" i="17"/>
  <c r="G74" i="17"/>
  <c r="G113" i="29"/>
  <c r="F113" i="29" s="1"/>
  <c r="G77" i="17"/>
  <c r="G19" i="37"/>
  <c r="G178" i="29"/>
  <c r="F178" i="29" s="1"/>
  <c r="G75" i="17"/>
  <c r="G20" i="37"/>
  <c r="G177" i="29"/>
  <c r="F177" i="29" s="1"/>
  <c r="K14" i="46"/>
  <c r="S53" i="46"/>
  <c r="S21" i="46"/>
  <c r="O24" i="46"/>
  <c r="O21" i="46"/>
  <c r="L27" i="46"/>
  <c r="L34" i="46"/>
  <c r="L45" i="46"/>
  <c r="P14" i="46"/>
  <c r="P15" i="46"/>
  <c r="I37" i="46"/>
  <c r="I14" i="46"/>
  <c r="I54" i="46"/>
  <c r="N51" i="46"/>
  <c r="N25" i="46"/>
  <c r="N55" i="46"/>
  <c r="N23" i="46"/>
  <c r="R14" i="46"/>
  <c r="R34" i="46"/>
  <c r="R27" i="46"/>
  <c r="K19" i="46"/>
  <c r="K26" i="46"/>
  <c r="K27" i="46"/>
  <c r="S18" i="46"/>
  <c r="S29" i="46"/>
  <c r="S33" i="46"/>
  <c r="S55" i="46"/>
  <c r="S52" i="46"/>
  <c r="S45" i="46"/>
  <c r="S47" i="46"/>
  <c r="O16" i="46"/>
  <c r="O23" i="46"/>
  <c r="O37" i="46"/>
  <c r="O27" i="46"/>
  <c r="O50" i="46"/>
  <c r="L42" i="46"/>
  <c r="L29" i="46"/>
  <c r="L54" i="46"/>
  <c r="L20" i="46"/>
  <c r="L49" i="46"/>
  <c r="P32" i="46"/>
  <c r="P54" i="46"/>
  <c r="P51" i="46"/>
  <c r="P34" i="46"/>
  <c r="P25" i="46"/>
  <c r="M18" i="46"/>
  <c r="M32" i="46"/>
  <c r="M25" i="46"/>
  <c r="M15" i="46"/>
  <c r="M27" i="46"/>
  <c r="M26" i="46"/>
  <c r="M33" i="46"/>
  <c r="M29" i="46"/>
  <c r="I17" i="46"/>
  <c r="I46" i="46"/>
  <c r="I39" i="46"/>
  <c r="I32" i="46"/>
  <c r="I50" i="46"/>
  <c r="N41" i="46"/>
  <c r="N53" i="46"/>
  <c r="N47" i="46"/>
  <c r="N50" i="46"/>
  <c r="Q47" i="46"/>
  <c r="Q39" i="46"/>
  <c r="J32" i="46"/>
  <c r="J52" i="46"/>
  <c r="J38" i="46"/>
  <c r="J23" i="46"/>
  <c r="J40" i="46"/>
  <c r="J44" i="46"/>
  <c r="J46" i="46"/>
  <c r="R19" i="46"/>
  <c r="R16" i="46"/>
  <c r="R37" i="46"/>
  <c r="R54" i="46"/>
  <c r="R26" i="46"/>
  <c r="R42" i="46"/>
  <c r="R50" i="46"/>
  <c r="K16" i="46"/>
  <c r="K21" i="46"/>
  <c r="K35" i="46"/>
  <c r="K28" i="46"/>
  <c r="S15" i="46"/>
  <c r="S38" i="46"/>
  <c r="S41" i="46"/>
  <c r="S48" i="46"/>
  <c r="S20" i="46"/>
  <c r="O20" i="46"/>
  <c r="O49" i="46"/>
  <c r="O54" i="46"/>
  <c r="O53" i="46"/>
  <c r="O48" i="46"/>
  <c r="O51" i="46"/>
  <c r="L25" i="46"/>
  <c r="L24" i="46"/>
  <c r="L38" i="46"/>
  <c r="L36" i="46"/>
  <c r="P20" i="46"/>
  <c r="P22" i="46"/>
  <c r="P46" i="46"/>
  <c r="P36" i="46"/>
  <c r="P37" i="46"/>
  <c r="M45" i="46"/>
  <c r="M22" i="46"/>
  <c r="M20" i="46"/>
  <c r="M37" i="46"/>
  <c r="M41" i="46"/>
  <c r="M23" i="46"/>
  <c r="M42" i="46"/>
  <c r="I55" i="46"/>
  <c r="I33" i="46"/>
  <c r="I45" i="46"/>
  <c r="I53" i="46"/>
  <c r="I44" i="46"/>
  <c r="I49" i="46"/>
  <c r="N26" i="46"/>
  <c r="N17" i="46"/>
  <c r="N49" i="46"/>
  <c r="N42" i="46"/>
  <c r="N14" i="46"/>
  <c r="Q17" i="46"/>
  <c r="Q52" i="46"/>
  <c r="Q42" i="46"/>
  <c r="Q29" i="46"/>
  <c r="Q45" i="46"/>
  <c r="Q28" i="46"/>
  <c r="J21" i="46"/>
  <c r="J22" i="46"/>
  <c r="J43" i="46"/>
  <c r="J37" i="46"/>
  <c r="J48" i="46"/>
  <c r="R30" i="46"/>
  <c r="R17" i="46"/>
  <c r="R36" i="46"/>
  <c r="R25" i="46"/>
  <c r="K46" i="46"/>
  <c r="K53" i="46"/>
  <c r="K29" i="46"/>
  <c r="K24" i="46"/>
  <c r="K30" i="46"/>
  <c r="K42" i="46"/>
  <c r="K32" i="46"/>
  <c r="S17" i="46"/>
  <c r="S51" i="46"/>
  <c r="O19" i="46"/>
  <c r="L39" i="46"/>
  <c r="L51" i="46"/>
  <c r="L48" i="46"/>
  <c r="P29" i="46"/>
  <c r="M35" i="46"/>
  <c r="M55" i="46"/>
  <c r="I16" i="46"/>
  <c r="I30" i="46"/>
  <c r="I22" i="46"/>
  <c r="N36" i="46"/>
  <c r="N21" i="46"/>
  <c r="N24" i="46"/>
  <c r="Q50" i="46"/>
  <c r="Q38" i="46"/>
  <c r="Q25" i="46"/>
  <c r="R38" i="46"/>
  <c r="R35" i="46"/>
  <c r="K25" i="46"/>
  <c r="K36" i="46"/>
  <c r="K22" i="46"/>
  <c r="S39" i="46"/>
  <c r="S36" i="46"/>
  <c r="O25" i="46"/>
  <c r="O52" i="46"/>
  <c r="O47" i="46"/>
  <c r="L55" i="46"/>
  <c r="L47" i="46"/>
  <c r="P16" i="46"/>
  <c r="P45" i="46"/>
  <c r="M14" i="46"/>
  <c r="M51" i="46"/>
  <c r="I43" i="46"/>
  <c r="N45" i="46"/>
  <c r="Q37" i="46"/>
  <c r="Q48" i="46"/>
  <c r="Q46" i="46"/>
  <c r="Q51" i="46"/>
  <c r="Q15" i="46"/>
  <c r="J49" i="46"/>
  <c r="R18" i="46"/>
  <c r="R45" i="46"/>
  <c r="R15" i="46"/>
  <c r="R52" i="46"/>
  <c r="S23" i="46"/>
  <c r="S14" i="46"/>
  <c r="S35" i="46"/>
  <c r="S49" i="46"/>
  <c r="S26" i="46"/>
  <c r="O22" i="46"/>
  <c r="O55" i="46"/>
  <c r="O45" i="46"/>
  <c r="O34" i="46"/>
  <c r="L30" i="46"/>
  <c r="L33" i="46"/>
  <c r="L16" i="46"/>
  <c r="L21" i="46"/>
  <c r="L53" i="46"/>
  <c r="P49" i="46"/>
  <c r="P39" i="46"/>
  <c r="P50" i="46"/>
  <c r="M53" i="46"/>
  <c r="M24" i="46"/>
  <c r="M16" i="46"/>
  <c r="M50" i="46"/>
  <c r="M30" i="46"/>
  <c r="M49" i="46"/>
  <c r="I51" i="46"/>
  <c r="I25" i="46"/>
  <c r="I28" i="46"/>
  <c r="I21" i="46"/>
  <c r="N27" i="46"/>
  <c r="N20" i="46"/>
  <c r="N54" i="46"/>
  <c r="Q24" i="46"/>
  <c r="Q35" i="46"/>
  <c r="Q53" i="46"/>
  <c r="J33" i="46"/>
  <c r="J34" i="46"/>
  <c r="J50" i="46"/>
  <c r="J25" i="46"/>
  <c r="J30" i="46"/>
  <c r="J39" i="46"/>
  <c r="J36" i="46"/>
  <c r="R22" i="46"/>
  <c r="R32" i="46"/>
  <c r="R55" i="46"/>
  <c r="K43" i="46"/>
  <c r="K23" i="46"/>
  <c r="K37" i="46"/>
  <c r="K51" i="46"/>
  <c r="K41" i="46"/>
  <c r="K47" i="46"/>
  <c r="K49" i="46"/>
  <c r="K55" i="46"/>
  <c r="S34" i="46"/>
  <c r="O26" i="46"/>
  <c r="O17" i="46"/>
  <c r="O46" i="46"/>
  <c r="L19" i="46"/>
  <c r="L52" i="46"/>
  <c r="L17" i="46"/>
  <c r="P26" i="46"/>
  <c r="P40" i="46"/>
  <c r="M36" i="46"/>
  <c r="I19" i="46"/>
  <c r="N35" i="46"/>
  <c r="Q26" i="46"/>
  <c r="Q54" i="46"/>
  <c r="J27" i="46"/>
  <c r="J55" i="46"/>
  <c r="R53" i="46"/>
  <c r="K17" i="46"/>
  <c r="S44" i="46"/>
  <c r="O18" i="46"/>
  <c r="O40" i="46"/>
  <c r="O28" i="46"/>
  <c r="L35" i="46"/>
  <c r="L41" i="46"/>
  <c r="P27" i="46"/>
  <c r="P42" i="46"/>
  <c r="P55" i="46"/>
  <c r="M40" i="46"/>
  <c r="M52" i="46"/>
  <c r="M48" i="46"/>
  <c r="I27" i="46"/>
  <c r="N46" i="46"/>
  <c r="N43" i="46"/>
  <c r="N48" i="46"/>
  <c r="Q16" i="46"/>
  <c r="Q23" i="46"/>
  <c r="J16" i="46"/>
  <c r="J54" i="46"/>
  <c r="J20" i="46"/>
  <c r="J26" i="46"/>
  <c r="R24" i="46"/>
  <c r="K45" i="46"/>
  <c r="K52" i="46"/>
  <c r="S43" i="46"/>
  <c r="S54" i="46"/>
  <c r="S46" i="46"/>
  <c r="S25" i="46"/>
  <c r="S28" i="46"/>
  <c r="S22" i="46"/>
  <c r="O32" i="46"/>
  <c r="O14" i="46"/>
  <c r="O15" i="46"/>
  <c r="O43" i="46"/>
  <c r="O33" i="46"/>
  <c r="O38" i="46"/>
  <c r="L18" i="46"/>
  <c r="L23" i="46"/>
  <c r="L43" i="46"/>
  <c r="L22" i="46"/>
  <c r="P35" i="46"/>
  <c r="P30" i="46"/>
  <c r="P53" i="46"/>
  <c r="P41" i="46"/>
  <c r="P43" i="46"/>
  <c r="P44" i="46"/>
  <c r="M21" i="46"/>
  <c r="M19" i="46"/>
  <c r="M34" i="46"/>
  <c r="M54" i="46"/>
  <c r="I38" i="46"/>
  <c r="I47" i="46"/>
  <c r="I52" i="46"/>
  <c r="I36" i="46"/>
  <c r="I48" i="46"/>
  <c r="N18" i="46"/>
  <c r="N32" i="46"/>
  <c r="N52" i="46"/>
  <c r="N22" i="46"/>
  <c r="N37" i="46"/>
  <c r="N44" i="46"/>
  <c r="N34" i="46"/>
  <c r="Q30" i="46"/>
  <c r="Q27" i="46"/>
  <c r="Q19" i="46"/>
  <c r="Q41" i="46"/>
  <c r="J35" i="46"/>
  <c r="J53" i="46"/>
  <c r="J24" i="46"/>
  <c r="J19" i="46"/>
  <c r="J28" i="46"/>
  <c r="J15" i="46"/>
  <c r="R39" i="46"/>
  <c r="R33" i="46"/>
  <c r="R23" i="46"/>
  <c r="R41" i="46"/>
  <c r="R29" i="46"/>
  <c r="R49" i="46"/>
  <c r="K18" i="46"/>
  <c r="K54" i="46"/>
  <c r="K48" i="46"/>
  <c r="S30" i="46"/>
  <c r="S27" i="46"/>
  <c r="S37" i="46"/>
  <c r="S16" i="46"/>
  <c r="O35" i="46"/>
  <c r="O36" i="46"/>
  <c r="O30" i="46"/>
  <c r="O44" i="46"/>
  <c r="O39" i="46"/>
  <c r="L28" i="46"/>
  <c r="L26" i="46"/>
  <c r="L37" i="46"/>
  <c r="L46" i="46"/>
  <c r="P52" i="46"/>
  <c r="P23" i="46"/>
  <c r="P24" i="46"/>
  <c r="P38" i="46"/>
  <c r="P47" i="46"/>
  <c r="M17" i="46"/>
  <c r="M28" i="46"/>
  <c r="M46" i="46"/>
  <c r="I34" i="46"/>
  <c r="I23" i="46"/>
  <c r="I41" i="46"/>
  <c r="I26" i="46"/>
  <c r="I42" i="46"/>
  <c r="I20" i="46"/>
  <c r="N39" i="46"/>
  <c r="N16" i="46"/>
  <c r="N19" i="46"/>
  <c r="N38" i="46"/>
  <c r="Q36" i="46"/>
  <c r="Q20" i="46"/>
  <c r="Q14" i="46"/>
  <c r="Q43" i="46"/>
  <c r="Q22" i="46"/>
  <c r="Q40" i="46"/>
  <c r="Q55" i="46"/>
  <c r="J42" i="46"/>
  <c r="J14" i="46"/>
  <c r="J18" i="46"/>
  <c r="J29" i="46"/>
  <c r="R46" i="46"/>
  <c r="R40" i="46"/>
  <c r="R44" i="46"/>
  <c r="R48" i="46"/>
  <c r="K38" i="46"/>
  <c r="K44" i="46"/>
  <c r="K15" i="46"/>
  <c r="K50" i="46"/>
  <c r="K34" i="46"/>
  <c r="K33" i="46"/>
  <c r="S32" i="46"/>
  <c r="S24" i="46"/>
  <c r="S19" i="46"/>
  <c r="S50" i="46"/>
  <c r="S40" i="46"/>
  <c r="S42" i="46"/>
  <c r="O42" i="46"/>
  <c r="O41" i="46"/>
  <c r="O29" i="46"/>
  <c r="L15" i="46"/>
  <c r="L14" i="46"/>
  <c r="L40" i="46"/>
  <c r="L32" i="46"/>
  <c r="L44" i="46"/>
  <c r="L50" i="46"/>
  <c r="P18" i="46"/>
  <c r="P21" i="46"/>
  <c r="P19" i="46"/>
  <c r="P17" i="46"/>
  <c r="P33" i="46"/>
  <c r="P28" i="46"/>
  <c r="P48" i="46"/>
  <c r="M39" i="46"/>
  <c r="M43" i="46"/>
  <c r="M38" i="46"/>
  <c r="M44" i="46"/>
  <c r="M47" i="46"/>
  <c r="I18" i="46"/>
  <c r="I29" i="46"/>
  <c r="I40" i="46"/>
  <c r="I35" i="46"/>
  <c r="I24" i="46"/>
  <c r="N30" i="46"/>
  <c r="N28" i="46"/>
  <c r="N40" i="46"/>
  <c r="N15" i="46"/>
  <c r="N33" i="46"/>
  <c r="N29" i="46"/>
  <c r="Q18" i="46"/>
  <c r="Q32" i="46"/>
  <c r="Q33" i="46"/>
  <c r="Q21" i="46"/>
  <c r="Q34" i="46"/>
  <c r="Q49" i="46"/>
  <c r="Q44" i="46"/>
  <c r="J17" i="46"/>
  <c r="J47" i="46"/>
  <c r="J41" i="46"/>
  <c r="J45" i="46"/>
  <c r="J51" i="46"/>
  <c r="R28" i="46"/>
  <c r="R47" i="46"/>
  <c r="R51" i="46"/>
  <c r="R21" i="46"/>
  <c r="R43" i="46"/>
  <c r="R20" i="46"/>
  <c r="K40" i="46"/>
  <c r="K20" i="46"/>
  <c r="K39" i="46"/>
  <c r="G78" i="29"/>
  <c r="F78" i="29" s="1"/>
  <c r="I61" i="30"/>
  <c r="I60" i="30"/>
  <c r="F14" i="50"/>
  <c r="I15" i="46"/>
  <c r="I185" i="29"/>
  <c r="I184" i="29"/>
  <c r="F141" i="29"/>
  <c r="Y42" i="10"/>
  <c r="G38" i="46" s="1"/>
  <c r="Y41" i="10"/>
  <c r="G37" i="46" s="1"/>
  <c r="Y31" i="10"/>
  <c r="G28" i="46" s="1"/>
  <c r="Y48" i="10"/>
  <c r="G40" i="46" s="1"/>
  <c r="Y18" i="10"/>
  <c r="G19" i="46" s="1"/>
  <c r="Y50" i="10"/>
  <c r="G41" i="46" s="1"/>
  <c r="Y51" i="10"/>
  <c r="G42" i="46" s="1"/>
  <c r="Y30" i="10"/>
  <c r="G27" i="46" s="1"/>
  <c r="Y33" i="10"/>
  <c r="G29" i="46" s="1"/>
  <c r="Y19" i="10"/>
  <c r="G20" i="46" s="1"/>
  <c r="Y54" i="10"/>
  <c r="G45" i="46" s="1"/>
  <c r="Y40" i="10"/>
  <c r="G36" i="46" s="1"/>
  <c r="Y55" i="10"/>
  <c r="G46" i="46" s="1"/>
  <c r="D56" i="54"/>
  <c r="C56" i="54" s="1"/>
  <c r="D54" i="54"/>
  <c r="C54" i="54" s="1"/>
  <c r="D52" i="54"/>
  <c r="C52" i="54" s="1"/>
  <c r="D50" i="54"/>
  <c r="C50" i="54" s="1"/>
  <c r="D48" i="54"/>
  <c r="C48" i="54" s="1"/>
  <c r="D46" i="54"/>
  <c r="C46" i="54" s="1"/>
  <c r="D44" i="54"/>
  <c r="C44" i="54" s="1"/>
  <c r="D42" i="54"/>
  <c r="C42" i="54" s="1"/>
  <c r="D40" i="54"/>
  <c r="C40" i="54" s="1"/>
  <c r="D38" i="54"/>
  <c r="C38" i="54" s="1"/>
  <c r="D36" i="54"/>
  <c r="C36" i="54" s="1"/>
  <c r="D34" i="54"/>
  <c r="C34" i="54" s="1"/>
  <c r="D32" i="54"/>
  <c r="C32" i="54" s="1"/>
  <c r="D30" i="54"/>
  <c r="C30" i="54" s="1"/>
  <c r="D28" i="54"/>
  <c r="C28" i="54" s="1"/>
  <c r="D26" i="54"/>
  <c r="C26" i="54" s="1"/>
  <c r="D24" i="54"/>
  <c r="C24" i="54" s="1"/>
  <c r="D57" i="54"/>
  <c r="C57" i="54" s="1"/>
  <c r="D55" i="54"/>
  <c r="C55" i="54" s="1"/>
  <c r="D53" i="54"/>
  <c r="C53" i="54" s="1"/>
  <c r="D51" i="54"/>
  <c r="C51" i="54" s="1"/>
  <c r="D49" i="54"/>
  <c r="C49" i="54" s="1"/>
  <c r="D47" i="54"/>
  <c r="C47" i="54" s="1"/>
  <c r="D45" i="54"/>
  <c r="C45" i="54" s="1"/>
  <c r="D43" i="54"/>
  <c r="C43" i="54" s="1"/>
  <c r="D41" i="54"/>
  <c r="C41" i="54" s="1"/>
  <c r="D39" i="54"/>
  <c r="C39" i="54" s="1"/>
  <c r="D37" i="54"/>
  <c r="C37" i="54" s="1"/>
  <c r="D35" i="54"/>
  <c r="C35" i="54" s="1"/>
  <c r="D33" i="54"/>
  <c r="C33" i="54" s="1"/>
  <c r="D31" i="54"/>
  <c r="C31" i="54" s="1"/>
  <c r="D29" i="54"/>
  <c r="C29" i="54" s="1"/>
  <c r="D27" i="54"/>
  <c r="C27" i="54" s="1"/>
  <c r="D25" i="54"/>
  <c r="C25" i="54" s="1"/>
  <c r="D56" i="53"/>
  <c r="D48" i="53"/>
  <c r="D40" i="53"/>
  <c r="D32" i="53"/>
  <c r="D24" i="53"/>
  <c r="D54" i="51"/>
  <c r="C54" i="51" s="1"/>
  <c r="G50" i="51"/>
  <c r="G46" i="51"/>
  <c r="G42" i="51"/>
  <c r="G38" i="51"/>
  <c r="G34" i="51"/>
  <c r="G30" i="51"/>
  <c r="G26" i="51"/>
  <c r="G22" i="51"/>
  <c r="G18" i="51"/>
  <c r="G41" i="50"/>
  <c r="G49" i="50"/>
  <c r="G57" i="50"/>
  <c r="D57" i="50"/>
  <c r="C57" i="50" s="1"/>
  <c r="A72" i="24"/>
  <c r="A64" i="24"/>
  <c r="A56" i="24"/>
  <c r="A77" i="23"/>
  <c r="A69" i="23"/>
  <c r="A61" i="23"/>
  <c r="A53" i="23"/>
  <c r="A75" i="22"/>
  <c r="A67" i="22"/>
  <c r="A59" i="22"/>
  <c r="A51" i="22"/>
  <c r="A76" i="15"/>
  <c r="A68" i="15"/>
  <c r="A60" i="15"/>
  <c r="A52" i="15"/>
  <c r="A76" i="2"/>
  <c r="A70" i="2"/>
  <c r="A66" i="2"/>
  <c r="A63" i="2"/>
  <c r="A59" i="2"/>
  <c r="A55" i="2"/>
  <c r="A73" i="3"/>
  <c r="A65" i="3"/>
  <c r="A57" i="3"/>
  <c r="D50" i="53"/>
  <c r="D42" i="53"/>
  <c r="D34" i="53"/>
  <c r="D26" i="53"/>
  <c r="D56" i="51"/>
  <c r="C56" i="51" s="1"/>
  <c r="G53" i="51"/>
  <c r="G49" i="51"/>
  <c r="G45" i="51"/>
  <c r="G41" i="51"/>
  <c r="G37" i="51"/>
  <c r="G33" i="51"/>
  <c r="G29" i="51"/>
  <c r="G25" i="51"/>
  <c r="G21" i="51"/>
  <c r="G43" i="50"/>
  <c r="G51" i="50"/>
  <c r="G59" i="50"/>
  <c r="A74" i="24"/>
  <c r="A66" i="24"/>
  <c r="A58" i="24"/>
  <c r="A50" i="24"/>
  <c r="A71" i="23"/>
  <c r="A63" i="23"/>
  <c r="A55" i="23"/>
  <c r="A77" i="22"/>
  <c r="A69" i="22"/>
  <c r="A61" i="22"/>
  <c r="A53" i="22"/>
  <c r="A78" i="15"/>
  <c r="A70" i="15"/>
  <c r="A62" i="15"/>
  <c r="A54" i="15"/>
  <c r="A79" i="2"/>
  <c r="A75" i="2"/>
  <c r="A72" i="2"/>
  <c r="A69" i="2"/>
  <c r="A65" i="2"/>
  <c r="A62" i="2"/>
  <c r="A58" i="2"/>
  <c r="A75" i="3"/>
  <c r="A67" i="3"/>
  <c r="A59" i="3"/>
  <c r="A51" i="3"/>
  <c r="D57" i="53"/>
  <c r="D49" i="53"/>
  <c r="D41" i="53"/>
  <c r="D33" i="53"/>
  <c r="D25" i="53"/>
  <c r="D55" i="51"/>
  <c r="C55" i="51" s="1"/>
  <c r="G46" i="50"/>
  <c r="G54" i="50"/>
  <c r="A73" i="24"/>
  <c r="A65" i="24"/>
  <c r="A57" i="24"/>
  <c r="A78" i="23"/>
  <c r="A70" i="23"/>
  <c r="A62" i="23"/>
  <c r="A54" i="23"/>
  <c r="A76" i="22"/>
  <c r="A68" i="22"/>
  <c r="A60" i="22"/>
  <c r="A52" i="22"/>
  <c r="A77" i="15"/>
  <c r="A69" i="15"/>
  <c r="A61" i="15"/>
  <c r="A53" i="15"/>
  <c r="A74" i="3"/>
  <c r="A66" i="3"/>
  <c r="A58" i="3"/>
  <c r="A50" i="3"/>
  <c r="D53" i="53"/>
  <c r="D36" i="53"/>
  <c r="G56" i="51"/>
  <c r="G52" i="50"/>
  <c r="D59" i="50"/>
  <c r="C59" i="50" s="1"/>
  <c r="A75" i="24"/>
  <c r="A76" i="23"/>
  <c r="A67" i="23"/>
  <c r="A58" i="23"/>
  <c r="A66" i="22"/>
  <c r="A57" i="22"/>
  <c r="A59" i="15"/>
  <c r="A50" i="15"/>
  <c r="A67" i="2"/>
  <c r="A57" i="2"/>
  <c r="A64" i="3"/>
  <c r="A55" i="3"/>
  <c r="D44" i="53"/>
  <c r="D31" i="53"/>
  <c r="D27" i="53"/>
  <c r="G51" i="51"/>
  <c r="G40" i="51"/>
  <c r="G35" i="51"/>
  <c r="G24" i="51"/>
  <c r="G19" i="51"/>
  <c r="G40" i="50"/>
  <c r="G53" i="50"/>
  <c r="D58" i="50"/>
  <c r="C58" i="50" s="1"/>
  <c r="A71" i="24"/>
  <c r="A62" i="24"/>
  <c r="A53" i="24"/>
  <c r="A73" i="23"/>
  <c r="A64" i="23"/>
  <c r="A72" i="22"/>
  <c r="A63" i="22"/>
  <c r="A54" i="22"/>
  <c r="A74" i="15"/>
  <c r="A65" i="15"/>
  <c r="A56" i="15"/>
  <c r="A74" i="2"/>
  <c r="A53" i="2"/>
  <c r="A70" i="3"/>
  <c r="A61" i="3"/>
  <c r="A52" i="3"/>
  <c r="D51" i="53"/>
  <c r="D38" i="53"/>
  <c r="G54" i="51"/>
  <c r="G58" i="50"/>
  <c r="A70" i="24"/>
  <c r="A52" i="24"/>
  <c r="A64" i="15"/>
  <c r="A69" i="3"/>
  <c r="A60" i="3"/>
  <c r="D52" i="53"/>
  <c r="D39" i="53"/>
  <c r="D35" i="53"/>
  <c r="G55" i="51"/>
  <c r="G42" i="50"/>
  <c r="G55" i="50"/>
  <c r="D56" i="50"/>
  <c r="C56" i="50" s="1"/>
  <c r="A77" i="24"/>
  <c r="A68" i="24"/>
  <c r="A59" i="24"/>
  <c r="A60" i="23"/>
  <c r="A51" i="23"/>
  <c r="A78" i="22"/>
  <c r="A71" i="15"/>
  <c r="A71" i="2"/>
  <c r="A61" i="2"/>
  <c r="A56" i="2"/>
  <c r="A76" i="3"/>
  <c r="D47" i="53"/>
  <c r="D43" i="53"/>
  <c r="D30" i="53"/>
  <c r="G44" i="51"/>
  <c r="G39" i="51"/>
  <c r="G28" i="51"/>
  <c r="G23" i="51"/>
  <c r="G44" i="50"/>
  <c r="G56" i="50"/>
  <c r="A55" i="24"/>
  <c r="A75" i="23"/>
  <c r="A66" i="23"/>
  <c r="A57" i="23"/>
  <c r="A74" i="22"/>
  <c r="A65" i="22"/>
  <c r="A56" i="22"/>
  <c r="A67" i="15"/>
  <c r="A58" i="15"/>
  <c r="A78" i="2"/>
  <c r="A73" i="2"/>
  <c r="A72" i="3"/>
  <c r="A63" i="3"/>
  <c r="A54" i="3"/>
  <c r="D55" i="53"/>
  <c r="G45" i="50"/>
  <c r="A61" i="24"/>
  <c r="A72" i="23"/>
  <c r="A71" i="22"/>
  <c r="A62" i="22"/>
  <c r="A73" i="15"/>
  <c r="A55" i="15"/>
  <c r="A64" i="2"/>
  <c r="A60" i="2"/>
  <c r="A51" i="2"/>
  <c r="A78" i="3"/>
  <c r="G47" i="51"/>
  <c r="D46" i="53"/>
  <c r="D29" i="53"/>
  <c r="G57" i="51"/>
  <c r="G48" i="51"/>
  <c r="G43" i="51"/>
  <c r="G32" i="51"/>
  <c r="G27" i="51"/>
  <c r="G47" i="50"/>
  <c r="A76" i="24"/>
  <c r="A67" i="24"/>
  <c r="A68" i="23"/>
  <c r="A59" i="23"/>
  <c r="A50" i="23"/>
  <c r="A58" i="22"/>
  <c r="A51" i="15"/>
  <c r="A77" i="2"/>
  <c r="A56" i="3"/>
  <c r="D54" i="53"/>
  <c r="D37" i="53"/>
  <c r="D57" i="51"/>
  <c r="C57" i="51" s="1"/>
  <c r="G48" i="50"/>
  <c r="A63" i="24"/>
  <c r="A54" i="24"/>
  <c r="A74" i="23"/>
  <c r="A65" i="23"/>
  <c r="A56" i="23"/>
  <c r="A73" i="22"/>
  <c r="A64" i="22"/>
  <c r="A55" i="22"/>
  <c r="A75" i="15"/>
  <c r="A66" i="15"/>
  <c r="A57" i="15"/>
  <c r="A68" i="2"/>
  <c r="A71" i="3"/>
  <c r="A62" i="3"/>
  <c r="A53" i="3"/>
  <c r="D45" i="53"/>
  <c r="D28" i="53"/>
  <c r="G52" i="51"/>
  <c r="G50" i="50"/>
  <c r="A78" i="24"/>
  <c r="A63" i="15"/>
  <c r="A51" i="24"/>
  <c r="A52" i="23"/>
  <c r="G31" i="51"/>
  <c r="A69" i="24"/>
  <c r="G20" i="51"/>
  <c r="A79" i="22"/>
  <c r="G36" i="51"/>
  <c r="A72" i="15"/>
  <c r="A54" i="2"/>
  <c r="A68" i="3"/>
  <c r="A60" i="24"/>
  <c r="A70" i="22"/>
  <c r="A77" i="3"/>
  <c r="A49" i="3"/>
  <c r="A50" i="22"/>
  <c r="A49" i="24"/>
  <c r="A49" i="23"/>
  <c r="A49" i="15"/>
  <c r="D58" i="46"/>
  <c r="C58" i="46" s="1"/>
  <c r="A50" i="2"/>
  <c r="D57" i="46"/>
  <c r="C57" i="46" s="1"/>
  <c r="D59" i="46"/>
  <c r="C59" i="46" s="1"/>
  <c r="D56" i="46"/>
  <c r="C56" i="46" s="1"/>
  <c r="D31" i="37"/>
  <c r="C31" i="37" s="1"/>
  <c r="D39" i="37"/>
  <c r="C39" i="37" s="1"/>
  <c r="D47" i="37"/>
  <c r="C47" i="37" s="1"/>
  <c r="D55" i="37"/>
  <c r="C55" i="37" s="1"/>
  <c r="D24" i="37"/>
  <c r="C24" i="37" s="1"/>
  <c r="D32" i="37"/>
  <c r="C32" i="37" s="1"/>
  <c r="D40" i="37"/>
  <c r="C40" i="37" s="1"/>
  <c r="D48" i="37"/>
  <c r="C48" i="37" s="1"/>
  <c r="D56" i="37"/>
  <c r="C56" i="37" s="1"/>
  <c r="D25" i="37"/>
  <c r="C25" i="37" s="1"/>
  <c r="D33" i="37"/>
  <c r="C33" i="37" s="1"/>
  <c r="D41" i="37"/>
  <c r="C41" i="37" s="1"/>
  <c r="D49" i="37"/>
  <c r="C49" i="37" s="1"/>
  <c r="D57" i="37"/>
  <c r="C57" i="37" s="1"/>
  <c r="D26" i="37"/>
  <c r="C26" i="37" s="1"/>
  <c r="D34" i="37"/>
  <c r="C34" i="37" s="1"/>
  <c r="D42" i="37"/>
  <c r="C42" i="37" s="1"/>
  <c r="D50" i="37"/>
  <c r="C50" i="37" s="1"/>
  <c r="D43" i="37"/>
  <c r="C43" i="37" s="1"/>
  <c r="D28" i="37"/>
  <c r="C28" i="37" s="1"/>
  <c r="D36" i="37"/>
  <c r="C36" i="37" s="1"/>
  <c r="D44" i="37"/>
  <c r="C44" i="37" s="1"/>
  <c r="D52" i="37"/>
  <c r="C52" i="37" s="1"/>
  <c r="D29" i="37"/>
  <c r="C29" i="37" s="1"/>
  <c r="D37" i="37"/>
  <c r="C37" i="37" s="1"/>
  <c r="D45" i="37"/>
  <c r="C45" i="37" s="1"/>
  <c r="D53" i="37"/>
  <c r="C53" i="37" s="1"/>
  <c r="D30" i="37"/>
  <c r="C30" i="37" s="1"/>
  <c r="D38" i="37"/>
  <c r="C38" i="37" s="1"/>
  <c r="D46" i="37"/>
  <c r="C46" i="37" s="1"/>
  <c r="D54" i="37"/>
  <c r="C54" i="37" s="1"/>
  <c r="D27" i="37"/>
  <c r="C27" i="37" s="1"/>
  <c r="D35" i="37"/>
  <c r="C35" i="37" s="1"/>
  <c r="D51" i="37"/>
  <c r="C51" i="37" s="1"/>
  <c r="D58" i="29"/>
  <c r="C58" i="29" s="1"/>
  <c r="G55" i="29"/>
  <c r="F55" i="29" s="1"/>
  <c r="G51" i="29"/>
  <c r="F51" i="29" s="1"/>
  <c r="G47" i="29"/>
  <c r="F47" i="29" s="1"/>
  <c r="G43" i="29"/>
  <c r="F43" i="29" s="1"/>
  <c r="G57" i="29"/>
  <c r="F57" i="29" s="1"/>
  <c r="G54" i="29"/>
  <c r="F54" i="29" s="1"/>
  <c r="G50" i="29"/>
  <c r="F50" i="29" s="1"/>
  <c r="G46" i="29"/>
  <c r="F46" i="29" s="1"/>
  <c r="G42" i="29"/>
  <c r="F42" i="29" s="1"/>
  <c r="D59" i="29"/>
  <c r="C59" i="29" s="1"/>
  <c r="G56" i="29"/>
  <c r="F56" i="29" s="1"/>
  <c r="G59" i="29"/>
  <c r="F59" i="29" s="1"/>
  <c r="G49" i="29"/>
  <c r="F49" i="29" s="1"/>
  <c r="G44" i="29"/>
  <c r="F44" i="29" s="1"/>
  <c r="G53" i="29"/>
  <c r="F53" i="29" s="1"/>
  <c r="D57" i="29"/>
  <c r="C57" i="29" s="1"/>
  <c r="G41" i="29"/>
  <c r="F41" i="29" s="1"/>
  <c r="D56" i="29"/>
  <c r="C56" i="29" s="1"/>
  <c r="G45" i="29"/>
  <c r="F45" i="29" s="1"/>
  <c r="G40" i="29"/>
  <c r="F40" i="29" s="1"/>
  <c r="G58" i="29"/>
  <c r="F58" i="29" s="1"/>
  <c r="G48" i="29"/>
  <c r="F48" i="29" s="1"/>
  <c r="G52" i="29"/>
  <c r="F52" i="29" s="1"/>
  <c r="D18" i="37"/>
  <c r="C18" i="37" s="1"/>
  <c r="D31" i="51"/>
  <c r="D35" i="51"/>
  <c r="D29" i="51"/>
  <c r="D32" i="51"/>
  <c r="D27" i="51"/>
  <c r="D18" i="51"/>
  <c r="C18" i="51" s="1"/>
  <c r="D28" i="51"/>
  <c r="D26" i="51"/>
  <c r="D33" i="51"/>
  <c r="D25" i="51"/>
  <c r="C25" i="51" s="1"/>
  <c r="D37" i="51"/>
  <c r="D30" i="51"/>
  <c r="D36" i="51"/>
  <c r="D34" i="51"/>
  <c r="D24" i="51"/>
  <c r="C24" i="51" s="1"/>
  <c r="D22" i="53"/>
  <c r="D23" i="37"/>
  <c r="D22" i="37"/>
  <c r="D22" i="54"/>
  <c r="D19" i="51"/>
  <c r="D21" i="37"/>
  <c r="D19" i="37"/>
  <c r="D23" i="53"/>
  <c r="D20" i="37"/>
  <c r="D22" i="51"/>
  <c r="D23" i="54"/>
  <c r="C23" i="54" s="1"/>
  <c r="D23" i="51"/>
  <c r="D21" i="51"/>
  <c r="D20" i="51"/>
  <c r="D21" i="54"/>
  <c r="D21" i="53"/>
  <c r="D20" i="54"/>
  <c r="C20" i="54" s="1"/>
  <c r="D20" i="53"/>
  <c r="C19" i="53"/>
  <c r="K35" i="30"/>
  <c r="M34" i="30"/>
  <c r="R34" i="30"/>
  <c r="J25" i="30"/>
  <c r="Q28" i="30"/>
  <c r="Q24" i="30"/>
  <c r="S26" i="30"/>
  <c r="L46" i="30"/>
  <c r="L35" i="30"/>
  <c r="N46" i="30"/>
  <c r="N26" i="30"/>
  <c r="K40" i="30"/>
  <c r="M54" i="30"/>
  <c r="Q54" i="30"/>
  <c r="N53" i="30"/>
  <c r="N45" i="30"/>
  <c r="M40" i="30"/>
  <c r="O54" i="30"/>
  <c r="O32" i="30"/>
  <c r="L33" i="30"/>
  <c r="L28" i="30"/>
  <c r="K42" i="30"/>
  <c r="M41" i="30"/>
  <c r="P24" i="30"/>
  <c r="P45" i="30"/>
  <c r="R50" i="30"/>
  <c r="R54" i="30"/>
  <c r="J45" i="30"/>
  <c r="J34" i="30"/>
  <c r="S54" i="30"/>
  <c r="S38" i="30"/>
  <c r="L49" i="30"/>
  <c r="N52" i="30"/>
  <c r="K33" i="30"/>
  <c r="K52" i="30"/>
  <c r="K44" i="30"/>
  <c r="K45" i="30"/>
  <c r="K26" i="30"/>
  <c r="M28" i="30"/>
  <c r="M25" i="30"/>
  <c r="M47" i="30"/>
  <c r="M32" i="30"/>
  <c r="M46" i="30"/>
  <c r="P34" i="30"/>
  <c r="P49" i="30"/>
  <c r="P25" i="30"/>
  <c r="P28" i="30"/>
  <c r="R36" i="30"/>
  <c r="R31" i="30"/>
  <c r="R43" i="30"/>
  <c r="O51" i="30"/>
  <c r="O27" i="30"/>
  <c r="O53" i="30"/>
  <c r="J24" i="30"/>
  <c r="J29" i="30"/>
  <c r="J49" i="30"/>
  <c r="J36" i="30"/>
  <c r="J54" i="30"/>
  <c r="Q25" i="30"/>
  <c r="Q27" i="30"/>
  <c r="Q43" i="30"/>
  <c r="Q41" i="30"/>
  <c r="Q45" i="30"/>
  <c r="Q35" i="30"/>
  <c r="S28" i="30"/>
  <c r="S34" i="30"/>
  <c r="S36" i="30"/>
  <c r="L45" i="30"/>
  <c r="L32" i="30"/>
  <c r="L27" i="30"/>
  <c r="L42" i="30"/>
  <c r="N31" i="30"/>
  <c r="N50" i="30"/>
  <c r="N42" i="30"/>
  <c r="N47" i="30"/>
  <c r="N36" i="30"/>
  <c r="M39" i="30"/>
  <c r="M35" i="30"/>
  <c r="P27" i="30"/>
  <c r="R27" i="30"/>
  <c r="O52" i="30"/>
  <c r="Q47" i="30"/>
  <c r="L39" i="30"/>
  <c r="L41" i="30"/>
  <c r="K43" i="30"/>
  <c r="M53" i="30"/>
  <c r="M51" i="30"/>
  <c r="P38" i="30"/>
  <c r="P43" i="30"/>
  <c r="R24" i="30"/>
  <c r="O37" i="30"/>
  <c r="Q32" i="30"/>
  <c r="Q48" i="30"/>
  <c r="L24" i="30"/>
  <c r="N37" i="30"/>
  <c r="K54" i="30"/>
  <c r="K34" i="30"/>
  <c r="P54" i="30"/>
  <c r="R53" i="30"/>
  <c r="O46" i="30"/>
  <c r="J37" i="30"/>
  <c r="S39" i="30"/>
  <c r="S52" i="30"/>
  <c r="K29" i="30"/>
  <c r="O24" i="30"/>
  <c r="Q31" i="30"/>
  <c r="S53" i="30"/>
  <c r="L36" i="30"/>
  <c r="L40" i="30"/>
  <c r="N35" i="30"/>
  <c r="K27" i="30"/>
  <c r="K24" i="30"/>
  <c r="K47" i="30"/>
  <c r="M37" i="30"/>
  <c r="M27" i="30"/>
  <c r="M29" i="30"/>
  <c r="P31" i="30"/>
  <c r="P51" i="30"/>
  <c r="R39" i="30"/>
  <c r="R32" i="30"/>
  <c r="O40" i="30"/>
  <c r="O29" i="30"/>
  <c r="O49" i="30"/>
  <c r="O38" i="30"/>
  <c r="O42" i="30"/>
  <c r="O35" i="30"/>
  <c r="J47" i="30"/>
  <c r="J46" i="30"/>
  <c r="J33" i="30"/>
  <c r="J26" i="30"/>
  <c r="J53" i="30"/>
  <c r="Q39" i="30"/>
  <c r="Q46" i="30"/>
  <c r="Q26" i="30"/>
  <c r="S48" i="30"/>
  <c r="S44" i="30"/>
  <c r="S50" i="30"/>
  <c r="S32" i="30"/>
  <c r="S35" i="30"/>
  <c r="L50" i="30"/>
  <c r="L44" i="30"/>
  <c r="L48" i="30"/>
  <c r="N28" i="30"/>
  <c r="N38" i="30"/>
  <c r="N54" i="30"/>
  <c r="N25" i="30"/>
  <c r="N43" i="30"/>
  <c r="N32" i="30"/>
  <c r="M38" i="30"/>
  <c r="P32" i="30"/>
  <c r="P53" i="30"/>
  <c r="R46" i="30"/>
  <c r="J39" i="30"/>
  <c r="J27" i="30"/>
  <c r="S33" i="30"/>
  <c r="K25" i="30"/>
  <c r="K46" i="30"/>
  <c r="M44" i="30"/>
  <c r="P41" i="30"/>
  <c r="J41" i="30"/>
  <c r="S24" i="30"/>
  <c r="L38" i="30"/>
  <c r="K39" i="30"/>
  <c r="K28" i="30"/>
  <c r="P35" i="30"/>
  <c r="P29" i="30"/>
  <c r="R45" i="30"/>
  <c r="R33" i="30"/>
  <c r="O39" i="30"/>
  <c r="O33" i="30"/>
  <c r="O43" i="30"/>
  <c r="J50" i="30"/>
  <c r="Q37" i="30"/>
  <c r="Q52" i="30"/>
  <c r="S29" i="30"/>
  <c r="L31" i="30"/>
  <c r="M36" i="30"/>
  <c r="M26" i="30"/>
  <c r="P40" i="30"/>
  <c r="P44" i="30"/>
  <c r="R40" i="30"/>
  <c r="R49" i="30"/>
  <c r="J42" i="30"/>
  <c r="Q51" i="30"/>
  <c r="Q50" i="30"/>
  <c r="S31" i="30"/>
  <c r="L34" i="30"/>
  <c r="K38" i="30"/>
  <c r="K51" i="30"/>
  <c r="K37" i="30"/>
  <c r="M42" i="30"/>
  <c r="M52" i="30"/>
  <c r="M45" i="30"/>
  <c r="P37" i="30"/>
  <c r="P46" i="30"/>
  <c r="P42" i="30"/>
  <c r="R42" i="30"/>
  <c r="R38" i="30"/>
  <c r="O26" i="30"/>
  <c r="O41" i="30"/>
  <c r="O50" i="30"/>
  <c r="O36" i="30"/>
  <c r="O45" i="30"/>
  <c r="J31" i="30"/>
  <c r="J48" i="30"/>
  <c r="J35" i="30"/>
  <c r="J52" i="30"/>
  <c r="Q40" i="30"/>
  <c r="Q36" i="30"/>
  <c r="Q33" i="30"/>
  <c r="S45" i="30"/>
  <c r="S41" i="30"/>
  <c r="S47" i="30"/>
  <c r="S46" i="30"/>
  <c r="L52" i="30"/>
  <c r="L51" i="30"/>
  <c r="L29" i="30"/>
  <c r="N27" i="30"/>
  <c r="N34" i="30"/>
  <c r="N40" i="30"/>
  <c r="N33" i="30"/>
  <c r="N48" i="30"/>
  <c r="N24" i="30"/>
  <c r="K49" i="30"/>
  <c r="M50" i="30"/>
  <c r="P52" i="30"/>
  <c r="R37" i="30"/>
  <c r="R41" i="30"/>
  <c r="O31" i="30"/>
  <c r="O25" i="30"/>
  <c r="J51" i="30"/>
  <c r="J44" i="30"/>
  <c r="Q42" i="30"/>
  <c r="S49" i="30"/>
  <c r="L53" i="30"/>
  <c r="K41" i="30"/>
  <c r="M49" i="30"/>
  <c r="P33" i="30"/>
  <c r="R29" i="30"/>
  <c r="O28" i="30"/>
  <c r="O47" i="30"/>
  <c r="J28" i="30"/>
  <c r="Q44" i="30"/>
  <c r="S27" i="30"/>
  <c r="L25" i="30"/>
  <c r="K36" i="30"/>
  <c r="K32" i="30"/>
  <c r="K53" i="30"/>
  <c r="M48" i="30"/>
  <c r="R52" i="30"/>
  <c r="S43" i="30"/>
  <c r="L26" i="30"/>
  <c r="N49" i="30"/>
  <c r="P50" i="30"/>
  <c r="R47" i="30"/>
  <c r="R26" i="30"/>
  <c r="R25" i="30"/>
  <c r="O44" i="30"/>
  <c r="S51" i="30"/>
  <c r="S25" i="30"/>
  <c r="L37" i="30"/>
  <c r="K31" i="30"/>
  <c r="K48" i="30"/>
  <c r="K50" i="30"/>
  <c r="M24" i="30"/>
  <c r="M31" i="30"/>
  <c r="M33" i="30"/>
  <c r="M43" i="30"/>
  <c r="P39" i="30"/>
  <c r="P48" i="30"/>
  <c r="P26" i="30"/>
  <c r="P47" i="30"/>
  <c r="P36" i="30"/>
  <c r="R48" i="30"/>
  <c r="R28" i="30"/>
  <c r="R51" i="30"/>
  <c r="R44" i="30"/>
  <c r="R35" i="30"/>
  <c r="O34" i="30"/>
  <c r="O48" i="30"/>
  <c r="J38" i="30"/>
  <c r="J32" i="30"/>
  <c r="J43" i="30"/>
  <c r="J40" i="30"/>
  <c r="Q53" i="30"/>
  <c r="Q29" i="30"/>
  <c r="Q49" i="30"/>
  <c r="Q34" i="30"/>
  <c r="Q38" i="30"/>
  <c r="S40" i="30"/>
  <c r="S42" i="30"/>
  <c r="S37" i="30"/>
  <c r="L47" i="30"/>
  <c r="L54" i="30"/>
  <c r="L43" i="30"/>
  <c r="N39" i="30"/>
  <c r="N51" i="30"/>
  <c r="N41" i="30"/>
  <c r="N44" i="30"/>
  <c r="N29" i="30"/>
  <c r="L184" i="29"/>
  <c r="P185" i="29"/>
  <c r="S185" i="29"/>
  <c r="K185" i="29"/>
  <c r="M184" i="29"/>
  <c r="K121" i="29"/>
  <c r="Q185" i="29"/>
  <c r="R184" i="29"/>
  <c r="O185" i="29"/>
  <c r="J122" i="29"/>
  <c r="J184" i="29"/>
  <c r="N184" i="29"/>
  <c r="J20" i="30"/>
  <c r="K20" i="30"/>
  <c r="M19" i="30"/>
  <c r="R21" i="30"/>
  <c r="J19" i="30"/>
  <c r="N18" i="30"/>
  <c r="P20" i="30"/>
  <c r="P22" i="30"/>
  <c r="S21" i="30"/>
  <c r="K19" i="30"/>
  <c r="S20" i="30"/>
  <c r="S22" i="30"/>
  <c r="M22" i="30"/>
  <c r="O21" i="30"/>
  <c r="P18" i="30"/>
  <c r="R20" i="30"/>
  <c r="O20" i="30"/>
  <c r="L19" i="30"/>
  <c r="L20" i="30"/>
  <c r="N21" i="30"/>
  <c r="K18" i="30"/>
  <c r="Q22" i="30"/>
  <c r="M18" i="30"/>
  <c r="N22" i="30"/>
  <c r="K23" i="30"/>
  <c r="K21" i="30"/>
  <c r="M20" i="30"/>
  <c r="P19" i="30"/>
  <c r="R19" i="30"/>
  <c r="O19" i="30"/>
  <c r="O22" i="30"/>
  <c r="J22" i="30"/>
  <c r="J21" i="30"/>
  <c r="Q19" i="30"/>
  <c r="S19" i="30"/>
  <c r="L23" i="30"/>
  <c r="N20" i="30"/>
  <c r="Q18" i="30"/>
  <c r="R18" i="30"/>
  <c r="J18" i="30"/>
  <c r="K22" i="30"/>
  <c r="R22" i="30"/>
  <c r="L21" i="30"/>
  <c r="S18" i="30"/>
  <c r="O18" i="30"/>
  <c r="P21" i="30"/>
  <c r="M21" i="30"/>
  <c r="Q21" i="30"/>
  <c r="L22" i="30"/>
  <c r="N19" i="30"/>
  <c r="L18" i="30"/>
  <c r="L17" i="26"/>
  <c r="L17" i="30"/>
  <c r="N15" i="26"/>
  <c r="N15" i="30"/>
  <c r="R15" i="26"/>
  <c r="R15" i="30"/>
  <c r="R14" i="26"/>
  <c r="R14" i="30"/>
  <c r="J14" i="26"/>
  <c r="J14" i="30"/>
  <c r="N13" i="26"/>
  <c r="N13" i="30"/>
  <c r="N14" i="26"/>
  <c r="N14" i="30"/>
  <c r="M17" i="26"/>
  <c r="M17" i="30"/>
  <c r="O17" i="26"/>
  <c r="O17" i="30"/>
  <c r="N16" i="26"/>
  <c r="N16" i="30"/>
  <c r="K17" i="26"/>
  <c r="K17" i="30"/>
  <c r="M13" i="26"/>
  <c r="M13" i="30"/>
  <c r="P14" i="26"/>
  <c r="P14" i="30"/>
  <c r="J23" i="26"/>
  <c r="J23" i="30"/>
  <c r="Q14" i="26"/>
  <c r="Q14" i="30"/>
  <c r="S16" i="26"/>
  <c r="S16" i="30"/>
  <c r="L14" i="26"/>
  <c r="L14" i="30"/>
  <c r="L13" i="26"/>
  <c r="L13" i="30"/>
  <c r="J17" i="26"/>
  <c r="K16" i="26"/>
  <c r="K16" i="30"/>
  <c r="M16" i="26"/>
  <c r="M16" i="30"/>
  <c r="P13" i="26"/>
  <c r="P13" i="30"/>
  <c r="J15" i="26"/>
  <c r="J15" i="30"/>
  <c r="S17" i="26"/>
  <c r="S17" i="30"/>
  <c r="L16" i="26"/>
  <c r="L16" i="30"/>
  <c r="P17" i="26"/>
  <c r="P17" i="30"/>
  <c r="N17" i="26"/>
  <c r="N17" i="30"/>
  <c r="M15" i="26"/>
  <c r="M15" i="30"/>
  <c r="P23" i="26"/>
  <c r="P23" i="30"/>
  <c r="P16" i="26"/>
  <c r="P16" i="30"/>
  <c r="R13" i="26"/>
  <c r="R13" i="30"/>
  <c r="O23" i="26"/>
  <c r="O23" i="30"/>
  <c r="Q23" i="26"/>
  <c r="Q23" i="30"/>
  <c r="L15" i="26"/>
  <c r="L15" i="30"/>
  <c r="N23" i="26"/>
  <c r="N23" i="30"/>
  <c r="Q17" i="26"/>
  <c r="Q17" i="30"/>
  <c r="O13" i="26"/>
  <c r="O13" i="30"/>
  <c r="R16" i="26"/>
  <c r="R16" i="30"/>
  <c r="O16" i="26"/>
  <c r="O16" i="30"/>
  <c r="Q19" i="26"/>
  <c r="Q20" i="30"/>
  <c r="K13" i="26"/>
  <c r="K13" i="30"/>
  <c r="P15" i="26"/>
  <c r="P15" i="30"/>
  <c r="O15" i="26"/>
  <c r="O15" i="30"/>
  <c r="J13" i="26"/>
  <c r="J13" i="30"/>
  <c r="Q13" i="26"/>
  <c r="Q13" i="30"/>
  <c r="Q15" i="26"/>
  <c r="Q15" i="30"/>
  <c r="S15" i="26"/>
  <c r="S15" i="30"/>
  <c r="S13" i="26"/>
  <c r="S13" i="30"/>
  <c r="K14" i="26"/>
  <c r="K14" i="30"/>
  <c r="Q16" i="26"/>
  <c r="Q16" i="30"/>
  <c r="K15" i="26"/>
  <c r="K15" i="30"/>
  <c r="M14" i="26"/>
  <c r="M14" i="30"/>
  <c r="M23" i="26"/>
  <c r="M23" i="30"/>
  <c r="R23" i="26"/>
  <c r="R23" i="30"/>
  <c r="R17" i="26"/>
  <c r="R17" i="30"/>
  <c r="O14" i="26"/>
  <c r="O14" i="30"/>
  <c r="J16" i="26"/>
  <c r="J16" i="30"/>
  <c r="S23" i="26"/>
  <c r="S23" i="30"/>
  <c r="S14" i="26"/>
  <c r="S14" i="30"/>
  <c r="K18" i="26"/>
  <c r="R21" i="26"/>
  <c r="J21" i="26"/>
  <c r="L20" i="26"/>
  <c r="M18" i="26"/>
  <c r="P18" i="26"/>
  <c r="O20" i="26"/>
  <c r="K20" i="26"/>
  <c r="M19" i="26"/>
  <c r="R18" i="26"/>
  <c r="Q18" i="26"/>
  <c r="O21" i="26"/>
  <c r="J19" i="26"/>
  <c r="S21" i="26"/>
  <c r="O18" i="26"/>
  <c r="J20" i="26"/>
  <c r="S18" i="26"/>
  <c r="N19" i="26"/>
  <c r="P21" i="26"/>
  <c r="M21" i="26"/>
  <c r="Q21" i="26"/>
  <c r="L22" i="26"/>
  <c r="L23" i="26"/>
  <c r="K22" i="26"/>
  <c r="K23" i="26"/>
  <c r="J22" i="26"/>
  <c r="P22" i="26"/>
  <c r="O22" i="26"/>
  <c r="Q22" i="26"/>
  <c r="N22" i="26"/>
  <c r="M22" i="26"/>
  <c r="S22" i="26"/>
  <c r="R22" i="26"/>
  <c r="L21" i="26"/>
  <c r="K21" i="26"/>
  <c r="N21" i="26"/>
  <c r="S20" i="26"/>
  <c r="M20" i="26"/>
  <c r="Q20" i="26"/>
  <c r="N20" i="26"/>
  <c r="K19" i="26"/>
  <c r="P20" i="26"/>
  <c r="R20" i="26"/>
  <c r="P19" i="26"/>
  <c r="S19" i="26"/>
  <c r="R19" i="26"/>
  <c r="O19" i="26"/>
  <c r="L19" i="26"/>
  <c r="N18" i="26"/>
  <c r="L18" i="26"/>
  <c r="J18" i="26"/>
  <c r="U40" i="10"/>
  <c r="T40" i="10"/>
  <c r="U19" i="10"/>
  <c r="T19" i="10"/>
  <c r="U35" i="10"/>
  <c r="T35" i="10"/>
  <c r="U50" i="10"/>
  <c r="T50" i="10"/>
  <c r="T48" i="10"/>
  <c r="U48" i="10"/>
  <c r="U31" i="10"/>
  <c r="T31" i="10"/>
  <c r="U27" i="10"/>
  <c r="T27" i="10"/>
  <c r="T55" i="10"/>
  <c r="U55" i="10"/>
  <c r="T25" i="10"/>
  <c r="U25" i="10"/>
  <c r="U37" i="10"/>
  <c r="T37" i="10"/>
  <c r="U54" i="10"/>
  <c r="T54" i="10"/>
  <c r="U36" i="10"/>
  <c r="T36" i="10"/>
  <c r="T51" i="10"/>
  <c r="U51" i="10"/>
  <c r="T33" i="10"/>
  <c r="U33" i="10"/>
  <c r="U62" i="10"/>
  <c r="T62" i="10"/>
  <c r="U30" i="10"/>
  <c r="T30" i="10"/>
  <c r="U57" i="10"/>
  <c r="T57" i="10"/>
  <c r="D53" i="26"/>
  <c r="D45" i="26"/>
  <c r="D37" i="26"/>
  <c r="D29" i="26"/>
  <c r="D40" i="26"/>
  <c r="D24" i="26"/>
  <c r="D41" i="26"/>
  <c r="D42" i="26"/>
  <c r="D54" i="26"/>
  <c r="D46" i="26"/>
  <c r="D38" i="26"/>
  <c r="D30" i="26"/>
  <c r="D48" i="26"/>
  <c r="D49" i="26"/>
  <c r="D25" i="26"/>
  <c r="D34" i="26"/>
  <c r="D55" i="26"/>
  <c r="D47" i="26"/>
  <c r="D39" i="26"/>
  <c r="D31" i="26"/>
  <c r="D23" i="26"/>
  <c r="D56" i="26"/>
  <c r="D32" i="26"/>
  <c r="D57" i="26"/>
  <c r="D33" i="26"/>
  <c r="D50" i="26"/>
  <c r="D51" i="26"/>
  <c r="D43" i="26"/>
  <c r="D35" i="26"/>
  <c r="D27" i="26"/>
  <c r="D52" i="26"/>
  <c r="D44" i="26"/>
  <c r="D36" i="26"/>
  <c r="D28" i="26"/>
  <c r="D26" i="26"/>
  <c r="A40" i="24"/>
  <c r="A20" i="22"/>
  <c r="A37" i="22"/>
  <c r="A18" i="15"/>
  <c r="A42" i="15"/>
  <c r="A40" i="3"/>
  <c r="A30" i="2"/>
  <c r="A20" i="3"/>
  <c r="A40" i="23"/>
  <c r="A42" i="2"/>
  <c r="A20" i="23"/>
  <c r="A36" i="23"/>
  <c r="A41" i="15"/>
  <c r="A18" i="23"/>
  <c r="A20" i="24"/>
  <c r="A41" i="23"/>
  <c r="A30" i="15"/>
  <c r="A36" i="3"/>
  <c r="A43" i="2"/>
  <c r="A30" i="24"/>
  <c r="A18" i="22"/>
  <c r="A43" i="22"/>
  <c r="A40" i="15"/>
  <c r="A30" i="3"/>
  <c r="A20" i="2"/>
  <c r="A37" i="2"/>
  <c r="A42" i="23"/>
  <c r="A42" i="22"/>
  <c r="A36" i="24"/>
  <c r="A41" i="22"/>
  <c r="A18" i="2"/>
  <c r="A18" i="24"/>
  <c r="A42" i="24"/>
  <c r="A30" i="22"/>
  <c r="A20" i="15"/>
  <c r="A36" i="15"/>
  <c r="A18" i="3"/>
  <c r="A42" i="3"/>
  <c r="A41" i="2"/>
  <c r="A41" i="24"/>
  <c r="A30" i="23"/>
  <c r="A41" i="3"/>
  <c r="D18" i="26"/>
  <c r="D22" i="26"/>
  <c r="D20" i="26"/>
  <c r="D21" i="26"/>
  <c r="D19" i="26"/>
  <c r="U45" i="10"/>
  <c r="T45" i="10"/>
  <c r="T42" i="10"/>
  <c r="U42" i="10"/>
  <c r="U29" i="10"/>
  <c r="T29" i="10"/>
  <c r="U41" i="10"/>
  <c r="T41" i="10"/>
  <c r="U56" i="10"/>
  <c r="T56" i="10"/>
  <c r="U18" i="10"/>
  <c r="T18" i="10"/>
  <c r="G79" i="29" s="1"/>
  <c r="F124" i="26"/>
  <c r="F126" i="26"/>
  <c r="F125" i="26"/>
  <c r="F127" i="26"/>
  <c r="G5" i="3"/>
  <c r="I74" i="29" s="1"/>
  <c r="G35" i="17"/>
  <c r="G28" i="17"/>
  <c r="G20" i="17"/>
  <c r="G30" i="17"/>
  <c r="G38" i="17"/>
  <c r="D31" i="17"/>
  <c r="G36" i="17"/>
  <c r="G29" i="17"/>
  <c r="G21" i="17"/>
  <c r="G37" i="17"/>
  <c r="G22" i="17"/>
  <c r="G23" i="17"/>
  <c r="G31" i="17"/>
  <c r="G24" i="17"/>
  <c r="G26" i="17"/>
  <c r="G27" i="17"/>
  <c r="G32" i="17"/>
  <c r="G25" i="17"/>
  <c r="G33" i="17"/>
  <c r="G18" i="17"/>
  <c r="G34" i="17"/>
  <c r="G19" i="17"/>
  <c r="D25" i="17"/>
  <c r="D32" i="17"/>
  <c r="D35" i="17"/>
  <c r="D37" i="17"/>
  <c r="D26" i="17"/>
  <c r="D24" i="17"/>
  <c r="D29" i="17"/>
  <c r="D34" i="17"/>
  <c r="D38" i="17"/>
  <c r="D36" i="17"/>
  <c r="D27" i="17"/>
  <c r="D28" i="17"/>
  <c r="D23" i="17"/>
  <c r="D30" i="17"/>
  <c r="D33" i="17"/>
  <c r="D18" i="17"/>
  <c r="D19" i="17"/>
  <c r="D21" i="17"/>
  <c r="D22" i="17"/>
  <c r="D20" i="17"/>
  <c r="B134" i="17"/>
  <c r="I134" i="17" s="1"/>
  <c r="B142" i="17"/>
  <c r="I142" i="17" s="1"/>
  <c r="B131" i="17"/>
  <c r="I131" i="17" s="1"/>
  <c r="B139" i="17"/>
  <c r="I139" i="17" s="1"/>
  <c r="B145" i="17"/>
  <c r="I145" i="17" s="1"/>
  <c r="B132" i="17"/>
  <c r="I132" i="17" s="1"/>
  <c r="B146" i="17"/>
  <c r="I146" i="17" s="1"/>
  <c r="B140" i="17"/>
  <c r="I140" i="17" s="1"/>
  <c r="B133" i="17"/>
  <c r="I133" i="17" s="1"/>
  <c r="B138" i="17"/>
  <c r="I138" i="17" s="1"/>
  <c r="B137" i="17"/>
  <c r="I137" i="17" s="1"/>
  <c r="B143" i="17"/>
  <c r="I143" i="17" s="1"/>
  <c r="B130" i="17"/>
  <c r="I130" i="17" s="1"/>
  <c r="B128" i="17"/>
  <c r="I128" i="17" s="1"/>
  <c r="B135" i="17"/>
  <c r="I135" i="17" s="1"/>
  <c r="B147" i="17"/>
  <c r="I147" i="17" s="1"/>
  <c r="B129" i="17"/>
  <c r="I129" i="17" s="1"/>
  <c r="B144" i="17"/>
  <c r="I144" i="17" s="1"/>
  <c r="B136" i="17"/>
  <c r="I136" i="17" s="1"/>
  <c r="B141" i="17"/>
  <c r="I141" i="17" s="1"/>
  <c r="B148" i="17"/>
  <c r="I148" i="17" s="1"/>
  <c r="B165" i="17"/>
  <c r="I165" i="17" s="1"/>
  <c r="B157" i="17"/>
  <c r="I157" i="17" s="1"/>
  <c r="B149" i="17"/>
  <c r="I149" i="17" s="1"/>
  <c r="B166" i="17"/>
  <c r="I166" i="17" s="1"/>
  <c r="B158" i="17"/>
  <c r="I158" i="17" s="1"/>
  <c r="B150" i="17"/>
  <c r="I150" i="17" s="1"/>
  <c r="B162" i="17"/>
  <c r="I162" i="17" s="1"/>
  <c r="B154" i="17"/>
  <c r="I154" i="17" s="1"/>
  <c r="B167" i="17"/>
  <c r="I167" i="17" s="1"/>
  <c r="B155" i="17"/>
  <c r="I155" i="17" s="1"/>
  <c r="B164" i="17"/>
  <c r="I164" i="17" s="1"/>
  <c r="B163" i="17"/>
  <c r="I163" i="17" s="1"/>
  <c r="B156" i="17"/>
  <c r="I156" i="17" s="1"/>
  <c r="B151" i="17"/>
  <c r="I151" i="17" s="1"/>
  <c r="B159" i="17"/>
  <c r="I159" i="17" s="1"/>
  <c r="B160" i="17"/>
  <c r="I160" i="17" s="1"/>
  <c r="B152" i="17"/>
  <c r="I152" i="17" s="1"/>
  <c r="B161" i="17"/>
  <c r="I161" i="17" s="1"/>
  <c r="B153" i="17"/>
  <c r="I153" i="17" s="1"/>
  <c r="G54" i="17"/>
  <c r="G46" i="17"/>
  <c r="D56" i="17"/>
  <c r="G50" i="17"/>
  <c r="G41" i="17"/>
  <c r="G40" i="17"/>
  <c r="G56" i="17"/>
  <c r="D55" i="17"/>
  <c r="G51" i="17"/>
  <c r="G42" i="17"/>
  <c r="G53" i="17"/>
  <c r="G48" i="17"/>
  <c r="G47" i="17"/>
  <c r="G44" i="17"/>
  <c r="G52" i="17"/>
  <c r="D57" i="17"/>
  <c r="G45" i="17"/>
  <c r="G57" i="17"/>
  <c r="G55" i="17"/>
  <c r="G49" i="17"/>
  <c r="G39" i="17"/>
  <c r="G43" i="17"/>
  <c r="Y52" i="10"/>
  <c r="G43" i="46" s="1"/>
  <c r="Y58" i="10"/>
  <c r="G49" i="46" s="1"/>
  <c r="M60" i="64" l="1"/>
  <c r="J60" i="64"/>
  <c r="L59" i="64"/>
  <c r="M59" i="64"/>
  <c r="N59" i="64"/>
  <c r="O60" i="64"/>
  <c r="L60" i="64"/>
  <c r="N60" i="64"/>
  <c r="S59" i="64"/>
  <c r="F17" i="64"/>
  <c r="J59" i="64"/>
  <c r="R60" i="64"/>
  <c r="Q59" i="64"/>
  <c r="K60" i="64"/>
  <c r="P59" i="64"/>
  <c r="O59" i="64"/>
  <c r="F14" i="64"/>
  <c r="Q60" i="64"/>
  <c r="F15" i="64"/>
  <c r="K59" i="64"/>
  <c r="P60" i="64"/>
  <c r="R59" i="64"/>
  <c r="S60" i="64"/>
  <c r="F16" i="64"/>
  <c r="F20" i="64"/>
  <c r="F18" i="64"/>
  <c r="F19" i="64"/>
  <c r="F21" i="64"/>
  <c r="I60" i="64"/>
  <c r="I59" i="64"/>
  <c r="F13" i="64"/>
  <c r="I60" i="37"/>
  <c r="C62" i="63"/>
  <c r="C63" i="63" s="1"/>
  <c r="C64" i="63" s="1"/>
  <c r="F22" i="63"/>
  <c r="F19" i="63"/>
  <c r="I59" i="37"/>
  <c r="I73" i="37" s="1"/>
  <c r="R59" i="37"/>
  <c r="R77" i="37" s="1"/>
  <c r="J59" i="37"/>
  <c r="J77" i="37" s="1"/>
  <c r="L60" i="37"/>
  <c r="F16" i="37"/>
  <c r="F14" i="37"/>
  <c r="P60" i="37"/>
  <c r="F15" i="37"/>
  <c r="F17" i="37"/>
  <c r="Q60" i="37"/>
  <c r="J60" i="37"/>
  <c r="P59" i="37"/>
  <c r="P66" i="37" s="1"/>
  <c r="S60" i="37"/>
  <c r="R60" i="37"/>
  <c r="N60" i="37"/>
  <c r="K59" i="37"/>
  <c r="K66" i="37" s="1"/>
  <c r="M60" i="37"/>
  <c r="L59" i="37"/>
  <c r="L73" i="37" s="1"/>
  <c r="O59" i="37"/>
  <c r="O77" i="37" s="1"/>
  <c r="F13" i="63"/>
  <c r="I60" i="63"/>
  <c r="I59" i="63"/>
  <c r="F23" i="63"/>
  <c r="F21" i="63"/>
  <c r="F13" i="37"/>
  <c r="O60" i="37"/>
  <c r="F19" i="37"/>
  <c r="F22" i="37"/>
  <c r="M60" i="63"/>
  <c r="M59" i="63"/>
  <c r="R60" i="63"/>
  <c r="R59" i="63"/>
  <c r="F18" i="63"/>
  <c r="F14" i="63"/>
  <c r="N59" i="63"/>
  <c r="N60" i="63"/>
  <c r="J59" i="63"/>
  <c r="J60" i="63"/>
  <c r="N59" i="37"/>
  <c r="N73" i="37" s="1"/>
  <c r="M59" i="37"/>
  <c r="M66" i="37" s="1"/>
  <c r="Q59" i="37"/>
  <c r="Q73" i="37" s="1"/>
  <c r="P60" i="63"/>
  <c r="P59" i="63"/>
  <c r="F20" i="63"/>
  <c r="Q60" i="63"/>
  <c r="Q59" i="63"/>
  <c r="O59" i="63"/>
  <c r="O60" i="63"/>
  <c r="S59" i="37"/>
  <c r="S77" i="37" s="1"/>
  <c r="K60" i="37"/>
  <c r="F23" i="37"/>
  <c r="K60" i="63"/>
  <c r="K59" i="63"/>
  <c r="F17" i="63"/>
  <c r="S59" i="63"/>
  <c r="S60" i="63"/>
  <c r="F16" i="63"/>
  <c r="L59" i="63"/>
  <c r="L60" i="63"/>
  <c r="F15" i="63"/>
  <c r="F20" i="37"/>
  <c r="F21" i="37"/>
  <c r="G170" i="17"/>
  <c r="T55" i="51"/>
  <c r="T54" i="62"/>
  <c r="T57" i="62"/>
  <c r="T57" i="51"/>
  <c r="C19" i="62"/>
  <c r="C20" i="62" s="1"/>
  <c r="C21" i="62" s="1"/>
  <c r="C22" i="62" s="1"/>
  <c r="T55" i="62"/>
  <c r="H60" i="52"/>
  <c r="H61" i="52"/>
  <c r="AJ45" i="62"/>
  <c r="AW45" i="62" s="1"/>
  <c r="F45" i="62"/>
  <c r="AE56" i="62"/>
  <c r="F56" i="62"/>
  <c r="AJ26" i="62"/>
  <c r="AW26" i="62" s="1"/>
  <c r="F26" i="62"/>
  <c r="AJ43" i="62"/>
  <c r="AW43" i="62" s="1"/>
  <c r="F43" i="62"/>
  <c r="T56" i="51"/>
  <c r="AJ28" i="62"/>
  <c r="AW28" i="62" s="1"/>
  <c r="F28" i="62"/>
  <c r="AJ44" i="62"/>
  <c r="AW44" i="62" s="1"/>
  <c r="F44" i="62"/>
  <c r="AJ47" i="62"/>
  <c r="AW47" i="62" s="1"/>
  <c r="F47" i="62"/>
  <c r="AJ25" i="62"/>
  <c r="AW25" i="62" s="1"/>
  <c r="F25" i="62"/>
  <c r="H63" i="49"/>
  <c r="H62" i="49"/>
  <c r="F58" i="61"/>
  <c r="AB58" i="61"/>
  <c r="AJ35" i="62"/>
  <c r="AW35" i="62" s="1"/>
  <c r="F35" i="62"/>
  <c r="AJ40" i="62"/>
  <c r="AW40" i="62" s="1"/>
  <c r="F40" i="62"/>
  <c r="AJ42" i="62"/>
  <c r="AW42" i="62" s="1"/>
  <c r="F42" i="62"/>
  <c r="AJ21" i="62"/>
  <c r="AW21" i="62" s="1"/>
  <c r="F21" i="62"/>
  <c r="AJ19" i="62"/>
  <c r="AW19" i="62" s="1"/>
  <c r="F19" i="62"/>
  <c r="AJ30" i="62"/>
  <c r="AW30" i="62" s="1"/>
  <c r="F30" i="62"/>
  <c r="AJ46" i="62"/>
  <c r="AW46" i="62" s="1"/>
  <c r="F46" i="62"/>
  <c r="AJ51" i="62"/>
  <c r="AW51" i="62" s="1"/>
  <c r="F51" i="62"/>
  <c r="AJ29" i="62"/>
  <c r="AW29" i="62" s="1"/>
  <c r="F29" i="62"/>
  <c r="F55" i="62"/>
  <c r="AE55" i="62"/>
  <c r="AJ22" i="62"/>
  <c r="AW22" i="62" s="1"/>
  <c r="F22" i="62"/>
  <c r="I60" i="52"/>
  <c r="I61" i="52"/>
  <c r="AB57" i="61"/>
  <c r="F57" i="61"/>
  <c r="AJ49" i="62"/>
  <c r="AW49" i="62" s="1"/>
  <c r="F49" i="62"/>
  <c r="AJ32" i="62"/>
  <c r="AW32" i="62" s="1"/>
  <c r="F32" i="62"/>
  <c r="K62" i="49"/>
  <c r="K63" i="49"/>
  <c r="G61" i="61"/>
  <c r="F40" i="61"/>
  <c r="AJ18" i="62"/>
  <c r="AW18" i="62" s="1"/>
  <c r="G59" i="62"/>
  <c r="F61" i="62" s="1"/>
  <c r="F18" i="62"/>
  <c r="AJ34" i="62"/>
  <c r="AW34" i="62" s="1"/>
  <c r="F34" i="62"/>
  <c r="AJ50" i="62"/>
  <c r="AW50" i="62" s="1"/>
  <c r="F50" i="62"/>
  <c r="AE54" i="62"/>
  <c r="F54" i="62"/>
  <c r="AJ27" i="62"/>
  <c r="AW27" i="62" s="1"/>
  <c r="F27" i="62"/>
  <c r="AE57" i="62"/>
  <c r="F57" i="62"/>
  <c r="AJ37" i="62"/>
  <c r="AW37" i="62" s="1"/>
  <c r="F37" i="62"/>
  <c r="AJ38" i="62"/>
  <c r="AW38" i="62" s="1"/>
  <c r="F38" i="62"/>
  <c r="T33" i="51"/>
  <c r="AJ24" i="62"/>
  <c r="AW24" i="62" s="1"/>
  <c r="F24" i="62"/>
  <c r="AJ39" i="62"/>
  <c r="AW39" i="62" s="1"/>
  <c r="F39" i="62"/>
  <c r="F56" i="61"/>
  <c r="AB56" i="61"/>
  <c r="AJ48" i="62"/>
  <c r="AW48" i="62" s="1"/>
  <c r="F48" i="62"/>
  <c r="AJ23" i="62"/>
  <c r="AW23" i="62" s="1"/>
  <c r="F23" i="62"/>
  <c r="AJ53" i="62"/>
  <c r="AW53" i="62" s="1"/>
  <c r="F53" i="62"/>
  <c r="AJ33" i="62"/>
  <c r="AW33" i="62" s="1"/>
  <c r="AX33" i="62" s="1"/>
  <c r="T33" i="62"/>
  <c r="AE33" i="62"/>
  <c r="F33" i="62"/>
  <c r="K60" i="52"/>
  <c r="K61" i="52"/>
  <c r="T54" i="51"/>
  <c r="I62" i="49"/>
  <c r="I63" i="49"/>
  <c r="AB59" i="61"/>
  <c r="F59" i="61"/>
  <c r="AJ20" i="62"/>
  <c r="AW20" i="62" s="1"/>
  <c r="F20" i="62"/>
  <c r="AJ36" i="62"/>
  <c r="AW36" i="62" s="1"/>
  <c r="F36" i="62"/>
  <c r="AJ52" i="62"/>
  <c r="AW52" i="62" s="1"/>
  <c r="F52" i="62"/>
  <c r="AJ31" i="62"/>
  <c r="AW31" i="62" s="1"/>
  <c r="F31" i="62"/>
  <c r="AJ41" i="62"/>
  <c r="AW41" i="62" s="1"/>
  <c r="F41" i="62"/>
  <c r="P62" i="46"/>
  <c r="F55" i="46"/>
  <c r="F54" i="46"/>
  <c r="F26" i="46"/>
  <c r="O61" i="46"/>
  <c r="S62" i="46"/>
  <c r="F53" i="46"/>
  <c r="Q61" i="46"/>
  <c r="F18" i="46"/>
  <c r="F47" i="46"/>
  <c r="L62" i="46"/>
  <c r="O62" i="46"/>
  <c r="J61" i="46"/>
  <c r="F33" i="46"/>
  <c r="F39" i="46"/>
  <c r="K61" i="46"/>
  <c r="F44" i="46"/>
  <c r="N61" i="46"/>
  <c r="P61" i="46"/>
  <c r="F34" i="46"/>
  <c r="R61" i="46"/>
  <c r="F30" i="46"/>
  <c r="M61" i="46"/>
  <c r="F24" i="46"/>
  <c r="Q62" i="46"/>
  <c r="F51" i="46"/>
  <c r="F48" i="46"/>
  <c r="F32" i="46"/>
  <c r="M62" i="46"/>
  <c r="S61" i="46"/>
  <c r="F23" i="46"/>
  <c r="L61" i="46"/>
  <c r="F21" i="46"/>
  <c r="K62" i="46"/>
  <c r="R62" i="46"/>
  <c r="I61" i="46"/>
  <c r="J62" i="46"/>
  <c r="N62" i="46"/>
  <c r="Y39" i="10"/>
  <c r="G35" i="46" s="1"/>
  <c r="F35" i="46" s="1"/>
  <c r="U39" i="10"/>
  <c r="T39" i="10"/>
  <c r="G93" i="29"/>
  <c r="F93" i="29" s="1"/>
  <c r="G170" i="29"/>
  <c r="F170" i="29" s="1"/>
  <c r="G162" i="29"/>
  <c r="F162" i="29" s="1"/>
  <c r="G111" i="29"/>
  <c r="F111" i="29" s="1"/>
  <c r="G105" i="29"/>
  <c r="F105" i="29" s="1"/>
  <c r="G84" i="29"/>
  <c r="F84" i="29" s="1"/>
  <c r="G90" i="29"/>
  <c r="F90" i="29" s="1"/>
  <c r="G97" i="29"/>
  <c r="F97" i="29" s="1"/>
  <c r="G174" i="29"/>
  <c r="F174" i="29" s="1"/>
  <c r="G168" i="29"/>
  <c r="F168" i="29" s="1"/>
  <c r="G147" i="29"/>
  <c r="F147" i="29" s="1"/>
  <c r="G153" i="29"/>
  <c r="F153" i="29" s="1"/>
  <c r="G88" i="29"/>
  <c r="F88" i="29" s="1"/>
  <c r="G156" i="29"/>
  <c r="F156" i="29" s="1"/>
  <c r="G161" i="29"/>
  <c r="F161" i="29" s="1"/>
  <c r="G171" i="29"/>
  <c r="F171" i="29" s="1"/>
  <c r="G102" i="29"/>
  <c r="F102" i="29" s="1"/>
  <c r="G83" i="29"/>
  <c r="F83" i="29" s="1"/>
  <c r="G100" i="29"/>
  <c r="F100" i="29" s="1"/>
  <c r="G159" i="29"/>
  <c r="F159" i="29" s="1"/>
  <c r="G152" i="29"/>
  <c r="F152" i="29" s="1"/>
  <c r="G151" i="29"/>
  <c r="F151" i="29" s="1"/>
  <c r="G108" i="29"/>
  <c r="F108" i="29" s="1"/>
  <c r="G163" i="29"/>
  <c r="F163" i="29" s="1"/>
  <c r="G142" i="29"/>
  <c r="F142" i="29" s="1"/>
  <c r="G98" i="29"/>
  <c r="F98" i="29" s="1"/>
  <c r="G87" i="29"/>
  <c r="F87" i="29" s="1"/>
  <c r="G92" i="29"/>
  <c r="F92" i="29" s="1"/>
  <c r="G169" i="29"/>
  <c r="F169" i="29" s="1"/>
  <c r="G101" i="29"/>
  <c r="F101" i="29" s="1"/>
  <c r="G160" i="29"/>
  <c r="F160" i="29" s="1"/>
  <c r="G80" i="29"/>
  <c r="F80" i="29" s="1"/>
  <c r="G86" i="29"/>
  <c r="F86" i="29" s="1"/>
  <c r="G89" i="29"/>
  <c r="F89" i="29" s="1"/>
  <c r="G143" i="29"/>
  <c r="F143" i="29" s="1"/>
  <c r="G149" i="29"/>
  <c r="F149" i="29" s="1"/>
  <c r="G165" i="29"/>
  <c r="F165" i="29" s="1"/>
  <c r="G146" i="29"/>
  <c r="F146" i="29" s="1"/>
  <c r="G96" i="29"/>
  <c r="F96" i="29" s="1"/>
  <c r="G107" i="29"/>
  <c r="F107" i="29" s="1"/>
  <c r="G99" i="29"/>
  <c r="F99" i="29" s="1"/>
  <c r="G150" i="29"/>
  <c r="F150" i="29" s="1"/>
  <c r="G155" i="29"/>
  <c r="F155" i="29" s="1"/>
  <c r="G106" i="29"/>
  <c r="F106" i="29" s="1"/>
  <c r="G164" i="29"/>
  <c r="F164" i="29" s="1"/>
  <c r="F31" i="51"/>
  <c r="AJ31" i="51"/>
  <c r="AW31" i="51" s="1"/>
  <c r="F57" i="51"/>
  <c r="AE57" i="51"/>
  <c r="F24" i="51"/>
  <c r="AJ24" i="51"/>
  <c r="AW24" i="51" s="1"/>
  <c r="F29" i="51"/>
  <c r="AJ29" i="51"/>
  <c r="AW29" i="51" s="1"/>
  <c r="F30" i="51"/>
  <c r="AJ30" i="51"/>
  <c r="AW30" i="51" s="1"/>
  <c r="F55" i="51"/>
  <c r="AE55" i="51"/>
  <c r="F35" i="51"/>
  <c r="AJ35" i="51"/>
  <c r="AW35" i="51" s="1"/>
  <c r="F33" i="51"/>
  <c r="AJ33" i="51"/>
  <c r="AW33" i="51" s="1"/>
  <c r="AX33" i="51" s="1"/>
  <c r="AE33" i="51"/>
  <c r="F34" i="51"/>
  <c r="AJ34" i="51"/>
  <c r="AW34" i="51" s="1"/>
  <c r="F40" i="51"/>
  <c r="AJ40" i="51"/>
  <c r="AW40" i="51" s="1"/>
  <c r="F28" i="51"/>
  <c r="AJ28" i="51"/>
  <c r="AW28" i="51" s="1"/>
  <c r="F51" i="51"/>
  <c r="AJ51" i="51"/>
  <c r="AW51" i="51" s="1"/>
  <c r="F56" i="51"/>
  <c r="AE56" i="51"/>
  <c r="F41" i="51"/>
  <c r="AJ41" i="51"/>
  <c r="AW41" i="51" s="1"/>
  <c r="F42" i="51"/>
  <c r="AJ42" i="51"/>
  <c r="AW42" i="51" s="1"/>
  <c r="F48" i="51"/>
  <c r="AJ48" i="51"/>
  <c r="AW48" i="51" s="1"/>
  <c r="F54" i="51"/>
  <c r="AE54" i="51"/>
  <c r="F25" i="51"/>
  <c r="AJ25" i="51"/>
  <c r="AW25" i="51" s="1"/>
  <c r="F37" i="51"/>
  <c r="AJ37" i="51"/>
  <c r="AW37" i="51" s="1"/>
  <c r="F36" i="51"/>
  <c r="AJ36" i="51"/>
  <c r="AW36" i="51" s="1"/>
  <c r="F27" i="51"/>
  <c r="AJ27" i="51"/>
  <c r="AW27" i="51" s="1"/>
  <c r="F39" i="51"/>
  <c r="AJ39" i="51"/>
  <c r="AW39" i="51" s="1"/>
  <c r="F45" i="51"/>
  <c r="AJ45" i="51"/>
  <c r="AW45" i="51" s="1"/>
  <c r="F46" i="51"/>
  <c r="AJ46" i="51"/>
  <c r="AW46" i="51" s="1"/>
  <c r="F19" i="51"/>
  <c r="AJ19" i="51"/>
  <c r="AW19" i="51" s="1"/>
  <c r="F26" i="51"/>
  <c r="AJ26" i="51"/>
  <c r="AW26" i="51" s="1"/>
  <c r="F23" i="51"/>
  <c r="AJ23" i="51"/>
  <c r="AW23" i="51" s="1"/>
  <c r="F38" i="51"/>
  <c r="AJ38" i="51"/>
  <c r="AW38" i="51" s="1"/>
  <c r="F32" i="51"/>
  <c r="AJ32" i="51"/>
  <c r="AW32" i="51" s="1"/>
  <c r="F47" i="51"/>
  <c r="AJ47" i="51"/>
  <c r="AW47" i="51" s="1"/>
  <c r="F44" i="51"/>
  <c r="AJ44" i="51"/>
  <c r="AW44" i="51" s="1"/>
  <c r="F49" i="51"/>
  <c r="AJ49" i="51"/>
  <c r="AW49" i="51" s="1"/>
  <c r="AJ18" i="51"/>
  <c r="AW18" i="51" s="1"/>
  <c r="F50" i="51"/>
  <c r="AJ50" i="51"/>
  <c r="AW50" i="51" s="1"/>
  <c r="F20" i="51"/>
  <c r="AJ20" i="51"/>
  <c r="AW20" i="51" s="1"/>
  <c r="F52" i="51"/>
  <c r="AJ52" i="51"/>
  <c r="AW52" i="51" s="1"/>
  <c r="F43" i="51"/>
  <c r="AJ43" i="51"/>
  <c r="AW43" i="51" s="1"/>
  <c r="F21" i="51"/>
  <c r="AJ21" i="51"/>
  <c r="AW21" i="51" s="1"/>
  <c r="F53" i="51"/>
  <c r="AJ53" i="51"/>
  <c r="AW53" i="51" s="1"/>
  <c r="F22" i="51"/>
  <c r="AJ22" i="51"/>
  <c r="AW22" i="51" s="1"/>
  <c r="AE56" i="50"/>
  <c r="AE57" i="50"/>
  <c r="AE59" i="50"/>
  <c r="AE58" i="50"/>
  <c r="F55" i="50"/>
  <c r="F45" i="50"/>
  <c r="F56" i="50"/>
  <c r="F42" i="50"/>
  <c r="F44" i="50"/>
  <c r="F49" i="50"/>
  <c r="F51" i="50"/>
  <c r="F41" i="50"/>
  <c r="F57" i="50"/>
  <c r="F48" i="50"/>
  <c r="F50" i="50"/>
  <c r="F53" i="50"/>
  <c r="F54" i="50"/>
  <c r="F43" i="50"/>
  <c r="F52" i="50"/>
  <c r="F47" i="50"/>
  <c r="F59" i="50"/>
  <c r="F58" i="50"/>
  <c r="F46" i="50"/>
  <c r="I62" i="46"/>
  <c r="I121" i="29"/>
  <c r="I122" i="29"/>
  <c r="Y13" i="10"/>
  <c r="G16" i="46" s="1"/>
  <c r="Y9" i="10"/>
  <c r="G14" i="46" s="1"/>
  <c r="Y14" i="10"/>
  <c r="G17" i="46" s="1"/>
  <c r="F29" i="46"/>
  <c r="F46" i="46"/>
  <c r="F41" i="46"/>
  <c r="F28" i="46"/>
  <c r="F27" i="46"/>
  <c r="Y28" i="10"/>
  <c r="G25" i="46" s="1"/>
  <c r="Y66" i="10"/>
  <c r="G52" i="46" s="1"/>
  <c r="F45" i="46"/>
  <c r="F40" i="46"/>
  <c r="Y59" i="10"/>
  <c r="G50" i="46" s="1"/>
  <c r="F49" i="46"/>
  <c r="F36" i="46"/>
  <c r="Y23" i="10"/>
  <c r="G22" i="46" s="1"/>
  <c r="F20" i="46"/>
  <c r="F42" i="46"/>
  <c r="F19" i="46"/>
  <c r="F37" i="46"/>
  <c r="F38" i="46"/>
  <c r="C26" i="51"/>
  <c r="C27" i="51"/>
  <c r="C21" i="54"/>
  <c r="C20" i="53"/>
  <c r="C21" i="53" s="1"/>
  <c r="C19" i="51"/>
  <c r="C20" i="51" s="1"/>
  <c r="C21" i="51" s="1"/>
  <c r="C22" i="51" s="1"/>
  <c r="C23" i="51" s="1"/>
  <c r="G123" i="30"/>
  <c r="F123" i="30" s="1"/>
  <c r="G122" i="30"/>
  <c r="F122" i="30" s="1"/>
  <c r="F101" i="30"/>
  <c r="D96" i="53"/>
  <c r="C96" i="53" s="1"/>
  <c r="D151" i="53"/>
  <c r="C151" i="53" s="1"/>
  <c r="C41" i="53"/>
  <c r="C22" i="54"/>
  <c r="D133" i="53"/>
  <c r="D78" i="53"/>
  <c r="C78" i="53" s="1"/>
  <c r="C23" i="53"/>
  <c r="G185" i="30"/>
  <c r="F185" i="30" s="1"/>
  <c r="G186" i="30"/>
  <c r="F186" i="30" s="1"/>
  <c r="F164" i="30"/>
  <c r="D149" i="53"/>
  <c r="C149" i="53" s="1"/>
  <c r="C39" i="53"/>
  <c r="D94" i="53"/>
  <c r="C94" i="53" s="1"/>
  <c r="D137" i="53"/>
  <c r="C137" i="53" s="1"/>
  <c r="C27" i="53"/>
  <c r="D82" i="53"/>
  <c r="C82" i="53" s="1"/>
  <c r="C36" i="53"/>
  <c r="D146" i="53"/>
  <c r="C146" i="53" s="1"/>
  <c r="D91" i="53"/>
  <c r="C91" i="53" s="1"/>
  <c r="D152" i="53"/>
  <c r="C152" i="53" s="1"/>
  <c r="D97" i="53"/>
  <c r="C97" i="53" s="1"/>
  <c r="C42" i="53"/>
  <c r="G59" i="51"/>
  <c r="F61" i="51" s="1"/>
  <c r="F18" i="51"/>
  <c r="D131" i="53"/>
  <c r="D76" i="53"/>
  <c r="F18" i="37"/>
  <c r="G59" i="37"/>
  <c r="G77" i="37" s="1"/>
  <c r="G60" i="37"/>
  <c r="D140" i="53"/>
  <c r="C140" i="53" s="1"/>
  <c r="D85" i="53"/>
  <c r="C85" i="53" s="1"/>
  <c r="C30" i="53"/>
  <c r="D141" i="53"/>
  <c r="C141" i="53" s="1"/>
  <c r="C31" i="53"/>
  <c r="D86" i="53"/>
  <c r="C86" i="53" s="1"/>
  <c r="D104" i="53"/>
  <c r="C104" i="53" s="1"/>
  <c r="D159" i="53"/>
  <c r="C159" i="53" s="1"/>
  <c r="C49" i="53"/>
  <c r="C19" i="37"/>
  <c r="C20" i="37" s="1"/>
  <c r="C21" i="37" s="1"/>
  <c r="G62" i="29"/>
  <c r="G61" i="29"/>
  <c r="D118" i="29"/>
  <c r="C118" i="29" s="1"/>
  <c r="D181" i="29"/>
  <c r="C181" i="29" s="1"/>
  <c r="D138" i="53"/>
  <c r="C138" i="53" s="1"/>
  <c r="D83" i="53"/>
  <c r="C83" i="53" s="1"/>
  <c r="C28" i="53"/>
  <c r="D147" i="53"/>
  <c r="C147" i="53" s="1"/>
  <c r="D92" i="53"/>
  <c r="C92" i="53" s="1"/>
  <c r="C37" i="53"/>
  <c r="D162" i="53"/>
  <c r="C162" i="53" s="1"/>
  <c r="C52" i="53"/>
  <c r="D107" i="53"/>
  <c r="C107" i="53" s="1"/>
  <c r="D160" i="53"/>
  <c r="C160" i="53" s="1"/>
  <c r="D105" i="53"/>
  <c r="C105" i="53" s="1"/>
  <c r="C50" i="53"/>
  <c r="D117" i="29"/>
  <c r="C117" i="29" s="1"/>
  <c r="D180" i="29"/>
  <c r="C180" i="29" s="1"/>
  <c r="C35" i="53"/>
  <c r="D90" i="53"/>
  <c r="C90" i="53" s="1"/>
  <c r="D145" i="53"/>
  <c r="C145" i="53" s="1"/>
  <c r="D95" i="53"/>
  <c r="C95" i="53" s="1"/>
  <c r="C40" i="53"/>
  <c r="D150" i="53"/>
  <c r="C150" i="53" s="1"/>
  <c r="G61" i="50"/>
  <c r="F40" i="50"/>
  <c r="D103" i="53"/>
  <c r="C103" i="53" s="1"/>
  <c r="D158" i="53"/>
  <c r="C158" i="53" s="1"/>
  <c r="C48" i="53"/>
  <c r="D98" i="53"/>
  <c r="C98" i="53" s="1"/>
  <c r="D153" i="53"/>
  <c r="C153" i="53" s="1"/>
  <c r="C43" i="53"/>
  <c r="D154" i="53"/>
  <c r="C154" i="53" s="1"/>
  <c r="C44" i="53"/>
  <c r="D99" i="53"/>
  <c r="C99" i="53" s="1"/>
  <c r="D163" i="53"/>
  <c r="C163" i="53" s="1"/>
  <c r="C53" i="53"/>
  <c r="D108" i="53"/>
  <c r="C108" i="53" s="1"/>
  <c r="D80" i="53"/>
  <c r="C80" i="53" s="1"/>
  <c r="D135" i="53"/>
  <c r="C135" i="53" s="1"/>
  <c r="C25" i="53"/>
  <c r="D112" i="53"/>
  <c r="C112" i="53" s="1"/>
  <c r="C57" i="53"/>
  <c r="D167" i="53"/>
  <c r="C167" i="53" s="1"/>
  <c r="D79" i="53"/>
  <c r="C79" i="53" s="1"/>
  <c r="D134" i="53"/>
  <c r="C134" i="53" s="1"/>
  <c r="C24" i="53"/>
  <c r="D111" i="53"/>
  <c r="C111" i="53" s="1"/>
  <c r="C56" i="53"/>
  <c r="D166" i="53"/>
  <c r="C166" i="53" s="1"/>
  <c r="D77" i="53"/>
  <c r="D132" i="53"/>
  <c r="C28" i="51"/>
  <c r="C29" i="51" s="1"/>
  <c r="C30" i="51" s="1"/>
  <c r="C31" i="51" s="1"/>
  <c r="C32" i="51" s="1"/>
  <c r="C33" i="51" s="1"/>
  <c r="C34" i="51" s="1"/>
  <c r="C35" i="51" s="1"/>
  <c r="C36" i="51" s="1"/>
  <c r="C37" i="51" s="1"/>
  <c r="D179" i="29"/>
  <c r="C179" i="29" s="1"/>
  <c r="D116" i="29"/>
  <c r="C116" i="29" s="1"/>
  <c r="D164" i="53"/>
  <c r="C164" i="53" s="1"/>
  <c r="C54" i="53"/>
  <c r="D109" i="53"/>
  <c r="C109" i="53" s="1"/>
  <c r="D139" i="53"/>
  <c r="C139" i="53" s="1"/>
  <c r="D84" i="53"/>
  <c r="C84" i="53" s="1"/>
  <c r="C29" i="53"/>
  <c r="D165" i="53"/>
  <c r="C165" i="53" s="1"/>
  <c r="D110" i="53"/>
  <c r="C110" i="53" s="1"/>
  <c r="C55" i="53"/>
  <c r="D157" i="53"/>
  <c r="C157" i="53" s="1"/>
  <c r="D102" i="53"/>
  <c r="C102" i="53" s="1"/>
  <c r="C47" i="53"/>
  <c r="D148" i="53"/>
  <c r="C148" i="53" s="1"/>
  <c r="C38" i="53"/>
  <c r="D93" i="53"/>
  <c r="C93" i="53" s="1"/>
  <c r="D136" i="53"/>
  <c r="C136" i="53" s="1"/>
  <c r="C26" i="53"/>
  <c r="D81" i="53"/>
  <c r="C81" i="53" s="1"/>
  <c r="G61" i="30"/>
  <c r="G60" i="30"/>
  <c r="C45" i="53"/>
  <c r="D155" i="53"/>
  <c r="C155" i="53" s="1"/>
  <c r="D100" i="53"/>
  <c r="C100" i="53" s="1"/>
  <c r="D88" i="53"/>
  <c r="C88" i="53" s="1"/>
  <c r="C33" i="53"/>
  <c r="D143" i="53"/>
  <c r="C143" i="53" s="1"/>
  <c r="D87" i="53"/>
  <c r="C87" i="53" s="1"/>
  <c r="D142" i="53"/>
  <c r="C142" i="53" s="1"/>
  <c r="C32" i="53"/>
  <c r="D130" i="53"/>
  <c r="D75" i="53"/>
  <c r="D182" i="29"/>
  <c r="C182" i="29" s="1"/>
  <c r="D119" i="29"/>
  <c r="C119" i="29" s="1"/>
  <c r="D156" i="53"/>
  <c r="C156" i="53" s="1"/>
  <c r="D101" i="53"/>
  <c r="C101" i="53" s="1"/>
  <c r="C46" i="53"/>
  <c r="D106" i="53"/>
  <c r="C106" i="53" s="1"/>
  <c r="C51" i="53"/>
  <c r="D161" i="53"/>
  <c r="C161" i="53" s="1"/>
  <c r="D144" i="53"/>
  <c r="C144" i="53" s="1"/>
  <c r="D89" i="53"/>
  <c r="C89" i="53" s="1"/>
  <c r="C34" i="53"/>
  <c r="F29" i="30"/>
  <c r="F50" i="30"/>
  <c r="F48" i="30"/>
  <c r="F42" i="30"/>
  <c r="F47" i="30"/>
  <c r="F25" i="30"/>
  <c r="F38" i="30"/>
  <c r="F31" i="30"/>
  <c r="F39" i="30"/>
  <c r="F54" i="30"/>
  <c r="F35" i="30"/>
  <c r="F40" i="30"/>
  <c r="F43" i="30"/>
  <c r="F45" i="30"/>
  <c r="F34" i="30"/>
  <c r="F53" i="30"/>
  <c r="F51" i="30"/>
  <c r="F36" i="30"/>
  <c r="F49" i="30"/>
  <c r="F37" i="30"/>
  <c r="F26" i="30"/>
  <c r="F33" i="30"/>
  <c r="F27" i="30"/>
  <c r="F24" i="30"/>
  <c r="F32" i="30"/>
  <c r="F52" i="30"/>
  <c r="F46" i="30"/>
  <c r="F28" i="30"/>
  <c r="F41" i="30"/>
  <c r="F44" i="30"/>
  <c r="T10" i="10"/>
  <c r="Y10" i="10"/>
  <c r="G15" i="46" s="1"/>
  <c r="F18" i="30"/>
  <c r="F21" i="30"/>
  <c r="F22" i="30"/>
  <c r="F19" i="30"/>
  <c r="F20" i="30"/>
  <c r="F14" i="26"/>
  <c r="F13" i="26"/>
  <c r="F17" i="26"/>
  <c r="F16" i="26"/>
  <c r="F15" i="26"/>
  <c r="F15" i="30"/>
  <c r="F16" i="30"/>
  <c r="F14" i="30"/>
  <c r="J60" i="30"/>
  <c r="J61" i="30"/>
  <c r="F13" i="30"/>
  <c r="F23" i="30"/>
  <c r="R60" i="30"/>
  <c r="R61" i="30"/>
  <c r="L61" i="30"/>
  <c r="L60" i="30"/>
  <c r="N60" i="30"/>
  <c r="N61" i="30"/>
  <c r="P61" i="30"/>
  <c r="P60" i="30"/>
  <c r="F17" i="30"/>
  <c r="S60" i="30"/>
  <c r="S61" i="30"/>
  <c r="Q61" i="30"/>
  <c r="Q60" i="30"/>
  <c r="K60" i="30"/>
  <c r="K61" i="30"/>
  <c r="O61" i="30"/>
  <c r="O60" i="30"/>
  <c r="M60" i="30"/>
  <c r="M61" i="30"/>
  <c r="T9" i="10"/>
  <c r="G74" i="29" s="1"/>
  <c r="U9" i="10"/>
  <c r="G137" i="29" s="1"/>
  <c r="K60" i="26"/>
  <c r="F23" i="26"/>
  <c r="O59" i="26"/>
  <c r="Q60" i="26"/>
  <c r="O60" i="26"/>
  <c r="S60" i="26"/>
  <c r="Q59" i="26"/>
  <c r="R59" i="26"/>
  <c r="M59" i="26"/>
  <c r="I60" i="26"/>
  <c r="P60" i="26"/>
  <c r="J60" i="26"/>
  <c r="J59" i="26"/>
  <c r="F22" i="26"/>
  <c r="R60" i="26"/>
  <c r="M60" i="26"/>
  <c r="F21" i="26"/>
  <c r="N59" i="26"/>
  <c r="L59" i="26"/>
  <c r="K59" i="26"/>
  <c r="N60" i="26"/>
  <c r="S59" i="26"/>
  <c r="F20" i="26"/>
  <c r="P59" i="26"/>
  <c r="I59" i="26"/>
  <c r="F19" i="26"/>
  <c r="L60" i="26"/>
  <c r="F18" i="26"/>
  <c r="C44" i="26"/>
  <c r="D154" i="26"/>
  <c r="C154" i="26" s="1"/>
  <c r="D99" i="26"/>
  <c r="C99" i="26" s="1"/>
  <c r="T59" i="10"/>
  <c r="U59" i="10"/>
  <c r="U10" i="10"/>
  <c r="C28" i="26"/>
  <c r="D138" i="26"/>
  <c r="C138" i="26" s="1"/>
  <c r="D83" i="26"/>
  <c r="C83" i="26" s="1"/>
  <c r="D164" i="26"/>
  <c r="C164" i="26" s="1"/>
  <c r="D109" i="26"/>
  <c r="C109" i="26" s="1"/>
  <c r="C54" i="26"/>
  <c r="U23" i="10"/>
  <c r="T23" i="10"/>
  <c r="D75" i="26"/>
  <c r="D130" i="26"/>
  <c r="D98" i="26"/>
  <c r="C98" i="26" s="1"/>
  <c r="D153" i="26"/>
  <c r="C153" i="26" s="1"/>
  <c r="C43" i="26"/>
  <c r="D87" i="26"/>
  <c r="C87" i="26" s="1"/>
  <c r="C32" i="26"/>
  <c r="D142" i="26"/>
  <c r="C142" i="26" s="1"/>
  <c r="D149" i="26"/>
  <c r="C149" i="26" s="1"/>
  <c r="C39" i="26"/>
  <c r="D94" i="26"/>
  <c r="C94" i="26" s="1"/>
  <c r="C34" i="26"/>
  <c r="D89" i="26"/>
  <c r="C89" i="26" s="1"/>
  <c r="D144" i="26"/>
  <c r="C144" i="26" s="1"/>
  <c r="D156" i="26"/>
  <c r="C156" i="26" s="1"/>
  <c r="D101" i="26"/>
  <c r="C101" i="26" s="1"/>
  <c r="C46" i="26"/>
  <c r="D97" i="26"/>
  <c r="C97" i="26" s="1"/>
  <c r="D152" i="26"/>
  <c r="C152" i="26" s="1"/>
  <c r="C42" i="26"/>
  <c r="U58" i="10"/>
  <c r="G172" i="29" s="1"/>
  <c r="T58" i="10"/>
  <c r="G109" i="29" s="1"/>
  <c r="D139" i="26"/>
  <c r="C139" i="26" s="1"/>
  <c r="D84" i="26"/>
  <c r="C84" i="26" s="1"/>
  <c r="C29" i="26"/>
  <c r="U66" i="10"/>
  <c r="T66" i="10"/>
  <c r="U13" i="10"/>
  <c r="T13" i="10"/>
  <c r="G60" i="26"/>
  <c r="G59" i="26"/>
  <c r="D136" i="26"/>
  <c r="C136" i="26" s="1"/>
  <c r="C26" i="26"/>
  <c r="D81" i="26"/>
  <c r="C81" i="26" s="1"/>
  <c r="C47" i="26"/>
  <c r="D102" i="26"/>
  <c r="C102" i="26" s="1"/>
  <c r="D157" i="26"/>
  <c r="C157" i="26" s="1"/>
  <c r="D74" i="26"/>
  <c r="D129" i="26"/>
  <c r="D131" i="26"/>
  <c r="D76" i="26"/>
  <c r="D90" i="26"/>
  <c r="C90" i="26" s="1"/>
  <c r="C35" i="26"/>
  <c r="D145" i="26"/>
  <c r="C145" i="26" s="1"/>
  <c r="D141" i="26"/>
  <c r="C141" i="26" s="1"/>
  <c r="C31" i="26"/>
  <c r="D86" i="26"/>
  <c r="C86" i="26" s="1"/>
  <c r="D148" i="26"/>
  <c r="C148" i="26" s="1"/>
  <c r="C38" i="26"/>
  <c r="D93" i="26"/>
  <c r="C93" i="26" s="1"/>
  <c r="D163" i="26"/>
  <c r="C163" i="26" s="1"/>
  <c r="D108" i="26"/>
  <c r="C108" i="26" s="1"/>
  <c r="C53" i="26"/>
  <c r="D135" i="26"/>
  <c r="C135" i="26" s="1"/>
  <c r="C25" i="26"/>
  <c r="D80" i="26"/>
  <c r="C80" i="26" s="1"/>
  <c r="D143" i="26"/>
  <c r="C143" i="26" s="1"/>
  <c r="C33" i="26"/>
  <c r="D88" i="26"/>
  <c r="C88" i="26" s="1"/>
  <c r="T14" i="10"/>
  <c r="U14" i="10"/>
  <c r="D106" i="26"/>
  <c r="C106" i="26" s="1"/>
  <c r="D161" i="26"/>
  <c r="C161" i="26" s="1"/>
  <c r="C51" i="26"/>
  <c r="D111" i="26"/>
  <c r="C111" i="26" s="1"/>
  <c r="D166" i="26"/>
  <c r="C166" i="26" s="1"/>
  <c r="C56" i="26"/>
  <c r="U28" i="10"/>
  <c r="T28" i="10"/>
  <c r="D82" i="26"/>
  <c r="C82" i="26" s="1"/>
  <c r="D137" i="26"/>
  <c r="C137" i="26" s="1"/>
  <c r="C27" i="26"/>
  <c r="D160" i="26"/>
  <c r="C160" i="26" s="1"/>
  <c r="D105" i="26"/>
  <c r="C105" i="26" s="1"/>
  <c r="C50" i="26"/>
  <c r="D78" i="26"/>
  <c r="D133" i="26"/>
  <c r="D103" i="26"/>
  <c r="C103" i="26" s="1"/>
  <c r="C48" i="26"/>
  <c r="D158" i="26"/>
  <c r="C158" i="26" s="1"/>
  <c r="D140" i="26"/>
  <c r="C140" i="26" s="1"/>
  <c r="D85" i="26"/>
  <c r="C85" i="26" s="1"/>
  <c r="C30" i="26"/>
  <c r="D95" i="26"/>
  <c r="C95" i="26" s="1"/>
  <c r="D150" i="26"/>
  <c r="C150" i="26" s="1"/>
  <c r="C40" i="26"/>
  <c r="D155" i="26"/>
  <c r="C155" i="26" s="1"/>
  <c r="C45" i="26"/>
  <c r="D100" i="26"/>
  <c r="C100" i="26" s="1"/>
  <c r="G169" i="26"/>
  <c r="G170" i="26"/>
  <c r="D128" i="26"/>
  <c r="C128" i="26" s="1"/>
  <c r="D73" i="26"/>
  <c r="C73" i="26" s="1"/>
  <c r="C18" i="26"/>
  <c r="C36" i="26"/>
  <c r="D91" i="26"/>
  <c r="C91" i="26" s="1"/>
  <c r="D146" i="26"/>
  <c r="C146" i="26" s="1"/>
  <c r="D167" i="26"/>
  <c r="C167" i="26" s="1"/>
  <c r="C57" i="26"/>
  <c r="D112" i="26"/>
  <c r="C112" i="26" s="1"/>
  <c r="D132" i="26"/>
  <c r="D77" i="26"/>
  <c r="C55" i="26"/>
  <c r="D165" i="26"/>
  <c r="C165" i="26" s="1"/>
  <c r="D110" i="26"/>
  <c r="C110" i="26" s="1"/>
  <c r="T52" i="10"/>
  <c r="G103" i="29" s="1"/>
  <c r="U52" i="10"/>
  <c r="D162" i="26"/>
  <c r="C162" i="26" s="1"/>
  <c r="C52" i="26"/>
  <c r="D107" i="26"/>
  <c r="C107" i="26" s="1"/>
  <c r="G115" i="26"/>
  <c r="F115" i="26" s="1"/>
  <c r="G114" i="26"/>
  <c r="F114" i="26" s="1"/>
  <c r="F73" i="26"/>
  <c r="D159" i="26"/>
  <c r="C159" i="26" s="1"/>
  <c r="C49" i="26"/>
  <c r="D104" i="26"/>
  <c r="C104" i="26" s="1"/>
  <c r="C41" i="26"/>
  <c r="D96" i="26"/>
  <c r="C96" i="26" s="1"/>
  <c r="D151" i="26"/>
  <c r="C151" i="26" s="1"/>
  <c r="D79" i="26"/>
  <c r="C79" i="26" s="1"/>
  <c r="D134" i="26"/>
  <c r="C134" i="26" s="1"/>
  <c r="C24" i="26"/>
  <c r="D147" i="26"/>
  <c r="C147" i="26" s="1"/>
  <c r="D92" i="26"/>
  <c r="C92" i="26" s="1"/>
  <c r="C37" i="26"/>
  <c r="I170" i="26"/>
  <c r="I169" i="26"/>
  <c r="F123" i="26"/>
  <c r="P144" i="17"/>
  <c r="I169" i="17"/>
  <c r="L146" i="17"/>
  <c r="K146" i="17"/>
  <c r="M146" i="17"/>
  <c r="L143" i="17"/>
  <c r="S145" i="17"/>
  <c r="M143" i="17"/>
  <c r="R143" i="17"/>
  <c r="K143" i="17"/>
  <c r="K145" i="17"/>
  <c r="R146" i="17"/>
  <c r="S146" i="17"/>
  <c r="S143" i="17"/>
  <c r="O143" i="17"/>
  <c r="P143" i="17"/>
  <c r="J143" i="17"/>
  <c r="N143" i="17"/>
  <c r="Q143" i="17"/>
  <c r="J144" i="17"/>
  <c r="N144" i="17"/>
  <c r="L144" i="17"/>
  <c r="M144" i="17"/>
  <c r="O144" i="17"/>
  <c r="S144" i="17"/>
  <c r="Q144" i="17"/>
  <c r="J146" i="17"/>
  <c r="N146" i="17"/>
  <c r="O146" i="17"/>
  <c r="Q146" i="17"/>
  <c r="P146" i="17"/>
  <c r="D132" i="17"/>
  <c r="D77" i="17"/>
  <c r="D130" i="17"/>
  <c r="D75" i="17"/>
  <c r="D83" i="17"/>
  <c r="D138" i="17"/>
  <c r="D147" i="17"/>
  <c r="D92" i="17"/>
  <c r="D78" i="17"/>
  <c r="D133" i="17"/>
  <c r="D136" i="17"/>
  <c r="D81" i="17"/>
  <c r="O145" i="17"/>
  <c r="J145" i="17"/>
  <c r="D137" i="17"/>
  <c r="D82" i="17"/>
  <c r="D145" i="17"/>
  <c r="D90" i="17"/>
  <c r="D140" i="17"/>
  <c r="D85" i="17"/>
  <c r="D88" i="17"/>
  <c r="D143" i="17"/>
  <c r="D73" i="17"/>
  <c r="D128" i="17"/>
  <c r="C18" i="17"/>
  <c r="C19" i="17" s="1"/>
  <c r="C20" i="17" s="1"/>
  <c r="C21" i="17" s="1"/>
  <c r="C22" i="17" s="1"/>
  <c r="C23" i="17" s="1"/>
  <c r="C24" i="17" s="1"/>
  <c r="D89" i="17"/>
  <c r="D144" i="17"/>
  <c r="D86" i="17"/>
  <c r="D141" i="17"/>
  <c r="P145" i="17"/>
  <c r="Q145" i="17"/>
  <c r="D74" i="17"/>
  <c r="D129" i="17"/>
  <c r="D148" i="17"/>
  <c r="D93" i="17"/>
  <c r="D135" i="17"/>
  <c r="D80" i="17"/>
  <c r="C80" i="17" s="1"/>
  <c r="C25" i="17"/>
  <c r="C26" i="17" s="1"/>
  <c r="C27" i="17" s="1"/>
  <c r="C28" i="17" s="1"/>
  <c r="C29" i="17" s="1"/>
  <c r="C30" i="17" s="1"/>
  <c r="C31" i="17" s="1"/>
  <c r="C32" i="17" s="1"/>
  <c r="C33" i="17" s="1"/>
  <c r="C34" i="17" s="1"/>
  <c r="C35" i="17" s="1"/>
  <c r="C36" i="17" s="1"/>
  <c r="C37" i="17" s="1"/>
  <c r="C38" i="17" s="1"/>
  <c r="L145" i="17"/>
  <c r="R145" i="17"/>
  <c r="D79" i="17"/>
  <c r="D134" i="17"/>
  <c r="C134" i="17" s="1"/>
  <c r="D84" i="17"/>
  <c r="D139" i="17"/>
  <c r="D76" i="17"/>
  <c r="D131" i="17"/>
  <c r="D91" i="17"/>
  <c r="D146" i="17"/>
  <c r="D87" i="17"/>
  <c r="D142" i="17"/>
  <c r="N145" i="17"/>
  <c r="M145" i="17"/>
  <c r="N135" i="17"/>
  <c r="N125" i="17"/>
  <c r="Q148" i="17"/>
  <c r="L133" i="17"/>
  <c r="P138" i="17"/>
  <c r="M164" i="17"/>
  <c r="N164" i="17"/>
  <c r="Q164" i="17"/>
  <c r="R164" i="17"/>
  <c r="J164" i="17"/>
  <c r="K164" i="17"/>
  <c r="L164" i="17"/>
  <c r="O164" i="17"/>
  <c r="P164" i="17"/>
  <c r="S164" i="17"/>
  <c r="N129" i="17"/>
  <c r="N137" i="17"/>
  <c r="N134" i="17"/>
  <c r="N136" i="17"/>
  <c r="N130" i="17"/>
  <c r="Q131" i="17"/>
  <c r="Q137" i="17"/>
  <c r="Q132" i="17"/>
  <c r="L139" i="17"/>
  <c r="L147" i="17"/>
  <c r="L128" i="17"/>
  <c r="O131" i="17"/>
  <c r="O137" i="17"/>
  <c r="O142" i="17"/>
  <c r="O134" i="17"/>
  <c r="O128" i="17"/>
  <c r="P148" i="17"/>
  <c r="P141" i="17"/>
  <c r="P125" i="17"/>
  <c r="K140" i="17"/>
  <c r="K132" i="17"/>
  <c r="M137" i="17"/>
  <c r="R135" i="17"/>
  <c r="R132" i="17"/>
  <c r="R130" i="17"/>
  <c r="J126" i="17"/>
  <c r="J147" i="17"/>
  <c r="J142" i="17"/>
  <c r="S125" i="17"/>
  <c r="S131" i="17"/>
  <c r="S128" i="17"/>
  <c r="N163" i="17"/>
  <c r="O163" i="17"/>
  <c r="R163" i="17"/>
  <c r="J163" i="17"/>
  <c r="S163" i="17"/>
  <c r="K163" i="17"/>
  <c r="L163" i="17"/>
  <c r="M163" i="17"/>
  <c r="P163" i="17"/>
  <c r="Q163" i="17"/>
  <c r="S166" i="17"/>
  <c r="K166" i="17"/>
  <c r="L166" i="17"/>
  <c r="O166" i="17"/>
  <c r="P166" i="17"/>
  <c r="N166" i="17"/>
  <c r="Q166" i="17"/>
  <c r="R166" i="17"/>
  <c r="J166" i="17"/>
  <c r="M166" i="17"/>
  <c r="M123" i="17"/>
  <c r="Q128" i="17"/>
  <c r="Q134" i="17"/>
  <c r="L127" i="17"/>
  <c r="O136" i="17"/>
  <c r="O125" i="17"/>
  <c r="P127" i="17"/>
  <c r="P140" i="17"/>
  <c r="P128" i="17"/>
  <c r="K135" i="17"/>
  <c r="K125" i="17"/>
  <c r="K137" i="17"/>
  <c r="M133" i="17"/>
  <c r="M127" i="17"/>
  <c r="M132" i="17"/>
  <c r="M125" i="17"/>
  <c r="R142" i="17"/>
  <c r="R133" i="17"/>
  <c r="R134" i="17"/>
  <c r="R139" i="17"/>
  <c r="R141" i="17"/>
  <c r="J132" i="17"/>
  <c r="S139" i="17"/>
  <c r="M156" i="17"/>
  <c r="N156" i="17"/>
  <c r="Q156" i="17"/>
  <c r="R156" i="17"/>
  <c r="J156" i="17"/>
  <c r="K156" i="17"/>
  <c r="L156" i="17"/>
  <c r="O156" i="17"/>
  <c r="P156" i="17"/>
  <c r="S156" i="17"/>
  <c r="S158" i="17"/>
  <c r="K158" i="17"/>
  <c r="L158" i="17"/>
  <c r="O158" i="17"/>
  <c r="P158" i="17"/>
  <c r="N158" i="17"/>
  <c r="Q158" i="17"/>
  <c r="M158" i="17"/>
  <c r="J158" i="17"/>
  <c r="R158" i="17"/>
  <c r="R123" i="17"/>
  <c r="L142" i="17"/>
  <c r="O139" i="17"/>
  <c r="K144" i="17"/>
  <c r="R147" i="17"/>
  <c r="J139" i="17"/>
  <c r="S137" i="17"/>
  <c r="P149" i="17"/>
  <c r="J149" i="17"/>
  <c r="N149" i="17"/>
  <c r="S123" i="17"/>
  <c r="N132" i="17"/>
  <c r="Q130" i="17"/>
  <c r="L137" i="17"/>
  <c r="O126" i="17"/>
  <c r="O138" i="17"/>
  <c r="P131" i="17"/>
  <c r="K147" i="17"/>
  <c r="M128" i="17"/>
  <c r="R131" i="17"/>
  <c r="J148" i="17"/>
  <c r="S130" i="17"/>
  <c r="S150" i="17"/>
  <c r="K150" i="17"/>
  <c r="L150" i="17"/>
  <c r="O150" i="17"/>
  <c r="P150" i="17"/>
  <c r="N150" i="17"/>
  <c r="Q150" i="17"/>
  <c r="M150" i="17"/>
  <c r="R150" i="17"/>
  <c r="J150" i="17"/>
  <c r="N141" i="17"/>
  <c r="Q135" i="17"/>
  <c r="K124" i="17"/>
  <c r="R159" i="17"/>
  <c r="J159" i="17"/>
  <c r="S159" i="17"/>
  <c r="K159" i="17"/>
  <c r="N159" i="17"/>
  <c r="O159" i="17"/>
  <c r="M159" i="17"/>
  <c r="P159" i="17"/>
  <c r="Q159" i="17"/>
  <c r="L159" i="17"/>
  <c r="P123" i="17"/>
  <c r="N139" i="17"/>
  <c r="N131" i="17"/>
  <c r="N142" i="17"/>
  <c r="N147" i="17"/>
  <c r="Q142" i="17"/>
  <c r="Q141" i="17"/>
  <c r="L138" i="17"/>
  <c r="O135" i="17"/>
  <c r="O140" i="17"/>
  <c r="O130" i="17"/>
  <c r="P147" i="17"/>
  <c r="P132" i="17"/>
  <c r="K127" i="17"/>
  <c r="K133" i="17"/>
  <c r="K126" i="17"/>
  <c r="M131" i="17"/>
  <c r="M142" i="17"/>
  <c r="M135" i="17"/>
  <c r="M134" i="17"/>
  <c r="M136" i="17"/>
  <c r="R140" i="17"/>
  <c r="J124" i="17"/>
  <c r="J141" i="17"/>
  <c r="S129" i="17"/>
  <c r="S141" i="17"/>
  <c r="Q160" i="17"/>
  <c r="R160" i="17"/>
  <c r="J160" i="17"/>
  <c r="M160" i="17"/>
  <c r="N160" i="17"/>
  <c r="S160" i="17"/>
  <c r="L160" i="17"/>
  <c r="O160" i="17"/>
  <c r="K160" i="17"/>
  <c r="P160" i="17"/>
  <c r="O154" i="17"/>
  <c r="P154" i="17"/>
  <c r="S154" i="17"/>
  <c r="K154" i="17"/>
  <c r="L154" i="17"/>
  <c r="M154" i="17"/>
  <c r="N154" i="17"/>
  <c r="Q154" i="17"/>
  <c r="J154" i="17"/>
  <c r="R154" i="17"/>
  <c r="Q140" i="17"/>
  <c r="P137" i="17"/>
  <c r="P124" i="17"/>
  <c r="M130" i="17"/>
  <c r="S142" i="17"/>
  <c r="S126" i="17"/>
  <c r="D167" i="17"/>
  <c r="C167" i="17" s="1"/>
  <c r="D112" i="17"/>
  <c r="C112" i="17" s="1"/>
  <c r="C57" i="17"/>
  <c r="C55" i="17"/>
  <c r="D165" i="17"/>
  <c r="C165" i="17" s="1"/>
  <c r="D110" i="17"/>
  <c r="C110" i="17" s="1"/>
  <c r="L123" i="17"/>
  <c r="Q129" i="17"/>
  <c r="Q136" i="17"/>
  <c r="L131" i="17"/>
  <c r="L130" i="17"/>
  <c r="P135" i="17"/>
  <c r="K138" i="17"/>
  <c r="K130" i="17"/>
  <c r="R127" i="17"/>
  <c r="R125" i="17"/>
  <c r="S135" i="17"/>
  <c r="S147" i="17"/>
  <c r="R151" i="17"/>
  <c r="J151" i="17"/>
  <c r="S151" i="17"/>
  <c r="K151" i="17"/>
  <c r="N151" i="17"/>
  <c r="O151" i="17"/>
  <c r="M151" i="17"/>
  <c r="P151" i="17"/>
  <c r="Q151" i="17"/>
  <c r="L151" i="17"/>
  <c r="N133" i="17"/>
  <c r="Q138" i="17"/>
  <c r="L125" i="17"/>
  <c r="O147" i="17"/>
  <c r="P139" i="17"/>
  <c r="K129" i="17"/>
  <c r="M148" i="17"/>
  <c r="J133" i="17"/>
  <c r="O162" i="17"/>
  <c r="P162" i="17"/>
  <c r="S162" i="17"/>
  <c r="K162" i="17"/>
  <c r="L162" i="17"/>
  <c r="M162" i="17"/>
  <c r="N162" i="17"/>
  <c r="Q162" i="17"/>
  <c r="J162" i="17"/>
  <c r="R162" i="17"/>
  <c r="Q123" i="17"/>
  <c r="K123" i="17"/>
  <c r="N126" i="17"/>
  <c r="N127" i="17"/>
  <c r="Q133" i="17"/>
  <c r="Q147" i="17"/>
  <c r="L148" i="17"/>
  <c r="L129" i="17"/>
  <c r="L132" i="17"/>
  <c r="L124" i="17"/>
  <c r="O141" i="17"/>
  <c r="P133" i="17"/>
  <c r="P134" i="17"/>
  <c r="K136" i="17"/>
  <c r="K139" i="17"/>
  <c r="K134" i="17"/>
  <c r="M140" i="17"/>
  <c r="M129" i="17"/>
  <c r="M139" i="17"/>
  <c r="M141" i="17"/>
  <c r="R138" i="17"/>
  <c r="R148" i="17"/>
  <c r="R136" i="17"/>
  <c r="R137" i="17"/>
  <c r="J130" i="17"/>
  <c r="J137" i="17"/>
  <c r="J128" i="17"/>
  <c r="J134" i="17"/>
  <c r="J131" i="17"/>
  <c r="S138" i="17"/>
  <c r="S148" i="17"/>
  <c r="S140" i="17"/>
  <c r="Q152" i="17"/>
  <c r="R152" i="17"/>
  <c r="J152" i="17"/>
  <c r="M152" i="17"/>
  <c r="N152" i="17"/>
  <c r="S152" i="17"/>
  <c r="L152" i="17"/>
  <c r="O152" i="17"/>
  <c r="K152" i="17"/>
  <c r="P152" i="17"/>
  <c r="R167" i="17"/>
  <c r="J167" i="17"/>
  <c r="S167" i="17"/>
  <c r="K167" i="17"/>
  <c r="N167" i="17"/>
  <c r="O167" i="17"/>
  <c r="M167" i="17"/>
  <c r="P167" i="17"/>
  <c r="Q167" i="17"/>
  <c r="L167" i="17"/>
  <c r="L165" i="17"/>
  <c r="M165" i="17"/>
  <c r="P165" i="17"/>
  <c r="Q165" i="17"/>
  <c r="J165" i="17"/>
  <c r="K165" i="17"/>
  <c r="R165" i="17"/>
  <c r="S165" i="17"/>
  <c r="O165" i="17"/>
  <c r="N165" i="17"/>
  <c r="N128" i="17"/>
  <c r="Q126" i="17"/>
  <c r="L135" i="17"/>
  <c r="L141" i="17"/>
  <c r="O132" i="17"/>
  <c r="P153" i="17"/>
  <c r="Q153" i="17"/>
  <c r="L153" i="17"/>
  <c r="M153" i="17"/>
  <c r="O153" i="17"/>
  <c r="R153" i="17"/>
  <c r="S153" i="17"/>
  <c r="J153" i="17"/>
  <c r="K153" i="17"/>
  <c r="N153" i="17"/>
  <c r="N148" i="17"/>
  <c r="N138" i="17"/>
  <c r="Q127" i="17"/>
  <c r="O127" i="17"/>
  <c r="O133" i="17"/>
  <c r="P130" i="17"/>
  <c r="K128" i="17"/>
  <c r="M138" i="17"/>
  <c r="J135" i="17"/>
  <c r="J140" i="17"/>
  <c r="S134" i="17"/>
  <c r="O123" i="17"/>
  <c r="L136" i="17"/>
  <c r="O148" i="17"/>
  <c r="O124" i="17"/>
  <c r="R144" i="17"/>
  <c r="J138" i="17"/>
  <c r="J136" i="17"/>
  <c r="S132" i="17"/>
  <c r="S133" i="17"/>
  <c r="J123" i="17"/>
  <c r="N123" i="17"/>
  <c r="N140" i="17"/>
  <c r="N124" i="17"/>
  <c r="Q125" i="17"/>
  <c r="Q139" i="17"/>
  <c r="Q124" i="17"/>
  <c r="L140" i="17"/>
  <c r="L126" i="17"/>
  <c r="L134" i="17"/>
  <c r="O129" i="17"/>
  <c r="P142" i="17"/>
  <c r="P129" i="17"/>
  <c r="P136" i="17"/>
  <c r="P126" i="17"/>
  <c r="K148" i="17"/>
  <c r="K141" i="17"/>
  <c r="K131" i="17"/>
  <c r="K142" i="17"/>
  <c r="M126" i="17"/>
  <c r="M124" i="17"/>
  <c r="M147" i="17"/>
  <c r="R124" i="17"/>
  <c r="R126" i="17"/>
  <c r="R129" i="17"/>
  <c r="R128" i="17"/>
  <c r="J125" i="17"/>
  <c r="J127" i="17"/>
  <c r="J129" i="17"/>
  <c r="S124" i="17"/>
  <c r="S136" i="17"/>
  <c r="S127" i="17"/>
  <c r="G60" i="17"/>
  <c r="G59" i="17"/>
  <c r="D166" i="17"/>
  <c r="C166" i="17" s="1"/>
  <c r="D111" i="17"/>
  <c r="C111" i="17" s="1"/>
  <c r="C56" i="17"/>
  <c r="P161" i="17"/>
  <c r="Q161" i="17"/>
  <c r="L161" i="17"/>
  <c r="M161" i="17"/>
  <c r="O161" i="17"/>
  <c r="R161" i="17"/>
  <c r="S161" i="17"/>
  <c r="J161" i="17"/>
  <c r="K161" i="17"/>
  <c r="N161" i="17"/>
  <c r="N155" i="17"/>
  <c r="O155" i="17"/>
  <c r="R155" i="17"/>
  <c r="J155" i="17"/>
  <c r="S155" i="17"/>
  <c r="K155" i="17"/>
  <c r="L155" i="17"/>
  <c r="M155" i="17"/>
  <c r="P155" i="17"/>
  <c r="Q155" i="17"/>
  <c r="L157" i="17"/>
  <c r="M157" i="17"/>
  <c r="P157" i="17"/>
  <c r="Q157" i="17"/>
  <c r="J157" i="17"/>
  <c r="K157" i="17"/>
  <c r="R157" i="17"/>
  <c r="S157" i="17"/>
  <c r="O157" i="17"/>
  <c r="N157" i="17"/>
  <c r="I68" i="46" l="1"/>
  <c r="I79" i="46"/>
  <c r="N75" i="46"/>
  <c r="N79" i="46"/>
  <c r="Q75" i="46"/>
  <c r="Q79" i="46"/>
  <c r="M68" i="46"/>
  <c r="M79" i="46"/>
  <c r="P68" i="46"/>
  <c r="P79" i="46"/>
  <c r="K75" i="46"/>
  <c r="K79" i="46"/>
  <c r="S68" i="46"/>
  <c r="S79" i="46"/>
  <c r="L75" i="46"/>
  <c r="L79" i="46"/>
  <c r="R75" i="46"/>
  <c r="R79" i="46"/>
  <c r="J75" i="46"/>
  <c r="J79" i="46"/>
  <c r="O75" i="46"/>
  <c r="O79" i="46"/>
  <c r="F60" i="64"/>
  <c r="F59" i="64"/>
  <c r="I66" i="37"/>
  <c r="I78" i="37" s="1"/>
  <c r="I77" i="37"/>
  <c r="K77" i="37"/>
  <c r="R66" i="37"/>
  <c r="R74" i="37" s="1"/>
  <c r="C66" i="63"/>
  <c r="C69" i="63" s="1"/>
  <c r="C70" i="63" s="1"/>
  <c r="C73" i="63" s="1"/>
  <c r="C74" i="63" s="1"/>
  <c r="C77" i="63" s="1"/>
  <c r="C78" i="63" s="1"/>
  <c r="R73" i="37"/>
  <c r="J73" i="37"/>
  <c r="K73" i="37"/>
  <c r="J66" i="37"/>
  <c r="J78" i="37" s="1"/>
  <c r="L77" i="37"/>
  <c r="S73" i="37"/>
  <c r="L66" i="37"/>
  <c r="L78" i="37" s="1"/>
  <c r="S66" i="37"/>
  <c r="S78" i="37" s="1"/>
  <c r="N77" i="37"/>
  <c r="O73" i="37"/>
  <c r="P77" i="37"/>
  <c r="P73" i="37"/>
  <c r="O66" i="37"/>
  <c r="O78" i="37" s="1"/>
  <c r="M73" i="37"/>
  <c r="N66" i="37"/>
  <c r="N78" i="37" s="1"/>
  <c r="N66" i="63"/>
  <c r="N77" i="63"/>
  <c r="N73" i="63"/>
  <c r="Q77" i="37"/>
  <c r="S66" i="63"/>
  <c r="S73" i="63"/>
  <c r="S77" i="63"/>
  <c r="O66" i="63"/>
  <c r="O73" i="63"/>
  <c r="O77" i="63"/>
  <c r="M77" i="37"/>
  <c r="Q66" i="63"/>
  <c r="Q77" i="63"/>
  <c r="Q73" i="63"/>
  <c r="M66" i="63"/>
  <c r="M77" i="63"/>
  <c r="M73" i="63"/>
  <c r="I66" i="63"/>
  <c r="I77" i="63"/>
  <c r="I73" i="63"/>
  <c r="F59" i="63"/>
  <c r="P66" i="63"/>
  <c r="P73" i="63"/>
  <c r="P77" i="63"/>
  <c r="R66" i="63"/>
  <c r="R73" i="63"/>
  <c r="R77" i="63"/>
  <c r="Q66" i="37"/>
  <c r="Q78" i="37" s="1"/>
  <c r="F60" i="37"/>
  <c r="K66" i="63"/>
  <c r="K73" i="63"/>
  <c r="K77" i="63"/>
  <c r="J66" i="63"/>
  <c r="J73" i="63"/>
  <c r="J77" i="63"/>
  <c r="F60" i="63"/>
  <c r="L66" i="63"/>
  <c r="L77" i="63"/>
  <c r="L73" i="63"/>
  <c r="M74" i="37"/>
  <c r="M78" i="37"/>
  <c r="K74" i="37"/>
  <c r="K78" i="37"/>
  <c r="P74" i="37"/>
  <c r="P78" i="37"/>
  <c r="AX39" i="62"/>
  <c r="Y39" i="62"/>
  <c r="F59" i="62"/>
  <c r="Y38" i="62"/>
  <c r="AX38" i="62"/>
  <c r="Y50" i="62"/>
  <c r="AX50" i="62"/>
  <c r="Y18" i="62"/>
  <c r="AD18" i="62" s="1"/>
  <c r="AE18" i="62" s="1"/>
  <c r="AX18" i="62"/>
  <c r="Y32" i="62"/>
  <c r="AX32" i="62"/>
  <c r="Y42" i="62"/>
  <c r="AX42" i="62"/>
  <c r="AX35" i="62"/>
  <c r="Y35" i="62"/>
  <c r="Y25" i="62"/>
  <c r="AX25" i="62"/>
  <c r="AX44" i="62"/>
  <c r="Y44" i="62"/>
  <c r="AX41" i="62"/>
  <c r="Y41" i="62"/>
  <c r="G62" i="61"/>
  <c r="F62" i="61" s="1"/>
  <c r="F61" i="61"/>
  <c r="Y29" i="62"/>
  <c r="AX29" i="62"/>
  <c r="AX37" i="62"/>
  <c r="Y37" i="62"/>
  <c r="Y34" i="62"/>
  <c r="AX34" i="62"/>
  <c r="Y49" i="62"/>
  <c r="AX49" i="62"/>
  <c r="AX22" i="62"/>
  <c r="Y22" i="62"/>
  <c r="AD22" i="62" s="1"/>
  <c r="AE22" i="62" s="1"/>
  <c r="Y21" i="62"/>
  <c r="AD21" i="62" s="1"/>
  <c r="AE21" i="62" s="1"/>
  <c r="AX21" i="62"/>
  <c r="AX40" i="62"/>
  <c r="Y40" i="62"/>
  <c r="Y47" i="62"/>
  <c r="AX47" i="62"/>
  <c r="AX28" i="62"/>
  <c r="Y28" i="62"/>
  <c r="Y45" i="62"/>
  <c r="AX45" i="62"/>
  <c r="AX48" i="62"/>
  <c r="Y48" i="62"/>
  <c r="AX43" i="62"/>
  <c r="Y43" i="62"/>
  <c r="AX27" i="62"/>
  <c r="Y27" i="62"/>
  <c r="AX46" i="62"/>
  <c r="Y46" i="62"/>
  <c r="AX23" i="62"/>
  <c r="Y23" i="62"/>
  <c r="AD23" i="62" s="1"/>
  <c r="AE23" i="62" s="1"/>
  <c r="AX26" i="62"/>
  <c r="Y26" i="62"/>
  <c r="AX20" i="62"/>
  <c r="Y20" i="62"/>
  <c r="AD20" i="62" s="1"/>
  <c r="AE20" i="62" s="1"/>
  <c r="AX19" i="62"/>
  <c r="Y19" i="62"/>
  <c r="AD19" i="62" s="1"/>
  <c r="AE19" i="62" s="1"/>
  <c r="AX52" i="62"/>
  <c r="Y52" i="62"/>
  <c r="AX53" i="62"/>
  <c r="Y53" i="62"/>
  <c r="Y24" i="62"/>
  <c r="AX24" i="62"/>
  <c r="Y31" i="62"/>
  <c r="AX31" i="62"/>
  <c r="AX36" i="62"/>
  <c r="Y36" i="62"/>
  <c r="AX51" i="62"/>
  <c r="Y51" i="62"/>
  <c r="AX30" i="62"/>
  <c r="Y30" i="62"/>
  <c r="C23" i="62"/>
  <c r="C24" i="62" s="1"/>
  <c r="C25" i="62" s="1"/>
  <c r="C26" i="62" s="1"/>
  <c r="C27" i="62" s="1"/>
  <c r="C28" i="62" s="1"/>
  <c r="C29" i="62" s="1"/>
  <c r="C30" i="62" s="1"/>
  <c r="C31" i="62" s="1"/>
  <c r="C32" i="62" s="1"/>
  <c r="C33" i="62" s="1"/>
  <c r="C34" i="62" s="1"/>
  <c r="C35" i="62" s="1"/>
  <c r="C36" i="62" s="1"/>
  <c r="C37" i="62" s="1"/>
  <c r="G62" i="50"/>
  <c r="F62" i="50" s="1"/>
  <c r="O68" i="46"/>
  <c r="J68" i="46"/>
  <c r="S75" i="46"/>
  <c r="Q68" i="46"/>
  <c r="M75" i="46"/>
  <c r="K68" i="46"/>
  <c r="I75" i="46"/>
  <c r="N68" i="46"/>
  <c r="L68" i="46"/>
  <c r="P75" i="46"/>
  <c r="R68" i="46"/>
  <c r="G82" i="29"/>
  <c r="F82" i="29" s="1"/>
  <c r="G145" i="29"/>
  <c r="F145" i="29" s="1"/>
  <c r="G173" i="29"/>
  <c r="F173" i="29" s="1"/>
  <c r="G148" i="29"/>
  <c r="F148" i="29" s="1"/>
  <c r="G77" i="29"/>
  <c r="F77" i="29" s="1"/>
  <c r="G139" i="29"/>
  <c r="F139" i="29" s="1"/>
  <c r="G75" i="29"/>
  <c r="F75" i="29" s="1"/>
  <c r="G110" i="29"/>
  <c r="F110" i="29" s="1"/>
  <c r="G85" i="29"/>
  <c r="F85" i="29" s="1"/>
  <c r="G140" i="29"/>
  <c r="F140" i="29" s="1"/>
  <c r="G76" i="29"/>
  <c r="F76" i="29" s="1"/>
  <c r="G166" i="29"/>
  <c r="F166" i="29" s="1"/>
  <c r="G112" i="29"/>
  <c r="F112" i="29" s="1"/>
  <c r="G138" i="29"/>
  <c r="F138" i="29" s="1"/>
  <c r="G175" i="29"/>
  <c r="F175" i="29" s="1"/>
  <c r="AX49" i="51"/>
  <c r="Y49" i="51"/>
  <c r="AX27" i="51"/>
  <c r="Y27" i="51"/>
  <c r="AX25" i="51"/>
  <c r="Y25" i="51"/>
  <c r="Y22" i="51"/>
  <c r="AD22" i="51" s="1"/>
  <c r="AE22" i="51" s="1"/>
  <c r="AX22" i="51"/>
  <c r="AX43" i="51"/>
  <c r="Y43" i="51"/>
  <c r="AX44" i="51"/>
  <c r="Y44" i="51"/>
  <c r="AX45" i="51"/>
  <c r="Y45" i="51"/>
  <c r="AX40" i="51"/>
  <c r="Y40" i="51"/>
  <c r="Y30" i="51"/>
  <c r="AX30" i="51"/>
  <c r="AX24" i="51"/>
  <c r="Y24" i="51"/>
  <c r="Y36" i="51"/>
  <c r="AX36" i="51"/>
  <c r="AX53" i="51"/>
  <c r="Y53" i="51"/>
  <c r="AX38" i="51"/>
  <c r="Y38" i="51"/>
  <c r="AX51" i="51"/>
  <c r="Y51" i="51"/>
  <c r="Y35" i="51"/>
  <c r="AX35" i="51"/>
  <c r="AX20" i="51"/>
  <c r="Y20" i="51"/>
  <c r="AD20" i="51" s="1"/>
  <c r="AE20" i="51" s="1"/>
  <c r="Y26" i="51"/>
  <c r="AX26" i="51"/>
  <c r="AX50" i="51"/>
  <c r="Y50" i="51"/>
  <c r="AX47" i="51"/>
  <c r="Y47" i="51"/>
  <c r="Y19" i="51"/>
  <c r="AD19" i="51" s="1"/>
  <c r="AE19" i="51" s="1"/>
  <c r="AX19" i="51"/>
  <c r="AX39" i="51"/>
  <c r="Y39" i="51"/>
  <c r="Y41" i="51"/>
  <c r="AX41" i="51"/>
  <c r="AX34" i="51"/>
  <c r="Y34" i="51"/>
  <c r="AX29" i="51"/>
  <c r="Y29" i="51"/>
  <c r="AX31" i="51"/>
  <c r="Y31" i="51"/>
  <c r="Y46" i="51"/>
  <c r="AX46" i="51"/>
  <c r="Y42" i="51"/>
  <c r="AX42" i="51"/>
  <c r="Y52" i="51"/>
  <c r="AX52" i="51"/>
  <c r="AX18" i="51"/>
  <c r="Y18" i="51"/>
  <c r="AD18" i="51" s="1"/>
  <c r="AE18" i="51" s="1"/>
  <c r="AX37" i="51"/>
  <c r="Y37" i="51"/>
  <c r="AX28" i="51"/>
  <c r="Y28" i="51"/>
  <c r="AX21" i="51"/>
  <c r="Y21" i="51"/>
  <c r="AD21" i="51" s="1"/>
  <c r="AE21" i="51" s="1"/>
  <c r="AX32" i="51"/>
  <c r="Y32" i="51"/>
  <c r="Y23" i="51"/>
  <c r="AD23" i="51" s="1"/>
  <c r="AE23" i="51" s="1"/>
  <c r="AX23" i="51"/>
  <c r="AX48" i="51"/>
  <c r="Y48" i="51"/>
  <c r="G95" i="29"/>
  <c r="F95" i="29" s="1"/>
  <c r="G158" i="29"/>
  <c r="F158" i="29" s="1"/>
  <c r="F52" i="46"/>
  <c r="F15" i="46"/>
  <c r="F50" i="46"/>
  <c r="F25" i="46"/>
  <c r="F14" i="46"/>
  <c r="F17" i="46"/>
  <c r="F43" i="46"/>
  <c r="F22" i="46"/>
  <c r="F16" i="46"/>
  <c r="C59" i="54"/>
  <c r="F59" i="51"/>
  <c r="F61" i="50"/>
  <c r="G66" i="37"/>
  <c r="G78" i="37" s="1"/>
  <c r="G73" i="37"/>
  <c r="F59" i="37"/>
  <c r="C22" i="37"/>
  <c r="F61" i="54"/>
  <c r="C22" i="53"/>
  <c r="T79" i="10"/>
  <c r="F109" i="29"/>
  <c r="F137" i="29"/>
  <c r="U79" i="10"/>
  <c r="F172" i="29"/>
  <c r="F74" i="29"/>
  <c r="T80" i="10"/>
  <c r="F103" i="29"/>
  <c r="F60" i="30"/>
  <c r="F61" i="30"/>
  <c r="F60" i="26"/>
  <c r="F59" i="26"/>
  <c r="U80" i="10"/>
  <c r="U78" i="10"/>
  <c r="U77" i="10"/>
  <c r="U81" i="10"/>
  <c r="U83" i="10"/>
  <c r="T78" i="10"/>
  <c r="T77" i="10"/>
  <c r="T81" i="10"/>
  <c r="T83" i="10"/>
  <c r="F169" i="26"/>
  <c r="C74" i="26"/>
  <c r="C75" i="26" s="1"/>
  <c r="C19" i="26"/>
  <c r="F170" i="26"/>
  <c r="C129" i="26"/>
  <c r="C130" i="26" s="1"/>
  <c r="C131" i="26" s="1"/>
  <c r="C132" i="26" s="1"/>
  <c r="I170" i="17"/>
  <c r="F123" i="17"/>
  <c r="F138" i="17"/>
  <c r="F163" i="17"/>
  <c r="F146" i="17"/>
  <c r="F127" i="17"/>
  <c r="F133" i="17"/>
  <c r="F136" i="17"/>
  <c r="F128" i="17"/>
  <c r="F132" i="17"/>
  <c r="F147" i="17"/>
  <c r="F130" i="17"/>
  <c r="F155" i="17"/>
  <c r="F143" i="17"/>
  <c r="F154" i="17"/>
  <c r="F160" i="17"/>
  <c r="F140" i="17"/>
  <c r="F129" i="17"/>
  <c r="F137" i="17"/>
  <c r="F156" i="17"/>
  <c r="F157" i="17"/>
  <c r="F135" i="17"/>
  <c r="F141" i="17"/>
  <c r="F142" i="17"/>
  <c r="F144" i="17"/>
  <c r="F151" i="17"/>
  <c r="F167" i="17"/>
  <c r="F162" i="17"/>
  <c r="F150" i="17"/>
  <c r="F165" i="17"/>
  <c r="F148" i="17"/>
  <c r="F139" i="17"/>
  <c r="F166" i="17"/>
  <c r="F145" i="17"/>
  <c r="C135" i="17"/>
  <c r="C136" i="17" s="1"/>
  <c r="C137" i="17" s="1"/>
  <c r="C138" i="17" s="1"/>
  <c r="C139" i="17" s="1"/>
  <c r="C140" i="17" s="1"/>
  <c r="C79" i="17"/>
  <c r="C81" i="17"/>
  <c r="C82" i="17" s="1"/>
  <c r="C83" i="17" s="1"/>
  <c r="C84" i="17" s="1"/>
  <c r="C85" i="17" s="1"/>
  <c r="C86" i="17" s="1"/>
  <c r="C87" i="17" s="1"/>
  <c r="C88" i="17" s="1"/>
  <c r="C89" i="17" s="1"/>
  <c r="C90" i="17" s="1"/>
  <c r="C91" i="17" s="1"/>
  <c r="C92" i="17" s="1"/>
  <c r="C93" i="17" s="1"/>
  <c r="C141" i="17"/>
  <c r="C142" i="17" s="1"/>
  <c r="C143" i="17" s="1"/>
  <c r="C144" i="17" s="1"/>
  <c r="C145" i="17" s="1"/>
  <c r="C146" i="17" s="1"/>
  <c r="C147" i="17" s="1"/>
  <c r="C148" i="17" s="1"/>
  <c r="S149" i="17"/>
  <c r="S169" i="17" s="1"/>
  <c r="O149" i="17"/>
  <c r="O170" i="17" s="1"/>
  <c r="L149" i="17"/>
  <c r="L170" i="17" s="1"/>
  <c r="K149" i="17"/>
  <c r="M149" i="17"/>
  <c r="M170" i="17" s="1"/>
  <c r="F125" i="17"/>
  <c r="F124" i="17"/>
  <c r="F126" i="17"/>
  <c r="J170" i="17"/>
  <c r="J169" i="17"/>
  <c r="F134" i="17"/>
  <c r="F153" i="17"/>
  <c r="F164" i="17"/>
  <c r="F159" i="17"/>
  <c r="F161" i="17"/>
  <c r="F158" i="17"/>
  <c r="P169" i="17"/>
  <c r="P170" i="17"/>
  <c r="Q149" i="17"/>
  <c r="Q169" i="17" s="1"/>
  <c r="F152" i="17"/>
  <c r="F131" i="17"/>
  <c r="N170" i="17"/>
  <c r="N169" i="17"/>
  <c r="R149" i="17"/>
  <c r="R169" i="17" s="1"/>
  <c r="R76" i="46" l="1"/>
  <c r="R80" i="46"/>
  <c r="M76" i="46"/>
  <c r="M80" i="46"/>
  <c r="J76" i="46"/>
  <c r="J80" i="46"/>
  <c r="O76" i="46"/>
  <c r="O80" i="46"/>
  <c r="S76" i="46"/>
  <c r="S80" i="46"/>
  <c r="K76" i="46"/>
  <c r="K80" i="46"/>
  <c r="Q76" i="46"/>
  <c r="Q80" i="46"/>
  <c r="L76" i="46"/>
  <c r="L80" i="46"/>
  <c r="N76" i="46"/>
  <c r="N80" i="46"/>
  <c r="P76" i="46"/>
  <c r="P80" i="46"/>
  <c r="I76" i="46"/>
  <c r="I80" i="46"/>
  <c r="J74" i="37"/>
  <c r="I74" i="37"/>
  <c r="R78" i="37"/>
  <c r="S74" i="37"/>
  <c r="L74" i="37"/>
  <c r="O74" i="37"/>
  <c r="Q74" i="37"/>
  <c r="N74" i="37"/>
  <c r="M78" i="63"/>
  <c r="M74" i="63"/>
  <c r="K78" i="63"/>
  <c r="K74" i="63"/>
  <c r="P74" i="63"/>
  <c r="P78" i="63"/>
  <c r="F66" i="63"/>
  <c r="F73" i="63"/>
  <c r="F77" i="63"/>
  <c r="Q74" i="63"/>
  <c r="Q78" i="63"/>
  <c r="I78" i="63"/>
  <c r="I74" i="63"/>
  <c r="O78" i="63"/>
  <c r="O74" i="63"/>
  <c r="L74" i="63"/>
  <c r="L78" i="63"/>
  <c r="S78" i="63"/>
  <c r="S74" i="63"/>
  <c r="J78" i="63"/>
  <c r="J74" i="63"/>
  <c r="R74" i="63"/>
  <c r="R78" i="63"/>
  <c r="N74" i="63"/>
  <c r="N78" i="63"/>
  <c r="G74" i="37"/>
  <c r="F66" i="37"/>
  <c r="F78" i="37" s="1"/>
  <c r="F77" i="37"/>
  <c r="U53" i="62"/>
  <c r="V53" i="62" s="1"/>
  <c r="W53" i="62" s="1"/>
  <c r="AD53" i="62"/>
  <c r="U26" i="62"/>
  <c r="V26" i="62" s="1"/>
  <c r="W26" i="62" s="1"/>
  <c r="AD26" i="62"/>
  <c r="U43" i="62"/>
  <c r="V43" i="62" s="1"/>
  <c r="W43" i="62" s="1"/>
  <c r="AD43" i="62"/>
  <c r="U35" i="62"/>
  <c r="V35" i="62" s="1"/>
  <c r="W35" i="62" s="1"/>
  <c r="AD35" i="62"/>
  <c r="U47" i="62"/>
  <c r="V47" i="62" s="1"/>
  <c r="W47" i="62" s="1"/>
  <c r="AD47" i="62"/>
  <c r="U49" i="62"/>
  <c r="V49" i="62" s="1"/>
  <c r="W49" i="62" s="1"/>
  <c r="AD49" i="62"/>
  <c r="U50" i="62"/>
  <c r="V50" i="62" s="1"/>
  <c r="W50" i="62" s="1"/>
  <c r="AD50" i="62"/>
  <c r="U40" i="62"/>
  <c r="V40" i="62" s="1"/>
  <c r="W40" i="62" s="1"/>
  <c r="AD40" i="62"/>
  <c r="U23" i="62"/>
  <c r="V23" i="62" s="1"/>
  <c r="W23" i="62" s="1"/>
  <c r="T23" i="62"/>
  <c r="U34" i="62"/>
  <c r="V34" i="62" s="1"/>
  <c r="W34" i="62" s="1"/>
  <c r="AD34" i="62"/>
  <c r="U42" i="62"/>
  <c r="V42" i="62" s="1"/>
  <c r="W42" i="62" s="1"/>
  <c r="AD42" i="62"/>
  <c r="U38" i="62"/>
  <c r="V38" i="62" s="1"/>
  <c r="W38" i="62" s="1"/>
  <c r="AD38" i="62"/>
  <c r="U30" i="62"/>
  <c r="V30" i="62" s="1"/>
  <c r="W30" i="62" s="1"/>
  <c r="AD30" i="62"/>
  <c r="U46" i="62"/>
  <c r="V46" i="62" s="1"/>
  <c r="W46" i="62" s="1"/>
  <c r="AD46" i="62"/>
  <c r="U21" i="62"/>
  <c r="V21" i="62" s="1"/>
  <c r="W21" i="62" s="1"/>
  <c r="T21" i="62"/>
  <c r="U37" i="62"/>
  <c r="V37" i="62" s="1"/>
  <c r="W37" i="62" s="1"/>
  <c r="AD37" i="62"/>
  <c r="U44" i="62"/>
  <c r="V44" i="62" s="1"/>
  <c r="W44" i="62" s="1"/>
  <c r="AD44" i="62"/>
  <c r="U36" i="62"/>
  <c r="V36" i="62" s="1"/>
  <c r="W36" i="62" s="1"/>
  <c r="AD36" i="62"/>
  <c r="U52" i="62"/>
  <c r="V52" i="62" s="1"/>
  <c r="W52" i="62" s="1"/>
  <c r="AD52" i="62"/>
  <c r="U48" i="62"/>
  <c r="V48" i="62" s="1"/>
  <c r="W48" i="62" s="1"/>
  <c r="AD48" i="62"/>
  <c r="U31" i="62"/>
  <c r="V31" i="62" s="1"/>
  <c r="W31" i="62" s="1"/>
  <c r="AD31" i="62"/>
  <c r="U19" i="62"/>
  <c r="V19" i="62" s="1"/>
  <c r="W19" i="62" s="1"/>
  <c r="T19" i="62"/>
  <c r="U45" i="62"/>
  <c r="V45" i="62" s="1"/>
  <c r="W45" i="62" s="1"/>
  <c r="AD45" i="62"/>
  <c r="U32" i="62"/>
  <c r="V32" i="62" s="1"/>
  <c r="W32" i="62" s="1"/>
  <c r="AD32" i="62"/>
  <c r="U51" i="62"/>
  <c r="V51" i="62" s="1"/>
  <c r="W51" i="62" s="1"/>
  <c r="AD51" i="62"/>
  <c r="U27" i="62"/>
  <c r="V27" i="62" s="1"/>
  <c r="W27" i="62" s="1"/>
  <c r="AD27" i="62"/>
  <c r="U28" i="62"/>
  <c r="V28" i="62" s="1"/>
  <c r="W28" i="62" s="1"/>
  <c r="AD28" i="62"/>
  <c r="U18" i="62"/>
  <c r="T18" i="62"/>
  <c r="U39" i="62"/>
  <c r="V39" i="62" s="1"/>
  <c r="W39" i="62" s="1"/>
  <c r="AD39" i="62"/>
  <c r="U41" i="62"/>
  <c r="V41" i="62" s="1"/>
  <c r="W41" i="62" s="1"/>
  <c r="AD41" i="62"/>
  <c r="U24" i="62"/>
  <c r="V24" i="62" s="1"/>
  <c r="W24" i="62" s="1"/>
  <c r="AD24" i="62"/>
  <c r="U20" i="62"/>
  <c r="V20" i="62" s="1"/>
  <c r="W20" i="62" s="1"/>
  <c r="T20" i="62"/>
  <c r="U22" i="62"/>
  <c r="V22" i="62" s="1"/>
  <c r="W22" i="62" s="1"/>
  <c r="T22" i="62"/>
  <c r="U29" i="62"/>
  <c r="V29" i="62" s="1"/>
  <c r="W29" i="62" s="1"/>
  <c r="AD29" i="62"/>
  <c r="U25" i="62"/>
  <c r="V25" i="62" s="1"/>
  <c r="W25" i="62" s="1"/>
  <c r="AD25" i="62"/>
  <c r="U49" i="50"/>
  <c r="V49" i="50" s="1"/>
  <c r="W49" i="50" s="1"/>
  <c r="U42" i="50"/>
  <c r="V42" i="50" s="1"/>
  <c r="W42" i="50" s="1"/>
  <c r="U44" i="50"/>
  <c r="V44" i="50" s="1"/>
  <c r="W44" i="50" s="1"/>
  <c r="U43" i="50"/>
  <c r="V43" i="50" s="1"/>
  <c r="W43" i="50" s="1"/>
  <c r="U53" i="50"/>
  <c r="V53" i="50" s="1"/>
  <c r="W53" i="50" s="1"/>
  <c r="U54" i="50"/>
  <c r="V54" i="50" s="1"/>
  <c r="W54" i="50" s="1"/>
  <c r="U40" i="50"/>
  <c r="U52" i="50"/>
  <c r="V52" i="50" s="1"/>
  <c r="W52" i="50" s="1"/>
  <c r="U46" i="50"/>
  <c r="V46" i="50" s="1"/>
  <c r="W46" i="50" s="1"/>
  <c r="U51" i="50"/>
  <c r="V51" i="50" s="1"/>
  <c r="W51" i="50" s="1"/>
  <c r="U47" i="50"/>
  <c r="V47" i="50" s="1"/>
  <c r="W47" i="50" s="1"/>
  <c r="U50" i="50"/>
  <c r="V50" i="50" s="1"/>
  <c r="W50" i="50" s="1"/>
  <c r="U48" i="50"/>
  <c r="V48" i="50" s="1"/>
  <c r="W48" i="50" s="1"/>
  <c r="U45" i="50"/>
  <c r="V45" i="50" s="1"/>
  <c r="W45" i="50" s="1"/>
  <c r="U55" i="50"/>
  <c r="V55" i="50" s="1"/>
  <c r="W55" i="50" s="1"/>
  <c r="U41" i="50"/>
  <c r="V41" i="50" s="1"/>
  <c r="W41" i="50" s="1"/>
  <c r="AD53" i="51"/>
  <c r="U53" i="51"/>
  <c r="V53" i="51" s="1"/>
  <c r="W53" i="51" s="1"/>
  <c r="AD40" i="51"/>
  <c r="U40" i="51"/>
  <c r="V40" i="51" s="1"/>
  <c r="W40" i="51" s="1"/>
  <c r="AD28" i="51"/>
  <c r="U28" i="51"/>
  <c r="V28" i="51" s="1"/>
  <c r="W28" i="51" s="1"/>
  <c r="AD45" i="51"/>
  <c r="U45" i="51"/>
  <c r="V45" i="51" s="1"/>
  <c r="W45" i="51" s="1"/>
  <c r="AD42" i="51"/>
  <c r="U42" i="51"/>
  <c r="V42" i="51" s="1"/>
  <c r="W42" i="51" s="1"/>
  <c r="AD35" i="51"/>
  <c r="U35" i="51"/>
  <c r="V35" i="51" s="1"/>
  <c r="W35" i="51" s="1"/>
  <c r="AD36" i="51"/>
  <c r="U36" i="51"/>
  <c r="V36" i="51" s="1"/>
  <c r="W36" i="51" s="1"/>
  <c r="T23" i="51"/>
  <c r="U23" i="51"/>
  <c r="V23" i="51" s="1"/>
  <c r="W23" i="51" s="1"/>
  <c r="AD37" i="51"/>
  <c r="U37" i="51"/>
  <c r="V37" i="51" s="1"/>
  <c r="W37" i="51" s="1"/>
  <c r="AD50" i="51"/>
  <c r="U50" i="51"/>
  <c r="V50" i="51" s="1"/>
  <c r="W50" i="51" s="1"/>
  <c r="AD51" i="51"/>
  <c r="U51" i="51"/>
  <c r="V51" i="51" s="1"/>
  <c r="W51" i="51" s="1"/>
  <c r="AD24" i="51"/>
  <c r="U24" i="51"/>
  <c r="V24" i="51" s="1"/>
  <c r="W24" i="51" s="1"/>
  <c r="AD44" i="51"/>
  <c r="U44" i="51"/>
  <c r="V44" i="51" s="1"/>
  <c r="W44" i="51" s="1"/>
  <c r="AD27" i="51"/>
  <c r="U27" i="51"/>
  <c r="V27" i="51" s="1"/>
  <c r="W27" i="51" s="1"/>
  <c r="AD48" i="51"/>
  <c r="U48" i="51"/>
  <c r="V48" i="51" s="1"/>
  <c r="W48" i="51" s="1"/>
  <c r="AD47" i="51"/>
  <c r="U47" i="51"/>
  <c r="V47" i="51" s="1"/>
  <c r="W47" i="51" s="1"/>
  <c r="AD25" i="51"/>
  <c r="U25" i="51"/>
  <c r="V25" i="51" s="1"/>
  <c r="W25" i="51" s="1"/>
  <c r="AD46" i="51"/>
  <c r="U46" i="51"/>
  <c r="V46" i="51" s="1"/>
  <c r="W46" i="51" s="1"/>
  <c r="AD41" i="51"/>
  <c r="U41" i="51"/>
  <c r="V41" i="51" s="1"/>
  <c r="W41" i="51" s="1"/>
  <c r="AD32" i="51"/>
  <c r="U32" i="51"/>
  <c r="V32" i="51" s="1"/>
  <c r="W32" i="51" s="1"/>
  <c r="AD31" i="51"/>
  <c r="U31" i="51"/>
  <c r="V31" i="51" s="1"/>
  <c r="W31" i="51" s="1"/>
  <c r="AD39" i="51"/>
  <c r="U39" i="51"/>
  <c r="V39" i="51" s="1"/>
  <c r="W39" i="51" s="1"/>
  <c r="AD38" i="51"/>
  <c r="U38" i="51"/>
  <c r="V38" i="51" s="1"/>
  <c r="W38" i="51" s="1"/>
  <c r="AD43" i="51"/>
  <c r="U43" i="51"/>
  <c r="V43" i="51" s="1"/>
  <c r="W43" i="51" s="1"/>
  <c r="AD49" i="51"/>
  <c r="U49" i="51"/>
  <c r="V49" i="51" s="1"/>
  <c r="W49" i="51" s="1"/>
  <c r="AD29" i="51"/>
  <c r="U29" i="51"/>
  <c r="V29" i="51" s="1"/>
  <c r="W29" i="51" s="1"/>
  <c r="T19" i="51"/>
  <c r="U19" i="51"/>
  <c r="V19" i="51" s="1"/>
  <c r="W19" i="51" s="1"/>
  <c r="T22" i="51"/>
  <c r="U22" i="51"/>
  <c r="V22" i="51" s="1"/>
  <c r="W22" i="51" s="1"/>
  <c r="T21" i="51"/>
  <c r="U21" i="51"/>
  <c r="V21" i="51" s="1"/>
  <c r="W21" i="51" s="1"/>
  <c r="AD52" i="51"/>
  <c r="U52" i="51"/>
  <c r="V52" i="51" s="1"/>
  <c r="W52" i="51" s="1"/>
  <c r="T20" i="51"/>
  <c r="U20" i="51"/>
  <c r="V20" i="51" s="1"/>
  <c r="W20" i="51" s="1"/>
  <c r="AD34" i="51"/>
  <c r="U34" i="51"/>
  <c r="V34" i="51" s="1"/>
  <c r="W34" i="51" s="1"/>
  <c r="T18" i="51"/>
  <c r="U18" i="51"/>
  <c r="AD26" i="51"/>
  <c r="U26" i="51"/>
  <c r="V26" i="51" s="1"/>
  <c r="W26" i="51" s="1"/>
  <c r="AD30" i="51"/>
  <c r="U30" i="51"/>
  <c r="V30" i="51" s="1"/>
  <c r="W30" i="51" s="1"/>
  <c r="G61" i="46"/>
  <c r="G68" i="46" s="1"/>
  <c r="G62" i="46"/>
  <c r="F62" i="46" s="1"/>
  <c r="F73" i="37"/>
  <c r="C23" i="37"/>
  <c r="C59" i="37" s="1"/>
  <c r="C59" i="53"/>
  <c r="C60" i="53" s="1"/>
  <c r="C68" i="53" s="1"/>
  <c r="G185" i="29"/>
  <c r="F185" i="29" s="1"/>
  <c r="G122" i="29"/>
  <c r="G184" i="29"/>
  <c r="F184" i="29" s="1"/>
  <c r="G121" i="29"/>
  <c r="C133" i="26"/>
  <c r="C169" i="26" s="1"/>
  <c r="C170" i="26" s="1"/>
  <c r="C76" i="26"/>
  <c r="C77" i="26" s="1"/>
  <c r="C20" i="26"/>
  <c r="F149" i="17"/>
  <c r="O169" i="17"/>
  <c r="L169" i="17"/>
  <c r="M169" i="17"/>
  <c r="S170" i="17"/>
  <c r="Q170" i="17"/>
  <c r="K169" i="17"/>
  <c r="K170" i="17"/>
  <c r="R170" i="17"/>
  <c r="K71" i="17"/>
  <c r="K14" i="17"/>
  <c r="K15" i="17"/>
  <c r="G115" i="17"/>
  <c r="G114" i="17"/>
  <c r="J14" i="17"/>
  <c r="K17" i="17"/>
  <c r="K69" i="17"/>
  <c r="K72" i="17"/>
  <c r="J17" i="17"/>
  <c r="J16" i="17"/>
  <c r="J71" i="17"/>
  <c r="J69" i="17"/>
  <c r="J72" i="17"/>
  <c r="K70" i="17"/>
  <c r="J15" i="17"/>
  <c r="G169" i="17"/>
  <c r="J70" i="17"/>
  <c r="K16" i="17"/>
  <c r="G76" i="46" l="1"/>
  <c r="G80" i="46"/>
  <c r="F78" i="63"/>
  <c r="F74" i="63"/>
  <c r="F74" i="37"/>
  <c r="U59" i="62"/>
  <c r="V18" i="62"/>
  <c r="W18" i="62" s="1"/>
  <c r="AE38" i="62"/>
  <c r="T38" i="62"/>
  <c r="AE42" i="62"/>
  <c r="T42" i="62"/>
  <c r="T50" i="62"/>
  <c r="AE50" i="62"/>
  <c r="T43" i="62"/>
  <c r="AE43" i="62"/>
  <c r="T29" i="62"/>
  <c r="AE29" i="62"/>
  <c r="T41" i="62"/>
  <c r="AE41" i="62"/>
  <c r="AE27" i="62"/>
  <c r="T27" i="62"/>
  <c r="T36" i="62"/>
  <c r="AE36" i="62"/>
  <c r="AE25" i="62"/>
  <c r="T25" i="62"/>
  <c r="T28" i="62"/>
  <c r="AE28" i="62"/>
  <c r="AE45" i="62"/>
  <c r="T45" i="62"/>
  <c r="AE52" i="62"/>
  <c r="T52" i="62"/>
  <c r="T49" i="62"/>
  <c r="AE49" i="62"/>
  <c r="AE39" i="62"/>
  <c r="T39" i="62"/>
  <c r="T51" i="62"/>
  <c r="AE51" i="62"/>
  <c r="AE31" i="62"/>
  <c r="T31" i="62"/>
  <c r="AE37" i="62"/>
  <c r="T37" i="62"/>
  <c r="AE35" i="62"/>
  <c r="T35" i="62"/>
  <c r="T24" i="62"/>
  <c r="AE24" i="62"/>
  <c r="T46" i="62"/>
  <c r="AE46" i="62"/>
  <c r="AE34" i="62"/>
  <c r="T34" i="62"/>
  <c r="T26" i="62"/>
  <c r="AE26" i="62"/>
  <c r="AE44" i="62"/>
  <c r="T44" i="62"/>
  <c r="T30" i="62"/>
  <c r="AE30" i="62"/>
  <c r="AE47" i="62"/>
  <c r="T47" i="62"/>
  <c r="AE53" i="62"/>
  <c r="T53" i="62"/>
  <c r="AE40" i="62"/>
  <c r="T40" i="62"/>
  <c r="T32" i="62"/>
  <c r="AE32" i="62"/>
  <c r="AE48" i="62"/>
  <c r="T48" i="62"/>
  <c r="AE34" i="51"/>
  <c r="T34" i="51"/>
  <c r="AE43" i="51"/>
  <c r="T43" i="51"/>
  <c r="AE32" i="51"/>
  <c r="T32" i="51"/>
  <c r="AE47" i="51"/>
  <c r="T47" i="51"/>
  <c r="AE24" i="51"/>
  <c r="T24" i="51"/>
  <c r="AE45" i="51"/>
  <c r="T45" i="51"/>
  <c r="AE41" i="51"/>
  <c r="T41" i="51"/>
  <c r="AE48" i="51"/>
  <c r="T48" i="51"/>
  <c r="AE28" i="51"/>
  <c r="T28" i="51"/>
  <c r="AE26" i="51"/>
  <c r="T26" i="51"/>
  <c r="AE52" i="51"/>
  <c r="T52" i="51"/>
  <c r="AE29" i="51"/>
  <c r="T29" i="51"/>
  <c r="AE39" i="51"/>
  <c r="T39" i="51"/>
  <c r="AE46" i="51"/>
  <c r="T46" i="51"/>
  <c r="AE27" i="51"/>
  <c r="T27" i="51"/>
  <c r="AE50" i="51"/>
  <c r="T50" i="51"/>
  <c r="AE35" i="51"/>
  <c r="T35" i="51"/>
  <c r="AE40" i="51"/>
  <c r="T40" i="51"/>
  <c r="AE36" i="51"/>
  <c r="T36" i="51"/>
  <c r="AE30" i="51"/>
  <c r="T30" i="51"/>
  <c r="AE38" i="51"/>
  <c r="T38" i="51"/>
  <c r="AE51" i="51"/>
  <c r="T51" i="51"/>
  <c r="AE49" i="51"/>
  <c r="T49" i="51"/>
  <c r="AE31" i="51"/>
  <c r="T31" i="51"/>
  <c r="AE25" i="51"/>
  <c r="T25" i="51"/>
  <c r="AE44" i="51"/>
  <c r="T44" i="51"/>
  <c r="AE37" i="51"/>
  <c r="T37" i="51"/>
  <c r="AE42" i="51"/>
  <c r="T42" i="51"/>
  <c r="AE53" i="51"/>
  <c r="T53" i="51"/>
  <c r="V18" i="51"/>
  <c r="W18" i="51" s="1"/>
  <c r="U59" i="51"/>
  <c r="V40" i="50"/>
  <c r="W40" i="50" s="1"/>
  <c r="U61" i="50"/>
  <c r="F61" i="46"/>
  <c r="G75" i="46"/>
  <c r="C60" i="37"/>
  <c r="C62" i="37" s="1"/>
  <c r="C63" i="37" s="1"/>
  <c r="C64" i="37" s="1"/>
  <c r="C66" i="37" s="1"/>
  <c r="C69" i="53"/>
  <c r="C70" i="53" s="1"/>
  <c r="C71" i="53" s="1"/>
  <c r="C78" i="26"/>
  <c r="C114" i="26" s="1"/>
  <c r="C115" i="26" s="1"/>
  <c r="C21" i="26"/>
  <c r="C22" i="26" s="1"/>
  <c r="F170" i="17"/>
  <c r="F169" i="17"/>
  <c r="F75" i="46" l="1"/>
  <c r="F79" i="46"/>
  <c r="C69" i="37"/>
  <c r="T59" i="62"/>
  <c r="T59" i="51"/>
  <c r="F68" i="46"/>
  <c r="C72" i="53"/>
  <c r="C23" i="26"/>
  <c r="C59" i="26" s="1"/>
  <c r="C60" i="26" s="1"/>
  <c r="F76" i="46" l="1"/>
  <c r="F80" i="46"/>
  <c r="C70" i="37"/>
  <c r="C73" i="37" s="1"/>
  <c r="C74" i="37" s="1"/>
  <c r="C77" i="37" s="1"/>
  <c r="C78" i="37" s="1"/>
  <c r="C73" i="53"/>
  <c r="C74" i="53" s="1"/>
  <c r="C75" i="53" s="1"/>
  <c r="C77" i="53" s="1"/>
  <c r="O2" i="3"/>
  <c r="O51" i="3" s="1"/>
  <c r="N2" i="3"/>
  <c r="N51" i="3" s="1"/>
  <c r="L2" i="3"/>
  <c r="L51" i="3" s="1"/>
  <c r="K2" i="3"/>
  <c r="K51" i="3" s="1"/>
  <c r="P2" i="3"/>
  <c r="P51" i="3" s="1"/>
  <c r="J2" i="3"/>
  <c r="J51" i="3" s="1"/>
  <c r="Q2" i="3"/>
  <c r="Q51" i="3" s="1"/>
  <c r="M2" i="3"/>
  <c r="M51" i="3" s="1"/>
  <c r="C76" i="53" l="1"/>
  <c r="C114" i="53" s="1"/>
  <c r="C115" i="53" s="1"/>
  <c r="C123" i="53" s="1"/>
  <c r="P79" i="29"/>
  <c r="P121" i="29" s="1"/>
  <c r="R79" i="29"/>
  <c r="R122" i="29" s="1"/>
  <c r="Q79" i="29"/>
  <c r="Q122" i="29" s="1"/>
  <c r="L79" i="29"/>
  <c r="L122" i="29" s="1"/>
  <c r="N79" i="29"/>
  <c r="N122" i="29" s="1"/>
  <c r="S79" i="29"/>
  <c r="S121" i="29" s="1"/>
  <c r="M79" i="29"/>
  <c r="M122" i="29" s="1"/>
  <c r="O79" i="29"/>
  <c r="O121" i="29" s="1"/>
  <c r="C124" i="53" l="1"/>
  <c r="C125" i="53" s="1"/>
  <c r="C126" i="53" s="1"/>
  <c r="S122" i="29"/>
  <c r="R121" i="29"/>
  <c r="O122" i="29"/>
  <c r="L121" i="29"/>
  <c r="Q121" i="29"/>
  <c r="N121" i="29"/>
  <c r="M121" i="29"/>
  <c r="F79" i="29"/>
  <c r="P122" i="29"/>
  <c r="M13" i="17"/>
  <c r="P70" i="17"/>
  <c r="O13" i="17"/>
  <c r="M69" i="17"/>
  <c r="N72" i="17"/>
  <c r="N17" i="17"/>
  <c r="N15" i="17"/>
  <c r="M16" i="17"/>
  <c r="P16" i="17"/>
  <c r="N70" i="17"/>
  <c r="S70" i="17"/>
  <c r="L14" i="17"/>
  <c r="R70" i="17"/>
  <c r="S16" i="17"/>
  <c r="S15" i="17"/>
  <c r="M71" i="17"/>
  <c r="L15" i="17"/>
  <c r="S71" i="17"/>
  <c r="P14" i="17"/>
  <c r="Q13" i="17"/>
  <c r="L72" i="17"/>
  <c r="R71" i="17"/>
  <c r="R17" i="17"/>
  <c r="M15" i="17"/>
  <c r="S13" i="17"/>
  <c r="Q72" i="17"/>
  <c r="R72" i="17"/>
  <c r="L17" i="17"/>
  <c r="S14" i="17"/>
  <c r="R15" i="17"/>
  <c r="R13" i="17"/>
  <c r="M70" i="17"/>
  <c r="P72" i="17"/>
  <c r="P15" i="17"/>
  <c r="N69" i="17"/>
  <c r="L13" i="17"/>
  <c r="O71" i="17"/>
  <c r="L71" i="17"/>
  <c r="Q15" i="17"/>
  <c r="P17" i="17"/>
  <c r="O70" i="17"/>
  <c r="M72" i="17"/>
  <c r="S69" i="17"/>
  <c r="P69" i="17"/>
  <c r="Q17" i="17"/>
  <c r="Q16" i="17"/>
  <c r="R16" i="17"/>
  <c r="O17" i="17"/>
  <c r="N14" i="17"/>
  <c r="L70" i="17"/>
  <c r="O16" i="17"/>
  <c r="Q71" i="17"/>
  <c r="S17" i="17"/>
  <c r="P13" i="17"/>
  <c r="O69" i="17"/>
  <c r="O72" i="17"/>
  <c r="N13" i="17"/>
  <c r="N71" i="17"/>
  <c r="S72" i="17"/>
  <c r="P71" i="17"/>
  <c r="Q70" i="17"/>
  <c r="Q69" i="17"/>
  <c r="L69" i="17"/>
  <c r="R69" i="17"/>
  <c r="L16" i="17"/>
  <c r="Q14" i="17"/>
  <c r="R14" i="17"/>
  <c r="O14" i="17"/>
  <c r="O15" i="17"/>
  <c r="N16" i="17"/>
  <c r="M14" i="17"/>
  <c r="M17" i="17"/>
  <c r="C127" i="53" l="1"/>
  <c r="C128" i="53" s="1"/>
  <c r="F122" i="29"/>
  <c r="F121" i="29"/>
  <c r="F71" i="17"/>
  <c r="F70" i="17"/>
  <c r="F69" i="17"/>
  <c r="F72" i="17"/>
  <c r="F17" i="17"/>
  <c r="F14" i="17"/>
  <c r="F16" i="17"/>
  <c r="F15" i="17"/>
  <c r="F13" i="17"/>
  <c r="J68" i="17"/>
  <c r="C129" i="53" l="1"/>
  <c r="Q68" i="17"/>
  <c r="M68" i="17"/>
  <c r="P68" i="17"/>
  <c r="S68" i="17"/>
  <c r="K68" i="17"/>
  <c r="O68" i="17"/>
  <c r="R68" i="17"/>
  <c r="N68" i="17"/>
  <c r="L68" i="17"/>
  <c r="C130" i="53" l="1"/>
  <c r="F68" i="17"/>
  <c r="B23" i="17"/>
  <c r="I23" i="17" s="1"/>
  <c r="B31" i="17"/>
  <c r="I31" i="17" s="1"/>
  <c r="B39" i="17"/>
  <c r="I39" i="17" s="1"/>
  <c r="B47" i="17"/>
  <c r="I47" i="17" s="1"/>
  <c r="B55" i="17"/>
  <c r="I55" i="17" s="1"/>
  <c r="B29" i="17"/>
  <c r="I29" i="17" s="1"/>
  <c r="B37" i="17"/>
  <c r="I37" i="17" s="1"/>
  <c r="B53" i="17"/>
  <c r="I53" i="17" s="1"/>
  <c r="B28" i="17"/>
  <c r="I28" i="17" s="1"/>
  <c r="B36" i="17"/>
  <c r="I36" i="17" s="1"/>
  <c r="B52" i="17"/>
  <c r="I52" i="17" s="1"/>
  <c r="B22" i="17"/>
  <c r="I22" i="17" s="1"/>
  <c r="B30" i="17"/>
  <c r="I30" i="17" s="1"/>
  <c r="B38" i="17"/>
  <c r="I38" i="17" s="1"/>
  <c r="B46" i="17"/>
  <c r="I46" i="17" s="1"/>
  <c r="B54" i="17"/>
  <c r="I54" i="17" s="1"/>
  <c r="B21" i="17"/>
  <c r="I21" i="17" s="1"/>
  <c r="B45" i="17"/>
  <c r="I45" i="17" s="1"/>
  <c r="B20" i="17"/>
  <c r="I20" i="17" s="1"/>
  <c r="B44" i="17"/>
  <c r="I44" i="17" s="1"/>
  <c r="B19" i="17"/>
  <c r="I19" i="17" s="1"/>
  <c r="B27" i="17"/>
  <c r="I27" i="17" s="1"/>
  <c r="B35" i="17"/>
  <c r="I35" i="17" s="1"/>
  <c r="B43" i="17"/>
  <c r="I43" i="17" s="1"/>
  <c r="B51" i="17"/>
  <c r="I51" i="17" s="1"/>
  <c r="B25" i="17"/>
  <c r="I25" i="17" s="1"/>
  <c r="B41" i="17"/>
  <c r="I41" i="17" s="1"/>
  <c r="B57" i="17"/>
  <c r="I57" i="17" s="1"/>
  <c r="B40" i="17"/>
  <c r="I40" i="17" s="1"/>
  <c r="B56" i="17"/>
  <c r="I56" i="17" s="1"/>
  <c r="B18" i="17"/>
  <c r="I18" i="17" s="1"/>
  <c r="B26" i="17"/>
  <c r="I26" i="17" s="1"/>
  <c r="B34" i="17"/>
  <c r="I34" i="17" s="1"/>
  <c r="B42" i="17"/>
  <c r="I42" i="17" s="1"/>
  <c r="B50" i="17"/>
  <c r="I50" i="17" s="1"/>
  <c r="B33" i="17"/>
  <c r="I33" i="17" s="1"/>
  <c r="B49" i="17"/>
  <c r="I49" i="17" s="1"/>
  <c r="B24" i="17"/>
  <c r="I24" i="17" s="1"/>
  <c r="B32" i="17"/>
  <c r="I32" i="17" s="1"/>
  <c r="B48" i="17"/>
  <c r="I48" i="17" s="1"/>
  <c r="B75" i="17"/>
  <c r="I75" i="17" s="1"/>
  <c r="B83" i="17"/>
  <c r="I83" i="17" s="1"/>
  <c r="B91" i="17"/>
  <c r="I91" i="17" s="1"/>
  <c r="B99" i="17"/>
  <c r="I99" i="17" s="1"/>
  <c r="B107" i="17"/>
  <c r="I107" i="17" s="1"/>
  <c r="B73" i="17"/>
  <c r="I73" i="17" s="1"/>
  <c r="B97" i="17"/>
  <c r="I97" i="17" s="1"/>
  <c r="B96" i="17"/>
  <c r="I96" i="17" s="1"/>
  <c r="B112" i="17"/>
  <c r="I112" i="17" s="1"/>
  <c r="B74" i="17"/>
  <c r="I74" i="17" s="1"/>
  <c r="B82" i="17"/>
  <c r="I82" i="17" s="1"/>
  <c r="B90" i="17"/>
  <c r="I90" i="17" s="1"/>
  <c r="B98" i="17"/>
  <c r="I98" i="17" s="1"/>
  <c r="B106" i="17"/>
  <c r="I106" i="17" s="1"/>
  <c r="B81" i="17"/>
  <c r="I81" i="17" s="1"/>
  <c r="B89" i="17"/>
  <c r="I89" i="17" s="1"/>
  <c r="B105" i="17"/>
  <c r="I105" i="17" s="1"/>
  <c r="B80" i="17"/>
  <c r="I80" i="17" s="1"/>
  <c r="B88" i="17"/>
  <c r="I88" i="17" s="1"/>
  <c r="B104" i="17"/>
  <c r="I104" i="17" s="1"/>
  <c r="B79" i="17"/>
  <c r="I79" i="17" s="1"/>
  <c r="B87" i="17"/>
  <c r="I87" i="17" s="1"/>
  <c r="B95" i="17"/>
  <c r="I95" i="17" s="1"/>
  <c r="B103" i="17"/>
  <c r="I103" i="17" s="1"/>
  <c r="B111" i="17"/>
  <c r="I111" i="17" s="1"/>
  <c r="B77" i="17"/>
  <c r="I77" i="17" s="1"/>
  <c r="B109" i="17"/>
  <c r="I109" i="17" s="1"/>
  <c r="B76" i="17"/>
  <c r="I76" i="17" s="1"/>
  <c r="B100" i="17"/>
  <c r="I100" i="17" s="1"/>
  <c r="B78" i="17"/>
  <c r="I78" i="17" s="1"/>
  <c r="B86" i="17"/>
  <c r="I86" i="17" s="1"/>
  <c r="B94" i="17"/>
  <c r="I94" i="17" s="1"/>
  <c r="B102" i="17"/>
  <c r="I102" i="17" s="1"/>
  <c r="B110" i="17"/>
  <c r="I110" i="17" s="1"/>
  <c r="B85" i="17"/>
  <c r="I85" i="17" s="1"/>
  <c r="B93" i="17"/>
  <c r="I93" i="17" s="1"/>
  <c r="B101" i="17"/>
  <c r="I101" i="17" s="1"/>
  <c r="B84" i="17"/>
  <c r="I84" i="17" s="1"/>
  <c r="B92" i="17"/>
  <c r="I92" i="17" s="1"/>
  <c r="B108" i="17"/>
  <c r="I108" i="17" s="1"/>
  <c r="E59" i="10"/>
  <c r="E51" i="10"/>
  <c r="E56" i="10"/>
  <c r="E57" i="10"/>
  <c r="E58" i="10"/>
  <c r="E68" i="10"/>
  <c r="E62" i="10"/>
  <c r="E52" i="10"/>
  <c r="E55" i="10"/>
  <c r="E50" i="10"/>
  <c r="E66" i="10"/>
  <c r="E54" i="10"/>
  <c r="E67" i="10"/>
  <c r="E53" i="10"/>
  <c r="E70" i="10"/>
  <c r="E73" i="10"/>
  <c r="E72" i="10"/>
  <c r="E48" i="10"/>
  <c r="D45" i="61" l="1"/>
  <c r="D44" i="30"/>
  <c r="D46" i="30"/>
  <c r="D47" i="61"/>
  <c r="D44" i="61"/>
  <c r="D43" i="30"/>
  <c r="D53" i="30"/>
  <c r="D54" i="61"/>
  <c r="D52" i="30"/>
  <c r="D53" i="61"/>
  <c r="D49" i="61"/>
  <c r="D48" i="30"/>
  <c r="D51" i="30"/>
  <c r="D52" i="61"/>
  <c r="D40" i="30"/>
  <c r="D41" i="61"/>
  <c r="D46" i="61"/>
  <c r="D45" i="30"/>
  <c r="D40" i="61"/>
  <c r="C40" i="61" s="1"/>
  <c r="D39" i="30"/>
  <c r="D41" i="30"/>
  <c r="D42" i="61"/>
  <c r="D49" i="30"/>
  <c r="D50" i="61"/>
  <c r="D42" i="30"/>
  <c r="D43" i="61"/>
  <c r="D48" i="61"/>
  <c r="D47" i="30"/>
  <c r="D54" i="30"/>
  <c r="D55" i="61"/>
  <c r="D50" i="30"/>
  <c r="D51" i="61"/>
  <c r="D42" i="62"/>
  <c r="D51" i="62"/>
  <c r="D47" i="62"/>
  <c r="D43" i="62"/>
  <c r="D46" i="62"/>
  <c r="D39" i="62"/>
  <c r="D48" i="62"/>
  <c r="D50" i="62"/>
  <c r="D41" i="62"/>
  <c r="D52" i="62"/>
  <c r="D45" i="62"/>
  <c r="D38" i="62"/>
  <c r="C38" i="62" s="1"/>
  <c r="D40" i="62"/>
  <c r="D44" i="62"/>
  <c r="D53" i="62"/>
  <c r="D49" i="62"/>
  <c r="I59" i="17"/>
  <c r="I60" i="17"/>
  <c r="C131" i="53"/>
  <c r="C132" i="53" s="1"/>
  <c r="C133" i="53" s="1"/>
  <c r="D46" i="50"/>
  <c r="D44" i="51"/>
  <c r="D40" i="50"/>
  <c r="C40" i="50" s="1"/>
  <c r="D38" i="51"/>
  <c r="C38" i="51" s="1"/>
  <c r="D41" i="50"/>
  <c r="D39" i="51"/>
  <c r="D42" i="50"/>
  <c r="D40" i="51"/>
  <c r="D43" i="50"/>
  <c r="D41" i="51"/>
  <c r="D45" i="50"/>
  <c r="D43" i="51"/>
  <c r="D52" i="50"/>
  <c r="D50" i="51"/>
  <c r="D49" i="50"/>
  <c r="D47" i="51"/>
  <c r="D44" i="50"/>
  <c r="D42" i="51"/>
  <c r="D54" i="50"/>
  <c r="D52" i="51"/>
  <c r="D50" i="50"/>
  <c r="D48" i="51"/>
  <c r="D47" i="50"/>
  <c r="D45" i="51"/>
  <c r="D48" i="50"/>
  <c r="D46" i="51"/>
  <c r="D53" i="50"/>
  <c r="D51" i="51"/>
  <c r="D55" i="50"/>
  <c r="D53" i="51"/>
  <c r="D51" i="50"/>
  <c r="D49" i="51"/>
  <c r="D44" i="46"/>
  <c r="D41" i="46"/>
  <c r="D42" i="46"/>
  <c r="D55" i="46"/>
  <c r="D50" i="46"/>
  <c r="D52" i="46"/>
  <c r="D47" i="46"/>
  <c r="D54" i="46"/>
  <c r="D51" i="46"/>
  <c r="D43" i="46"/>
  <c r="D46" i="46"/>
  <c r="D40" i="46"/>
  <c r="C40" i="46" s="1"/>
  <c r="D45" i="46"/>
  <c r="D48" i="46"/>
  <c r="D53" i="46"/>
  <c r="D49" i="46"/>
  <c r="D55" i="29"/>
  <c r="D43" i="29"/>
  <c r="D46" i="29"/>
  <c r="D41" i="29"/>
  <c r="D42" i="29"/>
  <c r="D54" i="29"/>
  <c r="D51" i="29"/>
  <c r="D50" i="29"/>
  <c r="D47" i="29"/>
  <c r="D45" i="29"/>
  <c r="D48" i="29"/>
  <c r="D44" i="29"/>
  <c r="D52" i="29"/>
  <c r="D40" i="29"/>
  <c r="C40" i="29" s="1"/>
  <c r="D53" i="29"/>
  <c r="D49" i="29"/>
  <c r="I114" i="17"/>
  <c r="I115" i="17"/>
  <c r="T79" i="17"/>
  <c r="U79" i="17"/>
  <c r="W79" i="17"/>
  <c r="V79" i="17"/>
  <c r="K79" i="17"/>
  <c r="J79" i="17"/>
  <c r="O79" i="17"/>
  <c r="Q79" i="17"/>
  <c r="R79" i="17"/>
  <c r="S79" i="17"/>
  <c r="N79" i="17"/>
  <c r="M79" i="17"/>
  <c r="P79" i="17"/>
  <c r="L79" i="17"/>
  <c r="J21" i="17"/>
  <c r="K21" i="17"/>
  <c r="S21" i="17"/>
  <c r="M21" i="17"/>
  <c r="N21" i="17"/>
  <c r="R21" i="17"/>
  <c r="O21" i="17"/>
  <c r="P21" i="17"/>
  <c r="L21" i="17"/>
  <c r="Q21" i="17"/>
  <c r="U84" i="17"/>
  <c r="T84" i="17"/>
  <c r="V84" i="17"/>
  <c r="W84" i="17"/>
  <c r="J84" i="17"/>
  <c r="K84" i="17"/>
  <c r="L84" i="17"/>
  <c r="S84" i="17"/>
  <c r="P84" i="17"/>
  <c r="M84" i="17"/>
  <c r="N84" i="17"/>
  <c r="R84" i="17"/>
  <c r="Q84" i="17"/>
  <c r="O84" i="17"/>
  <c r="W78" i="17"/>
  <c r="V78" i="17"/>
  <c r="T78" i="17"/>
  <c r="U78" i="17"/>
  <c r="K78" i="17"/>
  <c r="J78" i="17"/>
  <c r="M78" i="17"/>
  <c r="O78" i="17"/>
  <c r="L78" i="17"/>
  <c r="Q78" i="17"/>
  <c r="N78" i="17"/>
  <c r="R78" i="17"/>
  <c r="S78" i="17"/>
  <c r="P78" i="17"/>
  <c r="W87" i="17"/>
  <c r="V87" i="17"/>
  <c r="U87" i="17"/>
  <c r="T87" i="17"/>
  <c r="K87" i="17"/>
  <c r="J87" i="17"/>
  <c r="R87" i="17"/>
  <c r="L87" i="17"/>
  <c r="M87" i="17"/>
  <c r="Q87" i="17"/>
  <c r="P87" i="17"/>
  <c r="O87" i="17"/>
  <c r="S87" i="17"/>
  <c r="N87" i="17"/>
  <c r="J73" i="17"/>
  <c r="K73" i="17"/>
  <c r="L73" i="17"/>
  <c r="M73" i="17"/>
  <c r="O73" i="17"/>
  <c r="Q73" i="17"/>
  <c r="R73" i="17"/>
  <c r="N73" i="17"/>
  <c r="S73" i="17"/>
  <c r="P73" i="17"/>
  <c r="J42" i="17"/>
  <c r="K42" i="17"/>
  <c r="N42" i="17"/>
  <c r="S42" i="17"/>
  <c r="L42" i="17"/>
  <c r="P42" i="17"/>
  <c r="M42" i="17"/>
  <c r="R42" i="17"/>
  <c r="Q42" i="17"/>
  <c r="O42" i="17"/>
  <c r="J25" i="17"/>
  <c r="K25" i="17"/>
  <c r="Q25" i="17"/>
  <c r="P25" i="17"/>
  <c r="R25" i="17"/>
  <c r="S25" i="17"/>
  <c r="N25" i="17"/>
  <c r="L25" i="17"/>
  <c r="M25" i="17"/>
  <c r="O25" i="17"/>
  <c r="J45" i="17"/>
  <c r="K45" i="17"/>
  <c r="M45" i="17"/>
  <c r="R45" i="17"/>
  <c r="O45" i="17"/>
  <c r="S45" i="17"/>
  <c r="Q45" i="17"/>
  <c r="P45" i="17"/>
  <c r="N45" i="17"/>
  <c r="L45" i="17"/>
  <c r="J36" i="17"/>
  <c r="K36" i="17"/>
  <c r="P36" i="17"/>
  <c r="O36" i="17"/>
  <c r="L36" i="17"/>
  <c r="M36" i="17"/>
  <c r="Q36" i="17"/>
  <c r="N36" i="17"/>
  <c r="S36" i="17"/>
  <c r="R36" i="17"/>
  <c r="K31" i="17"/>
  <c r="J31" i="17"/>
  <c r="L31" i="17"/>
  <c r="N31" i="17"/>
  <c r="P31" i="17"/>
  <c r="Q31" i="17"/>
  <c r="M31" i="17"/>
  <c r="R31" i="17"/>
  <c r="O31" i="17"/>
  <c r="S31" i="17"/>
  <c r="U92" i="17"/>
  <c r="T92" i="17"/>
  <c r="V92" i="17"/>
  <c r="W92" i="17"/>
  <c r="J92" i="17"/>
  <c r="K92" i="17"/>
  <c r="R92" i="17"/>
  <c r="L92" i="17"/>
  <c r="N92" i="17"/>
  <c r="S92" i="17"/>
  <c r="M92" i="17"/>
  <c r="Q92" i="17"/>
  <c r="P92" i="17"/>
  <c r="O92" i="17"/>
  <c r="U86" i="17"/>
  <c r="V86" i="17"/>
  <c r="T86" i="17"/>
  <c r="W86" i="17"/>
  <c r="K86" i="17"/>
  <c r="J86" i="17"/>
  <c r="P86" i="17"/>
  <c r="N86" i="17"/>
  <c r="R86" i="17"/>
  <c r="Q86" i="17"/>
  <c r="M86" i="17"/>
  <c r="S86" i="17"/>
  <c r="O86" i="17"/>
  <c r="L86" i="17"/>
  <c r="W81" i="17"/>
  <c r="U81" i="17"/>
  <c r="V81" i="17"/>
  <c r="T81" i="17"/>
  <c r="J81" i="17"/>
  <c r="K81" i="17"/>
  <c r="Q81" i="17"/>
  <c r="O81" i="17"/>
  <c r="N81" i="17"/>
  <c r="P81" i="17"/>
  <c r="M81" i="17"/>
  <c r="L81" i="17"/>
  <c r="S81" i="17"/>
  <c r="R81" i="17"/>
  <c r="J50" i="17"/>
  <c r="K50" i="17"/>
  <c r="M50" i="17"/>
  <c r="O50" i="17"/>
  <c r="N50" i="17"/>
  <c r="L50" i="17"/>
  <c r="S50" i="17"/>
  <c r="R50" i="17"/>
  <c r="P50" i="17"/>
  <c r="Q50" i="17"/>
  <c r="K41" i="17"/>
  <c r="J41" i="17"/>
  <c r="Q41" i="17"/>
  <c r="M41" i="17"/>
  <c r="N41" i="17"/>
  <c r="R41" i="17"/>
  <c r="P41" i="17"/>
  <c r="L41" i="17"/>
  <c r="O41" i="17"/>
  <c r="S41" i="17"/>
  <c r="J20" i="17"/>
  <c r="K20" i="17"/>
  <c r="L20" i="17"/>
  <c r="P20" i="17"/>
  <c r="M20" i="17"/>
  <c r="O20" i="17"/>
  <c r="N20" i="17"/>
  <c r="Q20" i="17"/>
  <c r="S20" i="17"/>
  <c r="R20" i="17"/>
  <c r="J52" i="17"/>
  <c r="K52" i="17"/>
  <c r="M52" i="17"/>
  <c r="O52" i="17"/>
  <c r="N52" i="17"/>
  <c r="S52" i="17"/>
  <c r="P52" i="17"/>
  <c r="L52" i="17"/>
  <c r="Q52" i="17"/>
  <c r="R52" i="17"/>
  <c r="J39" i="17"/>
  <c r="K39" i="17"/>
  <c r="S39" i="17"/>
  <c r="M39" i="17"/>
  <c r="O39" i="17"/>
  <c r="R39" i="17"/>
  <c r="P39" i="17"/>
  <c r="N39" i="17"/>
  <c r="Q39" i="17"/>
  <c r="L39" i="17"/>
  <c r="J51" i="17"/>
  <c r="K51" i="17"/>
  <c r="M51" i="17"/>
  <c r="P51" i="17"/>
  <c r="S51" i="17"/>
  <c r="L51" i="17"/>
  <c r="Q51" i="17"/>
  <c r="N51" i="17"/>
  <c r="O51" i="17"/>
  <c r="R51" i="17"/>
  <c r="J33" i="17"/>
  <c r="K33" i="17"/>
  <c r="M33" i="17"/>
  <c r="S33" i="17"/>
  <c r="P33" i="17"/>
  <c r="N33" i="17"/>
  <c r="Q33" i="17"/>
  <c r="L33" i="17"/>
  <c r="R33" i="17"/>
  <c r="O33" i="17"/>
  <c r="K22" i="17"/>
  <c r="J22" i="17"/>
  <c r="R22" i="17"/>
  <c r="P22" i="17"/>
  <c r="S22" i="17"/>
  <c r="Q22" i="17"/>
  <c r="O22" i="17"/>
  <c r="N22" i="17"/>
  <c r="M22" i="17"/>
  <c r="L22" i="17"/>
  <c r="J40" i="17"/>
  <c r="K40" i="17"/>
  <c r="P40" i="17"/>
  <c r="Q40" i="17"/>
  <c r="O40" i="17"/>
  <c r="S40" i="17"/>
  <c r="R40" i="17"/>
  <c r="N40" i="17"/>
  <c r="L40" i="17"/>
  <c r="M40" i="17"/>
  <c r="Q55" i="17"/>
  <c r="S55" i="17"/>
  <c r="M55" i="17"/>
  <c r="R55" i="17"/>
  <c r="J55" i="17"/>
  <c r="N55" i="17"/>
  <c r="P55" i="17"/>
  <c r="O55" i="17"/>
  <c r="K55" i="17"/>
  <c r="L55" i="17"/>
  <c r="K77" i="17"/>
  <c r="J77" i="17"/>
  <c r="Q77" i="17"/>
  <c r="M77" i="17"/>
  <c r="R77" i="17"/>
  <c r="N77" i="17"/>
  <c r="O77" i="17"/>
  <c r="S77" i="17"/>
  <c r="L77" i="17"/>
  <c r="P77" i="17"/>
  <c r="T80" i="17"/>
  <c r="V80" i="17"/>
  <c r="U80" i="17"/>
  <c r="W80" i="17"/>
  <c r="J80" i="17"/>
  <c r="K80" i="17"/>
  <c r="L80" i="17"/>
  <c r="R80" i="17"/>
  <c r="Q80" i="17"/>
  <c r="M80" i="17"/>
  <c r="S80" i="17"/>
  <c r="O80" i="17"/>
  <c r="P80" i="17"/>
  <c r="N80" i="17"/>
  <c r="J74" i="17"/>
  <c r="K74" i="17"/>
  <c r="P74" i="17"/>
  <c r="S74" i="17"/>
  <c r="N74" i="17"/>
  <c r="R74" i="17"/>
  <c r="L74" i="17"/>
  <c r="O74" i="17"/>
  <c r="Q74" i="17"/>
  <c r="M74" i="17"/>
  <c r="T83" i="17"/>
  <c r="W83" i="17"/>
  <c r="V83" i="17"/>
  <c r="U83" i="17"/>
  <c r="K83" i="17"/>
  <c r="J83" i="17"/>
  <c r="L83" i="17"/>
  <c r="M83" i="17"/>
  <c r="R83" i="17"/>
  <c r="S83" i="17"/>
  <c r="O83" i="17"/>
  <c r="P83" i="17"/>
  <c r="N83" i="17"/>
  <c r="Q83" i="17"/>
  <c r="K24" i="17"/>
  <c r="J24" i="17"/>
  <c r="Q24" i="17"/>
  <c r="P24" i="17"/>
  <c r="N24" i="17"/>
  <c r="R24" i="17"/>
  <c r="M24" i="17"/>
  <c r="O24" i="17"/>
  <c r="L24" i="17"/>
  <c r="S24" i="17"/>
  <c r="J56" i="17"/>
  <c r="K56" i="17"/>
  <c r="Q56" i="17"/>
  <c r="L56" i="17"/>
  <c r="P56" i="17"/>
  <c r="R56" i="17"/>
  <c r="O56" i="17"/>
  <c r="S56" i="17"/>
  <c r="M56" i="17"/>
  <c r="N56" i="17"/>
  <c r="J27" i="17"/>
  <c r="K27" i="17"/>
  <c r="Q27" i="17"/>
  <c r="L27" i="17"/>
  <c r="S27" i="17"/>
  <c r="R27" i="17"/>
  <c r="M27" i="17"/>
  <c r="O27" i="17"/>
  <c r="N27" i="17"/>
  <c r="P27" i="17"/>
  <c r="J38" i="17"/>
  <c r="K38" i="17"/>
  <c r="N38" i="17"/>
  <c r="O38" i="17"/>
  <c r="M38" i="17"/>
  <c r="L38" i="17"/>
  <c r="S38" i="17"/>
  <c r="Q38" i="17"/>
  <c r="R38" i="17"/>
  <c r="P38" i="17"/>
  <c r="K29" i="17"/>
  <c r="J29" i="17"/>
  <c r="Q29" i="17"/>
  <c r="O29" i="17"/>
  <c r="P29" i="17"/>
  <c r="R29" i="17"/>
  <c r="N29" i="17"/>
  <c r="L29" i="17"/>
  <c r="M29" i="17"/>
  <c r="S29" i="17"/>
  <c r="K34" i="17"/>
  <c r="J34" i="17"/>
  <c r="O34" i="17"/>
  <c r="L34" i="17"/>
  <c r="N34" i="17"/>
  <c r="M34" i="17"/>
  <c r="S34" i="17"/>
  <c r="P34" i="17"/>
  <c r="Q34" i="17"/>
  <c r="R34" i="17"/>
  <c r="K23" i="17"/>
  <c r="J23" i="17"/>
  <c r="P23" i="17"/>
  <c r="S23" i="17"/>
  <c r="L23" i="17"/>
  <c r="M23" i="17"/>
  <c r="Q23" i="17"/>
  <c r="N23" i="17"/>
  <c r="O23" i="17"/>
  <c r="R23" i="17"/>
  <c r="S57" i="17"/>
  <c r="R57" i="17"/>
  <c r="Q57" i="17"/>
  <c r="K57" i="17"/>
  <c r="L57" i="17"/>
  <c r="J57" i="17"/>
  <c r="P57" i="17"/>
  <c r="M57" i="17"/>
  <c r="O57" i="17"/>
  <c r="N57" i="17"/>
  <c r="K44" i="17"/>
  <c r="J44" i="17"/>
  <c r="L44" i="17"/>
  <c r="S44" i="17"/>
  <c r="P44" i="17"/>
  <c r="Q44" i="17"/>
  <c r="N44" i="17"/>
  <c r="O44" i="17"/>
  <c r="M44" i="17"/>
  <c r="R44" i="17"/>
  <c r="K47" i="17"/>
  <c r="J47" i="17"/>
  <c r="M47" i="17"/>
  <c r="Q47" i="17"/>
  <c r="O47" i="17"/>
  <c r="R47" i="17"/>
  <c r="N47" i="17"/>
  <c r="L47" i="17"/>
  <c r="P47" i="17"/>
  <c r="S47" i="17"/>
  <c r="K19" i="17"/>
  <c r="J19" i="17"/>
  <c r="Q19" i="17"/>
  <c r="S19" i="17"/>
  <c r="N19" i="17"/>
  <c r="M19" i="17"/>
  <c r="L19" i="17"/>
  <c r="P19" i="17"/>
  <c r="O19" i="17"/>
  <c r="R19" i="17"/>
  <c r="W85" i="17"/>
  <c r="U85" i="17"/>
  <c r="T85" i="17"/>
  <c r="V85" i="17"/>
  <c r="K85" i="17"/>
  <c r="J85" i="17"/>
  <c r="O85" i="17"/>
  <c r="P85" i="17"/>
  <c r="R85" i="17"/>
  <c r="S85" i="17"/>
  <c r="Q85" i="17"/>
  <c r="L85" i="17"/>
  <c r="N85" i="17"/>
  <c r="M85" i="17"/>
  <c r="V88" i="17"/>
  <c r="U88" i="17"/>
  <c r="W88" i="17"/>
  <c r="T88" i="17"/>
  <c r="J88" i="17"/>
  <c r="K88" i="17"/>
  <c r="R88" i="17"/>
  <c r="N88" i="17"/>
  <c r="L88" i="17"/>
  <c r="P88" i="17"/>
  <c r="Q88" i="17"/>
  <c r="S88" i="17"/>
  <c r="O88" i="17"/>
  <c r="M88" i="17"/>
  <c r="U82" i="17"/>
  <c r="W82" i="17"/>
  <c r="T82" i="17"/>
  <c r="V82" i="17"/>
  <c r="J82" i="17"/>
  <c r="K82" i="17"/>
  <c r="N82" i="17"/>
  <c r="Q82" i="17"/>
  <c r="P82" i="17"/>
  <c r="L82" i="17"/>
  <c r="R82" i="17"/>
  <c r="O82" i="17"/>
  <c r="S82" i="17"/>
  <c r="M82" i="17"/>
  <c r="U91" i="17"/>
  <c r="V91" i="17"/>
  <c r="T91" i="17"/>
  <c r="W91" i="17"/>
  <c r="K91" i="17"/>
  <c r="J91" i="17"/>
  <c r="P91" i="17"/>
  <c r="O91" i="17"/>
  <c r="S91" i="17"/>
  <c r="R91" i="17"/>
  <c r="Q91" i="17"/>
  <c r="N91" i="17"/>
  <c r="L91" i="17"/>
  <c r="M91" i="17"/>
  <c r="J32" i="17"/>
  <c r="K32" i="17"/>
  <c r="R32" i="17"/>
  <c r="L32" i="17"/>
  <c r="P32" i="17"/>
  <c r="N32" i="17"/>
  <c r="M32" i="17"/>
  <c r="Q32" i="17"/>
  <c r="O32" i="17"/>
  <c r="S32" i="17"/>
  <c r="K18" i="17"/>
  <c r="J18" i="17"/>
  <c r="S18" i="17"/>
  <c r="M18" i="17"/>
  <c r="P18" i="17"/>
  <c r="O18" i="17"/>
  <c r="Q18" i="17"/>
  <c r="L18" i="17"/>
  <c r="R18" i="17"/>
  <c r="N18" i="17"/>
  <c r="K35" i="17"/>
  <c r="J35" i="17"/>
  <c r="N35" i="17"/>
  <c r="M35" i="17"/>
  <c r="L35" i="17"/>
  <c r="R35" i="17"/>
  <c r="O35" i="17"/>
  <c r="S35" i="17"/>
  <c r="P35" i="17"/>
  <c r="Q35" i="17"/>
  <c r="J46" i="17"/>
  <c r="K46" i="17"/>
  <c r="P46" i="17"/>
  <c r="M46" i="17"/>
  <c r="R46" i="17"/>
  <c r="O46" i="17"/>
  <c r="N46" i="17"/>
  <c r="S46" i="17"/>
  <c r="L46" i="17"/>
  <c r="Q46" i="17"/>
  <c r="J37" i="17"/>
  <c r="K37" i="17"/>
  <c r="O37" i="17"/>
  <c r="R37" i="17"/>
  <c r="L37" i="17"/>
  <c r="S37" i="17"/>
  <c r="P37" i="17"/>
  <c r="Q37" i="17"/>
  <c r="N37" i="17"/>
  <c r="M37" i="17"/>
  <c r="K28" i="17"/>
  <c r="J28" i="17"/>
  <c r="Q28" i="17"/>
  <c r="L28" i="17"/>
  <c r="M28" i="17"/>
  <c r="R28" i="17"/>
  <c r="N28" i="17"/>
  <c r="O28" i="17"/>
  <c r="S28" i="17"/>
  <c r="P28" i="17"/>
  <c r="V89" i="17"/>
  <c r="U89" i="17"/>
  <c r="T89" i="17"/>
  <c r="W89" i="17"/>
  <c r="K89" i="17"/>
  <c r="J89" i="17"/>
  <c r="O89" i="17"/>
  <c r="N89" i="17"/>
  <c r="L89" i="17"/>
  <c r="P89" i="17"/>
  <c r="M89" i="17"/>
  <c r="S89" i="17"/>
  <c r="Q89" i="17"/>
  <c r="R89" i="17"/>
  <c r="J75" i="17"/>
  <c r="K75" i="17"/>
  <c r="R75" i="17"/>
  <c r="O75" i="17"/>
  <c r="L75" i="17"/>
  <c r="P75" i="17"/>
  <c r="N75" i="17"/>
  <c r="S75" i="17"/>
  <c r="M75" i="17"/>
  <c r="Q75" i="17"/>
  <c r="K49" i="17"/>
  <c r="J49" i="17"/>
  <c r="O49" i="17"/>
  <c r="R49" i="17"/>
  <c r="M49" i="17"/>
  <c r="L49" i="17"/>
  <c r="Q49" i="17"/>
  <c r="S49" i="17"/>
  <c r="P49" i="17"/>
  <c r="N49" i="17"/>
  <c r="J30" i="17"/>
  <c r="K30" i="17"/>
  <c r="S30" i="17"/>
  <c r="Q30" i="17"/>
  <c r="P30" i="17"/>
  <c r="N30" i="17"/>
  <c r="M30" i="17"/>
  <c r="L30" i="17"/>
  <c r="O30" i="17"/>
  <c r="R30" i="17"/>
  <c r="T93" i="17"/>
  <c r="W93" i="17"/>
  <c r="V93" i="17"/>
  <c r="U93" i="17"/>
  <c r="J93" i="17"/>
  <c r="K93" i="17"/>
  <c r="R93" i="17"/>
  <c r="L93" i="17"/>
  <c r="P93" i="17"/>
  <c r="S93" i="17"/>
  <c r="O93" i="17"/>
  <c r="Q93" i="17"/>
  <c r="M93" i="17"/>
  <c r="N93" i="17"/>
  <c r="K76" i="17"/>
  <c r="J76" i="17"/>
  <c r="N76" i="17"/>
  <c r="Q76" i="17"/>
  <c r="R76" i="17"/>
  <c r="L76" i="17"/>
  <c r="M76" i="17"/>
  <c r="S76" i="17"/>
  <c r="P76" i="17"/>
  <c r="O76" i="17"/>
  <c r="V90" i="17"/>
  <c r="W90" i="17"/>
  <c r="U90" i="17"/>
  <c r="T90" i="17"/>
  <c r="K90" i="17"/>
  <c r="J90" i="17"/>
  <c r="M90" i="17"/>
  <c r="P90" i="17"/>
  <c r="N90" i="17"/>
  <c r="O90" i="17"/>
  <c r="Q90" i="17"/>
  <c r="R90" i="17"/>
  <c r="L90" i="17"/>
  <c r="S90" i="17"/>
  <c r="J48" i="17"/>
  <c r="K48" i="17"/>
  <c r="O48" i="17"/>
  <c r="L48" i="17"/>
  <c r="R48" i="17"/>
  <c r="M48" i="17"/>
  <c r="N48" i="17"/>
  <c r="P48" i="17"/>
  <c r="Q48" i="17"/>
  <c r="S48" i="17"/>
  <c r="J26" i="17"/>
  <c r="K26" i="17"/>
  <c r="N26" i="17"/>
  <c r="L26" i="17"/>
  <c r="R26" i="17"/>
  <c r="O26" i="17"/>
  <c r="M26" i="17"/>
  <c r="S26" i="17"/>
  <c r="P26" i="17"/>
  <c r="Q26" i="17"/>
  <c r="K43" i="17"/>
  <c r="J43" i="17"/>
  <c r="P43" i="17"/>
  <c r="Q43" i="17"/>
  <c r="S43" i="17"/>
  <c r="N43" i="17"/>
  <c r="M43" i="17"/>
  <c r="R43" i="17"/>
  <c r="L43" i="17"/>
  <c r="O43" i="17"/>
  <c r="K54" i="17"/>
  <c r="J54" i="17"/>
  <c r="M54" i="17"/>
  <c r="S54" i="17"/>
  <c r="L54" i="17"/>
  <c r="N54" i="17"/>
  <c r="R54" i="17"/>
  <c r="Q54" i="17"/>
  <c r="P54" i="17"/>
  <c r="O54" i="17"/>
  <c r="K53" i="17"/>
  <c r="J53" i="17"/>
  <c r="S53" i="17"/>
  <c r="N53" i="17"/>
  <c r="L53" i="17"/>
  <c r="Q53" i="17"/>
  <c r="R53" i="17"/>
  <c r="M53" i="17"/>
  <c r="P53" i="17"/>
  <c r="O53" i="17"/>
  <c r="T96" i="17"/>
  <c r="L96" i="17"/>
  <c r="P96" i="17"/>
  <c r="Q96" i="17"/>
  <c r="O96" i="17"/>
  <c r="R96" i="17"/>
  <c r="S96" i="17"/>
  <c r="W96" i="17"/>
  <c r="K96" i="17"/>
  <c r="U96" i="17"/>
  <c r="V96" i="17"/>
  <c r="N96" i="17"/>
  <c r="J96" i="17"/>
  <c r="M96" i="17"/>
  <c r="P103" i="17"/>
  <c r="Q103" i="17"/>
  <c r="T103" i="17"/>
  <c r="L103" i="17"/>
  <c r="U103" i="17"/>
  <c r="M103" i="17"/>
  <c r="S103" i="17"/>
  <c r="V103" i="17"/>
  <c r="W103" i="17"/>
  <c r="N103" i="17"/>
  <c r="J103" i="17"/>
  <c r="K103" i="17"/>
  <c r="O103" i="17"/>
  <c r="R103" i="17"/>
  <c r="P99" i="17"/>
  <c r="Q99" i="17"/>
  <c r="T99" i="17"/>
  <c r="L99" i="17"/>
  <c r="U99" i="17"/>
  <c r="M99" i="17"/>
  <c r="K99" i="17"/>
  <c r="N99" i="17"/>
  <c r="O99" i="17"/>
  <c r="V99" i="17"/>
  <c r="J99" i="17"/>
  <c r="R99" i="17"/>
  <c r="S99" i="17"/>
  <c r="W99" i="17"/>
  <c r="D45" i="17"/>
  <c r="D49" i="17"/>
  <c r="T110" i="17"/>
  <c r="L110" i="17"/>
  <c r="U110" i="17"/>
  <c r="M110" i="17"/>
  <c r="P110" i="17"/>
  <c r="Q110" i="17"/>
  <c r="J110" i="17"/>
  <c r="K110" i="17"/>
  <c r="N110" i="17"/>
  <c r="S110" i="17"/>
  <c r="O110" i="17"/>
  <c r="R110" i="17"/>
  <c r="V110" i="17"/>
  <c r="W110" i="17"/>
  <c r="P107" i="17"/>
  <c r="Q107" i="17"/>
  <c r="T107" i="17"/>
  <c r="L107" i="17"/>
  <c r="U107" i="17"/>
  <c r="M107" i="17"/>
  <c r="K107" i="17"/>
  <c r="N107" i="17"/>
  <c r="O107" i="17"/>
  <c r="V107" i="17"/>
  <c r="J107" i="17"/>
  <c r="R107" i="17"/>
  <c r="S107" i="17"/>
  <c r="W107" i="17"/>
  <c r="D40" i="17"/>
  <c r="D41" i="17"/>
  <c r="T108" i="17"/>
  <c r="L108" i="17"/>
  <c r="U108" i="17"/>
  <c r="M108" i="17"/>
  <c r="P108" i="17"/>
  <c r="Q108" i="17"/>
  <c r="V108" i="17"/>
  <c r="W108" i="17"/>
  <c r="J108" i="17"/>
  <c r="O108" i="17"/>
  <c r="S108" i="17"/>
  <c r="R108" i="17"/>
  <c r="K108" i="17"/>
  <c r="N108" i="17"/>
  <c r="D42" i="17"/>
  <c r="P101" i="17"/>
  <c r="Q101" i="17"/>
  <c r="T101" i="17"/>
  <c r="L101" i="17"/>
  <c r="U101" i="17"/>
  <c r="M101" i="17"/>
  <c r="O101" i="17"/>
  <c r="R101" i="17"/>
  <c r="S101" i="17"/>
  <c r="J101" i="17"/>
  <c r="K101" i="17"/>
  <c r="W101" i="17"/>
  <c r="N101" i="17"/>
  <c r="V101" i="17"/>
  <c r="D46" i="17"/>
  <c r="D44" i="17"/>
  <c r="P109" i="17"/>
  <c r="Q109" i="17"/>
  <c r="T109" i="17"/>
  <c r="L109" i="17"/>
  <c r="U109" i="17"/>
  <c r="M109" i="17"/>
  <c r="O109" i="17"/>
  <c r="R109" i="17"/>
  <c r="S109" i="17"/>
  <c r="J109" i="17"/>
  <c r="K109" i="17"/>
  <c r="W109" i="17"/>
  <c r="N109" i="17"/>
  <c r="V109" i="17"/>
  <c r="T94" i="17"/>
  <c r="Q94" i="17"/>
  <c r="U94" i="17"/>
  <c r="V94" i="17"/>
  <c r="J94" i="17"/>
  <c r="W94" i="17"/>
  <c r="R94" i="17"/>
  <c r="S94" i="17"/>
  <c r="D48" i="17"/>
  <c r="T102" i="17"/>
  <c r="L102" i="17"/>
  <c r="U102" i="17"/>
  <c r="M102" i="17"/>
  <c r="P102" i="17"/>
  <c r="Q102" i="17"/>
  <c r="J102" i="17"/>
  <c r="K102" i="17"/>
  <c r="N102" i="17"/>
  <c r="S102" i="17"/>
  <c r="O102" i="17"/>
  <c r="R102" i="17"/>
  <c r="V102" i="17"/>
  <c r="W102" i="17"/>
  <c r="P95" i="17"/>
  <c r="T95" i="17"/>
  <c r="L95" i="17"/>
  <c r="U95" i="17"/>
  <c r="M95" i="17"/>
  <c r="K95" i="17"/>
  <c r="N95" i="17"/>
  <c r="O95" i="17"/>
  <c r="S95" i="17"/>
  <c r="R95" i="17"/>
  <c r="Q95" i="17"/>
  <c r="V95" i="17"/>
  <c r="W95" i="17"/>
  <c r="J95" i="17"/>
  <c r="T112" i="17"/>
  <c r="L112" i="17"/>
  <c r="U112" i="17"/>
  <c r="M112" i="17"/>
  <c r="P112" i="17"/>
  <c r="Q112" i="17"/>
  <c r="N112" i="17"/>
  <c r="O112" i="17"/>
  <c r="R112" i="17"/>
  <c r="W112" i="17"/>
  <c r="S112" i="17"/>
  <c r="V112" i="17"/>
  <c r="K112" i="17"/>
  <c r="J112" i="17"/>
  <c r="T106" i="17"/>
  <c r="L106" i="17"/>
  <c r="U106" i="17"/>
  <c r="M106" i="17"/>
  <c r="P106" i="17"/>
  <c r="Q106" i="17"/>
  <c r="R106" i="17"/>
  <c r="S106" i="17"/>
  <c r="V106" i="17"/>
  <c r="K106" i="17"/>
  <c r="N106" i="17"/>
  <c r="O106" i="17"/>
  <c r="J106" i="17"/>
  <c r="W106" i="17"/>
  <c r="D47" i="17"/>
  <c r="P105" i="17"/>
  <c r="Q105" i="17"/>
  <c r="T105" i="17"/>
  <c r="L105" i="17"/>
  <c r="U105" i="17"/>
  <c r="M105" i="17"/>
  <c r="W105" i="17"/>
  <c r="J105" i="17"/>
  <c r="K105" i="17"/>
  <c r="R105" i="17"/>
  <c r="N105" i="17"/>
  <c r="V105" i="17"/>
  <c r="O105" i="17"/>
  <c r="S105" i="17"/>
  <c r="D52" i="17"/>
  <c r="D53" i="17"/>
  <c r="T100" i="17"/>
  <c r="L100" i="17"/>
  <c r="U100" i="17"/>
  <c r="M100" i="17"/>
  <c r="P100" i="17"/>
  <c r="Q100" i="17"/>
  <c r="V100" i="17"/>
  <c r="W100" i="17"/>
  <c r="J100" i="17"/>
  <c r="O100" i="17"/>
  <c r="S100" i="17"/>
  <c r="R100" i="17"/>
  <c r="K100" i="17"/>
  <c r="N100" i="17"/>
  <c r="D39" i="17"/>
  <c r="D54" i="17"/>
  <c r="D51" i="17"/>
  <c r="P97" i="17"/>
  <c r="Q97" i="17"/>
  <c r="T97" i="17"/>
  <c r="L97" i="17"/>
  <c r="U97" i="17"/>
  <c r="M97" i="17"/>
  <c r="W97" i="17"/>
  <c r="J97" i="17"/>
  <c r="K97" i="17"/>
  <c r="R97" i="17"/>
  <c r="V97" i="17"/>
  <c r="N97" i="17"/>
  <c r="O97" i="17"/>
  <c r="S97" i="17"/>
  <c r="T104" i="17"/>
  <c r="L104" i="17"/>
  <c r="U104" i="17"/>
  <c r="M104" i="17"/>
  <c r="P104" i="17"/>
  <c r="Q104" i="17"/>
  <c r="N104" i="17"/>
  <c r="O104" i="17"/>
  <c r="R104" i="17"/>
  <c r="W104" i="17"/>
  <c r="S104" i="17"/>
  <c r="K104" i="17"/>
  <c r="V104" i="17"/>
  <c r="J104" i="17"/>
  <c r="P111" i="17"/>
  <c r="Q111" i="17"/>
  <c r="T111" i="17"/>
  <c r="L111" i="17"/>
  <c r="U111" i="17"/>
  <c r="M111" i="17"/>
  <c r="S111" i="17"/>
  <c r="V111" i="17"/>
  <c r="W111" i="17"/>
  <c r="N111" i="17"/>
  <c r="J111" i="17"/>
  <c r="K111" i="17"/>
  <c r="R111" i="17"/>
  <c r="O111" i="17"/>
  <c r="D43" i="17"/>
  <c r="D50" i="17"/>
  <c r="T98" i="17"/>
  <c r="L98" i="17"/>
  <c r="U98" i="17"/>
  <c r="M98" i="17"/>
  <c r="P98" i="17"/>
  <c r="Q98" i="17"/>
  <c r="R98" i="17"/>
  <c r="S98" i="17"/>
  <c r="V98" i="17"/>
  <c r="K98" i="17"/>
  <c r="N98" i="17"/>
  <c r="O98" i="17"/>
  <c r="J98" i="17"/>
  <c r="W98" i="17"/>
  <c r="C41" i="61" l="1"/>
  <c r="C42" i="61" s="1"/>
  <c r="C43" i="61" s="1"/>
  <c r="C44" i="61" s="1"/>
  <c r="C45" i="61" s="1"/>
  <c r="C46" i="61" s="1"/>
  <c r="C41" i="46"/>
  <c r="C42" i="46" s="1"/>
  <c r="C43" i="46" s="1"/>
  <c r="C44" i="46" s="1"/>
  <c r="C45" i="46" s="1"/>
  <c r="C46" i="46" s="1"/>
  <c r="C47" i="46" s="1"/>
  <c r="C48" i="46" s="1"/>
  <c r="C49" i="46" s="1"/>
  <c r="D175" i="30"/>
  <c r="D112" i="30"/>
  <c r="D111" i="30"/>
  <c r="D174" i="30"/>
  <c r="D102" i="30"/>
  <c r="D165" i="30"/>
  <c r="D115" i="30"/>
  <c r="D178" i="30"/>
  <c r="D105" i="30"/>
  <c r="D168" i="30"/>
  <c r="D103" i="30"/>
  <c r="D166" i="30"/>
  <c r="D109" i="30"/>
  <c r="D172" i="30"/>
  <c r="D110" i="30"/>
  <c r="D173" i="30"/>
  <c r="D108" i="30"/>
  <c r="D171" i="30"/>
  <c r="D176" i="30"/>
  <c r="D113" i="30"/>
  <c r="D170" i="30"/>
  <c r="D107" i="30"/>
  <c r="D169" i="30"/>
  <c r="D106" i="30"/>
  <c r="D116" i="30"/>
  <c r="D179" i="30"/>
  <c r="D101" i="30"/>
  <c r="C101" i="30" s="1"/>
  <c r="D164" i="30"/>
  <c r="C164" i="30" s="1"/>
  <c r="C39" i="30"/>
  <c r="C40" i="30" s="1"/>
  <c r="D104" i="30"/>
  <c r="D167" i="30"/>
  <c r="D177" i="30"/>
  <c r="D114" i="30"/>
  <c r="C41" i="29"/>
  <c r="C42" i="29" s="1"/>
  <c r="C39" i="62"/>
  <c r="C40" i="62"/>
  <c r="C41" i="62"/>
  <c r="C42" i="62"/>
  <c r="C43" i="62" s="1"/>
  <c r="C169" i="53"/>
  <c r="C170" i="53" s="1"/>
  <c r="C41" i="50"/>
  <c r="C42" i="50" s="1"/>
  <c r="C43" i="50" s="1"/>
  <c r="C39" i="51"/>
  <c r="D101" i="29"/>
  <c r="D164" i="29"/>
  <c r="D170" i="29"/>
  <c r="D107" i="29"/>
  <c r="D178" i="29"/>
  <c r="D115" i="29"/>
  <c r="D175" i="29"/>
  <c r="D112" i="29"/>
  <c r="D165" i="29"/>
  <c r="D102" i="29"/>
  <c r="D168" i="29"/>
  <c r="D105" i="29"/>
  <c r="D103" i="29"/>
  <c r="D166" i="29"/>
  <c r="D163" i="29"/>
  <c r="C163" i="29" s="1"/>
  <c r="D100" i="29"/>
  <c r="C100" i="29" s="1"/>
  <c r="D177" i="29"/>
  <c r="D114" i="29"/>
  <c r="D176" i="29"/>
  <c r="D113" i="29"/>
  <c r="D111" i="29"/>
  <c r="D174" i="29"/>
  <c r="D171" i="29"/>
  <c r="D108" i="29"/>
  <c r="D169" i="29"/>
  <c r="D106" i="29"/>
  <c r="D172" i="29"/>
  <c r="D109" i="29"/>
  <c r="D104" i="29"/>
  <c r="D167" i="29"/>
  <c r="D173" i="29"/>
  <c r="D110" i="29"/>
  <c r="F100" i="17"/>
  <c r="F108" i="17"/>
  <c r="F103" i="17"/>
  <c r="F85" i="17"/>
  <c r="F102" i="17"/>
  <c r="F96" i="17"/>
  <c r="F24" i="17"/>
  <c r="F51" i="17"/>
  <c r="F101" i="17"/>
  <c r="F107" i="17"/>
  <c r="F93" i="17"/>
  <c r="F57" i="17"/>
  <c r="F40" i="17"/>
  <c r="F21" i="17"/>
  <c r="F98" i="17"/>
  <c r="F43" i="17"/>
  <c r="F90" i="17"/>
  <c r="F55" i="17"/>
  <c r="F87" i="17"/>
  <c r="F95" i="17"/>
  <c r="F34" i="17"/>
  <c r="F111" i="17"/>
  <c r="F112" i="17"/>
  <c r="F109" i="17"/>
  <c r="F99" i="17"/>
  <c r="F106" i="17"/>
  <c r="F92" i="17"/>
  <c r="F104" i="17"/>
  <c r="F88" i="17"/>
  <c r="F80" i="17"/>
  <c r="F45" i="17"/>
  <c r="F82" i="17"/>
  <c r="F77" i="17"/>
  <c r="F73" i="17"/>
  <c r="F110" i="17"/>
  <c r="F89" i="17"/>
  <c r="F91" i="17"/>
  <c r="F83" i="17"/>
  <c r="F86" i="17"/>
  <c r="F84" i="17"/>
  <c r="F79" i="17"/>
  <c r="F105" i="17"/>
  <c r="F78" i="17"/>
  <c r="F75" i="17"/>
  <c r="F74" i="17"/>
  <c r="F81" i="17"/>
  <c r="F97" i="17"/>
  <c r="F76" i="17"/>
  <c r="F27" i="17"/>
  <c r="F39" i="17"/>
  <c r="F22" i="17"/>
  <c r="F53" i="17"/>
  <c r="F19" i="17"/>
  <c r="F36" i="17"/>
  <c r="F30" i="17"/>
  <c r="F46" i="17"/>
  <c r="F23" i="17"/>
  <c r="F41" i="17"/>
  <c r="F37" i="17"/>
  <c r="F42" i="17"/>
  <c r="F48" i="17"/>
  <c r="F44" i="17"/>
  <c r="F26" i="17"/>
  <c r="F38" i="17"/>
  <c r="F49" i="17"/>
  <c r="F29" i="17"/>
  <c r="F33" i="17"/>
  <c r="F52" i="17"/>
  <c r="F35" i="17"/>
  <c r="F56" i="17"/>
  <c r="F32" i="17"/>
  <c r="F47" i="17"/>
  <c r="F20" i="17"/>
  <c r="F25" i="17"/>
  <c r="F31" i="17"/>
  <c r="F28" i="17"/>
  <c r="F54" i="17"/>
  <c r="F18" i="17"/>
  <c r="F50" i="17"/>
  <c r="M60" i="17"/>
  <c r="M59" i="17"/>
  <c r="P59" i="17"/>
  <c r="P60" i="17"/>
  <c r="L60" i="17"/>
  <c r="L59" i="17"/>
  <c r="O60" i="17"/>
  <c r="O59" i="17"/>
  <c r="R59" i="17"/>
  <c r="R60" i="17"/>
  <c r="K59" i="17"/>
  <c r="K60" i="17"/>
  <c r="S60" i="17"/>
  <c r="S59" i="17"/>
  <c r="Q59" i="17"/>
  <c r="Q60" i="17"/>
  <c r="N59" i="17"/>
  <c r="N60" i="17"/>
  <c r="J59" i="17"/>
  <c r="J60" i="17"/>
  <c r="M94" i="17"/>
  <c r="M115" i="17" s="1"/>
  <c r="L94" i="17"/>
  <c r="L115" i="17" s="1"/>
  <c r="S115" i="17"/>
  <c r="S114" i="17"/>
  <c r="D155" i="17"/>
  <c r="D100" i="17"/>
  <c r="D162" i="17"/>
  <c r="D107" i="17"/>
  <c r="D159" i="17"/>
  <c r="D104" i="17"/>
  <c r="D163" i="17"/>
  <c r="D108" i="17"/>
  <c r="J115" i="17"/>
  <c r="J114" i="17"/>
  <c r="D97" i="17"/>
  <c r="D152" i="17"/>
  <c r="C39" i="17"/>
  <c r="C40" i="17" s="1"/>
  <c r="D149" i="17"/>
  <c r="C149" i="17" s="1"/>
  <c r="D94" i="17"/>
  <c r="C94" i="17" s="1"/>
  <c r="D158" i="17"/>
  <c r="D103" i="17"/>
  <c r="K94" i="17"/>
  <c r="D157" i="17"/>
  <c r="D102" i="17"/>
  <c r="Q114" i="17"/>
  <c r="Q115" i="17"/>
  <c r="D106" i="17"/>
  <c r="D161" i="17"/>
  <c r="D105" i="17"/>
  <c r="D160" i="17"/>
  <c r="D164" i="17"/>
  <c r="D109" i="17"/>
  <c r="O94" i="17"/>
  <c r="R115" i="17"/>
  <c r="R114" i="17"/>
  <c r="D150" i="17"/>
  <c r="D95" i="17"/>
  <c r="C95" i="17" s="1"/>
  <c r="D153" i="17"/>
  <c r="D98" i="17"/>
  <c r="D151" i="17"/>
  <c r="D96" i="17"/>
  <c r="D154" i="17"/>
  <c r="D99" i="17"/>
  <c r="D156" i="17"/>
  <c r="D101" i="17"/>
  <c r="N94" i="17"/>
  <c r="P94" i="17"/>
  <c r="C101" i="29" l="1"/>
  <c r="C102" i="29" s="1"/>
  <c r="C103" i="29" s="1"/>
  <c r="C165" i="30"/>
  <c r="C166" i="30" s="1"/>
  <c r="C164" i="29"/>
  <c r="C165" i="29" s="1"/>
  <c r="C102" i="30"/>
  <c r="C103" i="30" s="1"/>
  <c r="C41" i="30"/>
  <c r="C42" i="30" s="1"/>
  <c r="C43" i="30" s="1"/>
  <c r="C44" i="30" s="1"/>
  <c r="C45" i="30" s="1"/>
  <c r="C46" i="30" s="1"/>
  <c r="C47" i="61"/>
  <c r="C50" i="46"/>
  <c r="C51" i="46" s="1"/>
  <c r="C52" i="46" s="1"/>
  <c r="C53" i="46" s="1"/>
  <c r="C54" i="46" s="1"/>
  <c r="C55" i="46" s="1"/>
  <c r="C43" i="29"/>
  <c r="C44" i="62"/>
  <c r="C45" i="62"/>
  <c r="C46" i="62" s="1"/>
  <c r="C40" i="51"/>
  <c r="C44" i="50"/>
  <c r="C45" i="50" s="1"/>
  <c r="F94" i="17"/>
  <c r="F60" i="17"/>
  <c r="F59" i="17"/>
  <c r="M114" i="17"/>
  <c r="L114" i="17"/>
  <c r="C150" i="17"/>
  <c r="C151" i="17" s="1"/>
  <c r="C152" i="17" s="1"/>
  <c r="C153" i="17" s="1"/>
  <c r="C96" i="17"/>
  <c r="C97" i="17" s="1"/>
  <c r="O114" i="17"/>
  <c r="O115" i="17"/>
  <c r="C41" i="17"/>
  <c r="P114" i="17"/>
  <c r="P115" i="17"/>
  <c r="C42" i="17"/>
  <c r="N115" i="17"/>
  <c r="N114" i="17"/>
  <c r="K114" i="17"/>
  <c r="K115" i="17"/>
  <c r="C61" i="46" l="1"/>
  <c r="C62" i="46" s="1"/>
  <c r="C167" i="30"/>
  <c r="C48" i="61"/>
  <c r="C49" i="61" s="1"/>
  <c r="C50" i="61" s="1"/>
  <c r="C51" i="61" s="1"/>
  <c r="C52" i="61" s="1"/>
  <c r="C104" i="30"/>
  <c r="C105" i="30" s="1"/>
  <c r="C106" i="30" s="1"/>
  <c r="C107" i="30" s="1"/>
  <c r="C108" i="30" s="1"/>
  <c r="C109" i="30" s="1"/>
  <c r="C110" i="30" s="1"/>
  <c r="C111" i="30" s="1"/>
  <c r="C166" i="29"/>
  <c r="C104" i="29"/>
  <c r="C105" i="29" s="1"/>
  <c r="C106" i="29" s="1"/>
  <c r="C47" i="30"/>
  <c r="C48" i="30" s="1"/>
  <c r="C49" i="30" s="1"/>
  <c r="C50" i="30" s="1"/>
  <c r="C51" i="30" s="1"/>
  <c r="C52" i="30" s="1"/>
  <c r="C53" i="30" s="1"/>
  <c r="C54" i="30" s="1"/>
  <c r="C44" i="29"/>
  <c r="C45" i="29" s="1"/>
  <c r="C46" i="29" s="1"/>
  <c r="C47" i="29" s="1"/>
  <c r="C48" i="29" s="1"/>
  <c r="C49" i="29" s="1"/>
  <c r="C50" i="29" s="1"/>
  <c r="C51" i="29" s="1"/>
  <c r="C52" i="29" s="1"/>
  <c r="C53" i="29" s="1"/>
  <c r="C54" i="29" s="1"/>
  <c r="C55" i="29" s="1"/>
  <c r="C61" i="29" s="1"/>
  <c r="C62" i="29" s="1"/>
  <c r="C47" i="62"/>
  <c r="C48" i="62"/>
  <c r="C49" i="62" s="1"/>
  <c r="C41" i="51"/>
  <c r="C46" i="50"/>
  <c r="F114" i="17"/>
  <c r="F115" i="17"/>
  <c r="C154" i="17"/>
  <c r="C155" i="17" s="1"/>
  <c r="C43" i="17"/>
  <c r="C44" i="17" s="1"/>
  <c r="C98" i="17"/>
  <c r="C64" i="46" l="1"/>
  <c r="C65" i="46" s="1"/>
  <c r="C66" i="46" s="1"/>
  <c r="C60" i="30"/>
  <c r="C61" i="30" s="1"/>
  <c r="C107" i="29"/>
  <c r="C108" i="29" s="1"/>
  <c r="C167" i="29"/>
  <c r="C168" i="29" s="1"/>
  <c r="C169" i="29" s="1"/>
  <c r="C170" i="29" s="1"/>
  <c r="C171" i="29" s="1"/>
  <c r="C172" i="29" s="1"/>
  <c r="C173" i="29" s="1"/>
  <c r="C174" i="29" s="1"/>
  <c r="C175" i="29" s="1"/>
  <c r="C176" i="29" s="1"/>
  <c r="C177" i="29" s="1"/>
  <c r="C178" i="29" s="1"/>
  <c r="C53" i="61"/>
  <c r="C54" i="61" s="1"/>
  <c r="C55" i="61" s="1"/>
  <c r="C61" i="61" s="1"/>
  <c r="C62" i="61" s="1"/>
  <c r="C168" i="30"/>
  <c r="C112" i="30"/>
  <c r="C50" i="62"/>
  <c r="C51" i="62" s="1"/>
  <c r="C52" i="62" s="1"/>
  <c r="C53" i="62" s="1"/>
  <c r="C59" i="62" s="1"/>
  <c r="C61" i="62" s="1"/>
  <c r="C42" i="51"/>
  <c r="C46" i="51" s="1"/>
  <c r="C47" i="51" s="1"/>
  <c r="C48" i="51" s="1"/>
  <c r="C49" i="51" s="1"/>
  <c r="C50" i="51" s="1"/>
  <c r="C44" i="51"/>
  <c r="C45" i="51" s="1"/>
  <c r="C43" i="51"/>
  <c r="C47" i="50"/>
  <c r="C48" i="50" s="1"/>
  <c r="C49" i="50" s="1"/>
  <c r="C45" i="17"/>
  <c r="C46" i="17" s="1"/>
  <c r="C156" i="17"/>
  <c r="C99" i="17"/>
  <c r="C68" i="46" l="1"/>
  <c r="C75" i="46" s="1"/>
  <c r="C76" i="46" s="1"/>
  <c r="C109" i="29"/>
  <c r="C110" i="29" s="1"/>
  <c r="C111" i="29" s="1"/>
  <c r="C112" i="29" s="1"/>
  <c r="C113" i="29" s="1"/>
  <c r="C114" i="29" s="1"/>
  <c r="C115" i="29" s="1"/>
  <c r="C184" i="29"/>
  <c r="C185" i="29" s="1"/>
  <c r="C169" i="30"/>
  <c r="C170" i="30" s="1"/>
  <c r="C171" i="30" s="1"/>
  <c r="C172" i="30" s="1"/>
  <c r="C173" i="30" s="1"/>
  <c r="C174" i="30" s="1"/>
  <c r="C175" i="30" s="1"/>
  <c r="C176" i="30" s="1"/>
  <c r="C177" i="30" s="1"/>
  <c r="C178" i="30" s="1"/>
  <c r="C179" i="30" s="1"/>
  <c r="C113" i="30"/>
  <c r="C114" i="30" s="1"/>
  <c r="C115" i="30" s="1"/>
  <c r="C116" i="30" s="1"/>
  <c r="C51" i="51"/>
  <c r="C52" i="51" s="1"/>
  <c r="C53" i="51" s="1"/>
  <c r="C59" i="51" s="1"/>
  <c r="C50" i="50"/>
  <c r="C51" i="50" s="1"/>
  <c r="C52" i="50" s="1"/>
  <c r="C53" i="50" s="1"/>
  <c r="C54" i="50" s="1"/>
  <c r="C55" i="50" s="1"/>
  <c r="C61" i="50" s="1"/>
  <c r="C62" i="50" s="1"/>
  <c r="C47" i="17"/>
  <c r="C48" i="17" s="1"/>
  <c r="C49" i="17" s="1"/>
  <c r="C50" i="17" s="1"/>
  <c r="C51" i="17" s="1"/>
  <c r="C52" i="17" s="1"/>
  <c r="C53" i="17" s="1"/>
  <c r="C54" i="17" s="1"/>
  <c r="C59" i="17" s="1"/>
  <c r="C60" i="17" s="1"/>
  <c r="C68" i="17" s="1"/>
  <c r="C100" i="17"/>
  <c r="C157" i="17"/>
  <c r="C158" i="17" s="1"/>
  <c r="C121" i="29" l="1"/>
  <c r="C122" i="29" s="1"/>
  <c r="C122" i="30"/>
  <c r="C123" i="30" s="1"/>
  <c r="C185" i="30"/>
  <c r="C186" i="30" s="1"/>
  <c r="C69" i="17"/>
  <c r="C70" i="17" s="1"/>
  <c r="C71" i="17" s="1"/>
  <c r="C72" i="17" s="1"/>
  <c r="C159" i="17"/>
  <c r="C160" i="17" s="1"/>
  <c r="C161" i="17" s="1"/>
  <c r="C162" i="17" s="1"/>
  <c r="C163" i="17" s="1"/>
  <c r="C164" i="17" s="1"/>
  <c r="C101" i="17"/>
  <c r="C102" i="17" s="1"/>
  <c r="C103" i="17" s="1"/>
  <c r="C104" i="17" s="1"/>
  <c r="C105" i="17" s="1"/>
  <c r="C106" i="17" s="1"/>
  <c r="C107" i="17" s="1"/>
  <c r="C108" i="17" s="1"/>
  <c r="C109" i="17" s="1"/>
  <c r="C73" i="17" l="1"/>
  <c r="C74" i="17" s="1"/>
  <c r="C75" i="17" s="1"/>
  <c r="C76" i="17" s="1"/>
  <c r="C77" i="17" s="1"/>
  <c r="C78" i="17" l="1"/>
  <c r="C114" i="17" s="1"/>
  <c r="C115" i="17" s="1"/>
  <c r="C123" i="17" s="1"/>
  <c r="D62" i="49"/>
  <c r="D63" i="49" s="1"/>
  <c r="C124" i="17" l="1"/>
  <c r="C125" i="17" s="1"/>
  <c r="C126" i="17" s="1"/>
  <c r="C127" i="17" l="1"/>
  <c r="C128" i="17" l="1"/>
  <c r="C129" i="17" s="1"/>
  <c r="C130" i="17" s="1"/>
  <c r="C131" i="17" l="1"/>
  <c r="C132" i="17" l="1"/>
  <c r="C133" i="17" s="1"/>
  <c r="C169" i="17" s="1"/>
  <c r="C170" i="17" s="1"/>
  <c r="R61" i="29" l="1"/>
  <c r="R62" i="29"/>
  <c r="L61" i="29"/>
  <c r="F31" i="29"/>
  <c r="L62" i="29"/>
  <c r="F61" i="29" l="1"/>
  <c r="F62" i="29"/>
</calcChain>
</file>

<file path=xl/comments1.xml><?xml version="1.0" encoding="utf-8"?>
<comments xmlns="http://schemas.openxmlformats.org/spreadsheetml/2006/main">
  <authors>
    <author>Diane Berron</author>
  </authors>
  <commentList>
    <comment ref="A8" authorId="0" shapeId="0">
      <text>
        <r>
          <rPr>
            <b/>
            <sz val="11"/>
            <color indexed="81"/>
            <rFont val="Tahoma"/>
            <family val="2"/>
          </rPr>
          <t>Diane Berron:</t>
        </r>
        <r>
          <rPr>
            <sz val="11"/>
            <color indexed="81"/>
            <rFont val="Tahoma"/>
            <family val="2"/>
          </rPr>
          <t xml:space="preserve">
1 if electric or gas</t>
        </r>
      </text>
    </comment>
  </commentList>
</comments>
</file>

<file path=xl/sharedStrings.xml><?xml version="1.0" encoding="utf-8"?>
<sst xmlns="http://schemas.openxmlformats.org/spreadsheetml/2006/main" count="4285" uniqueCount="529">
  <si>
    <t>ALE</t>
  </si>
  <si>
    <t>LNT</t>
  </si>
  <si>
    <t>AEP</t>
  </si>
  <si>
    <t>AEE</t>
  </si>
  <si>
    <t>AVA</t>
  </si>
  <si>
    <t>BKH</t>
  </si>
  <si>
    <t>CNP</t>
  </si>
  <si>
    <t>CHG</t>
  </si>
  <si>
    <t>CNL</t>
  </si>
  <si>
    <t>CMS</t>
  </si>
  <si>
    <t>ED</t>
  </si>
  <si>
    <t>D</t>
  </si>
  <si>
    <t>DTE</t>
  </si>
  <si>
    <t>DUK</t>
  </si>
  <si>
    <t>EIX</t>
  </si>
  <si>
    <t>EE</t>
  </si>
  <si>
    <t>EDE</t>
  </si>
  <si>
    <t>ETR</t>
  </si>
  <si>
    <t>EXC</t>
  </si>
  <si>
    <t>FE</t>
  </si>
  <si>
    <t>GXP</t>
  </si>
  <si>
    <t>HE</t>
  </si>
  <si>
    <t>IDA</t>
  </si>
  <si>
    <t>TEG</t>
  </si>
  <si>
    <t>MDU</t>
  </si>
  <si>
    <t>MGEE</t>
  </si>
  <si>
    <t>NI</t>
  </si>
  <si>
    <t>OGE</t>
  </si>
  <si>
    <t>OTTR</t>
  </si>
  <si>
    <t>POM</t>
  </si>
  <si>
    <t>PCG</t>
  </si>
  <si>
    <t>PNW</t>
  </si>
  <si>
    <t>PNM</t>
  </si>
  <si>
    <t>POR</t>
  </si>
  <si>
    <t>PPL</t>
  </si>
  <si>
    <t>PEG</t>
  </si>
  <si>
    <t>SCG</t>
  </si>
  <si>
    <t>SRE</t>
  </si>
  <si>
    <t>SO</t>
  </si>
  <si>
    <t>TE</t>
  </si>
  <si>
    <t>UIL</t>
  </si>
  <si>
    <t>UNS</t>
  </si>
  <si>
    <t>VVC</t>
  </si>
  <si>
    <t>WR</t>
  </si>
  <si>
    <t>WEC</t>
  </si>
  <si>
    <t>XEL</t>
  </si>
  <si>
    <t xml:space="preserve">Black Hills                   </t>
  </si>
  <si>
    <t xml:space="preserve">CMS Energy Corp.              </t>
  </si>
  <si>
    <t xml:space="preserve">CH Energy Group               </t>
  </si>
  <si>
    <t xml:space="preserve">Cleco Corp.                   </t>
  </si>
  <si>
    <t xml:space="preserve">Consol. Edison                </t>
  </si>
  <si>
    <t xml:space="preserve">DTE Energy                    </t>
  </si>
  <si>
    <t xml:space="preserve">Dominion Resources            </t>
  </si>
  <si>
    <t xml:space="preserve">Edison Int'l                  </t>
  </si>
  <si>
    <t xml:space="preserve">Sempra Energy                 </t>
  </si>
  <si>
    <t xml:space="preserve">Entergy Corp.                 </t>
  </si>
  <si>
    <t xml:space="preserve">FPL Group                     </t>
  </si>
  <si>
    <t>FPL</t>
  </si>
  <si>
    <t xml:space="preserve">Hawaiian Elec.                </t>
  </si>
  <si>
    <t xml:space="preserve">IDACORP, Inc.                 </t>
  </si>
  <si>
    <t xml:space="preserve">MDU Resources                 </t>
  </si>
  <si>
    <t xml:space="preserve">MGE Energy                    </t>
  </si>
  <si>
    <t xml:space="preserve">NiSource Inc.                 </t>
  </si>
  <si>
    <t xml:space="preserve">Sierra Pacific Res.           </t>
  </si>
  <si>
    <t>SRP</t>
  </si>
  <si>
    <t xml:space="preserve">Xcel Energy Inc.              </t>
  </si>
  <si>
    <t xml:space="preserve">FirstEnergy Corp.             </t>
  </si>
  <si>
    <t xml:space="preserve">OGE Energy                    </t>
  </si>
  <si>
    <t xml:space="preserve">Otter Tail Corp.              </t>
  </si>
  <si>
    <t xml:space="preserve">Exelon Corp.                  </t>
  </si>
  <si>
    <t xml:space="preserve">PPL Corp.                     </t>
  </si>
  <si>
    <t xml:space="preserve">PG&amp;E Corp.                    </t>
  </si>
  <si>
    <t xml:space="preserve">Pinnacle West Capital         </t>
  </si>
  <si>
    <t xml:space="preserve">Pepco Holdings                </t>
  </si>
  <si>
    <t xml:space="preserve">PNM Resources                 </t>
  </si>
  <si>
    <t xml:space="preserve">Public Serv. Enterprise       </t>
  </si>
  <si>
    <t xml:space="preserve">SCANA Corp.                   </t>
  </si>
  <si>
    <t xml:space="preserve">Southern Co.                  </t>
  </si>
  <si>
    <t xml:space="preserve">TECO Energy                   </t>
  </si>
  <si>
    <t xml:space="preserve">UniSource Energy              </t>
  </si>
  <si>
    <t xml:space="preserve">Ameren Corp.                  </t>
  </si>
  <si>
    <t xml:space="preserve">UIL Holdings                  </t>
  </si>
  <si>
    <t xml:space="preserve">UNITIL Corp.                  </t>
  </si>
  <si>
    <t>UTL</t>
  </si>
  <si>
    <t xml:space="preserve">Alliant Energy                </t>
  </si>
  <si>
    <t xml:space="preserve">Integrys Energy               </t>
  </si>
  <si>
    <t xml:space="preserve">Avista Corp.                  </t>
  </si>
  <si>
    <t xml:space="preserve">Westar Energy                 </t>
  </si>
  <si>
    <t xml:space="preserve">El Paso Electric              </t>
  </si>
  <si>
    <t xml:space="preserve">Vectren Corp.                 </t>
  </si>
  <si>
    <t xml:space="preserve">CenterPoint Energy            </t>
  </si>
  <si>
    <t xml:space="preserve">ALLETE                        </t>
  </si>
  <si>
    <t xml:space="preserve">Portland General              </t>
  </si>
  <si>
    <t xml:space="preserve">Duke Energy                   </t>
  </si>
  <si>
    <t xml:space="preserve">NorthWestern Corp             </t>
  </si>
  <si>
    <r>
      <t xml:space="preserve">Price to Earnings (P/E) Ratio </t>
    </r>
    <r>
      <rPr>
        <b/>
        <vertAlign val="superscript"/>
        <sz val="11"/>
        <rFont val="Arial"/>
        <family val="2"/>
      </rPr>
      <t>1</t>
    </r>
  </si>
  <si>
    <t>Line</t>
  </si>
  <si>
    <t>Company</t>
  </si>
  <si>
    <t>Average</t>
  </si>
  <si>
    <t>Ticker</t>
  </si>
  <si>
    <t>Lookup:</t>
  </si>
  <si>
    <t>2</t>
  </si>
  <si>
    <t>Empire District Electric</t>
  </si>
  <si>
    <t>American Electric Power</t>
  </si>
  <si>
    <t xml:space="preserve">Great Plains Energy             </t>
  </si>
  <si>
    <t>NMF</t>
  </si>
  <si>
    <t>N/A</t>
  </si>
  <si>
    <t>Sources:</t>
  </si>
  <si>
    <t>Note:</t>
  </si>
  <si>
    <r>
      <t xml:space="preserve">Market Price to Cash Flow (MP/CF) Ratio </t>
    </r>
    <r>
      <rPr>
        <b/>
        <vertAlign val="superscript"/>
        <sz val="11"/>
        <rFont val="Arial"/>
        <family val="2"/>
      </rPr>
      <t>1</t>
    </r>
  </si>
  <si>
    <t>High</t>
  </si>
  <si>
    <t>Low</t>
  </si>
  <si>
    <t>Avg.</t>
  </si>
  <si>
    <t>P/E Ratio</t>
  </si>
  <si>
    <t>MP/CF</t>
  </si>
  <si>
    <t>ValueLine Reported</t>
  </si>
  <si>
    <t>input</t>
  </si>
  <si>
    <t>Company Name</t>
  </si>
  <si>
    <t>Ticker Symbol</t>
  </si>
  <si>
    <t>ALLETE</t>
  </si>
  <si>
    <t>Alliant Energy</t>
  </si>
  <si>
    <t>Amer. Elec. Power</t>
  </si>
  <si>
    <t>Ameren Corp.</t>
  </si>
  <si>
    <t>Avista Corp.</t>
  </si>
  <si>
    <t>Black Hills</t>
  </si>
  <si>
    <t>CenterPoint Energy</t>
  </si>
  <si>
    <t>CMS Energy Corp.</t>
  </si>
  <si>
    <t>Consol. Edison</t>
  </si>
  <si>
    <t>Dominion Resources</t>
  </si>
  <si>
    <t>DTE Energy</t>
  </si>
  <si>
    <t>Duke Energy</t>
  </si>
  <si>
    <t>Edison Int'l</t>
  </si>
  <si>
    <t>El Paso Electric</t>
  </si>
  <si>
    <t>Empire Dist. Elec.</t>
  </si>
  <si>
    <t>Entergy Corp.</t>
  </si>
  <si>
    <t>Exelon Corp.</t>
  </si>
  <si>
    <t>FirstEnergy Corp.</t>
  </si>
  <si>
    <t>G't Plains Energy</t>
  </si>
  <si>
    <t>Hawaiian Elec.</t>
  </si>
  <si>
    <t>MGE Energy</t>
  </si>
  <si>
    <t>NextEra Energy</t>
  </si>
  <si>
    <t>NEE</t>
  </si>
  <si>
    <t>NiSource Inc.</t>
  </si>
  <si>
    <t>NorthWestern Corp.</t>
  </si>
  <si>
    <t>NWE</t>
  </si>
  <si>
    <t>OGE Energy</t>
  </si>
  <si>
    <t>Otter Tail Corp.</t>
  </si>
  <si>
    <t>PG&amp;E Corp.</t>
  </si>
  <si>
    <t>Pinnacle West Capital</t>
  </si>
  <si>
    <t>PNM Resources</t>
  </si>
  <si>
    <t>Portland General</t>
  </si>
  <si>
    <t>PPL Corp.</t>
  </si>
  <si>
    <t>Public Serv. Enterprise</t>
  </si>
  <si>
    <t>SCANA Corp.</t>
  </si>
  <si>
    <t>Sempra Energy</t>
  </si>
  <si>
    <t>Southern Co.</t>
  </si>
  <si>
    <t>Vectren Corp.</t>
  </si>
  <si>
    <t>Westar Energy</t>
  </si>
  <si>
    <t>Xcel Energy Inc.</t>
  </si>
  <si>
    <t>Unitil Corp.</t>
  </si>
  <si>
    <t>ITC Holdings</t>
  </si>
  <si>
    <t>ITC</t>
  </si>
  <si>
    <t>Adams Resources &amp; Energy</t>
  </si>
  <si>
    <t>AE</t>
  </si>
  <si>
    <t>Amer. States Water</t>
  </si>
  <si>
    <t>AWR</t>
  </si>
  <si>
    <t>Amer. Water Works</t>
  </si>
  <si>
    <t>AWK</t>
  </si>
  <si>
    <t>AmeriGas Partners</t>
  </si>
  <si>
    <t>APU</t>
  </si>
  <si>
    <t>Aqua America</t>
  </si>
  <si>
    <t>WTR</t>
  </si>
  <si>
    <t>Artesian Res Corp</t>
  </si>
  <si>
    <t>ARTNA</t>
  </si>
  <si>
    <t>Atmos Energy</t>
  </si>
  <si>
    <t>ATO</t>
  </si>
  <si>
    <t>California Water</t>
  </si>
  <si>
    <t>CWT</t>
  </si>
  <si>
    <t>CPK</t>
  </si>
  <si>
    <t>Conn. Water Services</t>
  </si>
  <si>
    <t>CTWS</t>
  </si>
  <si>
    <t>Consolidated Water</t>
  </si>
  <si>
    <t>CWCO</t>
  </si>
  <si>
    <t>Delta Natural Gas</t>
  </si>
  <si>
    <t>DGAS</t>
  </si>
  <si>
    <t>Gas Natural Inc</t>
  </si>
  <si>
    <t>EGAS</t>
  </si>
  <si>
    <t>Middlesex Water</t>
  </si>
  <si>
    <t>MSEX</t>
  </si>
  <si>
    <t>New Jersey Resources</t>
  </si>
  <si>
    <t>NJR</t>
  </si>
  <si>
    <t>Northwest Nat. Gas</t>
  </si>
  <si>
    <t>NWN</t>
  </si>
  <si>
    <t>RGC Resources Inc</t>
  </si>
  <si>
    <t>RGCO</t>
  </si>
  <si>
    <t>SJW Corp.</t>
  </si>
  <si>
    <t>SJW</t>
  </si>
  <si>
    <t>South Jersey Inds.</t>
  </si>
  <si>
    <t>SJI</t>
  </si>
  <si>
    <t>Southwest Gas</t>
  </si>
  <si>
    <t>SWX</t>
  </si>
  <si>
    <t>Star Gas Partners L.P.</t>
  </si>
  <si>
    <t>SGU</t>
  </si>
  <si>
    <t>UGI Corp.</t>
  </si>
  <si>
    <t>UGI</t>
  </si>
  <si>
    <t>WGL Holdings Inc.</t>
  </si>
  <si>
    <t>WGL</t>
  </si>
  <si>
    <t>York Water Co. (The)</t>
  </si>
  <si>
    <t>YORW</t>
  </si>
  <si>
    <t>NextEra Energy, Inc.</t>
  </si>
  <si>
    <t>Eversource Energy</t>
  </si>
  <si>
    <t>ES</t>
  </si>
  <si>
    <t xml:space="preserve">Eversource Energy    </t>
  </si>
  <si>
    <t>mp</t>
  </si>
  <si>
    <t>cf</t>
  </si>
  <si>
    <t>Chesapeake Utilities</t>
  </si>
  <si>
    <t>IDACORP Inc.</t>
  </si>
  <si>
    <t>WEC Energy Group</t>
  </si>
  <si>
    <t xml:space="preserve">Source: The Value Line Investment Survey Investment Analyzer Software, </t>
  </si>
  <si>
    <t>Market Price to Cash Flow (MP/CF) Ratio</t>
  </si>
  <si>
    <t>Price to Earnings (P/E) Ratio</t>
  </si>
  <si>
    <t>CF 2015</t>
  </si>
  <si>
    <t>CF 2014</t>
  </si>
  <si>
    <t>CF 2013</t>
  </si>
  <si>
    <t>CF 2012</t>
  </si>
  <si>
    <t>CF 2011</t>
  </si>
  <si>
    <t>CF 2010</t>
  </si>
  <si>
    <t>CF 2009</t>
  </si>
  <si>
    <t>CF 2008</t>
  </si>
  <si>
    <t>CF 2007</t>
  </si>
  <si>
    <t>CF 2006</t>
  </si>
  <si>
    <t>P 2015</t>
  </si>
  <si>
    <t>P 2014</t>
  </si>
  <si>
    <t>P 2013</t>
  </si>
  <si>
    <t>P 2012</t>
  </si>
  <si>
    <t>P 2011</t>
  </si>
  <si>
    <t>P 2010</t>
  </si>
  <si>
    <t>P 2009</t>
  </si>
  <si>
    <t>P 2008</t>
  </si>
  <si>
    <t>P 2007</t>
  </si>
  <si>
    <t>P 2006</t>
  </si>
  <si>
    <t>Match</t>
  </si>
  <si>
    <t>Row</t>
  </si>
  <si>
    <t>Spire Inc.</t>
  </si>
  <si>
    <t>SR</t>
  </si>
  <si>
    <t>MP/BV</t>
  </si>
  <si>
    <t>BookValue 2015</t>
  </si>
  <si>
    <t>BookValue 2014</t>
  </si>
  <si>
    <t>BookValue 2013</t>
  </si>
  <si>
    <t>BookValue 2012</t>
  </si>
  <si>
    <t>BookValue 2011</t>
  </si>
  <si>
    <t>BookValue 2010</t>
  </si>
  <si>
    <t>BookValue 2009</t>
  </si>
  <si>
    <t>BookValue 2008</t>
  </si>
  <si>
    <t>BookValue 2007</t>
  </si>
  <si>
    <t>BookValue 2006</t>
  </si>
  <si>
    <t>bv</t>
  </si>
  <si>
    <t>Median</t>
  </si>
  <si>
    <t>Market Price to Book Value (MP/BV) Ratio</t>
  </si>
  <si>
    <r>
      <t xml:space="preserve">Market Price to Book Value (MP/BV) Ratio </t>
    </r>
    <r>
      <rPr>
        <b/>
        <vertAlign val="superscript"/>
        <sz val="11"/>
        <rFont val="Arial"/>
        <family val="2"/>
      </rPr>
      <t>1</t>
    </r>
  </si>
  <si>
    <t>AGR</t>
  </si>
  <si>
    <t>Avangrid, Inc.</t>
  </si>
  <si>
    <t>CF 2016</t>
  </si>
  <si>
    <t>AVANGRID Inc.</t>
  </si>
  <si>
    <t>BookValue 2016</t>
  </si>
  <si>
    <t>Fortis Inc.</t>
  </si>
  <si>
    <t>FTS.TO</t>
  </si>
  <si>
    <t>Value Line Industry</t>
  </si>
  <si>
    <t>Electric Utility (East)</t>
  </si>
  <si>
    <t>Electric Utility (West)</t>
  </si>
  <si>
    <t>Water Utility</t>
  </si>
  <si>
    <t>Natural Gas Utility</t>
  </si>
  <si>
    <t>Electric Utilities</t>
  </si>
  <si>
    <t>Natural Gas Utilities</t>
  </si>
  <si>
    <t>(Valuation Metrics)</t>
  </si>
  <si>
    <t>2016 Div declared per share</t>
  </si>
  <si>
    <t>2015 Div declared per share</t>
  </si>
  <si>
    <t>2014 Div declared per share</t>
  </si>
  <si>
    <t>2013 Div declared per share</t>
  </si>
  <si>
    <t>2012 Div declared per share</t>
  </si>
  <si>
    <t>2011 Div declared per share</t>
  </si>
  <si>
    <t>2010 Div declared per share</t>
  </si>
  <si>
    <t>2009 Div declared per share</t>
  </si>
  <si>
    <t>2008 Div declared per share</t>
  </si>
  <si>
    <t>2007 Div declared per share</t>
  </si>
  <si>
    <t>2006 Div declared per share</t>
  </si>
  <si>
    <t>EPS2006</t>
  </si>
  <si>
    <t>EPS2007</t>
  </si>
  <si>
    <t>EPS2008</t>
  </si>
  <si>
    <t>EPS2009</t>
  </si>
  <si>
    <t>EPS2010</t>
  </si>
  <si>
    <t>EPS2011</t>
  </si>
  <si>
    <t>EPS2012</t>
  </si>
  <si>
    <t>EPS2013</t>
  </si>
  <si>
    <t>EPS2014</t>
  </si>
  <si>
    <t>EPS2015</t>
  </si>
  <si>
    <t>EPS2016</t>
  </si>
  <si>
    <t>CapSpend2006</t>
  </si>
  <si>
    <t>CapSpend2007</t>
  </si>
  <si>
    <t>CapSpend2008</t>
  </si>
  <si>
    <t>CapSpend2009</t>
  </si>
  <si>
    <t>CapSpend2010</t>
  </si>
  <si>
    <t>CapSpend2011</t>
  </si>
  <si>
    <t>CapSpend2012</t>
  </si>
  <si>
    <t>CapSpend2013</t>
  </si>
  <si>
    <t>CapSpend2014</t>
  </si>
  <si>
    <t>CapSpend2015</t>
  </si>
  <si>
    <t>CapSpend2016</t>
  </si>
  <si>
    <t>PE</t>
  </si>
  <si>
    <t>BookValue</t>
  </si>
  <si>
    <t>CashFlow</t>
  </si>
  <si>
    <t>Earnings</t>
  </si>
  <si>
    <t>Price</t>
  </si>
  <si>
    <t>CapSpend</t>
  </si>
  <si>
    <t>Dividends</t>
  </si>
  <si>
    <t>downloaded:</t>
  </si>
  <si>
    <t>Source: The Value Line Investment Survey Investment Analyzer Software,</t>
  </si>
  <si>
    <t xml:space="preserve">Downloaded from The Value Line Investment Survey Investment Analyzer Software, </t>
  </si>
  <si>
    <t>div</t>
  </si>
  <si>
    <t>ear</t>
  </si>
  <si>
    <t>Dividend to Book Value (Div/BV) Ratio</t>
  </si>
  <si>
    <t>Dividend to Earnings (DIV/EARN) Ratio</t>
  </si>
  <si>
    <t>Cash Flow to Capital Spending (CF/CAPSPEND) Ratio</t>
  </si>
  <si>
    <t>Capsp</t>
  </si>
  <si>
    <t>VL Report Date</t>
  </si>
  <si>
    <t>DIV/Earn</t>
  </si>
  <si>
    <t>CF/Cap Spend</t>
  </si>
  <si>
    <r>
      <t xml:space="preserve">Dividends to Earnings Ratio </t>
    </r>
    <r>
      <rPr>
        <b/>
        <vertAlign val="superscript"/>
        <sz val="11"/>
        <rFont val="Arial"/>
        <family val="2"/>
      </rPr>
      <t>1</t>
    </r>
  </si>
  <si>
    <r>
      <t xml:space="preserve">Cash Flow to Capital Spending Ratio </t>
    </r>
    <r>
      <rPr>
        <b/>
        <vertAlign val="superscript"/>
        <sz val="11"/>
        <rFont val="Arial"/>
        <family val="2"/>
      </rPr>
      <t>1</t>
    </r>
  </si>
  <si>
    <t>Notes:</t>
  </si>
  <si>
    <r>
      <t xml:space="preserve">Percent Dividends to Book Value </t>
    </r>
    <r>
      <rPr>
        <b/>
        <vertAlign val="superscript"/>
        <sz val="11"/>
        <rFont val="Arial"/>
        <family val="2"/>
      </rPr>
      <t>1</t>
    </r>
  </si>
  <si>
    <t>AvgAnnDivYld</t>
  </si>
  <si>
    <t>Avg Annual PE Ratio</t>
  </si>
  <si>
    <t>Avg Annual Price</t>
  </si>
  <si>
    <t>Book Value per shr</t>
  </si>
  <si>
    <t>Cap'l Spending per shr</t>
  </si>
  <si>
    <t>Cash Flow per share</t>
  </si>
  <si>
    <t>Div'ds decl per shr</t>
  </si>
  <si>
    <t>EPS</t>
  </si>
  <si>
    <t>Avg Annual Div'd Yield</t>
  </si>
  <si>
    <t>AVERAGE</t>
  </si>
  <si>
    <t>All</t>
  </si>
  <si>
    <t>Electric and Gas</t>
  </si>
  <si>
    <t>Electric Util. (Central)</t>
  </si>
  <si>
    <t>CHECKSUM</t>
  </si>
  <si>
    <t>Electric Utility</t>
  </si>
  <si>
    <t>OGS</t>
  </si>
  <si>
    <t>Dominion Energy</t>
  </si>
  <si>
    <t>note: OGS downloaded 6/21/17</t>
  </si>
  <si>
    <t>ONE Gas Inc.</t>
  </si>
  <si>
    <t>DIV/BV %</t>
  </si>
  <si>
    <t>DIV/BV
%</t>
  </si>
  <si>
    <t>Electric</t>
  </si>
  <si>
    <t>Gas</t>
  </si>
  <si>
    <t>Water</t>
  </si>
  <si>
    <t>a</t>
  </si>
  <si>
    <t>b</t>
  </si>
  <si>
    <t>c</t>
  </si>
  <si>
    <t>Dividend Yield (Div/MP) %</t>
  </si>
  <si>
    <t>A Utility Bonds</t>
  </si>
  <si>
    <t xml:space="preserve">Year </t>
  </si>
  <si>
    <t>Annual Yield</t>
  </si>
  <si>
    <t>DIV/MP
%</t>
  </si>
  <si>
    <t>Water Utilities</t>
  </si>
  <si>
    <t>CapSpendperShare2017</t>
  </si>
  <si>
    <t>CapSpendperShare2018</t>
  </si>
  <si>
    <t>CapSpendperShare2019</t>
  </si>
  <si>
    <t>CapSpendperShare3-5yr</t>
  </si>
  <si>
    <t>CashFlowperShare2017</t>
  </si>
  <si>
    <t>CashFlowperShare2018</t>
  </si>
  <si>
    <t>CashFlowperShare2019</t>
  </si>
  <si>
    <t>CashFlowperShare3-5yrs</t>
  </si>
  <si>
    <t>3 - 5 yr</t>
  </si>
  <si>
    <t>Projection</t>
  </si>
  <si>
    <t>2017</t>
  </si>
  <si>
    <t>Based on the projected Cash Flow per share and Capital Spending per share.</t>
  </si>
  <si>
    <t>Downloaded from Value Line Investment Analyzer.</t>
  </si>
  <si>
    <t>Cash Flow / Capital Spending</t>
  </si>
  <si>
    <t>Industry CAGR</t>
  </si>
  <si>
    <t>CAGR = Compound Annual Growth Rate</t>
  </si>
  <si>
    <r>
      <t>Dividend Yield</t>
    </r>
    <r>
      <rPr>
        <b/>
        <vertAlign val="superscript"/>
        <sz val="11"/>
        <rFont val="Arial"/>
        <family val="2"/>
      </rPr>
      <t>1</t>
    </r>
  </si>
  <si>
    <r>
      <t>Dividend per Share</t>
    </r>
    <r>
      <rPr>
        <b/>
        <vertAlign val="superscript"/>
        <sz val="11"/>
        <rFont val="Arial"/>
        <family val="2"/>
      </rPr>
      <t>1</t>
    </r>
  </si>
  <si>
    <t>DIV/MP %</t>
  </si>
  <si>
    <t>Market Implied Inflation</t>
  </si>
  <si>
    <t>20-Year</t>
  </si>
  <si>
    <t>Date</t>
  </si>
  <si>
    <t>Treasury Yield</t>
  </si>
  <si>
    <t>20-Year TIPS</t>
  </si>
  <si>
    <t>Implied Inflaton</t>
  </si>
  <si>
    <t/>
  </si>
  <si>
    <t xml:space="preserve">   Average</t>
  </si>
  <si>
    <r>
      <rPr>
        <vertAlign val="superscript"/>
        <sz val="11"/>
        <rFont val="Arial"/>
        <family val="2"/>
      </rPr>
      <t xml:space="preserve"> </t>
    </r>
    <r>
      <rPr>
        <sz val="11"/>
        <rFont val="Arial"/>
        <family val="2"/>
      </rPr>
      <t xml:space="preserve"> St. Louis Federal Reserve: Economic Research, http://research.stlouisfed.org.</t>
    </r>
  </si>
  <si>
    <t xml:space="preserve">  Tracking of the 20-Year Treasury Inflation-Adjusted Security did not begin until</t>
  </si>
  <si>
    <t xml:space="preserve">  July 2004.  Thus, 2004 averages are for the period July - December, 2004.</t>
  </si>
  <si>
    <t xml:space="preserve">  TIPS = Treasury Inflation Protected Securities</t>
  </si>
  <si>
    <t>DFII20</t>
  </si>
  <si>
    <t>FII20</t>
  </si>
  <si>
    <t>WFII20</t>
  </si>
  <si>
    <t>lin</t>
  </si>
  <si>
    <t>Percent</t>
  </si>
  <si>
    <t>Daily</t>
  </si>
  <si>
    <t>M</t>
  </si>
  <si>
    <t>Monthly</t>
  </si>
  <si>
    <t>W</t>
  </si>
  <si>
    <t>Weekly, Ending Friday</t>
  </si>
  <si>
    <t>20-Year Treasury Inflation-Indexed Security, Constant Maturity</t>
  </si>
  <si>
    <t>Board of Governors of the Federal Reserve System (US)</t>
  </si>
  <si>
    <t>date</t>
  </si>
  <si>
    <t>value</t>
  </si>
  <si>
    <t>DGS20</t>
  </si>
  <si>
    <t>GS20</t>
  </si>
  <si>
    <t xml:space="preserve">WGS20yr </t>
  </si>
  <si>
    <t>20-Year Treasury Constant Maturity Rate</t>
  </si>
  <si>
    <r>
      <t>Implied Inflation</t>
    </r>
    <r>
      <rPr>
        <vertAlign val="superscript"/>
        <sz val="11"/>
        <color theme="1"/>
        <rFont val="Arial"/>
        <family val="2"/>
      </rPr>
      <t>3</t>
    </r>
  </si>
  <si>
    <t>Real Dividend Yield</t>
  </si>
  <si>
    <r>
      <t>Real Spread</t>
    </r>
    <r>
      <rPr>
        <b/>
        <vertAlign val="superscript"/>
        <sz val="11"/>
        <color theme="1"/>
        <rFont val="Arial"/>
        <family val="2"/>
      </rPr>
      <t>c</t>
    </r>
  </si>
  <si>
    <t>St. Louis Federal Reserve: Economic Research, http://research.stlouisfed.org.</t>
  </si>
  <si>
    <r>
      <t>Nominal Spread</t>
    </r>
    <r>
      <rPr>
        <b/>
        <vertAlign val="superscript"/>
        <sz val="11"/>
        <color theme="1"/>
        <rFont val="Arial"/>
        <family val="2"/>
      </rPr>
      <t>b</t>
    </r>
  </si>
  <si>
    <t>The spread being measured here is the real A-rated utility bond yield over the average real utility dividend yield; (Line 47 - Line 45).</t>
  </si>
  <si>
    <t>The spread being measured here is the nominal A-rated utility bond yield over the average nominal utility dividend yield; Line 46 - Line 42).</t>
  </si>
  <si>
    <t xml:space="preserve">Great Plains Energy and West Star Energy are aggregating to Evergy, official around the beginning of June </t>
  </si>
  <si>
    <t>Nil</t>
  </si>
  <si>
    <r>
      <t xml:space="preserve">2018 </t>
    </r>
    <r>
      <rPr>
        <b/>
        <u/>
        <vertAlign val="superscript"/>
        <sz val="11"/>
        <rFont val="Arial"/>
        <family val="2"/>
      </rPr>
      <t>2</t>
    </r>
  </si>
  <si>
    <r>
      <t xml:space="preserve">2018 </t>
    </r>
    <r>
      <rPr>
        <b/>
        <u/>
        <vertAlign val="superscript"/>
        <sz val="11"/>
        <rFont val="Arial"/>
        <family val="2"/>
      </rPr>
      <t>2/a</t>
    </r>
  </si>
  <si>
    <r>
      <t xml:space="preserve">2018 </t>
    </r>
    <r>
      <rPr>
        <b/>
        <u/>
        <vertAlign val="superscript"/>
        <sz val="11"/>
        <rFont val="Arial"/>
        <family val="2"/>
      </rPr>
      <t>2/b</t>
    </r>
  </si>
  <si>
    <t>17-Year</t>
  </si>
  <si>
    <t>14-Year</t>
  </si>
  <si>
    <t>Based on the average of the high and low price for 2018 and the projected 2018 Cash Flow per share,</t>
  </si>
  <si>
    <t>Based on the average of the high and low price for 2018 and the projected 2018 Book Value per share,</t>
  </si>
  <si>
    <t>13-Year</t>
  </si>
  <si>
    <t>through</t>
  </si>
  <si>
    <t>Based on the projected 2018 Dividend Declared per share and Book Value per share,</t>
  </si>
  <si>
    <t>Based on the projected 2018 Dividends Declared per share and Earnings per share,</t>
  </si>
  <si>
    <t>Based on the projected 2018 Cash Flow per share and Capital Spending per share,</t>
  </si>
  <si>
    <r>
      <t xml:space="preserve">2018 </t>
    </r>
    <r>
      <rPr>
        <b/>
        <u/>
        <vertAlign val="superscript"/>
        <sz val="11"/>
        <rFont val="Arial"/>
        <family val="2"/>
      </rPr>
      <t>2/c</t>
    </r>
  </si>
  <si>
    <t xml:space="preserve">Adams Resources &amp; Energy      </t>
  </si>
  <si>
    <t xml:space="preserve">Amer. Elec. Power             </t>
  </si>
  <si>
    <t xml:space="preserve">Amer. States Water            </t>
  </si>
  <si>
    <t xml:space="preserve">Amer. Water Works             </t>
  </si>
  <si>
    <t xml:space="preserve">AmeriGas Partners             </t>
  </si>
  <si>
    <t xml:space="preserve">Aqua America                  </t>
  </si>
  <si>
    <t xml:space="preserve">Artesian Res Corp             </t>
  </si>
  <si>
    <t xml:space="preserve">Atmos Energy                  </t>
  </si>
  <si>
    <t xml:space="preserve">AVANGRID, Inc.                </t>
  </si>
  <si>
    <t xml:space="preserve">California Water              </t>
  </si>
  <si>
    <t xml:space="preserve">Chesapeake Utilities          </t>
  </si>
  <si>
    <t xml:space="preserve">Conn. Water Services          </t>
  </si>
  <si>
    <t xml:space="preserve">Consolidated Water            </t>
  </si>
  <si>
    <t xml:space="preserve">Dominion Energy               </t>
  </si>
  <si>
    <t xml:space="preserve">Eversource Energy             </t>
  </si>
  <si>
    <t xml:space="preserve">Fortis Inc.                   </t>
  </si>
  <si>
    <t xml:space="preserve">Middlesex Water               </t>
  </si>
  <si>
    <t xml:space="preserve">New Jersey Resources          </t>
  </si>
  <si>
    <t xml:space="preserve">NextEra Energy                </t>
  </si>
  <si>
    <t xml:space="preserve">Northwest Nat. Gas            </t>
  </si>
  <si>
    <t xml:space="preserve">NorthWestern Corp.            </t>
  </si>
  <si>
    <t xml:space="preserve">ONE Gas, Inc.                 </t>
  </si>
  <si>
    <t xml:space="preserve">RGC Resources Inc             </t>
  </si>
  <si>
    <t xml:space="preserve">SJW Group                     </t>
  </si>
  <si>
    <t xml:space="preserve">South Jersey Inds.            </t>
  </si>
  <si>
    <t xml:space="preserve">Southwest Gas                 </t>
  </si>
  <si>
    <t xml:space="preserve">Spire Inc.                    </t>
  </si>
  <si>
    <t xml:space="preserve">Star Group L.P.               </t>
  </si>
  <si>
    <t xml:space="preserve">UGI Corp.                     </t>
  </si>
  <si>
    <t xml:space="preserve">Unitil Corp.                  </t>
  </si>
  <si>
    <t xml:space="preserve">WEC Energy Group              </t>
  </si>
  <si>
    <t xml:space="preserve">WGL Holdings Inc.             </t>
  </si>
  <si>
    <t xml:space="preserve">York Water Co. (The)          </t>
  </si>
  <si>
    <t>2019</t>
  </si>
  <si>
    <t>3-5 Year proj Cash Flow/Share</t>
  </si>
  <si>
    <t>3-5 Year proj Cap Spend/Share</t>
  </si>
  <si>
    <t>CAGR</t>
  </si>
  <si>
    <r>
      <t>Earnings per Share</t>
    </r>
    <r>
      <rPr>
        <b/>
        <vertAlign val="superscript"/>
        <sz val="11"/>
        <rFont val="Arial"/>
        <family val="2"/>
      </rPr>
      <t>1</t>
    </r>
  </si>
  <si>
    <t>Full</t>
  </si>
  <si>
    <t>Years</t>
  </si>
  <si>
    <t>Dec '17</t>
  </si>
  <si>
    <t>Most</t>
  </si>
  <si>
    <t>Recent</t>
  </si>
  <si>
    <t xml:space="preserve">Partial </t>
  </si>
  <si>
    <t>Partial</t>
  </si>
  <si>
    <t>Adder</t>
  </si>
  <si>
    <t>Total</t>
  </si>
  <si>
    <t>Check</t>
  </si>
  <si>
    <t>Industry Average Growth</t>
  </si>
  <si>
    <t>PG&amp;E is excluded from 2017 and 2018 average calculations due to their Dividend Suspension.</t>
  </si>
  <si>
    <t>Indsutry Average Growth</t>
  </si>
  <si>
    <t>October 12, 2018.</t>
  </si>
  <si>
    <t>EVRG</t>
  </si>
  <si>
    <t>Evergy, Inc.</t>
  </si>
  <si>
    <t xml:space="preserve">Evergy, Inc. </t>
  </si>
  <si>
    <t xml:space="preserve">  2018 data through September 2018.</t>
  </si>
  <si>
    <r>
      <t>20-Yr Treasury Yields</t>
    </r>
    <r>
      <rPr>
        <vertAlign val="superscript"/>
        <sz val="11"/>
        <color theme="1"/>
        <rFont val="Arial"/>
        <family val="2"/>
      </rPr>
      <t>3</t>
    </r>
  </si>
  <si>
    <r>
      <t>20-Yr TIPS</t>
    </r>
    <r>
      <rPr>
        <vertAlign val="superscript"/>
        <sz val="11"/>
        <color theme="1"/>
        <rFont val="Arial"/>
        <family val="2"/>
      </rPr>
      <t>3</t>
    </r>
  </si>
  <si>
    <r>
      <t>Implied Inflation</t>
    </r>
    <r>
      <rPr>
        <vertAlign val="superscript"/>
        <sz val="11"/>
        <color theme="1"/>
        <rFont val="Arial"/>
        <family val="2"/>
      </rPr>
      <t>b</t>
    </r>
  </si>
  <si>
    <r>
      <t>Real Dividend Yield</t>
    </r>
    <r>
      <rPr>
        <b/>
        <vertAlign val="superscript"/>
        <sz val="11"/>
        <color theme="1"/>
        <rFont val="Arial"/>
        <family val="2"/>
      </rPr>
      <t>c</t>
    </r>
  </si>
  <si>
    <t>Line 16 = (1  + Line 14) / (1 + Line 15) - 1.</t>
  </si>
  <si>
    <t>d</t>
  </si>
  <si>
    <t>e</t>
  </si>
  <si>
    <t>Line 17 = (1 + Line 12) / (1 +Line 16) - 1.</t>
  </si>
  <si>
    <r>
      <t>Nominal</t>
    </r>
    <r>
      <rPr>
        <b/>
        <vertAlign val="superscript"/>
        <sz val="11"/>
        <color theme="1"/>
        <rFont val="Arial"/>
        <family val="2"/>
      </rPr>
      <t>d</t>
    </r>
  </si>
  <si>
    <r>
      <t>Real</t>
    </r>
    <r>
      <rPr>
        <b/>
        <vertAlign val="superscript"/>
        <sz val="11"/>
        <color theme="1"/>
        <rFont val="Arial"/>
        <family val="2"/>
      </rPr>
      <t>e</t>
    </r>
  </si>
  <si>
    <r>
      <t>Nominal</t>
    </r>
    <r>
      <rPr>
        <b/>
        <vertAlign val="superscript"/>
        <sz val="11"/>
        <color theme="1"/>
        <rFont val="Arial"/>
        <family val="2"/>
      </rPr>
      <t>f</t>
    </r>
  </si>
  <si>
    <r>
      <t>Real</t>
    </r>
    <r>
      <rPr>
        <b/>
        <vertAlign val="superscript"/>
        <sz val="11"/>
        <color theme="1"/>
        <rFont val="Arial"/>
        <family val="2"/>
      </rPr>
      <t>g</t>
    </r>
  </si>
  <si>
    <t>f</t>
  </si>
  <si>
    <t>g</t>
  </si>
  <si>
    <t>The spread being measured here is the nominal 20-Year Treasury yield over the average nominal utility dividend yield; (Line 14 - Line 12).</t>
  </si>
  <si>
    <t>The spread being measured here is the real 20-Year TIPS yield over the average real utility dividend yield; Line 15 - Line 17)</t>
  </si>
  <si>
    <t>The spread being measured here is the real A-rated utility bond yield over the average real utility dividend yield; Line 19 - Line 17)</t>
  </si>
  <si>
    <t>Spreads (Treasury Bond - Stock)</t>
  </si>
  <si>
    <t>Spreads (Utility Bond - Stock)</t>
  </si>
  <si>
    <t>Utility</t>
  </si>
  <si>
    <r>
      <t>Nominal "A" Rated Yield</t>
    </r>
    <r>
      <rPr>
        <b/>
        <vertAlign val="superscript"/>
        <sz val="11"/>
        <color theme="1"/>
        <rFont val="Arial"/>
        <family val="2"/>
      </rPr>
      <t>4</t>
    </r>
  </si>
  <si>
    <r>
      <t>Real "A" Rated Yield</t>
    </r>
    <r>
      <rPr>
        <sz val="11"/>
        <color theme="1"/>
        <rFont val="Arial"/>
        <family val="2"/>
      </rPr>
      <t/>
    </r>
  </si>
  <si>
    <t>The spread being measured here is the nominal A-rated utility bond yield over the average nominal utility dividend yield; (Line 18 - Line 12).</t>
  </si>
  <si>
    <t>November 30, 2018.</t>
  </si>
  <si>
    <t>1953-04-01 to 2018-11-01</t>
  </si>
  <si>
    <t>2004-07-01 to 2018-11-01</t>
  </si>
  <si>
    <t>Indiana-American Water Company, Inc.</t>
  </si>
  <si>
    <t>October 26, November 16, and December 14, 2018.</t>
  </si>
  <si>
    <t>1993-10-01 to 2018-12-14</t>
  </si>
  <si>
    <t>2004-07-27 to 2018-12-14</t>
  </si>
  <si>
    <t>2004-07-30 to 2018-12-14</t>
  </si>
  <si>
    <t>Enter Utility Name</t>
  </si>
  <si>
    <t>Nominal "A" Rated Yield</t>
  </si>
  <si>
    <t>Real "A" Rated Yield</t>
  </si>
  <si>
    <t>Louisville Gas and Electric Company</t>
  </si>
  <si>
    <t>Kentucky Utilities Company</t>
  </si>
  <si>
    <t>The Value Line Investment Survey, October 26, November 16,</t>
  </si>
  <si>
    <t xml:space="preserve"> and December 14, 2018.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</si>
</sst>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5" formatCode="&quot;$&quot;#,##0_);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_);\(0\)"/>
    <numFmt numFmtId="165" formatCode="0.000"/>
    <numFmt numFmtId="166" formatCode="[$-409]mmm\ d\,\ yyyy;@"/>
    <numFmt numFmtId="167" formatCode="0.0"/>
    <numFmt numFmtId="168" formatCode="?0.00"/>
    <numFmt numFmtId="169" formatCode="0.000000"/>
    <numFmt numFmtId="170" formatCode="_([$€-2]* #,##0.00_);_([$€-2]* \(#,##0.00\);_([$€-2]* &quot;-&quot;??_)"/>
    <numFmt numFmtId="171" formatCode="0.0000"/>
    <numFmt numFmtId="172" formatCode="0.0%"/>
    <numFmt numFmtId="173" formatCode="0.00&quot;x&quot;"/>
    <numFmt numFmtId="174" formatCode="[$-409]mmmm\ d\,\ yyyy;@"/>
    <numFmt numFmtId="175" formatCode="mm/dd/yy"/>
    <numFmt numFmtId="176" formatCode="mm/dd/yy;@"/>
    <numFmt numFmtId="177" formatCode="mm/dd/yyyy"/>
    <numFmt numFmtId="178" formatCode="?0"/>
  </numFmts>
  <fonts count="114" x14ac:knownFonts="1">
    <font>
      <sz val="11"/>
      <color theme="1"/>
      <name val="Arial"/>
      <family val="2"/>
    </font>
    <font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006100"/>
      <name val="Arial"/>
      <family val="2"/>
    </font>
    <font>
      <sz val="11"/>
      <color rgb="FF9C0006"/>
      <name val="Arial"/>
      <family val="2"/>
    </font>
    <font>
      <sz val="11"/>
      <color rgb="FF9C6500"/>
      <name val="Arial"/>
      <family val="2"/>
    </font>
    <font>
      <sz val="11"/>
      <color rgb="FF3F3F76"/>
      <name val="Arial"/>
      <family val="2"/>
    </font>
    <font>
      <b/>
      <sz val="11"/>
      <color rgb="FF3F3F3F"/>
      <name val="Arial"/>
      <family val="2"/>
    </font>
    <font>
      <b/>
      <sz val="11"/>
      <color rgb="FFFA7D00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sz val="11"/>
      <color rgb="FFFF0000"/>
      <name val="Arial"/>
      <family val="2"/>
    </font>
    <font>
      <i/>
      <sz val="11"/>
      <color rgb="FF7F7F7F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vertAlign val="superscript"/>
      <sz val="11"/>
      <name val="Arial"/>
      <family val="2"/>
    </font>
    <font>
      <b/>
      <u/>
      <sz val="11"/>
      <name val="Arial"/>
      <family val="2"/>
    </font>
    <font>
      <b/>
      <u/>
      <vertAlign val="superscript"/>
      <sz val="11"/>
      <name val="Arial"/>
      <family val="2"/>
    </font>
    <font>
      <b/>
      <u/>
      <sz val="11"/>
      <color theme="0"/>
      <name val="Arial"/>
      <family val="2"/>
    </font>
    <font>
      <vertAlign val="superscript"/>
      <sz val="11"/>
      <color theme="1"/>
      <name val="Arial"/>
      <family val="2"/>
    </font>
    <font>
      <b/>
      <u/>
      <sz val="11"/>
      <color theme="1"/>
      <name val="Arial"/>
      <family val="2"/>
    </font>
    <font>
      <sz val="11"/>
      <color theme="0" tint="-0.249977111117893"/>
      <name val="Arial"/>
      <family val="2"/>
    </font>
    <font>
      <sz val="11"/>
      <color rgb="FF0000FF"/>
      <name val="Arial"/>
      <family val="2"/>
    </font>
    <font>
      <sz val="8"/>
      <color theme="1"/>
      <name val="Arial"/>
      <family val="2"/>
    </font>
    <font>
      <sz val="11"/>
      <color theme="0" tint="-0.499984740745262"/>
      <name val="Arial"/>
      <family val="2"/>
    </font>
    <font>
      <sz val="8"/>
      <color theme="0" tint="-0.249977111117893"/>
      <name val="Arial"/>
      <family val="2"/>
    </font>
    <font>
      <sz val="8"/>
      <color theme="0" tint="-0.499984740745262"/>
      <name val="Arial"/>
      <family val="2"/>
    </font>
    <font>
      <b/>
      <sz val="16"/>
      <name val="Arial"/>
      <family val="2"/>
    </font>
    <font>
      <b/>
      <sz val="22"/>
      <name val="Arial"/>
      <family val="2"/>
    </font>
    <font>
      <b/>
      <u/>
      <sz val="14"/>
      <name val="Arial"/>
      <family val="2"/>
    </font>
    <font>
      <sz val="8"/>
      <name val="Arial"/>
      <family val="2"/>
    </font>
    <font>
      <b/>
      <sz val="8"/>
      <color theme="1"/>
      <name val="Arial"/>
      <family val="2"/>
    </font>
    <font>
      <u/>
      <sz val="8"/>
      <color theme="1"/>
      <name val="Arial"/>
      <family val="2"/>
    </font>
    <font>
      <sz val="11"/>
      <color indexed="8"/>
      <name val="Calibri"/>
      <family val="2"/>
    </font>
    <font>
      <sz val="9"/>
      <color indexed="8"/>
      <name val="Arial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sz val="12"/>
      <name val="Arial"/>
      <family val="2"/>
    </font>
    <font>
      <sz val="10"/>
      <color indexed="20"/>
      <name val="Arial"/>
      <family val="2"/>
    </font>
    <font>
      <sz val="9"/>
      <color indexed="8"/>
      <name val="Calibri"/>
      <family val="2"/>
    </font>
    <font>
      <b/>
      <sz val="11"/>
      <name val="Calibri"/>
      <family val="2"/>
    </font>
    <font>
      <sz val="11"/>
      <name val="Calibri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1"/>
      <color theme="1"/>
      <name val="Calibri"/>
      <family val="2"/>
      <scheme val="minor"/>
    </font>
    <font>
      <sz val="8"/>
      <name val="Helv"/>
    </font>
    <font>
      <sz val="10"/>
      <name val="MS Serif"/>
      <family val="1"/>
    </font>
    <font>
      <i/>
      <sz val="10"/>
      <color indexed="23"/>
      <name val="Arial"/>
      <family val="2"/>
    </font>
    <font>
      <sz val="18"/>
      <name val="Arial"/>
      <family val="2"/>
    </font>
    <font>
      <i/>
      <sz val="12"/>
      <name val="Arial"/>
      <family val="2"/>
    </font>
    <font>
      <sz val="12"/>
      <name val="Times New Roman"/>
      <family val="1"/>
    </font>
    <font>
      <sz val="18"/>
      <name val="Times New Roman"/>
      <family val="1"/>
    </font>
    <font>
      <sz val="8"/>
      <name val="Times New Roman"/>
      <family val="1"/>
    </font>
    <font>
      <i/>
      <sz val="12"/>
      <name val="Times New Roman"/>
      <family val="1"/>
    </font>
    <font>
      <sz val="10"/>
      <color indexed="17"/>
      <name val="Arial"/>
      <family val="2"/>
    </font>
    <font>
      <b/>
      <sz val="9"/>
      <color indexed="8"/>
      <name val="Calibri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0"/>
      <color indexed="62"/>
      <name val="Arial"/>
      <family val="2"/>
    </font>
    <font>
      <sz val="10"/>
      <color indexed="52"/>
      <name val="Arial"/>
      <family val="2"/>
    </font>
    <font>
      <sz val="10"/>
      <color indexed="60"/>
      <name val="Arial"/>
      <family val="2"/>
    </font>
    <font>
      <b/>
      <sz val="8"/>
      <color indexed="9"/>
      <name val="Calibri"/>
      <family val="2"/>
    </font>
    <font>
      <sz val="12"/>
      <name val="Helv"/>
    </font>
    <font>
      <sz val="12"/>
      <name val="Verdana"/>
      <family val="2"/>
    </font>
    <font>
      <sz val="11"/>
      <color indexed="8"/>
      <name val="Arial"/>
      <family val="2"/>
    </font>
    <font>
      <sz val="10"/>
      <color theme="1"/>
      <name val="Arial"/>
      <family val="2"/>
    </font>
    <font>
      <b/>
      <sz val="10"/>
      <color indexed="63"/>
      <name val="Arial"/>
      <family val="2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sz val="10"/>
      <name val="MS Sans Serif"/>
      <family val="2"/>
    </font>
    <font>
      <b/>
      <sz val="10"/>
      <name val="MS Sans Serif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0"/>
      <color indexed="10"/>
      <name val="Arial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i/>
      <sz val="8"/>
      <color indexed="9"/>
      <name val="Arial"/>
      <family val="2"/>
    </font>
    <font>
      <b/>
      <sz val="8"/>
      <name val="Arial"/>
      <family val="2"/>
    </font>
    <font>
      <b/>
      <i/>
      <sz val="10"/>
      <color indexed="63"/>
      <name val="Arial"/>
      <family val="2"/>
    </font>
    <font>
      <sz val="10"/>
      <color indexed="8"/>
      <name val="Times New Roman"/>
      <family val="1"/>
    </font>
    <font>
      <b/>
      <sz val="12"/>
      <color indexed="8"/>
      <name val="Tahoma"/>
      <family val="2"/>
    </font>
    <font>
      <b/>
      <sz val="10"/>
      <color indexed="8"/>
      <name val="Times New Roman"/>
      <family val="1"/>
    </font>
    <font>
      <b/>
      <sz val="12"/>
      <color indexed="30"/>
      <name val="Calibri"/>
      <family val="2"/>
    </font>
    <font>
      <sz val="14"/>
      <color indexed="13"/>
      <name val="Helv"/>
    </font>
    <font>
      <b/>
      <sz val="18"/>
      <color indexed="56"/>
      <name val="Cambria"/>
      <family val="2"/>
    </font>
    <font>
      <b/>
      <sz val="9"/>
      <name val="Helv"/>
    </font>
    <font>
      <sz val="11"/>
      <color indexed="81"/>
      <name val="Tahoma"/>
      <family val="2"/>
    </font>
    <font>
      <b/>
      <sz val="11"/>
      <color indexed="81"/>
      <name val="Tahoma"/>
      <family val="2"/>
    </font>
    <font>
      <b/>
      <vertAlign val="superscript"/>
      <sz val="11"/>
      <color theme="1"/>
      <name val="Arial"/>
      <family val="2"/>
    </font>
    <font>
      <sz val="8"/>
      <color theme="0" tint="-0.34998626667073579"/>
      <name val="Arial"/>
      <family val="2"/>
    </font>
    <font>
      <b/>
      <sz val="20"/>
      <name val="Arial"/>
      <family val="2"/>
    </font>
    <font>
      <b/>
      <u/>
      <sz val="16"/>
      <name val="Arial"/>
      <family val="2"/>
    </font>
    <font>
      <sz val="11"/>
      <color theme="0" tint="-0.34998626667073579"/>
      <name val="Arial"/>
      <family val="2"/>
    </font>
    <font>
      <vertAlign val="superscript"/>
      <sz val="11"/>
      <name val="Arial"/>
      <family val="2"/>
    </font>
    <font>
      <u/>
      <sz val="11"/>
      <color theme="10"/>
      <name val="Arial"/>
      <family val="2"/>
    </font>
  </fonts>
  <fills count="7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</patternFill>
    </fill>
    <fill>
      <patternFill patternType="solid">
        <fgColor indexed="8"/>
        <bgColor indexed="64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mediumGray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63"/>
        <bgColor indexed="64"/>
      </patternFill>
    </fill>
    <fill>
      <patternFill patternType="solid">
        <fgColor indexed="12"/>
      </patternFill>
    </fill>
    <fill>
      <patternFill patternType="solid">
        <fgColor theme="0" tint="-0.249977111117893"/>
        <bgColor indexed="64"/>
      </patternFill>
    </fill>
  </fills>
  <borders count="3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ashed">
        <color indexed="55"/>
      </bottom>
      <diagonal/>
    </border>
    <border>
      <left/>
      <right/>
      <top/>
      <bottom style="dashed">
        <color rgb="FFBFBFBF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rgb="FF0096D7"/>
      </top>
      <bottom/>
      <diagonal/>
    </border>
    <border>
      <left/>
      <right/>
      <top/>
      <bottom style="thick">
        <color rgb="FF0096D7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rgb="FFBFBFBF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/>
      <bottom style="medium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16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8" fillId="0" borderId="0"/>
    <xf numFmtId="9" fontId="1" fillId="0" borderId="0" applyFont="0" applyFill="0" applyBorder="0" applyAlignment="0" applyProtection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7" fontId="18" fillId="0" borderId="0">
      <alignment horizontal="left" wrapText="1"/>
    </xf>
    <xf numFmtId="167" fontId="18" fillId="0" borderId="0">
      <alignment horizontal="left" wrapText="1"/>
    </xf>
    <xf numFmtId="167" fontId="18" fillId="0" borderId="0">
      <alignment horizontal="left" wrapText="1"/>
    </xf>
    <xf numFmtId="167" fontId="18" fillId="0" borderId="0">
      <alignment horizontal="left" wrapText="1"/>
    </xf>
    <xf numFmtId="167" fontId="18" fillId="0" borderId="0">
      <alignment horizontal="left" wrapText="1"/>
    </xf>
    <xf numFmtId="167" fontId="18" fillId="0" borderId="0">
      <alignment horizontal="left" wrapText="1"/>
    </xf>
    <xf numFmtId="167" fontId="18" fillId="0" borderId="0">
      <alignment horizontal="left" wrapText="1"/>
    </xf>
    <xf numFmtId="167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7" fontId="18" fillId="0" borderId="0">
      <alignment horizontal="left" wrapText="1"/>
    </xf>
    <xf numFmtId="167" fontId="18" fillId="0" borderId="0">
      <alignment horizontal="left" wrapText="1"/>
    </xf>
    <xf numFmtId="167" fontId="18" fillId="0" borderId="0">
      <alignment horizontal="left" wrapText="1"/>
    </xf>
    <xf numFmtId="167" fontId="18" fillId="0" borderId="0">
      <alignment horizontal="left" wrapText="1"/>
    </xf>
    <xf numFmtId="167" fontId="18" fillId="0" borderId="0">
      <alignment horizontal="left" wrapText="1"/>
    </xf>
    <xf numFmtId="167" fontId="18" fillId="0" borderId="0">
      <alignment horizontal="left" wrapText="1"/>
    </xf>
    <xf numFmtId="167" fontId="18" fillId="0" borderId="0">
      <alignment horizontal="left" wrapText="1"/>
    </xf>
    <xf numFmtId="167" fontId="18" fillId="0" borderId="0">
      <alignment horizontal="left" wrapText="1"/>
    </xf>
    <xf numFmtId="167" fontId="18" fillId="0" borderId="0">
      <alignment horizontal="left" wrapText="1"/>
    </xf>
    <xf numFmtId="167" fontId="18" fillId="0" borderId="0">
      <alignment horizontal="left" wrapText="1"/>
    </xf>
    <xf numFmtId="167" fontId="18" fillId="0" borderId="0">
      <alignment horizontal="left" wrapText="1"/>
    </xf>
    <xf numFmtId="167" fontId="18" fillId="0" borderId="0">
      <alignment horizontal="left" wrapText="1"/>
    </xf>
    <xf numFmtId="167" fontId="18" fillId="0" borderId="0">
      <alignment horizontal="left" wrapText="1"/>
    </xf>
    <xf numFmtId="167" fontId="18" fillId="0" borderId="0">
      <alignment horizontal="left" wrapText="1"/>
    </xf>
    <xf numFmtId="167" fontId="18" fillId="0" borderId="0">
      <alignment horizontal="left" wrapText="1"/>
    </xf>
    <xf numFmtId="167" fontId="18" fillId="0" borderId="0">
      <alignment horizontal="left" wrapText="1"/>
    </xf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40" fillId="35" borderId="0" applyNumberFormat="0" applyBorder="0" applyAlignment="0" applyProtection="0"/>
    <xf numFmtId="0" fontId="39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39" fillId="35" borderId="0" applyNumberFormat="0" applyBorder="0" applyAlignment="0" applyProtection="0"/>
    <xf numFmtId="0" fontId="41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40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40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41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40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41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41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41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40" fillId="36" borderId="0" applyNumberFormat="0" applyBorder="0" applyAlignment="0" applyProtection="0"/>
    <xf numFmtId="0" fontId="39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39" fillId="36" borderId="0" applyNumberFormat="0" applyBorder="0" applyAlignment="0" applyProtection="0"/>
    <xf numFmtId="0" fontId="41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40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40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41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40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41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41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41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40" fillId="37" borderId="0" applyNumberFormat="0" applyBorder="0" applyAlignment="0" applyProtection="0"/>
    <xf numFmtId="0" fontId="39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39" fillId="37" borderId="0" applyNumberFormat="0" applyBorder="0" applyAlignment="0" applyProtection="0"/>
    <xf numFmtId="0" fontId="41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40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40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41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40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41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41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41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40" fillId="38" borderId="0" applyNumberFormat="0" applyBorder="0" applyAlignment="0" applyProtection="0"/>
    <xf numFmtId="0" fontId="39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39" fillId="38" borderId="0" applyNumberFormat="0" applyBorder="0" applyAlignment="0" applyProtection="0"/>
    <xf numFmtId="0" fontId="41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40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40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41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40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41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41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41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40" fillId="39" borderId="0" applyNumberFormat="0" applyBorder="0" applyAlignment="0" applyProtection="0"/>
    <xf numFmtId="0" fontId="39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39" fillId="39" borderId="0" applyNumberFormat="0" applyBorder="0" applyAlignment="0" applyProtection="0"/>
    <xf numFmtId="0" fontId="41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40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40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41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40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41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41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41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40" fillId="40" borderId="0" applyNumberFormat="0" applyBorder="0" applyAlignment="0" applyProtection="0"/>
    <xf numFmtId="0" fontId="39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39" fillId="40" borderId="0" applyNumberFormat="0" applyBorder="0" applyAlignment="0" applyProtection="0"/>
    <xf numFmtId="0" fontId="41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40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40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41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40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41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41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41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40" fillId="41" borderId="0" applyNumberFormat="0" applyBorder="0" applyAlignment="0" applyProtection="0"/>
    <xf numFmtId="0" fontId="39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1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40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40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41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40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41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41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41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2" fillId="45" borderId="0" applyNumberFormat="0" applyBorder="0" applyAlignment="0" applyProtection="0"/>
    <xf numFmtId="0" fontId="42" fillId="45" borderId="0" applyNumberFormat="0" applyBorder="0" applyAlignment="0" applyProtection="0"/>
    <xf numFmtId="0" fontId="42" fillId="45" borderId="0" applyNumberFormat="0" applyBorder="0" applyAlignment="0" applyProtection="0"/>
    <xf numFmtId="0" fontId="42" fillId="45" borderId="0" applyNumberFormat="0" applyBorder="0" applyAlignment="0" applyProtection="0"/>
    <xf numFmtId="0" fontId="42" fillId="45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3" fillId="0" borderId="0">
      <alignment horizontal="center"/>
    </xf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45" fillId="0" borderId="12" applyNumberFormat="0" applyFont="0" applyProtection="0">
      <alignment wrapText="1"/>
    </xf>
    <xf numFmtId="0" fontId="45" fillId="0" borderId="13" applyNumberFormat="0" applyFont="0" applyProtection="0">
      <alignment wrapText="1"/>
    </xf>
    <xf numFmtId="49" fontId="46" fillId="0" borderId="0"/>
    <xf numFmtId="2" fontId="47" fillId="0" borderId="0"/>
    <xf numFmtId="0" fontId="48" fillId="53" borderId="14" applyNumberFormat="0" applyAlignment="0" applyProtection="0"/>
    <xf numFmtId="0" fontId="48" fillId="53" borderId="14" applyNumberFormat="0" applyAlignment="0" applyProtection="0"/>
    <xf numFmtId="0" fontId="48" fillId="53" borderId="14" applyNumberFormat="0" applyAlignment="0" applyProtection="0"/>
    <xf numFmtId="0" fontId="48" fillId="53" borderId="14" applyNumberFormat="0" applyAlignment="0" applyProtection="0"/>
    <xf numFmtId="0" fontId="48" fillId="53" borderId="14" applyNumberFormat="0" applyAlignment="0" applyProtection="0"/>
    <xf numFmtId="0" fontId="48" fillId="53" borderId="14" applyNumberFormat="0" applyAlignment="0" applyProtection="0"/>
    <xf numFmtId="0" fontId="48" fillId="53" borderId="14" applyNumberFormat="0" applyAlignment="0" applyProtection="0"/>
    <xf numFmtId="0" fontId="48" fillId="53" borderId="14" applyNumberFormat="0" applyAlignment="0" applyProtection="0"/>
    <xf numFmtId="0" fontId="48" fillId="53" borderId="14" applyNumberFormat="0" applyAlignment="0" applyProtection="0"/>
    <xf numFmtId="0" fontId="48" fillId="53" borderId="14" applyNumberFormat="0" applyAlignment="0" applyProtection="0"/>
    <xf numFmtId="0" fontId="48" fillId="53" borderId="14" applyNumberFormat="0" applyAlignment="0" applyProtection="0"/>
    <xf numFmtId="0" fontId="48" fillId="53" borderId="14" applyNumberFormat="0" applyAlignment="0" applyProtection="0"/>
    <xf numFmtId="0" fontId="48" fillId="53" borderId="14" applyNumberFormat="0" applyAlignment="0" applyProtection="0"/>
    <xf numFmtId="0" fontId="48" fillId="53" borderId="14" applyNumberFormat="0" applyAlignment="0" applyProtection="0"/>
    <xf numFmtId="0" fontId="48" fillId="53" borderId="14" applyNumberFormat="0" applyAlignment="0" applyProtection="0"/>
    <xf numFmtId="0" fontId="49" fillId="54" borderId="15" applyNumberFormat="0" applyAlignment="0" applyProtection="0"/>
    <xf numFmtId="0" fontId="49" fillId="54" borderId="15" applyNumberFormat="0" applyAlignment="0" applyProtection="0"/>
    <xf numFmtId="0" fontId="49" fillId="54" borderId="15" applyNumberFormat="0" applyAlignment="0" applyProtection="0"/>
    <xf numFmtId="0" fontId="49" fillId="54" borderId="15" applyNumberFormat="0" applyAlignment="0" applyProtection="0"/>
    <xf numFmtId="0" fontId="49" fillId="54" borderId="15" applyNumberFormat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9" fillId="0" borderId="0" applyFont="0" applyFill="0" applyBorder="0" applyAlignment="0" applyProtection="0"/>
    <xf numFmtId="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5" fontId="18" fillId="0" borderId="0" applyFont="0" applyFill="0" applyBorder="0" applyAlignment="0" applyProtection="0"/>
    <xf numFmtId="0" fontId="51" fillId="0" borderId="0"/>
    <xf numFmtId="0" fontId="51" fillId="0" borderId="16"/>
    <xf numFmtId="0" fontId="51" fillId="0" borderId="16"/>
    <xf numFmtId="0" fontId="43" fillId="0" borderId="0" applyProtection="0"/>
    <xf numFmtId="170" fontId="18" fillId="0" borderId="0" applyFont="0" applyFill="0" applyBorder="0" applyAlignment="0" applyProtection="0"/>
    <xf numFmtId="1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Protection="0"/>
    <xf numFmtId="0" fontId="36" fillId="0" borderId="0" applyProtection="0"/>
    <xf numFmtId="0" fontId="55" fillId="0" borderId="0" applyProtection="0"/>
    <xf numFmtId="0" fontId="56" fillId="0" borderId="0" applyProtection="0"/>
    <xf numFmtId="0" fontId="57" fillId="0" borderId="0" applyProtection="0"/>
    <xf numFmtId="0" fontId="58" fillId="0" borderId="0" applyProtection="0"/>
    <xf numFmtId="0" fontId="59" fillId="0" borderId="0" applyProtection="0"/>
    <xf numFmtId="2" fontId="43" fillId="0" borderId="0" applyProtection="0"/>
    <xf numFmtId="0" fontId="45" fillId="0" borderId="0" applyNumberFormat="0" applyFill="0" applyBorder="0" applyAlignment="0" applyProtection="0"/>
    <xf numFmtId="0" fontId="45" fillId="0" borderId="17" applyNumberFormat="0" applyProtection="0">
      <alignment wrapText="1"/>
    </xf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1" fillId="0" borderId="18" applyNumberFormat="0" applyProtection="0">
      <alignment wrapText="1"/>
    </xf>
    <xf numFmtId="0" fontId="46" fillId="0" borderId="0"/>
    <xf numFmtId="0" fontId="62" fillId="0" borderId="19" applyNumberFormat="0" applyFill="0" applyAlignment="0" applyProtection="0"/>
    <xf numFmtId="0" fontId="62" fillId="0" borderId="19" applyNumberFormat="0" applyFill="0" applyAlignment="0" applyProtection="0"/>
    <xf numFmtId="0" fontId="62" fillId="0" borderId="19" applyNumberFormat="0" applyFill="0" applyAlignment="0" applyProtection="0"/>
    <xf numFmtId="0" fontId="62" fillId="0" borderId="19" applyNumberFormat="0" applyFill="0" applyAlignment="0" applyProtection="0"/>
    <xf numFmtId="0" fontId="62" fillId="0" borderId="19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4" fillId="0" borderId="21" applyNumberFormat="0" applyFill="0" applyAlignment="0" applyProtection="0"/>
    <xf numFmtId="0" fontId="64" fillId="0" borderId="21" applyNumberFormat="0" applyFill="0" applyAlignment="0" applyProtection="0"/>
    <xf numFmtId="0" fontId="64" fillId="0" borderId="21" applyNumberFormat="0" applyFill="0" applyAlignment="0" applyProtection="0"/>
    <xf numFmtId="0" fontId="64" fillId="0" borderId="21" applyNumberFormat="0" applyFill="0" applyAlignment="0" applyProtection="0"/>
    <xf numFmtId="0" fontId="64" fillId="0" borderId="21" applyNumberFormat="0" applyFill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Protection="0"/>
    <xf numFmtId="0" fontId="66" fillId="0" borderId="0" applyProtection="0"/>
    <xf numFmtId="0" fontId="18" fillId="0" borderId="0" applyNumberFormat="0" applyFill="0" applyBorder="0" applyProtection="0">
      <alignment wrapText="1"/>
    </xf>
    <xf numFmtId="0" fontId="67" fillId="55" borderId="0" applyNumberFormat="0" applyBorder="0" applyProtection="0">
      <alignment vertical="top" wrapText="1"/>
    </xf>
    <xf numFmtId="0" fontId="18" fillId="0" borderId="0" applyNumberFormat="0" applyFill="0" applyBorder="0" applyProtection="0">
      <alignment horizontal="justify" vertical="top" wrapText="1"/>
    </xf>
    <xf numFmtId="0" fontId="68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/>
    <xf numFmtId="0" fontId="70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/>
    <xf numFmtId="0" fontId="71" fillId="40" borderId="14" applyNumberFormat="0" applyAlignment="0" applyProtection="0"/>
    <xf numFmtId="0" fontId="71" fillId="40" borderId="14" applyNumberFormat="0" applyAlignment="0" applyProtection="0"/>
    <xf numFmtId="0" fontId="71" fillId="40" borderId="14" applyNumberFormat="0" applyAlignment="0" applyProtection="0"/>
    <xf numFmtId="0" fontId="71" fillId="40" borderId="14" applyNumberFormat="0" applyAlignment="0" applyProtection="0"/>
    <xf numFmtId="0" fontId="71" fillId="40" borderId="14" applyNumberFormat="0" applyAlignment="0" applyProtection="0"/>
    <xf numFmtId="0" fontId="71" fillId="40" borderId="14" applyNumberFormat="0" applyAlignment="0" applyProtection="0"/>
    <xf numFmtId="0" fontId="71" fillId="40" borderId="14" applyNumberFormat="0" applyAlignment="0" applyProtection="0"/>
    <xf numFmtId="0" fontId="71" fillId="40" borderId="14" applyNumberFormat="0" applyAlignment="0" applyProtection="0"/>
    <xf numFmtId="0" fontId="71" fillId="40" borderId="14" applyNumberFormat="0" applyAlignment="0" applyProtection="0"/>
    <xf numFmtId="0" fontId="71" fillId="40" borderId="14" applyNumberFormat="0" applyAlignment="0" applyProtection="0"/>
    <xf numFmtId="0" fontId="71" fillId="40" borderId="14" applyNumberFormat="0" applyAlignment="0" applyProtection="0"/>
    <xf numFmtId="0" fontId="71" fillId="40" borderId="14" applyNumberFormat="0" applyAlignment="0" applyProtection="0"/>
    <xf numFmtId="0" fontId="71" fillId="40" borderId="14" applyNumberFormat="0" applyAlignment="0" applyProtection="0"/>
    <xf numFmtId="0" fontId="71" fillId="40" borderId="14" applyNumberFormat="0" applyAlignment="0" applyProtection="0"/>
    <xf numFmtId="0" fontId="71" fillId="40" borderId="14" applyNumberFormat="0" applyAlignment="0" applyProtection="0"/>
    <xf numFmtId="0" fontId="36" fillId="56" borderId="0"/>
    <xf numFmtId="0" fontId="72" fillId="0" borderId="22" applyNumberFormat="0" applyFill="0" applyAlignment="0" applyProtection="0"/>
    <xf numFmtId="0" fontId="72" fillId="0" borderId="22" applyNumberFormat="0" applyFill="0" applyAlignment="0" applyProtection="0"/>
    <xf numFmtId="0" fontId="72" fillId="0" borderId="22" applyNumberFormat="0" applyFill="0" applyAlignment="0" applyProtection="0"/>
    <xf numFmtId="0" fontId="72" fillId="0" borderId="22" applyNumberFormat="0" applyFill="0" applyAlignment="0" applyProtection="0"/>
    <xf numFmtId="0" fontId="72" fillId="0" borderId="22" applyNumberFormat="0" applyFill="0" applyAlignment="0" applyProtection="0"/>
    <xf numFmtId="0" fontId="73" fillId="57" borderId="0" applyNumberFormat="0" applyBorder="0" applyAlignment="0" applyProtection="0"/>
    <xf numFmtId="0" fontId="73" fillId="57" borderId="0" applyNumberFormat="0" applyBorder="0" applyAlignment="0" applyProtection="0"/>
    <xf numFmtId="0" fontId="73" fillId="57" borderId="0" applyNumberFormat="0" applyBorder="0" applyAlignment="0" applyProtection="0"/>
    <xf numFmtId="0" fontId="73" fillId="57" borderId="0" applyNumberFormat="0" applyBorder="0" applyAlignment="0" applyProtection="0"/>
    <xf numFmtId="0" fontId="73" fillId="57" borderId="0" applyNumberFormat="0" applyBorder="0" applyAlignment="0" applyProtection="0"/>
    <xf numFmtId="0" fontId="74" fillId="58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6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1" fillId="0" borderId="0"/>
    <xf numFmtId="0" fontId="39" fillId="0" borderId="0"/>
    <xf numFmtId="0" fontId="36" fillId="0" borderId="0"/>
    <xf numFmtId="0" fontId="1" fillId="0" borderId="0"/>
    <xf numFmtId="0" fontId="1" fillId="0" borderId="0"/>
    <xf numFmtId="0" fontId="18" fillId="0" borderId="0"/>
    <xf numFmtId="37" fontId="51" fillId="0" borderId="0"/>
    <xf numFmtId="0" fontId="18" fillId="0" borderId="0"/>
    <xf numFmtId="0" fontId="39" fillId="0" borderId="0"/>
    <xf numFmtId="0" fontId="39" fillId="0" borderId="0"/>
    <xf numFmtId="0" fontId="39" fillId="0" borderId="0"/>
    <xf numFmtId="0" fontId="18" fillId="0" borderId="0"/>
    <xf numFmtId="0" fontId="5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8" fillId="0" borderId="0"/>
    <xf numFmtId="0" fontId="1" fillId="0" borderId="0"/>
    <xf numFmtId="0" fontId="18" fillId="0" borderId="0"/>
    <xf numFmtId="0" fontId="50" fillId="0" borderId="0"/>
    <xf numFmtId="0" fontId="50" fillId="0" borderId="0"/>
    <xf numFmtId="0" fontId="50" fillId="0" borderId="0"/>
    <xf numFmtId="0" fontId="18" fillId="0" borderId="0"/>
    <xf numFmtId="0" fontId="18" fillId="0" borderId="0"/>
    <xf numFmtId="0" fontId="50" fillId="0" borderId="0"/>
    <xf numFmtId="0" fontId="50" fillId="0" borderId="0"/>
    <xf numFmtId="0" fontId="5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0" fillId="0" borderId="0"/>
    <xf numFmtId="0" fontId="50" fillId="0" borderId="0"/>
    <xf numFmtId="0" fontId="18" fillId="0" borderId="0"/>
    <xf numFmtId="0" fontId="18" fillId="0" borderId="0"/>
    <xf numFmtId="0" fontId="50" fillId="0" borderId="0"/>
    <xf numFmtId="0" fontId="50" fillId="0" borderId="0"/>
    <xf numFmtId="0" fontId="50" fillId="0" borderId="0"/>
    <xf numFmtId="0" fontId="18" fillId="0" borderId="0"/>
    <xf numFmtId="0" fontId="50" fillId="0" borderId="0"/>
    <xf numFmtId="0" fontId="50" fillId="0" borderId="0"/>
    <xf numFmtId="0" fontId="50" fillId="0" borderId="0"/>
    <xf numFmtId="0" fontId="18" fillId="0" borderId="0"/>
    <xf numFmtId="0" fontId="50" fillId="0" borderId="0"/>
    <xf numFmtId="0" fontId="50" fillId="0" borderId="0"/>
    <xf numFmtId="0" fontId="50" fillId="0" borderId="0"/>
    <xf numFmtId="0" fontId="18" fillId="0" borderId="0"/>
    <xf numFmtId="0" fontId="50" fillId="0" borderId="0"/>
    <xf numFmtId="0" fontId="18" fillId="0" borderId="0"/>
    <xf numFmtId="0" fontId="39" fillId="0" borderId="0"/>
    <xf numFmtId="0" fontId="45" fillId="0" borderId="0"/>
    <xf numFmtId="0" fontId="18" fillId="0" borderId="0"/>
    <xf numFmtId="0" fontId="18" fillId="0" borderId="0"/>
    <xf numFmtId="0" fontId="18" fillId="0" borderId="0"/>
    <xf numFmtId="0" fontId="47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50" fillId="0" borderId="0"/>
    <xf numFmtId="0" fontId="18" fillId="0" borderId="0"/>
    <xf numFmtId="0" fontId="18" fillId="0" borderId="0"/>
    <xf numFmtId="0" fontId="50" fillId="0" borderId="0"/>
    <xf numFmtId="0" fontId="18" fillId="0" borderId="0"/>
    <xf numFmtId="0" fontId="18" fillId="0" borderId="0"/>
    <xf numFmtId="0" fontId="18" fillId="0" borderId="0"/>
    <xf numFmtId="0" fontId="43" fillId="0" borderId="0"/>
    <xf numFmtId="0" fontId="18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39" fillId="0" borderId="0"/>
    <xf numFmtId="0" fontId="1" fillId="0" borderId="0"/>
    <xf numFmtId="0" fontId="50" fillId="0" borderId="0"/>
    <xf numFmtId="0" fontId="50" fillId="0" borderId="0"/>
    <xf numFmtId="0" fontId="50" fillId="0" borderId="0"/>
    <xf numFmtId="0" fontId="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8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77" fillId="0" borderId="0"/>
    <xf numFmtId="0" fontId="18" fillId="0" borderId="0"/>
    <xf numFmtId="0" fontId="50" fillId="0" borderId="0"/>
    <xf numFmtId="0" fontId="18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8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8" fillId="0" borderId="0"/>
    <xf numFmtId="0" fontId="50" fillId="0" borderId="0"/>
    <xf numFmtId="0" fontId="50" fillId="0" borderId="0"/>
    <xf numFmtId="0" fontId="50" fillId="0" borderId="0"/>
    <xf numFmtId="0" fontId="18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43" fillId="0" borderId="0">
      <alignment vertical="top"/>
    </xf>
    <xf numFmtId="0" fontId="18" fillId="0" borderId="0"/>
    <xf numFmtId="0" fontId="18" fillId="0" borderId="0"/>
    <xf numFmtId="0" fontId="43" fillId="0" borderId="0"/>
    <xf numFmtId="0" fontId="43" fillId="0" borderId="0"/>
    <xf numFmtId="0" fontId="4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41" fillId="0" borderId="0"/>
    <xf numFmtId="0" fontId="50" fillId="0" borderId="0"/>
    <xf numFmtId="0" fontId="50" fillId="0" borderId="0"/>
    <xf numFmtId="0" fontId="50" fillId="0" borderId="0"/>
    <xf numFmtId="0" fontId="41" fillId="0" borderId="0"/>
    <xf numFmtId="0" fontId="50" fillId="0" borderId="0"/>
    <xf numFmtId="0" fontId="50" fillId="0" borderId="0"/>
    <xf numFmtId="0" fontId="50" fillId="0" borderId="0"/>
    <xf numFmtId="0" fontId="41" fillId="0" borderId="0"/>
    <xf numFmtId="0" fontId="50" fillId="0" borderId="0"/>
    <xf numFmtId="0" fontId="50" fillId="0" borderId="0"/>
    <xf numFmtId="0" fontId="50" fillId="0" borderId="0"/>
    <xf numFmtId="0" fontId="18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43" fillId="0" borderId="0"/>
    <xf numFmtId="0" fontId="78" fillId="0" borderId="0"/>
    <xf numFmtId="0" fontId="1" fillId="0" borderId="0"/>
    <xf numFmtId="0" fontId="50" fillId="0" borderId="0"/>
    <xf numFmtId="0" fontId="50" fillId="0" borderId="0"/>
    <xf numFmtId="0" fontId="50" fillId="0" borderId="0"/>
    <xf numFmtId="0" fontId="18" fillId="0" borderId="0"/>
    <xf numFmtId="0" fontId="50" fillId="0" borderId="0"/>
    <xf numFmtId="0" fontId="50" fillId="0" borderId="0"/>
    <xf numFmtId="0" fontId="50" fillId="0" borderId="0"/>
    <xf numFmtId="0" fontId="18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8" fillId="0" borderId="0"/>
    <xf numFmtId="0" fontId="18" fillId="0" borderId="0">
      <alignment vertical="top"/>
    </xf>
    <xf numFmtId="0" fontId="47" fillId="0" borderId="0"/>
    <xf numFmtId="0" fontId="43" fillId="0" borderId="0"/>
    <xf numFmtId="0" fontId="43" fillId="0" borderId="0"/>
    <xf numFmtId="0" fontId="43" fillId="0" borderId="0"/>
    <xf numFmtId="0" fontId="39" fillId="0" borderId="0"/>
    <xf numFmtId="0" fontId="18" fillId="59" borderId="23" applyNumberFormat="0" applyFont="0" applyAlignment="0" applyProtection="0"/>
    <xf numFmtId="0" fontId="18" fillId="59" borderId="23" applyNumberFormat="0" applyFont="0" applyAlignment="0" applyProtection="0"/>
    <xf numFmtId="0" fontId="18" fillId="59" borderId="23" applyNumberFormat="0" applyFont="0" applyAlignment="0" applyProtection="0"/>
    <xf numFmtId="0" fontId="18" fillId="59" borderId="23" applyNumberFormat="0" applyFont="0" applyAlignment="0" applyProtection="0"/>
    <xf numFmtId="0" fontId="18" fillId="59" borderId="23" applyNumberFormat="0" applyFont="0" applyAlignment="0" applyProtection="0"/>
    <xf numFmtId="0" fontId="18" fillId="59" borderId="23" applyNumberFormat="0" applyFont="0" applyAlignment="0" applyProtection="0"/>
    <xf numFmtId="0" fontId="18" fillId="59" borderId="23" applyNumberFormat="0" applyFont="0" applyAlignment="0" applyProtection="0"/>
    <xf numFmtId="0" fontId="18" fillId="59" borderId="23" applyNumberFormat="0" applyFont="0" applyAlignment="0" applyProtection="0"/>
    <xf numFmtId="0" fontId="18" fillId="59" borderId="23" applyNumberFormat="0" applyFont="0" applyAlignment="0" applyProtection="0"/>
    <xf numFmtId="0" fontId="18" fillId="59" borderId="23" applyNumberFormat="0" applyFont="0" applyAlignment="0" applyProtection="0"/>
    <xf numFmtId="0" fontId="18" fillId="59" borderId="23" applyNumberFormat="0" applyFont="0" applyAlignment="0" applyProtection="0"/>
    <xf numFmtId="0" fontId="18" fillId="59" borderId="23" applyNumberFormat="0" applyFont="0" applyAlignment="0" applyProtection="0"/>
    <xf numFmtId="0" fontId="18" fillId="59" borderId="23" applyNumberFormat="0" applyFont="0" applyAlignment="0" applyProtection="0"/>
    <xf numFmtId="0" fontId="18" fillId="59" borderId="23" applyNumberFormat="0" applyFont="0" applyAlignment="0" applyProtection="0"/>
    <xf numFmtId="0" fontId="18" fillId="59" borderId="23" applyNumberFormat="0" applyFont="0" applyAlignment="0" applyProtection="0"/>
    <xf numFmtId="0" fontId="79" fillId="53" borderId="24" applyNumberFormat="0" applyAlignment="0" applyProtection="0"/>
    <xf numFmtId="0" fontId="79" fillId="53" borderId="24" applyNumberFormat="0" applyAlignment="0" applyProtection="0"/>
    <xf numFmtId="0" fontId="79" fillId="53" borderId="24" applyNumberFormat="0" applyAlignment="0" applyProtection="0"/>
    <xf numFmtId="0" fontId="79" fillId="53" borderId="24" applyNumberFormat="0" applyAlignment="0" applyProtection="0"/>
    <xf numFmtId="0" fontId="79" fillId="53" borderId="24" applyNumberFormat="0" applyAlignment="0" applyProtection="0"/>
    <xf numFmtId="0" fontId="79" fillId="53" borderId="24" applyNumberFormat="0" applyAlignment="0" applyProtection="0"/>
    <xf numFmtId="0" fontId="79" fillId="53" borderId="24" applyNumberFormat="0" applyAlignment="0" applyProtection="0"/>
    <xf numFmtId="0" fontId="79" fillId="53" borderId="24" applyNumberFormat="0" applyAlignment="0" applyProtection="0"/>
    <xf numFmtId="0" fontId="79" fillId="53" borderId="24" applyNumberFormat="0" applyAlignment="0" applyProtection="0"/>
    <xf numFmtId="0" fontId="79" fillId="53" borderId="24" applyNumberFormat="0" applyAlignment="0" applyProtection="0"/>
    <xf numFmtId="0" fontId="79" fillId="53" borderId="24" applyNumberFormat="0" applyAlignment="0" applyProtection="0"/>
    <xf numFmtId="0" fontId="79" fillId="53" borderId="24" applyNumberFormat="0" applyAlignment="0" applyProtection="0"/>
    <xf numFmtId="0" fontId="79" fillId="53" borderId="24" applyNumberFormat="0" applyAlignment="0" applyProtection="0"/>
    <xf numFmtId="0" fontId="79" fillId="53" borderId="24" applyNumberFormat="0" applyAlignment="0" applyProtection="0"/>
    <xf numFmtId="0" fontId="79" fillId="53" borderId="24" applyNumberFormat="0" applyAlignment="0" applyProtection="0"/>
    <xf numFmtId="40" fontId="80" fillId="60" borderId="0">
      <alignment horizontal="right"/>
    </xf>
    <xf numFmtId="0" fontId="81" fillId="60" borderId="0">
      <alignment horizontal="right"/>
    </xf>
    <xf numFmtId="0" fontId="82" fillId="60" borderId="25"/>
    <xf numFmtId="0" fontId="82" fillId="0" borderId="0" applyBorder="0">
      <alignment horizontal="centerContinuous"/>
    </xf>
    <xf numFmtId="0" fontId="83" fillId="0" borderId="0" applyBorder="0">
      <alignment horizontal="centerContinuous"/>
    </xf>
    <xf numFmtId="0" fontId="61" fillId="0" borderId="26" applyNumberFormat="0" applyProtection="0">
      <alignment wrapText="1"/>
    </xf>
    <xf numFmtId="9" fontId="36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7" fillId="0" borderId="0" applyFont="0" applyFill="0" applyBorder="0" applyAlignment="0" applyProtection="0"/>
    <xf numFmtId="0" fontId="84" fillId="0" borderId="0" applyNumberFormat="0" applyFont="0" applyFill="0" applyBorder="0" applyAlignment="0" applyProtection="0">
      <alignment horizontal="left"/>
    </xf>
    <xf numFmtId="15" fontId="84" fillId="0" borderId="0" applyFont="0" applyFill="0" applyBorder="0" applyAlignment="0" applyProtection="0"/>
    <xf numFmtId="4" fontId="84" fillId="0" borderId="0" applyFont="0" applyFill="0" applyBorder="0" applyAlignment="0" applyProtection="0"/>
    <xf numFmtId="0" fontId="85" fillId="0" borderId="10">
      <alignment horizontal="center"/>
    </xf>
    <xf numFmtId="3" fontId="84" fillId="0" borderId="0" applyFont="0" applyFill="0" applyBorder="0" applyAlignment="0" applyProtection="0"/>
    <xf numFmtId="0" fontId="84" fillId="61" borderId="0" applyNumberFormat="0" applyFont="0" applyBorder="0" applyAlignment="0" applyProtection="0"/>
    <xf numFmtId="0" fontId="51" fillId="0" borderId="0"/>
    <xf numFmtId="4" fontId="86" fillId="57" borderId="27" applyNumberFormat="0" applyProtection="0">
      <alignment vertical="center"/>
    </xf>
    <xf numFmtId="4" fontId="86" fillId="57" borderId="27" applyNumberFormat="0" applyProtection="0">
      <alignment vertical="center"/>
    </xf>
    <xf numFmtId="4" fontId="86" fillId="57" borderId="27" applyNumberFormat="0" applyProtection="0">
      <alignment vertical="center"/>
    </xf>
    <xf numFmtId="4" fontId="86" fillId="57" borderId="27" applyNumberFormat="0" applyProtection="0">
      <alignment vertical="center"/>
    </xf>
    <xf numFmtId="4" fontId="87" fillId="62" borderId="27" applyNumberFormat="0" applyProtection="0">
      <alignment vertical="center"/>
    </xf>
    <xf numFmtId="4" fontId="87" fillId="62" borderId="27" applyNumberFormat="0" applyProtection="0">
      <alignment vertical="center"/>
    </xf>
    <xf numFmtId="4" fontId="87" fillId="62" borderId="27" applyNumberFormat="0" applyProtection="0">
      <alignment vertical="center"/>
    </xf>
    <xf numFmtId="4" fontId="87" fillId="62" borderId="27" applyNumberFormat="0" applyProtection="0">
      <alignment vertical="center"/>
    </xf>
    <xf numFmtId="4" fontId="86" fillId="62" borderId="27" applyNumberFormat="0" applyProtection="0">
      <alignment horizontal="left" vertical="center" indent="1"/>
    </xf>
    <xf numFmtId="4" fontId="86" fillId="62" borderId="27" applyNumberFormat="0" applyProtection="0">
      <alignment horizontal="left" vertical="center" indent="1"/>
    </xf>
    <xf numFmtId="4" fontId="86" fillId="62" borderId="27" applyNumberFormat="0" applyProtection="0">
      <alignment horizontal="left" vertical="center" indent="1"/>
    </xf>
    <xf numFmtId="4" fontId="86" fillId="62" borderId="27" applyNumberFormat="0" applyProtection="0">
      <alignment horizontal="left" vertical="center" indent="1"/>
    </xf>
    <xf numFmtId="0" fontId="86" fillId="62" borderId="27" applyNumberFormat="0" applyProtection="0">
      <alignment horizontal="left" vertical="top" indent="1"/>
    </xf>
    <xf numFmtId="0" fontId="86" fillId="62" borderId="27" applyNumberFormat="0" applyProtection="0">
      <alignment horizontal="left" vertical="top" indent="1"/>
    </xf>
    <xf numFmtId="0" fontId="86" fillId="62" borderId="27" applyNumberFormat="0" applyProtection="0">
      <alignment horizontal="left" vertical="top" indent="1"/>
    </xf>
    <xf numFmtId="0" fontId="86" fillId="62" borderId="27" applyNumberFormat="0" applyProtection="0">
      <alignment horizontal="left" vertical="top" indent="1"/>
    </xf>
    <xf numFmtId="4" fontId="86" fillId="63" borderId="0" applyNumberFormat="0" applyProtection="0">
      <alignment horizontal="left" vertical="center" indent="1"/>
    </xf>
    <xf numFmtId="4" fontId="41" fillId="36" borderId="27" applyNumberFormat="0" applyProtection="0">
      <alignment horizontal="right" vertical="center"/>
    </xf>
    <xf numFmtId="4" fontId="41" fillId="36" borderId="27" applyNumberFormat="0" applyProtection="0">
      <alignment horizontal="right" vertical="center"/>
    </xf>
    <xf numFmtId="4" fontId="41" fillId="36" borderId="27" applyNumberFormat="0" applyProtection="0">
      <alignment horizontal="right" vertical="center"/>
    </xf>
    <xf numFmtId="4" fontId="41" fillId="36" borderId="27" applyNumberFormat="0" applyProtection="0">
      <alignment horizontal="right" vertical="center"/>
    </xf>
    <xf numFmtId="4" fontId="41" fillId="42" borderId="27" applyNumberFormat="0" applyProtection="0">
      <alignment horizontal="right" vertical="center"/>
    </xf>
    <xf numFmtId="4" fontId="41" fillId="42" borderId="27" applyNumberFormat="0" applyProtection="0">
      <alignment horizontal="right" vertical="center"/>
    </xf>
    <xf numFmtId="4" fontId="41" fillId="42" borderId="27" applyNumberFormat="0" applyProtection="0">
      <alignment horizontal="right" vertical="center"/>
    </xf>
    <xf numFmtId="4" fontId="41" fillId="42" borderId="27" applyNumberFormat="0" applyProtection="0">
      <alignment horizontal="right" vertical="center"/>
    </xf>
    <xf numFmtId="4" fontId="41" fillId="50" borderId="27" applyNumberFormat="0" applyProtection="0">
      <alignment horizontal="right" vertical="center"/>
    </xf>
    <xf numFmtId="4" fontId="41" fillId="50" borderId="27" applyNumberFormat="0" applyProtection="0">
      <alignment horizontal="right" vertical="center"/>
    </xf>
    <xf numFmtId="4" fontId="41" fillId="50" borderId="27" applyNumberFormat="0" applyProtection="0">
      <alignment horizontal="right" vertical="center"/>
    </xf>
    <xf numFmtId="4" fontId="41" fillId="50" borderId="27" applyNumberFormat="0" applyProtection="0">
      <alignment horizontal="right" vertical="center"/>
    </xf>
    <xf numFmtId="4" fontId="41" fillId="44" borderId="27" applyNumberFormat="0" applyProtection="0">
      <alignment horizontal="right" vertical="center"/>
    </xf>
    <xf numFmtId="4" fontId="41" fillId="44" borderId="27" applyNumberFormat="0" applyProtection="0">
      <alignment horizontal="right" vertical="center"/>
    </xf>
    <xf numFmtId="4" fontId="41" fillId="44" borderId="27" applyNumberFormat="0" applyProtection="0">
      <alignment horizontal="right" vertical="center"/>
    </xf>
    <xf numFmtId="4" fontId="41" fillId="44" borderId="27" applyNumberFormat="0" applyProtection="0">
      <alignment horizontal="right" vertical="center"/>
    </xf>
    <xf numFmtId="4" fontId="41" fillId="48" borderId="27" applyNumberFormat="0" applyProtection="0">
      <alignment horizontal="right" vertical="center"/>
    </xf>
    <xf numFmtId="4" fontId="41" fillId="48" borderId="27" applyNumberFormat="0" applyProtection="0">
      <alignment horizontal="right" vertical="center"/>
    </xf>
    <xf numFmtId="4" fontId="41" fillId="48" borderId="27" applyNumberFormat="0" applyProtection="0">
      <alignment horizontal="right" vertical="center"/>
    </xf>
    <xf numFmtId="4" fontId="41" fillId="48" borderId="27" applyNumberFormat="0" applyProtection="0">
      <alignment horizontal="right" vertical="center"/>
    </xf>
    <xf numFmtId="4" fontId="41" fillId="52" borderId="27" applyNumberFormat="0" applyProtection="0">
      <alignment horizontal="right" vertical="center"/>
    </xf>
    <xf numFmtId="4" fontId="41" fillId="52" borderId="27" applyNumberFormat="0" applyProtection="0">
      <alignment horizontal="right" vertical="center"/>
    </xf>
    <xf numFmtId="4" fontId="41" fillId="52" borderId="27" applyNumberFormat="0" applyProtection="0">
      <alignment horizontal="right" vertical="center"/>
    </xf>
    <xf numFmtId="4" fontId="41" fillId="52" borderId="27" applyNumberFormat="0" applyProtection="0">
      <alignment horizontal="right" vertical="center"/>
    </xf>
    <xf numFmtId="4" fontId="41" fillId="51" borderId="27" applyNumberFormat="0" applyProtection="0">
      <alignment horizontal="right" vertical="center"/>
    </xf>
    <xf numFmtId="4" fontId="41" fillId="51" borderId="27" applyNumberFormat="0" applyProtection="0">
      <alignment horizontal="right" vertical="center"/>
    </xf>
    <xf numFmtId="4" fontId="41" fillId="51" borderId="27" applyNumberFormat="0" applyProtection="0">
      <alignment horizontal="right" vertical="center"/>
    </xf>
    <xf numFmtId="4" fontId="41" fillId="51" borderId="27" applyNumberFormat="0" applyProtection="0">
      <alignment horizontal="right" vertical="center"/>
    </xf>
    <xf numFmtId="4" fontId="41" fillId="64" borderId="27" applyNumberFormat="0" applyProtection="0">
      <alignment horizontal="right" vertical="center"/>
    </xf>
    <xf numFmtId="4" fontId="41" fillId="64" borderId="27" applyNumberFormat="0" applyProtection="0">
      <alignment horizontal="right" vertical="center"/>
    </xf>
    <xf numFmtId="4" fontId="41" fillId="64" borderId="27" applyNumberFormat="0" applyProtection="0">
      <alignment horizontal="right" vertical="center"/>
    </xf>
    <xf numFmtId="4" fontId="41" fillId="64" borderId="27" applyNumberFormat="0" applyProtection="0">
      <alignment horizontal="right" vertical="center"/>
    </xf>
    <xf numFmtId="4" fontId="41" fillId="43" borderId="27" applyNumberFormat="0" applyProtection="0">
      <alignment horizontal="right" vertical="center"/>
    </xf>
    <xf numFmtId="4" fontId="41" fillId="43" borderId="27" applyNumberFormat="0" applyProtection="0">
      <alignment horizontal="right" vertical="center"/>
    </xf>
    <xf numFmtId="4" fontId="41" fillId="43" borderId="27" applyNumberFormat="0" applyProtection="0">
      <alignment horizontal="right" vertical="center"/>
    </xf>
    <xf numFmtId="4" fontId="41" fillId="43" borderId="27" applyNumberFormat="0" applyProtection="0">
      <alignment horizontal="right" vertical="center"/>
    </xf>
    <xf numFmtId="4" fontId="86" fillId="65" borderId="28" applyNumberFormat="0" applyProtection="0">
      <alignment horizontal="left" vertical="center" indent="1"/>
    </xf>
    <xf numFmtId="4" fontId="41" fillId="66" borderId="0" applyNumberFormat="0" applyProtection="0">
      <alignment horizontal="left" vertical="center" indent="1"/>
    </xf>
    <xf numFmtId="4" fontId="88" fillId="67" borderId="0" applyNumberFormat="0" applyProtection="0">
      <alignment horizontal="left" vertical="center" indent="1"/>
    </xf>
    <xf numFmtId="4" fontId="41" fillId="68" borderId="27" applyNumberFormat="0" applyProtection="0">
      <alignment horizontal="right" vertical="center"/>
    </xf>
    <xf numFmtId="4" fontId="41" fillId="68" borderId="27" applyNumberFormat="0" applyProtection="0">
      <alignment horizontal="right" vertical="center"/>
    </xf>
    <xf numFmtId="4" fontId="41" fillId="68" borderId="27" applyNumberFormat="0" applyProtection="0">
      <alignment horizontal="right" vertical="center"/>
    </xf>
    <xf numFmtId="4" fontId="41" fillId="68" borderId="27" applyNumberFormat="0" applyProtection="0">
      <alignment horizontal="right" vertical="center"/>
    </xf>
    <xf numFmtId="4" fontId="41" fillId="66" borderId="0" applyNumberFormat="0" applyProtection="0">
      <alignment horizontal="left" vertical="center" indent="1"/>
    </xf>
    <xf numFmtId="4" fontId="41" fillId="63" borderId="0" applyNumberFormat="0" applyProtection="0">
      <alignment horizontal="left" vertical="center" indent="1"/>
    </xf>
    <xf numFmtId="0" fontId="18" fillId="67" borderId="27" applyNumberFormat="0" applyProtection="0">
      <alignment horizontal="left" vertical="center" indent="1"/>
    </xf>
    <xf numFmtId="0" fontId="18" fillId="67" borderId="27" applyNumberFormat="0" applyProtection="0">
      <alignment horizontal="left" vertical="center" indent="1"/>
    </xf>
    <xf numFmtId="0" fontId="18" fillId="67" borderId="27" applyNumberFormat="0" applyProtection="0">
      <alignment horizontal="left" vertical="center" indent="1"/>
    </xf>
    <xf numFmtId="0" fontId="18" fillId="67" borderId="27" applyNumberFormat="0" applyProtection="0">
      <alignment horizontal="left" vertical="center" indent="1"/>
    </xf>
    <xf numFmtId="0" fontId="18" fillId="67" borderId="27" applyNumberFormat="0" applyProtection="0">
      <alignment horizontal="left" vertical="top" indent="1"/>
    </xf>
    <xf numFmtId="0" fontId="18" fillId="67" borderId="27" applyNumberFormat="0" applyProtection="0">
      <alignment horizontal="left" vertical="top" indent="1"/>
    </xf>
    <xf numFmtId="0" fontId="18" fillId="67" borderId="27" applyNumberFormat="0" applyProtection="0">
      <alignment horizontal="left" vertical="top" indent="1"/>
    </xf>
    <xf numFmtId="0" fontId="18" fillId="67" borderId="27" applyNumberFormat="0" applyProtection="0">
      <alignment horizontal="left" vertical="top" indent="1"/>
    </xf>
    <xf numFmtId="0" fontId="18" fillId="63" borderId="27" applyNumberFormat="0" applyProtection="0">
      <alignment horizontal="left" vertical="center" indent="1"/>
    </xf>
    <xf numFmtId="0" fontId="18" fillId="63" borderId="27" applyNumberFormat="0" applyProtection="0">
      <alignment horizontal="left" vertical="center" indent="1"/>
    </xf>
    <xf numFmtId="0" fontId="18" fillId="63" borderId="27" applyNumberFormat="0" applyProtection="0">
      <alignment horizontal="left" vertical="center" indent="1"/>
    </xf>
    <xf numFmtId="0" fontId="18" fillId="63" borderId="27" applyNumberFormat="0" applyProtection="0">
      <alignment horizontal="left" vertical="center" indent="1"/>
    </xf>
    <xf numFmtId="0" fontId="18" fillId="63" borderId="27" applyNumberFormat="0" applyProtection="0">
      <alignment horizontal="left" vertical="top" indent="1"/>
    </xf>
    <xf numFmtId="0" fontId="18" fillId="63" borderId="27" applyNumberFormat="0" applyProtection="0">
      <alignment horizontal="left" vertical="top" indent="1"/>
    </xf>
    <xf numFmtId="0" fontId="18" fillId="63" borderId="27" applyNumberFormat="0" applyProtection="0">
      <alignment horizontal="left" vertical="top" indent="1"/>
    </xf>
    <xf numFmtId="0" fontId="18" fillId="63" borderId="27" applyNumberFormat="0" applyProtection="0">
      <alignment horizontal="left" vertical="top" indent="1"/>
    </xf>
    <xf numFmtId="0" fontId="18" fillId="69" borderId="27" applyNumberFormat="0" applyProtection="0">
      <alignment horizontal="left" vertical="center" indent="1"/>
    </xf>
    <xf numFmtId="0" fontId="18" fillId="69" borderId="27" applyNumberFormat="0" applyProtection="0">
      <alignment horizontal="left" vertical="center" indent="1"/>
    </xf>
    <xf numFmtId="0" fontId="18" fillId="69" borderId="27" applyNumberFormat="0" applyProtection="0">
      <alignment horizontal="left" vertical="center" indent="1"/>
    </xf>
    <xf numFmtId="0" fontId="18" fillId="69" borderId="27" applyNumberFormat="0" applyProtection="0">
      <alignment horizontal="left" vertical="center" indent="1"/>
    </xf>
    <xf numFmtId="0" fontId="18" fillId="69" borderId="27" applyNumberFormat="0" applyProtection="0">
      <alignment horizontal="left" vertical="top" indent="1"/>
    </xf>
    <xf numFmtId="0" fontId="18" fillId="69" borderId="27" applyNumberFormat="0" applyProtection="0">
      <alignment horizontal="left" vertical="top" indent="1"/>
    </xf>
    <xf numFmtId="0" fontId="18" fillId="69" borderId="27" applyNumberFormat="0" applyProtection="0">
      <alignment horizontal="left" vertical="top" indent="1"/>
    </xf>
    <xf numFmtId="0" fontId="18" fillId="69" borderId="27" applyNumberFormat="0" applyProtection="0">
      <alignment horizontal="left" vertical="top" indent="1"/>
    </xf>
    <xf numFmtId="0" fontId="18" fillId="70" borderId="27" applyNumberFormat="0" applyProtection="0">
      <alignment horizontal="left" vertical="center" indent="1"/>
    </xf>
    <xf numFmtId="0" fontId="18" fillId="70" borderId="27" applyNumberFormat="0" applyProtection="0">
      <alignment horizontal="left" vertical="center" indent="1"/>
    </xf>
    <xf numFmtId="0" fontId="18" fillId="70" borderId="27" applyNumberFormat="0" applyProtection="0">
      <alignment horizontal="left" vertical="center" indent="1"/>
    </xf>
    <xf numFmtId="0" fontId="18" fillId="70" borderId="27" applyNumberFormat="0" applyProtection="0">
      <alignment horizontal="left" vertical="center" indent="1"/>
    </xf>
    <xf numFmtId="0" fontId="18" fillId="70" borderId="27" applyNumberFormat="0" applyProtection="0">
      <alignment horizontal="left" vertical="top" indent="1"/>
    </xf>
    <xf numFmtId="0" fontId="18" fillId="70" borderId="27" applyNumberFormat="0" applyProtection="0">
      <alignment horizontal="left" vertical="top" indent="1"/>
    </xf>
    <xf numFmtId="0" fontId="18" fillId="70" borderId="27" applyNumberFormat="0" applyProtection="0">
      <alignment horizontal="left" vertical="top" indent="1"/>
    </xf>
    <xf numFmtId="0" fontId="18" fillId="70" borderId="27" applyNumberFormat="0" applyProtection="0">
      <alignment horizontal="left" vertical="top" indent="1"/>
    </xf>
    <xf numFmtId="4" fontId="41" fillId="71" borderId="27" applyNumberFormat="0" applyProtection="0">
      <alignment vertical="center"/>
    </xf>
    <xf numFmtId="4" fontId="41" fillId="71" borderId="27" applyNumberFormat="0" applyProtection="0">
      <alignment vertical="center"/>
    </xf>
    <xf numFmtId="4" fontId="41" fillId="71" borderId="27" applyNumberFormat="0" applyProtection="0">
      <alignment vertical="center"/>
    </xf>
    <xf numFmtId="4" fontId="41" fillId="71" borderId="27" applyNumberFormat="0" applyProtection="0">
      <alignment vertical="center"/>
    </xf>
    <xf numFmtId="4" fontId="89" fillId="71" borderId="27" applyNumberFormat="0" applyProtection="0">
      <alignment vertical="center"/>
    </xf>
    <xf numFmtId="4" fontId="89" fillId="71" borderId="27" applyNumberFormat="0" applyProtection="0">
      <alignment vertical="center"/>
    </xf>
    <xf numFmtId="4" fontId="89" fillId="71" borderId="27" applyNumberFormat="0" applyProtection="0">
      <alignment vertical="center"/>
    </xf>
    <xf numFmtId="4" fontId="89" fillId="71" borderId="27" applyNumberFormat="0" applyProtection="0">
      <alignment vertical="center"/>
    </xf>
    <xf numFmtId="4" fontId="41" fillId="71" borderId="27" applyNumberFormat="0" applyProtection="0">
      <alignment horizontal="left" vertical="center" indent="1"/>
    </xf>
    <xf numFmtId="4" fontId="41" fillId="71" borderId="27" applyNumberFormat="0" applyProtection="0">
      <alignment horizontal="left" vertical="center" indent="1"/>
    </xf>
    <xf numFmtId="4" fontId="41" fillId="71" borderId="27" applyNumberFormat="0" applyProtection="0">
      <alignment horizontal="left" vertical="center" indent="1"/>
    </xf>
    <xf numFmtId="4" fontId="41" fillId="71" borderId="27" applyNumberFormat="0" applyProtection="0">
      <alignment horizontal="left" vertical="center" indent="1"/>
    </xf>
    <xf numFmtId="0" fontId="41" fillId="71" borderId="27" applyNumberFormat="0" applyProtection="0">
      <alignment horizontal="left" vertical="top" indent="1"/>
    </xf>
    <xf numFmtId="0" fontId="41" fillId="71" borderId="27" applyNumberFormat="0" applyProtection="0">
      <alignment horizontal="left" vertical="top" indent="1"/>
    </xf>
    <xf numFmtId="0" fontId="41" fillId="71" borderId="27" applyNumberFormat="0" applyProtection="0">
      <alignment horizontal="left" vertical="top" indent="1"/>
    </xf>
    <xf numFmtId="0" fontId="41" fillId="71" borderId="27" applyNumberFormat="0" applyProtection="0">
      <alignment horizontal="left" vertical="top" indent="1"/>
    </xf>
    <xf numFmtId="4" fontId="41" fillId="66" borderId="27" applyNumberFormat="0" applyProtection="0">
      <alignment horizontal="right" vertical="center"/>
    </xf>
    <xf numFmtId="4" fontId="41" fillId="66" borderId="27" applyNumberFormat="0" applyProtection="0">
      <alignment horizontal="right" vertical="center"/>
    </xf>
    <xf numFmtId="4" fontId="41" fillId="66" borderId="27" applyNumberFormat="0" applyProtection="0">
      <alignment horizontal="right" vertical="center"/>
    </xf>
    <xf numFmtId="4" fontId="41" fillId="66" borderId="27" applyNumberFormat="0" applyProtection="0">
      <alignment horizontal="right" vertical="center"/>
    </xf>
    <xf numFmtId="4" fontId="89" fillId="66" borderId="27" applyNumberFormat="0" applyProtection="0">
      <alignment horizontal="right" vertical="center"/>
    </xf>
    <xf numFmtId="4" fontId="89" fillId="66" borderId="27" applyNumberFormat="0" applyProtection="0">
      <alignment horizontal="right" vertical="center"/>
    </xf>
    <xf numFmtId="4" fontId="89" fillId="66" borderId="27" applyNumberFormat="0" applyProtection="0">
      <alignment horizontal="right" vertical="center"/>
    </xf>
    <xf numFmtId="4" fontId="89" fillId="66" borderId="27" applyNumberFormat="0" applyProtection="0">
      <alignment horizontal="right" vertical="center"/>
    </xf>
    <xf numFmtId="4" fontId="41" fillId="68" borderId="27" applyNumberFormat="0" applyProtection="0">
      <alignment horizontal="left" vertical="center" indent="1"/>
    </xf>
    <xf numFmtId="4" fontId="41" fillId="68" borderId="27" applyNumberFormat="0" applyProtection="0">
      <alignment horizontal="left" vertical="center" indent="1"/>
    </xf>
    <xf numFmtId="4" fontId="41" fillId="68" borderId="27" applyNumberFormat="0" applyProtection="0">
      <alignment horizontal="left" vertical="center" indent="1"/>
    </xf>
    <xf numFmtId="4" fontId="41" fillId="68" borderId="27" applyNumberFormat="0" applyProtection="0">
      <alignment horizontal="left" vertical="center" indent="1"/>
    </xf>
    <xf numFmtId="0" fontId="41" fillId="63" borderId="27" applyNumberFormat="0" applyProtection="0">
      <alignment horizontal="left" vertical="top" indent="1"/>
    </xf>
    <xf numFmtId="0" fontId="41" fillId="63" borderId="27" applyNumberFormat="0" applyProtection="0">
      <alignment horizontal="left" vertical="top" indent="1"/>
    </xf>
    <xf numFmtId="0" fontId="41" fillId="63" borderId="27" applyNumberFormat="0" applyProtection="0">
      <alignment horizontal="left" vertical="top" indent="1"/>
    </xf>
    <xf numFmtId="0" fontId="41" fillId="63" borderId="27" applyNumberFormat="0" applyProtection="0">
      <alignment horizontal="left" vertical="top" indent="1"/>
    </xf>
    <xf numFmtId="4" fontId="90" fillId="72" borderId="0" applyNumberFormat="0" applyProtection="0">
      <alignment horizontal="left" vertical="center" indent="1"/>
    </xf>
    <xf numFmtId="4" fontId="91" fillId="66" borderId="27" applyNumberFormat="0" applyProtection="0">
      <alignment horizontal="right" vertical="center"/>
    </xf>
    <xf numFmtId="4" fontId="91" fillId="66" borderId="27" applyNumberFormat="0" applyProtection="0">
      <alignment horizontal="right" vertical="center"/>
    </xf>
    <xf numFmtId="4" fontId="91" fillId="66" borderId="27" applyNumberFormat="0" applyProtection="0">
      <alignment horizontal="right" vertical="center"/>
    </xf>
    <xf numFmtId="4" fontId="91" fillId="66" borderId="27" applyNumberFormat="0" applyProtection="0">
      <alignment horizontal="right" vertical="center"/>
    </xf>
    <xf numFmtId="169" fontId="18" fillId="0" borderId="0">
      <alignment horizontal="left" wrapText="1"/>
    </xf>
    <xf numFmtId="0" fontId="18" fillId="55" borderId="0" applyNumberFormat="0" applyFont="0" applyBorder="0" applyAlignment="0" applyProtection="0"/>
    <xf numFmtId="0" fontId="18" fillId="55" borderId="0" applyNumberFormat="0" applyFont="0" applyBorder="0" applyAlignment="0" applyProtection="0"/>
    <xf numFmtId="0" fontId="18" fillId="55" borderId="0" applyNumberFormat="0" applyFont="0" applyBorder="0" applyAlignment="0" applyProtection="0"/>
    <xf numFmtId="0" fontId="18" fillId="55" borderId="0" applyNumberFormat="0" applyFont="0" applyBorder="0" applyAlignment="0" applyProtection="0"/>
    <xf numFmtId="0" fontId="18" fillId="55" borderId="0" applyNumberFormat="0" applyFont="0" applyBorder="0" applyAlignment="0" applyProtection="0"/>
    <xf numFmtId="0" fontId="18" fillId="55" borderId="0" applyNumberFormat="0" applyFont="0" applyBorder="0" applyAlignment="0" applyProtection="0"/>
    <xf numFmtId="0" fontId="18" fillId="55" borderId="0" applyNumberFormat="0" applyFont="0" applyBorder="0" applyAlignment="0" applyProtection="0"/>
    <xf numFmtId="0" fontId="18" fillId="55" borderId="0" applyNumberFormat="0" applyFont="0" applyBorder="0" applyAlignment="0" applyProtection="0"/>
    <xf numFmtId="0" fontId="18" fillId="55" borderId="0" applyNumberFormat="0" applyFont="0" applyBorder="0" applyAlignment="0" applyProtection="0"/>
    <xf numFmtId="0" fontId="18" fillId="55" borderId="0" applyNumberFormat="0" applyFont="0" applyBorder="0" applyAlignment="0" applyProtection="0"/>
    <xf numFmtId="0" fontId="18" fillId="55" borderId="0" applyNumberFormat="0" applyFont="0" applyBorder="0" applyAlignment="0" applyProtection="0"/>
    <xf numFmtId="0" fontId="18" fillId="55" borderId="0" applyNumberFormat="0" applyFont="0" applyBorder="0" applyAlignment="0" applyProtection="0"/>
    <xf numFmtId="0" fontId="18" fillId="55" borderId="0" applyNumberFormat="0" applyFont="0" applyBorder="0" applyAlignment="0" applyProtection="0"/>
    <xf numFmtId="0" fontId="18" fillId="55" borderId="0" applyNumberFormat="0" applyFont="0" applyBorder="0" applyAlignment="0" applyProtection="0"/>
    <xf numFmtId="0" fontId="18" fillId="55" borderId="0" applyNumberFormat="0" applyFont="0" applyBorder="0" applyAlignment="0" applyProtection="0"/>
    <xf numFmtId="0" fontId="18" fillId="55" borderId="0" applyNumberFormat="0" applyFont="0" applyBorder="0" applyAlignment="0" applyProtection="0"/>
    <xf numFmtId="0" fontId="18" fillId="55" borderId="0" applyNumberFormat="0" applyFont="0" applyBorder="0" applyAlignment="0" applyProtection="0"/>
    <xf numFmtId="0" fontId="18" fillId="55" borderId="0" applyNumberFormat="0" applyFont="0" applyBorder="0" applyAlignment="0" applyProtection="0"/>
    <xf numFmtId="0" fontId="18" fillId="55" borderId="0" applyNumberFormat="0" applyFont="0" applyBorder="0" applyAlignment="0" applyProtection="0"/>
    <xf numFmtId="0" fontId="18" fillId="55" borderId="0" applyNumberFormat="0" applyFont="0" applyBorder="0" applyAlignment="0" applyProtection="0"/>
    <xf numFmtId="0" fontId="18" fillId="55" borderId="0" applyNumberFormat="0" applyFont="0" applyBorder="0" applyAlignment="0" applyProtection="0"/>
    <xf numFmtId="0" fontId="18" fillId="55" borderId="0" applyNumberFormat="0" applyFont="0" applyBorder="0" applyAlignment="0" applyProtection="0"/>
    <xf numFmtId="0" fontId="18" fillId="55" borderId="0" applyNumberFormat="0" applyFont="0" applyBorder="0" applyAlignment="0" applyProtection="0"/>
    <xf numFmtId="0" fontId="18" fillId="55" borderId="0" applyNumberFormat="0" applyFont="0" applyBorder="0" applyAlignment="0" applyProtection="0"/>
    <xf numFmtId="0" fontId="18" fillId="55" borderId="0" applyNumberFormat="0" applyFont="0" applyBorder="0" applyAlignment="0" applyProtection="0"/>
    <xf numFmtId="0" fontId="18" fillId="55" borderId="0" applyNumberFormat="0" applyFont="0" applyBorder="0" applyAlignment="0" applyProtection="0"/>
    <xf numFmtId="0" fontId="18" fillId="55" borderId="0" applyNumberFormat="0" applyFont="0" applyBorder="0" applyAlignment="0" applyProtection="0"/>
    <xf numFmtId="0" fontId="18" fillId="55" borderId="0" applyNumberFormat="0" applyFont="0" applyBorder="0" applyAlignment="0" applyProtection="0"/>
    <xf numFmtId="0" fontId="92" fillId="73" borderId="0" applyNumberFormat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wrapText="1"/>
    </xf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wrapText="1"/>
    </xf>
    <xf numFmtId="0" fontId="94" fillId="73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>
      <alignment wrapText="1"/>
    </xf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>
      <alignment wrapText="1"/>
    </xf>
    <xf numFmtId="0" fontId="67" fillId="0" borderId="0" applyNumberFormat="0" applyFill="0" applyBorder="0" applyAlignment="0" applyProtection="0"/>
    <xf numFmtId="0" fontId="49" fillId="58" borderId="0" applyNumberFormat="0" applyBorder="0" applyAlignment="0" applyProtection="0"/>
    <xf numFmtId="0" fontId="49" fillId="58" borderId="0" applyNumberFormat="0" applyBorder="0" applyAlignment="0" applyProtection="0">
      <alignment wrapText="1"/>
    </xf>
    <xf numFmtId="0" fontId="49" fillId="58" borderId="0" applyNumberFormat="0" applyBorder="0" applyAlignment="0" applyProtection="0"/>
    <xf numFmtId="0" fontId="49" fillId="58" borderId="0" applyNumberFormat="0" applyBorder="0" applyAlignment="0" applyProtection="0">
      <alignment wrapText="1"/>
    </xf>
    <xf numFmtId="0" fontId="49" fillId="58" borderId="0" applyNumberFormat="0" applyBorder="0" applyAlignment="0" applyProtection="0"/>
    <xf numFmtId="0" fontId="49" fillId="58" borderId="0" applyNumberFormat="0" applyBorder="0" applyAlignment="0" applyProtection="0"/>
    <xf numFmtId="0" fontId="49" fillId="58" borderId="0" applyNumberFormat="0" applyBorder="0" applyProtection="0">
      <alignment horizontal="center"/>
    </xf>
    <xf numFmtId="0" fontId="95" fillId="58" borderId="0" applyNumberFormat="0" applyBorder="0" applyAlignment="0" applyProtection="0"/>
    <xf numFmtId="0" fontId="18" fillId="0" borderId="0" applyNumberFormat="0" applyFont="0" applyFill="0" applyBorder="0" applyProtection="0">
      <alignment horizontal="right"/>
    </xf>
    <xf numFmtId="0" fontId="18" fillId="0" borderId="0" applyNumberFormat="0" applyFont="0" applyFill="0" applyBorder="0" applyProtection="0">
      <alignment horizontal="left"/>
    </xf>
    <xf numFmtId="0" fontId="3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18" fillId="55" borderId="0" applyNumberFormat="0" applyFont="0" applyBorder="0" applyAlignment="0" applyProtection="0"/>
    <xf numFmtId="171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0" fontId="97" fillId="0" borderId="0" applyNumberFormat="0" applyFill="0" applyBorder="0" applyAlignment="0" applyProtection="0"/>
    <xf numFmtId="0" fontId="41" fillId="0" borderId="29" applyNumberFormat="0" applyFill="0" applyAlignment="0" applyProtection="0"/>
    <xf numFmtId="0" fontId="18" fillId="0" borderId="10" applyNumberFormat="0" applyFont="0" applyFill="0" applyAlignment="0" applyProtection="0"/>
    <xf numFmtId="0" fontId="98" fillId="0" borderId="0" applyNumberFormat="0" applyBorder="0" applyAlignment="0"/>
    <xf numFmtId="0" fontId="99" fillId="0" borderId="0" applyNumberFormat="0" applyBorder="0" applyAlignment="0"/>
    <xf numFmtId="0" fontId="100" fillId="0" borderId="0" applyNumberFormat="0" applyBorder="0" applyAlignment="0"/>
    <xf numFmtId="0" fontId="100" fillId="0" borderId="0" applyNumberFormat="0" applyBorder="0" applyAlignment="0"/>
    <xf numFmtId="0" fontId="51" fillId="0" borderId="16"/>
    <xf numFmtId="0" fontId="51" fillId="0" borderId="16"/>
    <xf numFmtId="0" fontId="101" fillId="0" borderId="0" applyNumberFormat="0" applyProtection="0">
      <alignment horizontal="left"/>
    </xf>
    <xf numFmtId="0" fontId="102" fillId="74" borderId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86" fillId="0" borderId="30" applyNumberFormat="0" applyFill="0" applyAlignment="0" applyProtection="0"/>
    <xf numFmtId="0" fontId="86" fillId="0" borderId="30" applyNumberFormat="0" applyFill="0" applyAlignment="0" applyProtection="0"/>
    <xf numFmtId="0" fontId="86" fillId="0" borderId="30" applyNumberFormat="0" applyFill="0" applyAlignment="0" applyProtection="0"/>
    <xf numFmtId="0" fontId="86" fillId="0" borderId="30" applyNumberFormat="0" applyFill="0" applyAlignment="0" applyProtection="0"/>
    <xf numFmtId="0" fontId="86" fillId="0" borderId="30" applyNumberFormat="0" applyFill="0" applyAlignment="0" applyProtection="0"/>
    <xf numFmtId="0" fontId="86" fillId="0" borderId="30" applyNumberFormat="0" applyFill="0" applyAlignment="0" applyProtection="0"/>
    <xf numFmtId="0" fontId="86" fillId="0" borderId="30" applyNumberFormat="0" applyFill="0" applyAlignment="0" applyProtection="0"/>
    <xf numFmtId="0" fontId="86" fillId="0" borderId="30" applyNumberFormat="0" applyFill="0" applyAlignment="0" applyProtection="0"/>
    <xf numFmtId="0" fontId="86" fillId="0" borderId="30" applyNumberFormat="0" applyFill="0" applyAlignment="0" applyProtection="0"/>
    <xf numFmtId="0" fontId="86" fillId="0" borderId="30" applyNumberFormat="0" applyFill="0" applyAlignment="0" applyProtection="0"/>
    <xf numFmtId="0" fontId="86" fillId="0" borderId="30" applyNumberFormat="0" applyFill="0" applyAlignment="0" applyProtection="0"/>
    <xf numFmtId="0" fontId="86" fillId="0" borderId="30" applyNumberFormat="0" applyFill="0" applyAlignment="0" applyProtection="0"/>
    <xf numFmtId="0" fontId="86" fillId="0" borderId="30" applyNumberFormat="0" applyFill="0" applyAlignment="0" applyProtection="0"/>
    <xf numFmtId="0" fontId="86" fillId="0" borderId="30" applyNumberFormat="0" applyFill="0" applyAlignment="0" applyProtection="0"/>
    <xf numFmtId="0" fontId="86" fillId="0" borderId="30" applyNumberFormat="0" applyFill="0" applyAlignment="0" applyProtection="0"/>
    <xf numFmtId="0" fontId="104" fillId="0" borderId="31"/>
    <xf numFmtId="0" fontId="104" fillId="0" borderId="16"/>
    <xf numFmtId="0" fontId="104" fillId="0" borderId="16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1" fillId="0" borderId="0"/>
    <xf numFmtId="43" fontId="1" fillId="0" borderId="0" applyFont="0" applyFill="0" applyBorder="0" applyAlignment="0" applyProtection="0"/>
    <xf numFmtId="0" fontId="18" fillId="0" borderId="0"/>
    <xf numFmtId="0" fontId="113" fillId="0" borderId="0" applyNumberFormat="0" applyFill="0" applyBorder="0" applyAlignment="0" applyProtection="0">
      <alignment vertical="top"/>
      <protection locked="0"/>
    </xf>
  </cellStyleXfs>
  <cellXfs count="246">
    <xf numFmtId="0" fontId="0" fillId="0" borderId="0" xfId="0"/>
    <xf numFmtId="0" fontId="0" fillId="0" borderId="0" xfId="0" applyAlignment="1">
      <alignment horizontal="center"/>
    </xf>
    <xf numFmtId="2" fontId="0" fillId="0" borderId="0" xfId="0" applyNumberFormat="1"/>
    <xf numFmtId="0" fontId="16" fillId="0" borderId="10" xfId="0" applyFont="1" applyBorder="1" applyAlignment="1">
      <alignment horizontal="center" wrapText="1"/>
    </xf>
    <xf numFmtId="0" fontId="19" fillId="0" borderId="0" xfId="42" applyFont="1" applyAlignment="1">
      <alignment horizontal="center"/>
    </xf>
    <xf numFmtId="0" fontId="19" fillId="0" borderId="0" xfId="42" applyFont="1"/>
    <xf numFmtId="0" fontId="19" fillId="0" borderId="0" xfId="42" applyFont="1" applyFill="1" applyAlignment="1">
      <alignment horizontal="center"/>
    </xf>
    <xf numFmtId="0" fontId="19" fillId="0" borderId="0" xfId="42" applyFont="1" applyFill="1"/>
    <xf numFmtId="0" fontId="20" fillId="0" borderId="0" xfId="42" applyFont="1" applyFill="1" applyBorder="1" applyAlignment="1">
      <alignment horizontal="center"/>
    </xf>
    <xf numFmtId="49" fontId="22" fillId="0" borderId="0" xfId="42" applyNumberFormat="1" applyFont="1" applyFill="1" applyAlignment="1">
      <alignment horizontal="center"/>
    </xf>
    <xf numFmtId="49" fontId="22" fillId="0" borderId="0" xfId="42" applyNumberFormat="1" applyFont="1" applyFill="1" applyBorder="1" applyAlignment="1">
      <alignment horizontal="center"/>
    </xf>
    <xf numFmtId="49" fontId="22" fillId="0" borderId="0" xfId="42" applyNumberFormat="1" applyFont="1" applyAlignment="1">
      <alignment horizontal="center"/>
    </xf>
    <xf numFmtId="164" fontId="20" fillId="0" borderId="0" xfId="42" applyNumberFormat="1" applyFont="1" applyFill="1" applyBorder="1" applyAlignment="1">
      <alignment horizontal="center"/>
    </xf>
    <xf numFmtId="0" fontId="0" fillId="33" borderId="0" xfId="0" applyFill="1"/>
    <xf numFmtId="49" fontId="24" fillId="0" borderId="0" xfId="42" applyNumberFormat="1" applyFont="1" applyAlignment="1">
      <alignment horizontal="center"/>
    </xf>
    <xf numFmtId="0" fontId="0" fillId="0" borderId="0" xfId="0" applyFont="1"/>
    <xf numFmtId="0" fontId="17" fillId="0" borderId="0" xfId="0" applyFont="1" applyAlignment="1">
      <alignment horizontal="center"/>
    </xf>
    <xf numFmtId="2" fontId="0" fillId="0" borderId="0" xfId="0" applyNumberFormat="1" applyAlignment="1">
      <alignment horizontal="center"/>
    </xf>
    <xf numFmtId="0" fontId="19" fillId="0" borderId="11" xfId="42" applyFont="1" applyFill="1" applyBorder="1" applyAlignment="1">
      <alignment horizontal="center"/>
    </xf>
    <xf numFmtId="0" fontId="19" fillId="0" borderId="0" xfId="43" applyFont="1" applyFill="1" applyAlignment="1"/>
    <xf numFmtId="0" fontId="19" fillId="0" borderId="0" xfId="42" applyFont="1" applyFill="1" applyBorder="1" applyAlignment="1">
      <alignment horizontal="left"/>
    </xf>
    <xf numFmtId="0" fontId="0" fillId="0" borderId="0" xfId="0" applyFill="1" applyAlignment="1">
      <alignment vertical="center"/>
    </xf>
    <xf numFmtId="0" fontId="19" fillId="0" borderId="0" xfId="42" applyFont="1" applyFill="1" applyAlignment="1">
      <alignment horizontal="left"/>
    </xf>
    <xf numFmtId="0" fontId="0" fillId="0" borderId="0" xfId="0" applyFill="1" applyAlignment="1">
      <alignment horizontal="left" vertical="center" indent="1"/>
    </xf>
    <xf numFmtId="0" fontId="26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16" fontId="0" fillId="0" borderId="0" xfId="0" applyNumberFormat="1"/>
    <xf numFmtId="0" fontId="16" fillId="0" borderId="10" xfId="0" applyFont="1" applyBorder="1" applyAlignment="1">
      <alignment horizontal="center" wrapText="1"/>
    </xf>
    <xf numFmtId="165" fontId="0" fillId="0" borderId="0" xfId="0" applyNumberFormat="1" applyAlignment="1">
      <alignment horizontal="center"/>
    </xf>
    <xf numFmtId="14" fontId="0" fillId="0" borderId="0" xfId="0" applyNumberFormat="1"/>
    <xf numFmtId="0" fontId="16" fillId="0" borderId="10" xfId="0" applyFont="1" applyBorder="1" applyAlignment="1">
      <alignment horizontal="center" wrapText="1"/>
    </xf>
    <xf numFmtId="0" fontId="0" fillId="0" borderId="0" xfId="0" applyFill="1"/>
    <xf numFmtId="166" fontId="0" fillId="0" borderId="0" xfId="0" applyNumberFormat="1" applyAlignment="1">
      <alignment horizontal="center"/>
    </xf>
    <xf numFmtId="167" fontId="0" fillId="0" borderId="0" xfId="0" applyNumberFormat="1"/>
    <xf numFmtId="0" fontId="27" fillId="0" borderId="0" xfId="0" applyFont="1"/>
    <xf numFmtId="0" fontId="27" fillId="0" borderId="0" xfId="0" applyFont="1" applyAlignment="1">
      <alignment horizontal="center"/>
    </xf>
    <xf numFmtId="0" fontId="17" fillId="0" borderId="0" xfId="0" applyFont="1"/>
    <xf numFmtId="2" fontId="0" fillId="34" borderId="0" xfId="0" applyNumberFormat="1" applyFill="1" applyAlignment="1">
      <alignment horizontal="center"/>
    </xf>
    <xf numFmtId="0" fontId="0" fillId="34" borderId="0" xfId="0" applyFill="1" applyAlignment="1">
      <alignment horizontal="center"/>
    </xf>
    <xf numFmtId="165" fontId="0" fillId="34" borderId="0" xfId="0" applyNumberFormat="1" applyFill="1" applyAlignment="1">
      <alignment horizontal="center"/>
    </xf>
    <xf numFmtId="0" fontId="28" fillId="0" borderId="0" xfId="0" applyFont="1" applyAlignment="1">
      <alignment horizontal="center"/>
    </xf>
    <xf numFmtId="0" fontId="22" fillId="0" borderId="0" xfId="42" applyNumberFormat="1" applyFont="1" applyFill="1" applyBorder="1" applyAlignment="1">
      <alignment horizontal="center"/>
    </xf>
    <xf numFmtId="0" fontId="14" fillId="0" borderId="0" xfId="0" applyFont="1" applyFill="1"/>
    <xf numFmtId="0" fontId="0" fillId="0" borderId="11" xfId="0" applyFill="1" applyBorder="1"/>
    <xf numFmtId="0" fontId="0" fillId="0" borderId="0" xfId="0" applyFill="1" applyBorder="1"/>
    <xf numFmtId="0" fontId="28" fillId="0" borderId="0" xfId="0" applyFont="1" applyFill="1"/>
    <xf numFmtId="0" fontId="29" fillId="0" borderId="0" xfId="0" applyFont="1" applyFill="1" applyAlignment="1">
      <alignment horizontal="center"/>
    </xf>
    <xf numFmtId="0" fontId="16" fillId="0" borderId="10" xfId="0" applyFont="1" applyBorder="1" applyAlignment="1">
      <alignment horizontal="center" wrapText="1"/>
    </xf>
    <xf numFmtId="0" fontId="16" fillId="0" borderId="0" xfId="0" applyFont="1" applyBorder="1" applyAlignment="1">
      <alignment horizontal="center" wrapText="1"/>
    </xf>
    <xf numFmtId="0" fontId="16" fillId="0" borderId="10" xfId="0" applyFont="1" applyBorder="1" applyAlignment="1">
      <alignment horizontal="center" wrapText="1"/>
    </xf>
    <xf numFmtId="0" fontId="16" fillId="0" borderId="0" xfId="0" applyFont="1" applyAlignment="1">
      <alignment horizontal="left" indent="3"/>
    </xf>
    <xf numFmtId="0" fontId="19" fillId="0" borderId="0" xfId="0" applyFont="1" applyFill="1"/>
    <xf numFmtId="0" fontId="19" fillId="0" borderId="0" xfId="0" applyFont="1" applyAlignment="1">
      <alignment horizontal="center"/>
    </xf>
    <xf numFmtId="2" fontId="19" fillId="0" borderId="0" xfId="0" applyNumberFormat="1" applyFont="1"/>
    <xf numFmtId="0" fontId="30" fillId="0" borderId="0" xfId="0" applyFont="1" applyAlignment="1">
      <alignment horizontal="center"/>
    </xf>
    <xf numFmtId="0" fontId="27" fillId="0" borderId="0" xfId="0" applyFont="1" applyFill="1" applyAlignment="1">
      <alignment horizontal="center"/>
    </xf>
    <xf numFmtId="0" fontId="16" fillId="0" borderId="10" xfId="0" applyFont="1" applyFill="1" applyBorder="1" applyAlignment="1">
      <alignment horizontal="center" wrapText="1"/>
    </xf>
    <xf numFmtId="2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0" fontId="29" fillId="0" borderId="0" xfId="0" applyFont="1" applyAlignment="1">
      <alignment wrapText="1"/>
    </xf>
    <xf numFmtId="0" fontId="29" fillId="0" borderId="0" xfId="0" applyFont="1"/>
    <xf numFmtId="0" fontId="29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168" fontId="0" fillId="0" borderId="0" xfId="0" applyNumberFormat="1" applyAlignment="1">
      <alignment horizontal="center"/>
    </xf>
    <xf numFmtId="49" fontId="22" fillId="0" borderId="0" xfId="42" applyNumberFormat="1" applyFont="1" applyAlignment="1">
      <alignment horizontal="left" indent="4"/>
    </xf>
    <xf numFmtId="0" fontId="32" fillId="0" borderId="0" xfId="0" applyFont="1" applyAlignment="1">
      <alignment horizontal="left"/>
    </xf>
    <xf numFmtId="167" fontId="28" fillId="0" borderId="0" xfId="0" applyNumberFormat="1" applyFont="1"/>
    <xf numFmtId="2" fontId="28" fillId="0" borderId="0" xfId="0" applyNumberFormat="1" applyFont="1"/>
    <xf numFmtId="0" fontId="19" fillId="0" borderId="0" xfId="0" applyFont="1" applyAlignment="1">
      <alignment horizontal="right"/>
    </xf>
    <xf numFmtId="0" fontId="29" fillId="0" borderId="0" xfId="0" applyFont="1" applyAlignment="1">
      <alignment horizontal="right"/>
    </xf>
    <xf numFmtId="0" fontId="0" fillId="0" borderId="0" xfId="0" applyAlignment="1">
      <alignment horizontal="right"/>
    </xf>
    <xf numFmtId="14" fontId="36" fillId="0" borderId="0" xfId="0" applyNumberFormat="1" applyFont="1" applyAlignment="1">
      <alignment horizontal="center"/>
    </xf>
    <xf numFmtId="14" fontId="29" fillId="0" borderId="0" xfId="0" applyNumberFormat="1" applyFont="1"/>
    <xf numFmtId="0" fontId="37" fillId="0" borderId="0" xfId="0" applyFont="1" applyAlignment="1">
      <alignment wrapText="1"/>
    </xf>
    <xf numFmtId="0" fontId="16" fillId="0" borderId="0" xfId="0" applyFont="1" applyAlignment="1">
      <alignment horizontal="center" wrapText="1"/>
    </xf>
    <xf numFmtId="14" fontId="28" fillId="0" borderId="0" xfId="0" applyNumberFormat="1" applyFont="1"/>
    <xf numFmtId="49" fontId="22" fillId="0" borderId="0" xfId="42" applyNumberFormat="1" applyFont="1" applyAlignment="1">
      <alignment horizontal="left" indent="4"/>
    </xf>
    <xf numFmtId="14" fontId="36" fillId="0" borderId="0" xfId="0" applyNumberFormat="1" applyFont="1"/>
    <xf numFmtId="2" fontId="29" fillId="0" borderId="0" xfId="0" applyNumberFormat="1" applyFont="1"/>
    <xf numFmtId="0" fontId="25" fillId="0" borderId="0" xfId="0" applyFont="1" applyFill="1" applyAlignment="1">
      <alignment vertical="center"/>
    </xf>
    <xf numFmtId="10" fontId="0" fillId="0" borderId="0" xfId="44" applyNumberFormat="1" applyFont="1" applyAlignment="1">
      <alignment horizontal="center"/>
    </xf>
    <xf numFmtId="0" fontId="38" fillId="0" borderId="0" xfId="0" applyFont="1" applyAlignment="1">
      <alignment wrapText="1"/>
    </xf>
    <xf numFmtId="1" fontId="0" fillId="0" borderId="0" xfId="0" applyNumberFormat="1"/>
    <xf numFmtId="2" fontId="0" fillId="0" borderId="0" xfId="0" applyNumberFormat="1" applyAlignment="1">
      <alignment horizontal="right"/>
    </xf>
    <xf numFmtId="0" fontId="29" fillId="0" borderId="0" xfId="0" applyNumberFormat="1" applyFont="1"/>
    <xf numFmtId="49" fontId="22" fillId="0" borderId="0" xfId="42" applyNumberFormat="1" applyFont="1" applyAlignment="1">
      <alignment horizontal="left" indent="4"/>
    </xf>
    <xf numFmtId="0" fontId="26" fillId="0" borderId="0" xfId="0" applyFont="1" applyAlignment="1">
      <alignment horizontal="center" wrapText="1"/>
    </xf>
    <xf numFmtId="10" fontId="19" fillId="0" borderId="0" xfId="44" applyNumberFormat="1" applyFont="1"/>
    <xf numFmtId="0" fontId="37" fillId="0" borderId="0" xfId="0" applyFont="1" applyAlignment="1">
      <alignment horizontal="center" wrapText="1"/>
    </xf>
    <xf numFmtId="10" fontId="29" fillId="0" borderId="0" xfId="44" applyNumberFormat="1" applyFont="1"/>
    <xf numFmtId="0" fontId="28" fillId="0" borderId="0" xfId="0" applyFont="1"/>
    <xf numFmtId="0" fontId="0" fillId="0" borderId="11" xfId="0" applyBorder="1"/>
    <xf numFmtId="0" fontId="0" fillId="0" borderId="0" xfId="0" quotePrefix="1" applyFill="1" applyAlignment="1">
      <alignment horizontal="left" vertical="center" indent="1"/>
    </xf>
    <xf numFmtId="0" fontId="25" fillId="0" borderId="0" xfId="0" applyFont="1" applyFill="1" applyAlignment="1">
      <alignment horizontal="right" vertical="center"/>
    </xf>
    <xf numFmtId="49" fontId="22" fillId="0" borderId="0" xfId="42" applyNumberFormat="1" applyFont="1" applyAlignment="1">
      <alignment horizontal="left" indent="4"/>
    </xf>
    <xf numFmtId="0" fontId="34" fillId="0" borderId="0" xfId="42" applyFont="1" applyFill="1" applyAlignment="1">
      <alignment horizontal="center"/>
    </xf>
    <xf numFmtId="0" fontId="33" fillId="0" borderId="0" xfId="42" applyFont="1" applyAlignment="1">
      <alignment horizontal="center"/>
    </xf>
    <xf numFmtId="0" fontId="35" fillId="0" borderId="0" xfId="42" applyFont="1" applyAlignment="1">
      <alignment horizontal="center"/>
    </xf>
    <xf numFmtId="0" fontId="20" fillId="0" borderId="11" xfId="42" applyFont="1" applyFill="1" applyBorder="1" applyAlignment="1">
      <alignment horizontal="center"/>
    </xf>
    <xf numFmtId="172" fontId="0" fillId="0" borderId="0" xfId="44" applyNumberFormat="1" applyFont="1" applyAlignment="1">
      <alignment horizontal="center"/>
    </xf>
    <xf numFmtId="0" fontId="16" fillId="0" borderId="0" xfId="0" applyFont="1" applyAlignment="1">
      <alignment horizontal="center"/>
    </xf>
    <xf numFmtId="10" fontId="28" fillId="0" borderId="0" xfId="44" applyNumberFormat="1" applyFont="1" applyAlignment="1">
      <alignment horizontal="center"/>
    </xf>
    <xf numFmtId="0" fontId="19" fillId="0" borderId="0" xfId="0" applyFont="1" applyFill="1" applyBorder="1"/>
    <xf numFmtId="2" fontId="19" fillId="0" borderId="0" xfId="0" applyNumberFormat="1" applyFont="1" applyFill="1" applyBorder="1" applyAlignment="1">
      <alignment horizontal="center"/>
    </xf>
    <xf numFmtId="168" fontId="19" fillId="0" borderId="0" xfId="0" applyNumberFormat="1" applyFont="1" applyFill="1" applyBorder="1" applyAlignment="1">
      <alignment horizontal="center"/>
    </xf>
    <xf numFmtId="0" fontId="36" fillId="0" borderId="0" xfId="0" applyFont="1" applyFill="1" applyBorder="1" applyAlignment="1">
      <alignment horizontal="center"/>
    </xf>
    <xf numFmtId="0" fontId="19" fillId="0" borderId="0" xfId="0" applyFont="1" applyFill="1" applyBorder="1" applyAlignment="1">
      <alignment horizontal="center"/>
    </xf>
    <xf numFmtId="0" fontId="19" fillId="0" borderId="0" xfId="42" applyFont="1" applyFill="1" applyBorder="1" applyAlignment="1">
      <alignment horizontal="center"/>
    </xf>
    <xf numFmtId="0" fontId="19" fillId="0" borderId="0" xfId="42" applyFont="1" applyFill="1" applyBorder="1"/>
    <xf numFmtId="0" fontId="19" fillId="0" borderId="0" xfId="43" applyFont="1" applyFill="1" applyBorder="1" applyAlignment="1"/>
    <xf numFmtId="10" fontId="20" fillId="0" borderId="0" xfId="44" applyNumberFormat="1" applyFont="1" applyFill="1" applyBorder="1" applyAlignment="1">
      <alignment horizontal="center"/>
    </xf>
    <xf numFmtId="0" fontId="16" fillId="0" borderId="0" xfId="0" applyFont="1"/>
    <xf numFmtId="10" fontId="20" fillId="0" borderId="0" xfId="44" applyNumberFormat="1" applyFont="1" applyFill="1" applyBorder="1" applyAlignment="1"/>
    <xf numFmtId="10" fontId="16" fillId="0" borderId="0" xfId="44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10" fontId="16" fillId="0" borderId="0" xfId="44" applyNumberFormat="1" applyFont="1" applyAlignment="1">
      <alignment horizontal="center"/>
    </xf>
    <xf numFmtId="0" fontId="13" fillId="0" borderId="0" xfId="42" applyFont="1" applyFill="1" applyBorder="1" applyAlignment="1">
      <alignment horizontal="center"/>
    </xf>
    <xf numFmtId="0" fontId="36" fillId="0" borderId="0" xfId="0" applyFont="1" applyFill="1" applyAlignment="1">
      <alignment horizontal="center"/>
    </xf>
    <xf numFmtId="2" fontId="20" fillId="0" borderId="0" xfId="42" applyNumberFormat="1" applyFont="1" applyFill="1" applyBorder="1" applyAlignment="1"/>
    <xf numFmtId="0" fontId="0" fillId="0" borderId="0" xfId="0" applyAlignment="1">
      <alignment wrapText="1"/>
    </xf>
    <xf numFmtId="0" fontId="108" fillId="0" borderId="0" xfId="0" applyFont="1" applyAlignment="1">
      <alignment horizontal="center"/>
    </xf>
    <xf numFmtId="0" fontId="34" fillId="0" borderId="0" xfId="42" applyFont="1" applyFill="1" applyAlignment="1"/>
    <xf numFmtId="0" fontId="33" fillId="0" borderId="0" xfId="42" applyFont="1" applyAlignment="1"/>
    <xf numFmtId="0" fontId="35" fillId="0" borderId="0" xfId="42" applyFont="1" applyAlignment="1"/>
    <xf numFmtId="173" fontId="0" fillId="0" borderId="0" xfId="44" applyNumberFormat="1" applyFont="1" applyAlignment="1">
      <alignment horizontal="center"/>
    </xf>
    <xf numFmtId="174" fontId="0" fillId="0" borderId="0" xfId="0" applyNumberFormat="1"/>
    <xf numFmtId="0" fontId="16" fillId="0" borderId="0" xfId="0" applyFont="1" applyAlignment="1"/>
    <xf numFmtId="2" fontId="0" fillId="33" borderId="0" xfId="0" applyNumberFormat="1" applyFill="1" applyAlignment="1">
      <alignment horizontal="right"/>
    </xf>
    <xf numFmtId="49" fontId="22" fillId="0" borderId="0" xfId="42" applyNumberFormat="1" applyFont="1" applyAlignment="1">
      <alignment horizontal="left" indent="4"/>
    </xf>
    <xf numFmtId="0" fontId="34" fillId="0" borderId="0" xfId="42" applyFont="1" applyFill="1" applyAlignment="1">
      <alignment horizontal="center"/>
    </xf>
    <xf numFmtId="0" fontId="33" fillId="0" borderId="0" xfId="42" applyFont="1" applyAlignment="1">
      <alignment horizontal="center"/>
    </xf>
    <xf numFmtId="0" fontId="35" fillId="0" borderId="0" xfId="42" applyFont="1" applyAlignment="1">
      <alignment horizontal="center"/>
    </xf>
    <xf numFmtId="0" fontId="20" fillId="0" borderId="11" xfId="42" applyFont="1" applyFill="1" applyBorder="1" applyAlignment="1">
      <alignment horizontal="center"/>
    </xf>
    <xf numFmtId="2" fontId="0" fillId="0" borderId="0" xfId="44" applyNumberFormat="1" applyFont="1" applyAlignment="1">
      <alignment horizontal="center"/>
    </xf>
    <xf numFmtId="0" fontId="17" fillId="0" borderId="0" xfId="0" applyFont="1" applyFill="1" applyAlignment="1">
      <alignment horizontal="center"/>
    </xf>
    <xf numFmtId="2" fontId="16" fillId="0" borderId="0" xfId="44" applyNumberFormat="1" applyFont="1" applyAlignment="1">
      <alignment horizontal="center"/>
    </xf>
    <xf numFmtId="10" fontId="16" fillId="0" borderId="0" xfId="44" applyNumberFormat="1" applyFont="1"/>
    <xf numFmtId="49" fontId="22" fillId="0" borderId="0" xfId="42" applyNumberFormat="1" applyFont="1" applyAlignment="1">
      <alignment horizontal="left" indent="4"/>
    </xf>
    <xf numFmtId="0" fontId="34" fillId="0" borderId="0" xfId="42" applyFont="1" applyFill="1" applyAlignment="1">
      <alignment horizontal="center"/>
    </xf>
    <xf numFmtId="0" fontId="33" fillId="0" borderId="0" xfId="42" applyFont="1" applyAlignment="1">
      <alignment horizontal="center"/>
    </xf>
    <xf numFmtId="0" fontId="35" fillId="0" borderId="0" xfId="42" applyFont="1" applyAlignment="1">
      <alignment horizontal="center"/>
    </xf>
    <xf numFmtId="0" fontId="20" fillId="0" borderId="11" xfId="42" applyFont="1" applyFill="1" applyBorder="1" applyAlignment="1">
      <alignment horizontal="center"/>
    </xf>
    <xf numFmtId="15" fontId="0" fillId="0" borderId="0" xfId="0" applyNumberFormat="1"/>
    <xf numFmtId="175" fontId="19" fillId="0" borderId="0" xfId="42" applyNumberFormat="1" applyFont="1"/>
    <xf numFmtId="10" fontId="19" fillId="0" borderId="0" xfId="3798" applyNumberFormat="1" applyFont="1" applyAlignment="1">
      <alignment horizontal="center"/>
    </xf>
    <xf numFmtId="10" fontId="19" fillId="0" borderId="0" xfId="3798" applyNumberFormat="1" applyFont="1" applyFill="1" applyAlignment="1">
      <alignment horizontal="center"/>
    </xf>
    <xf numFmtId="0" fontId="20" fillId="0" borderId="0" xfId="42" applyFont="1" applyAlignment="1">
      <alignment horizontal="center"/>
    </xf>
    <xf numFmtId="175" fontId="20" fillId="0" borderId="0" xfId="42" applyNumberFormat="1" applyFont="1" applyFill="1" applyAlignment="1">
      <alignment horizontal="center"/>
    </xf>
    <xf numFmtId="10" fontId="20" fillId="0" borderId="0" xfId="3798" applyNumberFormat="1" applyFont="1" applyFill="1" applyAlignment="1">
      <alignment horizontal="center"/>
    </xf>
    <xf numFmtId="0" fontId="22" fillId="0" borderId="0" xfId="42" applyFont="1" applyAlignment="1">
      <alignment horizontal="center"/>
    </xf>
    <xf numFmtId="175" fontId="22" fillId="0" borderId="0" xfId="42" applyNumberFormat="1" applyFont="1" applyFill="1" applyAlignment="1">
      <alignment horizontal="center"/>
    </xf>
    <xf numFmtId="10" fontId="22" fillId="0" borderId="0" xfId="3798" applyNumberFormat="1" applyFont="1" applyFill="1" applyAlignment="1">
      <alignment horizontal="center"/>
    </xf>
    <xf numFmtId="164" fontId="20" fillId="0" borderId="0" xfId="3798" applyNumberFormat="1" applyFont="1" applyFill="1" applyAlignment="1">
      <alignment horizontal="center"/>
    </xf>
    <xf numFmtId="0" fontId="111" fillId="0" borderId="0" xfId="42" applyFont="1"/>
    <xf numFmtId="1" fontId="0" fillId="0" borderId="0" xfId="0" applyNumberFormat="1" applyAlignment="1">
      <alignment horizontal="center"/>
    </xf>
    <xf numFmtId="10" fontId="19" fillId="0" borderId="0" xfId="44" applyNumberFormat="1" applyFont="1" applyAlignment="1">
      <alignment horizontal="center"/>
    </xf>
    <xf numFmtId="171" fontId="19" fillId="0" borderId="0" xfId="42" applyNumberFormat="1" applyFont="1"/>
    <xf numFmtId="176" fontId="19" fillId="0" borderId="0" xfId="42" applyNumberFormat="1" applyFont="1"/>
    <xf numFmtId="49" fontId="19" fillId="0" borderId="0" xfId="42" applyNumberFormat="1" applyFont="1"/>
    <xf numFmtId="43" fontId="111" fillId="0" borderId="0" xfId="4159" applyFont="1"/>
    <xf numFmtId="49" fontId="111" fillId="0" borderId="0" xfId="42" applyNumberFormat="1" applyFont="1"/>
    <xf numFmtId="176" fontId="0" fillId="0" borderId="0" xfId="0" applyNumberFormat="1" applyAlignment="1">
      <alignment horizontal="center"/>
    </xf>
    <xf numFmtId="176" fontId="19" fillId="0" borderId="0" xfId="42" applyNumberFormat="1" applyFont="1" applyAlignment="1">
      <alignment horizontal="center"/>
    </xf>
    <xf numFmtId="175" fontId="20" fillId="0" borderId="0" xfId="42" applyNumberFormat="1" applyFont="1" applyAlignment="1">
      <alignment horizontal="left"/>
    </xf>
    <xf numFmtId="10" fontId="20" fillId="0" borderId="0" xfId="3798" applyNumberFormat="1" applyFont="1" applyAlignment="1">
      <alignment horizontal="center"/>
    </xf>
    <xf numFmtId="10" fontId="19" fillId="0" borderId="0" xfId="42" applyNumberFormat="1" applyFont="1"/>
    <xf numFmtId="175" fontId="20" fillId="0" borderId="0" xfId="42" applyNumberFormat="1" applyFont="1" applyAlignment="1">
      <alignment horizontal="center"/>
    </xf>
    <xf numFmtId="10" fontId="19" fillId="0" borderId="11" xfId="3798" applyNumberFormat="1" applyFont="1" applyFill="1" applyBorder="1" applyAlignment="1">
      <alignment horizontal="center"/>
    </xf>
    <xf numFmtId="10" fontId="19" fillId="0" borderId="0" xfId="3798" applyNumberFormat="1" applyFont="1" applyFill="1" applyBorder="1" applyAlignment="1">
      <alignment horizontal="center"/>
    </xf>
    <xf numFmtId="0" fontId="112" fillId="0" borderId="0" xfId="42" applyFont="1"/>
    <xf numFmtId="177" fontId="18" fillId="0" borderId="0" xfId="4160" applyNumberFormat="1"/>
    <xf numFmtId="167" fontId="18" fillId="0" borderId="0" xfId="4160" applyNumberFormat="1"/>
    <xf numFmtId="0" fontId="18" fillId="0" borderId="0" xfId="4160"/>
    <xf numFmtId="177" fontId="113" fillId="0" borderId="0" xfId="4161" applyNumberFormat="1" applyAlignment="1" applyProtection="1"/>
    <xf numFmtId="0" fontId="18" fillId="75" borderId="0" xfId="4160" applyFill="1"/>
    <xf numFmtId="177" fontId="18" fillId="0" borderId="0" xfId="4160" applyNumberFormat="1" applyFont="1" applyFill="1" applyBorder="1" applyAlignment="1" applyProtection="1"/>
    <xf numFmtId="167" fontId="18" fillId="0" borderId="0" xfId="4160" applyNumberFormat="1" applyFont="1" applyFill="1" applyBorder="1" applyAlignment="1" applyProtection="1"/>
    <xf numFmtId="167" fontId="18" fillId="0" borderId="0" xfId="4160" applyNumberFormat="1" applyFont="1" applyFill="1" applyBorder="1" applyAlignment="1" applyProtection="1">
      <alignment horizontal="right"/>
    </xf>
    <xf numFmtId="177" fontId="18" fillId="0" borderId="0" xfId="4160" applyNumberFormat="1" applyFont="1"/>
    <xf numFmtId="1" fontId="18" fillId="0" borderId="0" xfId="4160" applyNumberFormat="1"/>
    <xf numFmtId="167" fontId="28" fillId="0" borderId="0" xfId="0" applyNumberFormat="1" applyFont="1" applyAlignment="1">
      <alignment horizontal="right"/>
    </xf>
    <xf numFmtId="0" fontId="29" fillId="0" borderId="32" xfId="0" applyFont="1" applyBorder="1"/>
    <xf numFmtId="0" fontId="29" fillId="0" borderId="33" xfId="0" applyFont="1" applyBorder="1"/>
    <xf numFmtId="167" fontId="29" fillId="0" borderId="33" xfId="0" applyNumberFormat="1" applyFont="1" applyBorder="1"/>
    <xf numFmtId="2" fontId="0" fillId="33" borderId="0" xfId="0" applyNumberFormat="1" applyFill="1"/>
    <xf numFmtId="0" fontId="29" fillId="0" borderId="34" xfId="0" applyFont="1" applyBorder="1"/>
    <xf numFmtId="0" fontId="29" fillId="0" borderId="35" xfId="0" applyFont="1" applyBorder="1"/>
    <xf numFmtId="0" fontId="29" fillId="0" borderId="36" xfId="0" applyFont="1" applyBorder="1"/>
    <xf numFmtId="0" fontId="29" fillId="0" borderId="37" xfId="0" applyFont="1" applyBorder="1"/>
    <xf numFmtId="0" fontId="29" fillId="0" borderId="0" xfId="0" applyFont="1" applyBorder="1"/>
    <xf numFmtId="2" fontId="29" fillId="0" borderId="0" xfId="0" applyNumberFormat="1" applyFont="1" applyBorder="1"/>
    <xf numFmtId="0" fontId="29" fillId="0" borderId="38" xfId="0" applyFont="1" applyBorder="1"/>
    <xf numFmtId="167" fontId="29" fillId="0" borderId="0" xfId="0" applyNumberFormat="1" applyFont="1" applyBorder="1"/>
    <xf numFmtId="0" fontId="17" fillId="0" borderId="0" xfId="0" applyFont="1" applyFill="1"/>
    <xf numFmtId="0" fontId="16" fillId="0" borderId="0" xfId="0" applyFont="1" applyAlignment="1">
      <alignment horizontal="center"/>
    </xf>
    <xf numFmtId="49" fontId="22" fillId="0" borderId="0" xfId="42" applyNumberFormat="1" applyFont="1" applyAlignment="1">
      <alignment horizontal="left" indent="4"/>
    </xf>
    <xf numFmtId="0" fontId="34" fillId="0" borderId="0" xfId="42" applyFont="1" applyFill="1" applyAlignment="1">
      <alignment horizontal="center"/>
    </xf>
    <xf numFmtId="0" fontId="33" fillId="0" borderId="0" xfId="42" applyFont="1" applyAlignment="1">
      <alignment horizontal="center"/>
    </xf>
    <xf numFmtId="0" fontId="35" fillId="0" borderId="0" xfId="42" applyFont="1" applyAlignment="1">
      <alignment horizontal="center"/>
    </xf>
    <xf numFmtId="0" fontId="20" fillId="0" borderId="11" xfId="42" applyFont="1" applyFill="1" applyBorder="1" applyAlignment="1">
      <alignment horizontal="center"/>
    </xf>
    <xf numFmtId="0" fontId="29" fillId="33" borderId="0" xfId="0" applyFont="1" applyFill="1"/>
    <xf numFmtId="167" fontId="28" fillId="0" borderId="0" xfId="0" applyNumberFormat="1" applyFont="1" applyAlignment="1">
      <alignment horizontal="center"/>
    </xf>
    <xf numFmtId="2" fontId="28" fillId="0" borderId="0" xfId="0" applyNumberFormat="1" applyFont="1" applyAlignment="1">
      <alignment horizontal="center"/>
    </xf>
    <xf numFmtId="0" fontId="0" fillId="0" borderId="0" xfId="0" applyFont="1" applyFill="1"/>
    <xf numFmtId="168" fontId="0" fillId="0" borderId="0" xfId="0" applyNumberFormat="1" applyFill="1" applyAlignment="1">
      <alignment horizontal="center"/>
    </xf>
    <xf numFmtId="10" fontId="0" fillId="0" borderId="0" xfId="44" applyNumberFormat="1" applyFont="1" applyFill="1" applyAlignment="1">
      <alignment horizontal="center"/>
    </xf>
    <xf numFmtId="2" fontId="19" fillId="0" borderId="0" xfId="0" applyNumberFormat="1" applyFont="1" applyFill="1" applyBorder="1"/>
    <xf numFmtId="14" fontId="19" fillId="0" borderId="0" xfId="0" applyNumberFormat="1" applyFont="1" applyFill="1" applyBorder="1" applyAlignment="1">
      <alignment horizontal="center"/>
    </xf>
    <xf numFmtId="14" fontId="0" fillId="0" borderId="0" xfId="0" applyNumberFormat="1" applyAlignment="1">
      <alignment horizontal="center"/>
    </xf>
    <xf numFmtId="178" fontId="0" fillId="0" borderId="0" xfId="0" applyNumberFormat="1" applyAlignment="1">
      <alignment horizontal="center"/>
    </xf>
    <xf numFmtId="0" fontId="20" fillId="0" borderId="0" xfId="42" applyFont="1" applyFill="1" applyAlignment="1">
      <alignment horizontal="center"/>
    </xf>
    <xf numFmtId="1" fontId="0" fillId="0" borderId="0" xfId="44" applyNumberFormat="1" applyFont="1" applyAlignment="1">
      <alignment horizontal="center"/>
    </xf>
    <xf numFmtId="16" fontId="22" fillId="0" borderId="0" xfId="42" quotePrefix="1" applyNumberFormat="1" applyFont="1" applyFill="1" applyBorder="1" applyAlignment="1">
      <alignment horizontal="center"/>
    </xf>
    <xf numFmtId="178" fontId="0" fillId="0" borderId="0" xfId="0" applyNumberFormat="1"/>
    <xf numFmtId="168" fontId="0" fillId="0" borderId="0" xfId="0" applyNumberFormat="1"/>
    <xf numFmtId="10" fontId="0" fillId="0" borderId="0" xfId="44" applyNumberFormat="1" applyFont="1"/>
    <xf numFmtId="2" fontId="19" fillId="0" borderId="0" xfId="42" applyNumberFormat="1" applyFont="1" applyFill="1"/>
    <xf numFmtId="14" fontId="0" fillId="0" borderId="0" xfId="44" applyNumberFormat="1" applyFont="1" applyAlignment="1">
      <alignment horizontal="center"/>
    </xf>
    <xf numFmtId="0" fontId="20" fillId="0" borderId="11" xfId="42" applyFont="1" applyFill="1" applyBorder="1" applyAlignment="1"/>
    <xf numFmtId="2" fontId="28" fillId="0" borderId="0" xfId="0" applyNumberFormat="1" applyFont="1" applyAlignment="1">
      <alignment horizontal="right"/>
    </xf>
    <xf numFmtId="0" fontId="16" fillId="0" borderId="0" xfId="0" applyFont="1" applyAlignment="1">
      <alignment horizontal="left" vertical="center" wrapText="1"/>
    </xf>
    <xf numFmtId="10" fontId="19" fillId="0" borderId="0" xfId="0" applyNumberFormat="1" applyFont="1" applyFill="1" applyBorder="1"/>
    <xf numFmtId="2" fontId="28" fillId="0" borderId="0" xfId="0" applyNumberFormat="1" applyFont="1" applyFill="1"/>
    <xf numFmtId="49" fontId="22" fillId="0" borderId="0" xfId="42" applyNumberFormat="1" applyFont="1" applyAlignment="1">
      <alignment horizontal="left" indent="4"/>
    </xf>
    <xf numFmtId="0" fontId="16" fillId="0" borderId="0" xfId="0" applyFont="1" applyAlignment="1">
      <alignment horizontal="left" vertical="center" wrapText="1"/>
    </xf>
    <xf numFmtId="10" fontId="19" fillId="0" borderId="0" xfId="42" applyNumberFormat="1" applyFont="1" applyFill="1"/>
    <xf numFmtId="167" fontId="28" fillId="0" borderId="0" xfId="0" applyNumberFormat="1" applyFont="1" applyFill="1" applyAlignment="1">
      <alignment horizontal="right"/>
    </xf>
    <xf numFmtId="167" fontId="28" fillId="0" borderId="0" xfId="0" applyNumberFormat="1" applyFont="1" applyFill="1"/>
    <xf numFmtId="14" fontId="28" fillId="0" borderId="0" xfId="0" applyNumberFormat="1" applyFont="1" applyFill="1"/>
    <xf numFmtId="2" fontId="0" fillId="0" borderId="0" xfId="0" applyNumberFormat="1" applyFill="1"/>
    <xf numFmtId="2" fontId="19" fillId="0" borderId="0" xfId="0" applyNumberFormat="1" applyFont="1" applyFill="1"/>
    <xf numFmtId="10" fontId="19" fillId="0" borderId="0" xfId="44" applyNumberFormat="1" applyFont="1" applyFill="1"/>
    <xf numFmtId="167" fontId="0" fillId="0" borderId="0" xfId="0" applyNumberFormat="1" applyFill="1"/>
    <xf numFmtId="0" fontId="34" fillId="0" borderId="0" xfId="42" applyFont="1" applyFill="1" applyAlignment="1">
      <alignment horizontal="center"/>
    </xf>
    <xf numFmtId="49" fontId="22" fillId="0" borderId="0" xfId="42" applyNumberFormat="1" applyFont="1" applyAlignment="1">
      <alignment horizontal="left" indent="4"/>
    </xf>
    <xf numFmtId="2" fontId="20" fillId="0" borderId="11" xfId="42" applyNumberFormat="1" applyFont="1" applyFill="1" applyBorder="1" applyAlignment="1">
      <alignment horizontal="center"/>
    </xf>
    <xf numFmtId="0" fontId="34" fillId="0" borderId="0" xfId="42" applyFont="1" applyFill="1" applyAlignment="1">
      <alignment horizontal="center"/>
    </xf>
    <xf numFmtId="0" fontId="33" fillId="0" borderId="0" xfId="42" applyFont="1" applyAlignment="1">
      <alignment horizontal="center"/>
    </xf>
    <xf numFmtId="0" fontId="35" fillId="0" borderId="0" xfId="42" applyFont="1" applyAlignment="1">
      <alignment horizontal="center"/>
    </xf>
    <xf numFmtId="0" fontId="20" fillId="0" borderId="11" xfId="42" applyFont="1" applyFill="1" applyBorder="1" applyAlignment="1">
      <alignment horizontal="center"/>
    </xf>
    <xf numFmtId="0" fontId="16" fillId="0" borderId="11" xfId="0" applyFont="1" applyBorder="1" applyAlignment="1">
      <alignment horizontal="center"/>
    </xf>
    <xf numFmtId="2" fontId="20" fillId="0" borderId="0" xfId="42" applyNumberFormat="1" applyFont="1" applyFill="1" applyBorder="1" applyAlignment="1">
      <alignment horizontal="center"/>
    </xf>
    <xf numFmtId="49" fontId="22" fillId="0" borderId="0" xfId="42" applyNumberFormat="1" applyFont="1" applyFill="1" applyBorder="1" applyAlignment="1">
      <alignment horizontal="left" indent="4"/>
    </xf>
    <xf numFmtId="0" fontId="16" fillId="0" borderId="0" xfId="0" applyFont="1" applyAlignment="1">
      <alignment horizontal="center"/>
    </xf>
    <xf numFmtId="0" fontId="109" fillId="0" borderId="0" xfId="42" applyFont="1" applyAlignment="1">
      <alignment horizontal="center"/>
    </xf>
    <xf numFmtId="0" fontId="110" fillId="0" borderId="0" xfId="42" applyFont="1" applyAlignment="1">
      <alignment horizontal="center"/>
    </xf>
  </cellXfs>
  <cellStyles count="4162">
    <cellStyle name="_x000a_bidires=100_x000d_" xfId="45"/>
    <cellStyle name="_2008 Reforecast 0+12  03.14.08" xfId="46"/>
    <cellStyle name="_2008 Reforecast 0+12  03.14.08_Avera UIL NEEWS Analyses 2011" xfId="47"/>
    <cellStyle name="_2008 Reforecast 0+12  03.14.08_Avera UIL NEEWS Analyses 2011_Baudino Exhibits" xfId="48"/>
    <cellStyle name="_2008 Reforecast 0+12  03.14.08_Avera UIL NEEWS Analyses 2011_Baudino Exhibits 2" xfId="49"/>
    <cellStyle name="_2008 Reforecast 0+12  03.14.08_Baudino Exhibits" xfId="50"/>
    <cellStyle name="_2008 Reforecast 0+12  03.14.08_Baudino Exhibits 2" xfId="51"/>
    <cellStyle name="_2008 Reforecast 0+12  03.14.08_Value Line Data Base" xfId="52"/>
    <cellStyle name="_2008 Reforecast 0+12  03.14.08_Value Line Data Base 2" xfId="53"/>
    <cellStyle name="_2008_ACCT 17103" xfId="54"/>
    <cellStyle name="_2008_ACCT 17103_Avera UIL NEEWS Analyses 2011" xfId="55"/>
    <cellStyle name="_2008_ACCT 17103_Avera UIL NEEWS Analyses 2011_Baudino Exhibits" xfId="56"/>
    <cellStyle name="_2008_ACCT 17103_Avera UIL NEEWS Analyses 2011_Baudino Exhibits 2" xfId="57"/>
    <cellStyle name="_2008_ACCT 17103_Baudino Exhibits" xfId="58"/>
    <cellStyle name="_2008_ACCT 17103_Baudino Exhibits 2" xfId="59"/>
    <cellStyle name="_2008_ACCT 17103_Value Line Data Base" xfId="60"/>
    <cellStyle name="_2008_ACCT 17103_Value Line Data Base 2" xfId="61"/>
    <cellStyle name="_2009 Budget 5_02_08  FINAL" xfId="62"/>
    <cellStyle name="_2009 Budget 5_02_08  FINAL_Avera UIL NEEWS Analyses 2011" xfId="63"/>
    <cellStyle name="_2009 Budget 5_02_08  FINAL_Avera UIL NEEWS Analyses 2011_Baudino Exhibits" xfId="64"/>
    <cellStyle name="_2009 Budget 5_02_08  FINAL_Avera UIL NEEWS Analyses 2011_Baudino Exhibits 2" xfId="65"/>
    <cellStyle name="_2009 Budget 5_02_08  FINAL_Baudino Exhibits" xfId="66"/>
    <cellStyle name="_2009 Budget 5_02_08  FINAL_Baudino Exhibits 2" xfId="67"/>
    <cellStyle name="_2009 Budget 5_02_08  FINAL_Value Line Data Base" xfId="68"/>
    <cellStyle name="_2009 Budget 5_02_08  FINAL_Value Line Data Base 2" xfId="69"/>
    <cellStyle name="_Reformatted Cash Flow Consolidation 0706" xfId="70"/>
    <cellStyle name="_Reformatted Cash Flow Consolidation 0706_Avera UIL NEEWS Analyses 2011" xfId="71"/>
    <cellStyle name="_Reformatted Cash Flow Consolidation 0706_Avera UIL NEEWS Analyses 2011_Baudino Exhibits" xfId="72"/>
    <cellStyle name="_Reformatted Cash Flow Consolidation 0706_Avera UIL NEEWS Analyses 2011_Baudino Exhibits 2" xfId="73"/>
    <cellStyle name="_Reformatted Cash Flow Consolidation 0706_Baudino Exhibits" xfId="74"/>
    <cellStyle name="_Reformatted Cash Flow Consolidation 0706_Baudino Exhibits 2" xfId="75"/>
    <cellStyle name="_Reformatted Cash Flow Consolidation 0706_Value Line Data Base" xfId="76"/>
    <cellStyle name="_Reformatted Cash Flow Consolidation 0706_Value Line Data Base 2" xfId="77"/>
    <cellStyle name="_Reformatted Cash Flow Consolidation 0906" xfId="78"/>
    <cellStyle name="_Reformatted Cash Flow Consolidation 0906_Avera UIL NEEWS Analyses 2011" xfId="79"/>
    <cellStyle name="_Reformatted Cash Flow Consolidation 0906_Avera UIL NEEWS Analyses 2011_Baudino Exhibits" xfId="80"/>
    <cellStyle name="_Reformatted Cash Flow Consolidation 0906_Avera UIL NEEWS Analyses 2011_Baudino Exhibits 2" xfId="81"/>
    <cellStyle name="_Reformatted Cash Flow Consolidation 0906_Baudino Exhibits" xfId="82"/>
    <cellStyle name="_Reformatted Cash Flow Consolidation 0906_Baudino Exhibits 2" xfId="83"/>
    <cellStyle name="_Reformatted Cash Flow Consolidation 0906_Value Line Data Base" xfId="84"/>
    <cellStyle name="_Reformatted Cash Flow Consolidation 0906_Value Line Data Base 2" xfId="85"/>
    <cellStyle name="20% - Accent1" xfId="19" builtinId="30" customBuiltin="1"/>
    <cellStyle name="20% - Accent1 10" xfId="86"/>
    <cellStyle name="20% - Accent1 10 10" xfId="87"/>
    <cellStyle name="20% - Accent1 10 11" xfId="88"/>
    <cellStyle name="20% - Accent1 10 12" xfId="89"/>
    <cellStyle name="20% - Accent1 10 13" xfId="90"/>
    <cellStyle name="20% - Accent1 10 14" xfId="91"/>
    <cellStyle name="20% - Accent1 10 15" xfId="92"/>
    <cellStyle name="20% - Accent1 10 16" xfId="93"/>
    <cellStyle name="20% - Accent1 10 17" xfId="94"/>
    <cellStyle name="20% - Accent1 10 18" xfId="95"/>
    <cellStyle name="20% - Accent1 10 19" xfId="96"/>
    <cellStyle name="20% - Accent1 10 2" xfId="97"/>
    <cellStyle name="20% - Accent1 10 20" xfId="98"/>
    <cellStyle name="20% - Accent1 10 21" xfId="99"/>
    <cellStyle name="20% - Accent1 10 22" xfId="100"/>
    <cellStyle name="20% - Accent1 10 23" xfId="101"/>
    <cellStyle name="20% - Accent1 10 24" xfId="102"/>
    <cellStyle name="20% - Accent1 10 25" xfId="103"/>
    <cellStyle name="20% - Accent1 10 26" xfId="104"/>
    <cellStyle name="20% - Accent1 10 27" xfId="105"/>
    <cellStyle name="20% - Accent1 10 28" xfId="106"/>
    <cellStyle name="20% - Accent1 10 29" xfId="107"/>
    <cellStyle name="20% - Accent1 10 3" xfId="108"/>
    <cellStyle name="20% - Accent1 10 30" xfId="109"/>
    <cellStyle name="20% - Accent1 10 31" xfId="110"/>
    <cellStyle name="20% - Accent1 10 32" xfId="111"/>
    <cellStyle name="20% - Accent1 10 33" xfId="112"/>
    <cellStyle name="20% - Accent1 10 34" xfId="113"/>
    <cellStyle name="20% - Accent1 10 35" xfId="114"/>
    <cellStyle name="20% - Accent1 10 36" xfId="115"/>
    <cellStyle name="20% - Accent1 10 37" xfId="116"/>
    <cellStyle name="20% - Accent1 10 38" xfId="117"/>
    <cellStyle name="20% - Accent1 10 39" xfId="118"/>
    <cellStyle name="20% - Accent1 10 4" xfId="119"/>
    <cellStyle name="20% - Accent1 10 40" xfId="120"/>
    <cellStyle name="20% - Accent1 10 41" xfId="121"/>
    <cellStyle name="20% - Accent1 10 5" xfId="122"/>
    <cellStyle name="20% - Accent1 10 6" xfId="123"/>
    <cellStyle name="20% - Accent1 10 7" xfId="124"/>
    <cellStyle name="20% - Accent1 10 8" xfId="125"/>
    <cellStyle name="20% - Accent1 10 9" xfId="126"/>
    <cellStyle name="20% - Accent1 11" xfId="127"/>
    <cellStyle name="20% - Accent1 11 10" xfId="128"/>
    <cellStyle name="20% - Accent1 11 11" xfId="129"/>
    <cellStyle name="20% - Accent1 11 12" xfId="130"/>
    <cellStyle name="20% - Accent1 11 13" xfId="131"/>
    <cellStyle name="20% - Accent1 11 14" xfId="132"/>
    <cellStyle name="20% - Accent1 11 15" xfId="133"/>
    <cellStyle name="20% - Accent1 11 16" xfId="134"/>
    <cellStyle name="20% - Accent1 11 17" xfId="135"/>
    <cellStyle name="20% - Accent1 11 18" xfId="136"/>
    <cellStyle name="20% - Accent1 11 19" xfId="137"/>
    <cellStyle name="20% - Accent1 11 2" xfId="138"/>
    <cellStyle name="20% - Accent1 11 20" xfId="139"/>
    <cellStyle name="20% - Accent1 11 21" xfId="140"/>
    <cellStyle name="20% - Accent1 11 22" xfId="141"/>
    <cellStyle name="20% - Accent1 11 23" xfId="142"/>
    <cellStyle name="20% - Accent1 11 24" xfId="143"/>
    <cellStyle name="20% - Accent1 11 25" xfId="144"/>
    <cellStyle name="20% - Accent1 11 26" xfId="145"/>
    <cellStyle name="20% - Accent1 11 27" xfId="146"/>
    <cellStyle name="20% - Accent1 11 28" xfId="147"/>
    <cellStyle name="20% - Accent1 11 29" xfId="148"/>
    <cellStyle name="20% - Accent1 11 3" xfId="149"/>
    <cellStyle name="20% - Accent1 11 30" xfId="150"/>
    <cellStyle name="20% - Accent1 11 31" xfId="151"/>
    <cellStyle name="20% - Accent1 11 32" xfId="152"/>
    <cellStyle name="20% - Accent1 11 33" xfId="153"/>
    <cellStyle name="20% - Accent1 11 34" xfId="154"/>
    <cellStyle name="20% - Accent1 11 35" xfId="155"/>
    <cellStyle name="20% - Accent1 11 36" xfId="156"/>
    <cellStyle name="20% - Accent1 11 37" xfId="157"/>
    <cellStyle name="20% - Accent1 11 38" xfId="158"/>
    <cellStyle name="20% - Accent1 11 39" xfId="159"/>
    <cellStyle name="20% - Accent1 11 4" xfId="160"/>
    <cellStyle name="20% - Accent1 11 40" xfId="161"/>
    <cellStyle name="20% - Accent1 11 41" xfId="162"/>
    <cellStyle name="20% - Accent1 11 5" xfId="163"/>
    <cellStyle name="20% - Accent1 11 6" xfId="164"/>
    <cellStyle name="20% - Accent1 11 7" xfId="165"/>
    <cellStyle name="20% - Accent1 11 8" xfId="166"/>
    <cellStyle name="20% - Accent1 11 9" xfId="167"/>
    <cellStyle name="20% - Accent1 12" xfId="168"/>
    <cellStyle name="20% - Accent1 12 10" xfId="169"/>
    <cellStyle name="20% - Accent1 12 11" xfId="170"/>
    <cellStyle name="20% - Accent1 12 12" xfId="171"/>
    <cellStyle name="20% - Accent1 12 13" xfId="172"/>
    <cellStyle name="20% - Accent1 12 14" xfId="173"/>
    <cellStyle name="20% - Accent1 12 15" xfId="174"/>
    <cellStyle name="20% - Accent1 12 16" xfId="175"/>
    <cellStyle name="20% - Accent1 12 17" xfId="176"/>
    <cellStyle name="20% - Accent1 12 18" xfId="177"/>
    <cellStyle name="20% - Accent1 12 19" xfId="178"/>
    <cellStyle name="20% - Accent1 12 2" xfId="179"/>
    <cellStyle name="20% - Accent1 12 20" xfId="180"/>
    <cellStyle name="20% - Accent1 12 21" xfId="181"/>
    <cellStyle name="20% - Accent1 12 22" xfId="182"/>
    <cellStyle name="20% - Accent1 12 23" xfId="183"/>
    <cellStyle name="20% - Accent1 12 24" xfId="184"/>
    <cellStyle name="20% - Accent1 12 25" xfId="185"/>
    <cellStyle name="20% - Accent1 12 26" xfId="186"/>
    <cellStyle name="20% - Accent1 12 27" xfId="187"/>
    <cellStyle name="20% - Accent1 12 28" xfId="188"/>
    <cellStyle name="20% - Accent1 12 29" xfId="189"/>
    <cellStyle name="20% - Accent1 12 3" xfId="190"/>
    <cellStyle name="20% - Accent1 12 30" xfId="191"/>
    <cellStyle name="20% - Accent1 12 31" xfId="192"/>
    <cellStyle name="20% - Accent1 12 32" xfId="193"/>
    <cellStyle name="20% - Accent1 12 33" xfId="194"/>
    <cellStyle name="20% - Accent1 12 34" xfId="195"/>
    <cellStyle name="20% - Accent1 12 35" xfId="196"/>
    <cellStyle name="20% - Accent1 12 36" xfId="197"/>
    <cellStyle name="20% - Accent1 12 37" xfId="198"/>
    <cellStyle name="20% - Accent1 12 38" xfId="199"/>
    <cellStyle name="20% - Accent1 12 39" xfId="200"/>
    <cellStyle name="20% - Accent1 12 4" xfId="201"/>
    <cellStyle name="20% - Accent1 12 40" xfId="202"/>
    <cellStyle name="20% - Accent1 12 41" xfId="203"/>
    <cellStyle name="20% - Accent1 12 5" xfId="204"/>
    <cellStyle name="20% - Accent1 12 6" xfId="205"/>
    <cellStyle name="20% - Accent1 12 7" xfId="206"/>
    <cellStyle name="20% - Accent1 12 8" xfId="207"/>
    <cellStyle name="20% - Accent1 12 9" xfId="208"/>
    <cellStyle name="20% - Accent1 13" xfId="209"/>
    <cellStyle name="20% - Accent1 14" xfId="210"/>
    <cellStyle name="20% - Accent1 14 2" xfId="211"/>
    <cellStyle name="20% - Accent1 15" xfId="212"/>
    <cellStyle name="20% - Accent1 16" xfId="213"/>
    <cellStyle name="20% - Accent1 2" xfId="214"/>
    <cellStyle name="20% - Accent1 2 10" xfId="215"/>
    <cellStyle name="20% - Accent1 2 11" xfId="216"/>
    <cellStyle name="20% - Accent1 2 12" xfId="217"/>
    <cellStyle name="20% - Accent1 2 13" xfId="218"/>
    <cellStyle name="20% - Accent1 2 14" xfId="219"/>
    <cellStyle name="20% - Accent1 2 15" xfId="220"/>
    <cellStyle name="20% - Accent1 2 16" xfId="221"/>
    <cellStyle name="20% - Accent1 2 17" xfId="222"/>
    <cellStyle name="20% - Accent1 2 18" xfId="223"/>
    <cellStyle name="20% - Accent1 2 19" xfId="224"/>
    <cellStyle name="20% - Accent1 2 2" xfId="225"/>
    <cellStyle name="20% - Accent1 2 2 2" xfId="226"/>
    <cellStyle name="20% - Accent1 2 2 2 2" xfId="227"/>
    <cellStyle name="20% - Accent1 2 2 3" xfId="228"/>
    <cellStyle name="20% - Accent1 2 2 4" xfId="229"/>
    <cellStyle name="20% - Accent1 2 2 5" xfId="230"/>
    <cellStyle name="20% - Accent1 2 20" xfId="231"/>
    <cellStyle name="20% - Accent1 2 21" xfId="232"/>
    <cellStyle name="20% - Accent1 2 22" xfId="233"/>
    <cellStyle name="20% - Accent1 2 23" xfId="234"/>
    <cellStyle name="20% - Accent1 2 24" xfId="235"/>
    <cellStyle name="20% - Accent1 2 25" xfId="236"/>
    <cellStyle name="20% - Accent1 2 26" xfId="237"/>
    <cellStyle name="20% - Accent1 2 27" xfId="238"/>
    <cellStyle name="20% - Accent1 2 28" xfId="239"/>
    <cellStyle name="20% - Accent1 2 29" xfId="240"/>
    <cellStyle name="20% - Accent1 2 3" xfId="241"/>
    <cellStyle name="20% - Accent1 2 3 2" xfId="242"/>
    <cellStyle name="20% - Accent1 2 3 3" xfId="243"/>
    <cellStyle name="20% - Accent1 2 3 4" xfId="244"/>
    <cellStyle name="20% - Accent1 2 3 5" xfId="245"/>
    <cellStyle name="20% - Accent1 2 3 6" xfId="246"/>
    <cellStyle name="20% - Accent1 2 30" xfId="247"/>
    <cellStyle name="20% - Accent1 2 31" xfId="248"/>
    <cellStyle name="20% - Accent1 2 32" xfId="249"/>
    <cellStyle name="20% - Accent1 2 33" xfId="250"/>
    <cellStyle name="20% - Accent1 2 34" xfId="251"/>
    <cellStyle name="20% - Accent1 2 35" xfId="252"/>
    <cellStyle name="20% - Accent1 2 36" xfId="253"/>
    <cellStyle name="20% - Accent1 2 37" xfId="254"/>
    <cellStyle name="20% - Accent1 2 38" xfId="255"/>
    <cellStyle name="20% - Accent1 2 39" xfId="256"/>
    <cellStyle name="20% - Accent1 2 4" xfId="257"/>
    <cellStyle name="20% - Accent1 2 40" xfId="258"/>
    <cellStyle name="20% - Accent1 2 41" xfId="259"/>
    <cellStyle name="20% - Accent1 2 42" xfId="260"/>
    <cellStyle name="20% - Accent1 2 43" xfId="261"/>
    <cellStyle name="20% - Accent1 2 44" xfId="262"/>
    <cellStyle name="20% - Accent1 2 45" xfId="263"/>
    <cellStyle name="20% - Accent1 2 5" xfId="264"/>
    <cellStyle name="20% - Accent1 2 6" xfId="265"/>
    <cellStyle name="20% - Accent1 2 7" xfId="266"/>
    <cellStyle name="20% - Accent1 2 8" xfId="267"/>
    <cellStyle name="20% - Accent1 2 9" xfId="268"/>
    <cellStyle name="20% - Accent1 3" xfId="269"/>
    <cellStyle name="20% - Accent1 3 10" xfId="270"/>
    <cellStyle name="20% - Accent1 3 11" xfId="271"/>
    <cellStyle name="20% - Accent1 3 12" xfId="272"/>
    <cellStyle name="20% - Accent1 3 13" xfId="273"/>
    <cellStyle name="20% - Accent1 3 14" xfId="274"/>
    <cellStyle name="20% - Accent1 3 15" xfId="275"/>
    <cellStyle name="20% - Accent1 3 16" xfId="276"/>
    <cellStyle name="20% - Accent1 3 17" xfId="277"/>
    <cellStyle name="20% - Accent1 3 18" xfId="278"/>
    <cellStyle name="20% - Accent1 3 19" xfId="279"/>
    <cellStyle name="20% - Accent1 3 2" xfId="280"/>
    <cellStyle name="20% - Accent1 3 20" xfId="281"/>
    <cellStyle name="20% - Accent1 3 21" xfId="282"/>
    <cellStyle name="20% - Accent1 3 22" xfId="283"/>
    <cellStyle name="20% - Accent1 3 23" xfId="284"/>
    <cellStyle name="20% - Accent1 3 24" xfId="285"/>
    <cellStyle name="20% - Accent1 3 25" xfId="286"/>
    <cellStyle name="20% - Accent1 3 26" xfId="287"/>
    <cellStyle name="20% - Accent1 3 27" xfId="288"/>
    <cellStyle name="20% - Accent1 3 28" xfId="289"/>
    <cellStyle name="20% - Accent1 3 29" xfId="290"/>
    <cellStyle name="20% - Accent1 3 3" xfId="291"/>
    <cellStyle name="20% - Accent1 3 30" xfId="292"/>
    <cellStyle name="20% - Accent1 3 31" xfId="293"/>
    <cellStyle name="20% - Accent1 3 32" xfId="294"/>
    <cellStyle name="20% - Accent1 3 33" xfId="295"/>
    <cellStyle name="20% - Accent1 3 34" xfId="296"/>
    <cellStyle name="20% - Accent1 3 35" xfId="297"/>
    <cellStyle name="20% - Accent1 3 36" xfId="298"/>
    <cellStyle name="20% - Accent1 3 37" xfId="299"/>
    <cellStyle name="20% - Accent1 3 38" xfId="300"/>
    <cellStyle name="20% - Accent1 3 39" xfId="301"/>
    <cellStyle name="20% - Accent1 3 4" xfId="302"/>
    <cellStyle name="20% - Accent1 3 40" xfId="303"/>
    <cellStyle name="20% - Accent1 3 41" xfId="304"/>
    <cellStyle name="20% - Accent1 3 42" xfId="305"/>
    <cellStyle name="20% - Accent1 3 43" xfId="306"/>
    <cellStyle name="20% - Accent1 3 44" xfId="307"/>
    <cellStyle name="20% - Accent1 3 45" xfId="308"/>
    <cellStyle name="20% - Accent1 3 5" xfId="309"/>
    <cellStyle name="20% - Accent1 3 6" xfId="310"/>
    <cellStyle name="20% - Accent1 3 7" xfId="311"/>
    <cellStyle name="20% - Accent1 3 8" xfId="312"/>
    <cellStyle name="20% - Accent1 3 9" xfId="313"/>
    <cellStyle name="20% - Accent1 4" xfId="314"/>
    <cellStyle name="20% - Accent1 4 10" xfId="315"/>
    <cellStyle name="20% - Accent1 4 11" xfId="316"/>
    <cellStyle name="20% - Accent1 4 12" xfId="317"/>
    <cellStyle name="20% - Accent1 4 13" xfId="318"/>
    <cellStyle name="20% - Accent1 4 14" xfId="319"/>
    <cellStyle name="20% - Accent1 4 15" xfId="320"/>
    <cellStyle name="20% - Accent1 4 16" xfId="321"/>
    <cellStyle name="20% - Accent1 4 17" xfId="322"/>
    <cellStyle name="20% - Accent1 4 18" xfId="323"/>
    <cellStyle name="20% - Accent1 4 19" xfId="324"/>
    <cellStyle name="20% - Accent1 4 2" xfId="325"/>
    <cellStyle name="20% - Accent1 4 20" xfId="326"/>
    <cellStyle name="20% - Accent1 4 21" xfId="327"/>
    <cellStyle name="20% - Accent1 4 22" xfId="328"/>
    <cellStyle name="20% - Accent1 4 23" xfId="329"/>
    <cellStyle name="20% - Accent1 4 24" xfId="330"/>
    <cellStyle name="20% - Accent1 4 25" xfId="331"/>
    <cellStyle name="20% - Accent1 4 26" xfId="332"/>
    <cellStyle name="20% - Accent1 4 27" xfId="333"/>
    <cellStyle name="20% - Accent1 4 28" xfId="334"/>
    <cellStyle name="20% - Accent1 4 29" xfId="335"/>
    <cellStyle name="20% - Accent1 4 3" xfId="336"/>
    <cellStyle name="20% - Accent1 4 30" xfId="337"/>
    <cellStyle name="20% - Accent1 4 31" xfId="338"/>
    <cellStyle name="20% - Accent1 4 32" xfId="339"/>
    <cellStyle name="20% - Accent1 4 33" xfId="340"/>
    <cellStyle name="20% - Accent1 4 34" xfId="341"/>
    <cellStyle name="20% - Accent1 4 35" xfId="342"/>
    <cellStyle name="20% - Accent1 4 36" xfId="343"/>
    <cellStyle name="20% - Accent1 4 37" xfId="344"/>
    <cellStyle name="20% - Accent1 4 38" xfId="345"/>
    <cellStyle name="20% - Accent1 4 39" xfId="346"/>
    <cellStyle name="20% - Accent1 4 4" xfId="347"/>
    <cellStyle name="20% - Accent1 4 40" xfId="348"/>
    <cellStyle name="20% - Accent1 4 41" xfId="349"/>
    <cellStyle name="20% - Accent1 4 5" xfId="350"/>
    <cellStyle name="20% - Accent1 4 6" xfId="351"/>
    <cellStyle name="20% - Accent1 4 7" xfId="352"/>
    <cellStyle name="20% - Accent1 4 8" xfId="353"/>
    <cellStyle name="20% - Accent1 4 9" xfId="354"/>
    <cellStyle name="20% - Accent1 5" xfId="355"/>
    <cellStyle name="20% - Accent1 5 10" xfId="356"/>
    <cellStyle name="20% - Accent1 5 11" xfId="357"/>
    <cellStyle name="20% - Accent1 5 12" xfId="358"/>
    <cellStyle name="20% - Accent1 5 13" xfId="359"/>
    <cellStyle name="20% - Accent1 5 14" xfId="360"/>
    <cellStyle name="20% - Accent1 5 15" xfId="361"/>
    <cellStyle name="20% - Accent1 5 16" xfId="362"/>
    <cellStyle name="20% - Accent1 5 17" xfId="363"/>
    <cellStyle name="20% - Accent1 5 18" xfId="364"/>
    <cellStyle name="20% - Accent1 5 19" xfId="365"/>
    <cellStyle name="20% - Accent1 5 2" xfId="366"/>
    <cellStyle name="20% - Accent1 5 20" xfId="367"/>
    <cellStyle name="20% - Accent1 5 21" xfId="368"/>
    <cellStyle name="20% - Accent1 5 22" xfId="369"/>
    <cellStyle name="20% - Accent1 5 23" xfId="370"/>
    <cellStyle name="20% - Accent1 5 24" xfId="371"/>
    <cellStyle name="20% - Accent1 5 25" xfId="372"/>
    <cellStyle name="20% - Accent1 5 26" xfId="373"/>
    <cellStyle name="20% - Accent1 5 27" xfId="374"/>
    <cellStyle name="20% - Accent1 5 28" xfId="375"/>
    <cellStyle name="20% - Accent1 5 29" xfId="376"/>
    <cellStyle name="20% - Accent1 5 3" xfId="377"/>
    <cellStyle name="20% - Accent1 5 30" xfId="378"/>
    <cellStyle name="20% - Accent1 5 31" xfId="379"/>
    <cellStyle name="20% - Accent1 5 32" xfId="380"/>
    <cellStyle name="20% - Accent1 5 33" xfId="381"/>
    <cellStyle name="20% - Accent1 5 34" xfId="382"/>
    <cellStyle name="20% - Accent1 5 35" xfId="383"/>
    <cellStyle name="20% - Accent1 5 36" xfId="384"/>
    <cellStyle name="20% - Accent1 5 37" xfId="385"/>
    <cellStyle name="20% - Accent1 5 38" xfId="386"/>
    <cellStyle name="20% - Accent1 5 39" xfId="387"/>
    <cellStyle name="20% - Accent1 5 4" xfId="388"/>
    <cellStyle name="20% - Accent1 5 40" xfId="389"/>
    <cellStyle name="20% - Accent1 5 41" xfId="390"/>
    <cellStyle name="20% - Accent1 5 5" xfId="391"/>
    <cellStyle name="20% - Accent1 5 6" xfId="392"/>
    <cellStyle name="20% - Accent1 5 7" xfId="393"/>
    <cellStyle name="20% - Accent1 5 8" xfId="394"/>
    <cellStyle name="20% - Accent1 5 9" xfId="395"/>
    <cellStyle name="20% - Accent1 6" xfId="396"/>
    <cellStyle name="20% - Accent1 6 10" xfId="397"/>
    <cellStyle name="20% - Accent1 6 11" xfId="398"/>
    <cellStyle name="20% - Accent1 6 12" xfId="399"/>
    <cellStyle name="20% - Accent1 6 13" xfId="400"/>
    <cellStyle name="20% - Accent1 6 14" xfId="401"/>
    <cellStyle name="20% - Accent1 6 15" xfId="402"/>
    <cellStyle name="20% - Accent1 6 16" xfId="403"/>
    <cellStyle name="20% - Accent1 6 17" xfId="404"/>
    <cellStyle name="20% - Accent1 6 18" xfId="405"/>
    <cellStyle name="20% - Accent1 6 19" xfId="406"/>
    <cellStyle name="20% - Accent1 6 2" xfId="407"/>
    <cellStyle name="20% - Accent1 6 20" xfId="408"/>
    <cellStyle name="20% - Accent1 6 21" xfId="409"/>
    <cellStyle name="20% - Accent1 6 22" xfId="410"/>
    <cellStyle name="20% - Accent1 6 23" xfId="411"/>
    <cellStyle name="20% - Accent1 6 24" xfId="412"/>
    <cellStyle name="20% - Accent1 6 25" xfId="413"/>
    <cellStyle name="20% - Accent1 6 26" xfId="414"/>
    <cellStyle name="20% - Accent1 6 27" xfId="415"/>
    <cellStyle name="20% - Accent1 6 28" xfId="416"/>
    <cellStyle name="20% - Accent1 6 29" xfId="417"/>
    <cellStyle name="20% - Accent1 6 3" xfId="418"/>
    <cellStyle name="20% - Accent1 6 30" xfId="419"/>
    <cellStyle name="20% - Accent1 6 31" xfId="420"/>
    <cellStyle name="20% - Accent1 6 32" xfId="421"/>
    <cellStyle name="20% - Accent1 6 33" xfId="422"/>
    <cellStyle name="20% - Accent1 6 34" xfId="423"/>
    <cellStyle name="20% - Accent1 6 35" xfId="424"/>
    <cellStyle name="20% - Accent1 6 36" xfId="425"/>
    <cellStyle name="20% - Accent1 6 37" xfId="426"/>
    <cellStyle name="20% - Accent1 6 38" xfId="427"/>
    <cellStyle name="20% - Accent1 6 39" xfId="428"/>
    <cellStyle name="20% - Accent1 6 4" xfId="429"/>
    <cellStyle name="20% - Accent1 6 40" xfId="430"/>
    <cellStyle name="20% - Accent1 6 41" xfId="431"/>
    <cellStyle name="20% - Accent1 6 5" xfId="432"/>
    <cellStyle name="20% - Accent1 6 6" xfId="433"/>
    <cellStyle name="20% - Accent1 6 7" xfId="434"/>
    <cellStyle name="20% - Accent1 6 8" xfId="435"/>
    <cellStyle name="20% - Accent1 6 9" xfId="436"/>
    <cellStyle name="20% - Accent1 7" xfId="437"/>
    <cellStyle name="20% - Accent1 7 10" xfId="438"/>
    <cellStyle name="20% - Accent1 7 11" xfId="439"/>
    <cellStyle name="20% - Accent1 7 12" xfId="440"/>
    <cellStyle name="20% - Accent1 7 13" xfId="441"/>
    <cellStyle name="20% - Accent1 7 14" xfId="442"/>
    <cellStyle name="20% - Accent1 7 15" xfId="443"/>
    <cellStyle name="20% - Accent1 7 16" xfId="444"/>
    <cellStyle name="20% - Accent1 7 17" xfId="445"/>
    <cellStyle name="20% - Accent1 7 18" xfId="446"/>
    <cellStyle name="20% - Accent1 7 19" xfId="447"/>
    <cellStyle name="20% - Accent1 7 2" xfId="448"/>
    <cellStyle name="20% - Accent1 7 20" xfId="449"/>
    <cellStyle name="20% - Accent1 7 21" xfId="450"/>
    <cellStyle name="20% - Accent1 7 22" xfId="451"/>
    <cellStyle name="20% - Accent1 7 23" xfId="452"/>
    <cellStyle name="20% - Accent1 7 24" xfId="453"/>
    <cellStyle name="20% - Accent1 7 25" xfId="454"/>
    <cellStyle name="20% - Accent1 7 26" xfId="455"/>
    <cellStyle name="20% - Accent1 7 27" xfId="456"/>
    <cellStyle name="20% - Accent1 7 28" xfId="457"/>
    <cellStyle name="20% - Accent1 7 29" xfId="458"/>
    <cellStyle name="20% - Accent1 7 3" xfId="459"/>
    <cellStyle name="20% - Accent1 7 30" xfId="460"/>
    <cellStyle name="20% - Accent1 7 31" xfId="461"/>
    <cellStyle name="20% - Accent1 7 32" xfId="462"/>
    <cellStyle name="20% - Accent1 7 33" xfId="463"/>
    <cellStyle name="20% - Accent1 7 34" xfId="464"/>
    <cellStyle name="20% - Accent1 7 35" xfId="465"/>
    <cellStyle name="20% - Accent1 7 36" xfId="466"/>
    <cellStyle name="20% - Accent1 7 37" xfId="467"/>
    <cellStyle name="20% - Accent1 7 38" xfId="468"/>
    <cellStyle name="20% - Accent1 7 39" xfId="469"/>
    <cellStyle name="20% - Accent1 7 4" xfId="470"/>
    <cellStyle name="20% - Accent1 7 40" xfId="471"/>
    <cellStyle name="20% - Accent1 7 41" xfId="472"/>
    <cellStyle name="20% - Accent1 7 5" xfId="473"/>
    <cellStyle name="20% - Accent1 7 6" xfId="474"/>
    <cellStyle name="20% - Accent1 7 7" xfId="475"/>
    <cellStyle name="20% - Accent1 7 8" xfId="476"/>
    <cellStyle name="20% - Accent1 7 9" xfId="477"/>
    <cellStyle name="20% - Accent1 8" xfId="478"/>
    <cellStyle name="20% - Accent1 8 10" xfId="479"/>
    <cellStyle name="20% - Accent1 8 11" xfId="480"/>
    <cellStyle name="20% - Accent1 8 12" xfId="481"/>
    <cellStyle name="20% - Accent1 8 13" xfId="482"/>
    <cellStyle name="20% - Accent1 8 14" xfId="483"/>
    <cellStyle name="20% - Accent1 8 15" xfId="484"/>
    <cellStyle name="20% - Accent1 8 16" xfId="485"/>
    <cellStyle name="20% - Accent1 8 17" xfId="486"/>
    <cellStyle name="20% - Accent1 8 18" xfId="487"/>
    <cellStyle name="20% - Accent1 8 19" xfId="488"/>
    <cellStyle name="20% - Accent1 8 2" xfId="489"/>
    <cellStyle name="20% - Accent1 8 20" xfId="490"/>
    <cellStyle name="20% - Accent1 8 21" xfId="491"/>
    <cellStyle name="20% - Accent1 8 22" xfId="492"/>
    <cellStyle name="20% - Accent1 8 23" xfId="493"/>
    <cellStyle name="20% - Accent1 8 24" xfId="494"/>
    <cellStyle name="20% - Accent1 8 25" xfId="495"/>
    <cellStyle name="20% - Accent1 8 26" xfId="496"/>
    <cellStyle name="20% - Accent1 8 27" xfId="497"/>
    <cellStyle name="20% - Accent1 8 28" xfId="498"/>
    <cellStyle name="20% - Accent1 8 29" xfId="499"/>
    <cellStyle name="20% - Accent1 8 3" xfId="500"/>
    <cellStyle name="20% - Accent1 8 30" xfId="501"/>
    <cellStyle name="20% - Accent1 8 31" xfId="502"/>
    <cellStyle name="20% - Accent1 8 32" xfId="503"/>
    <cellStyle name="20% - Accent1 8 33" xfId="504"/>
    <cellStyle name="20% - Accent1 8 34" xfId="505"/>
    <cellStyle name="20% - Accent1 8 35" xfId="506"/>
    <cellStyle name="20% - Accent1 8 36" xfId="507"/>
    <cellStyle name="20% - Accent1 8 37" xfId="508"/>
    <cellStyle name="20% - Accent1 8 38" xfId="509"/>
    <cellStyle name="20% - Accent1 8 39" xfId="510"/>
    <cellStyle name="20% - Accent1 8 4" xfId="511"/>
    <cellStyle name="20% - Accent1 8 40" xfId="512"/>
    <cellStyle name="20% - Accent1 8 41" xfId="513"/>
    <cellStyle name="20% - Accent1 8 5" xfId="514"/>
    <cellStyle name="20% - Accent1 8 6" xfId="515"/>
    <cellStyle name="20% - Accent1 8 7" xfId="516"/>
    <cellStyle name="20% - Accent1 8 8" xfId="517"/>
    <cellStyle name="20% - Accent1 8 9" xfId="518"/>
    <cellStyle name="20% - Accent1 9" xfId="519"/>
    <cellStyle name="20% - Accent1 9 10" xfId="520"/>
    <cellStyle name="20% - Accent1 9 11" xfId="521"/>
    <cellStyle name="20% - Accent1 9 12" xfId="522"/>
    <cellStyle name="20% - Accent1 9 13" xfId="523"/>
    <cellStyle name="20% - Accent1 9 14" xfId="524"/>
    <cellStyle name="20% - Accent1 9 15" xfId="525"/>
    <cellStyle name="20% - Accent1 9 16" xfId="526"/>
    <cellStyle name="20% - Accent1 9 17" xfId="527"/>
    <cellStyle name="20% - Accent1 9 18" xfId="528"/>
    <cellStyle name="20% - Accent1 9 19" xfId="529"/>
    <cellStyle name="20% - Accent1 9 2" xfId="530"/>
    <cellStyle name="20% - Accent1 9 20" xfId="531"/>
    <cellStyle name="20% - Accent1 9 21" xfId="532"/>
    <cellStyle name="20% - Accent1 9 22" xfId="533"/>
    <cellStyle name="20% - Accent1 9 23" xfId="534"/>
    <cellStyle name="20% - Accent1 9 24" xfId="535"/>
    <cellStyle name="20% - Accent1 9 25" xfId="536"/>
    <cellStyle name="20% - Accent1 9 26" xfId="537"/>
    <cellStyle name="20% - Accent1 9 27" xfId="538"/>
    <cellStyle name="20% - Accent1 9 28" xfId="539"/>
    <cellStyle name="20% - Accent1 9 29" xfId="540"/>
    <cellStyle name="20% - Accent1 9 3" xfId="541"/>
    <cellStyle name="20% - Accent1 9 30" xfId="542"/>
    <cellStyle name="20% - Accent1 9 31" xfId="543"/>
    <cellStyle name="20% - Accent1 9 32" xfId="544"/>
    <cellStyle name="20% - Accent1 9 33" xfId="545"/>
    <cellStyle name="20% - Accent1 9 34" xfId="546"/>
    <cellStyle name="20% - Accent1 9 35" xfId="547"/>
    <cellStyle name="20% - Accent1 9 36" xfId="548"/>
    <cellStyle name="20% - Accent1 9 37" xfId="549"/>
    <cellStyle name="20% - Accent1 9 38" xfId="550"/>
    <cellStyle name="20% - Accent1 9 39" xfId="551"/>
    <cellStyle name="20% - Accent1 9 4" xfId="552"/>
    <cellStyle name="20% - Accent1 9 40" xfId="553"/>
    <cellStyle name="20% - Accent1 9 41" xfId="554"/>
    <cellStyle name="20% - Accent1 9 5" xfId="555"/>
    <cellStyle name="20% - Accent1 9 6" xfId="556"/>
    <cellStyle name="20% - Accent1 9 7" xfId="557"/>
    <cellStyle name="20% - Accent1 9 8" xfId="558"/>
    <cellStyle name="20% - Accent1 9 9" xfId="559"/>
    <cellStyle name="20% - Accent2" xfId="23" builtinId="34" customBuiltin="1"/>
    <cellStyle name="20% - Accent2 10" xfId="560"/>
    <cellStyle name="20% - Accent2 10 10" xfId="561"/>
    <cellStyle name="20% - Accent2 10 11" xfId="562"/>
    <cellStyle name="20% - Accent2 10 12" xfId="563"/>
    <cellStyle name="20% - Accent2 10 13" xfId="564"/>
    <cellStyle name="20% - Accent2 10 14" xfId="565"/>
    <cellStyle name="20% - Accent2 10 15" xfId="566"/>
    <cellStyle name="20% - Accent2 10 16" xfId="567"/>
    <cellStyle name="20% - Accent2 10 17" xfId="568"/>
    <cellStyle name="20% - Accent2 10 18" xfId="569"/>
    <cellStyle name="20% - Accent2 10 19" xfId="570"/>
    <cellStyle name="20% - Accent2 10 2" xfId="571"/>
    <cellStyle name="20% - Accent2 10 20" xfId="572"/>
    <cellStyle name="20% - Accent2 10 21" xfId="573"/>
    <cellStyle name="20% - Accent2 10 22" xfId="574"/>
    <cellStyle name="20% - Accent2 10 23" xfId="575"/>
    <cellStyle name="20% - Accent2 10 24" xfId="576"/>
    <cellStyle name="20% - Accent2 10 25" xfId="577"/>
    <cellStyle name="20% - Accent2 10 26" xfId="578"/>
    <cellStyle name="20% - Accent2 10 27" xfId="579"/>
    <cellStyle name="20% - Accent2 10 28" xfId="580"/>
    <cellStyle name="20% - Accent2 10 29" xfId="581"/>
    <cellStyle name="20% - Accent2 10 3" xfId="582"/>
    <cellStyle name="20% - Accent2 10 30" xfId="583"/>
    <cellStyle name="20% - Accent2 10 31" xfId="584"/>
    <cellStyle name="20% - Accent2 10 32" xfId="585"/>
    <cellStyle name="20% - Accent2 10 33" xfId="586"/>
    <cellStyle name="20% - Accent2 10 34" xfId="587"/>
    <cellStyle name="20% - Accent2 10 35" xfId="588"/>
    <cellStyle name="20% - Accent2 10 36" xfId="589"/>
    <cellStyle name="20% - Accent2 10 37" xfId="590"/>
    <cellStyle name="20% - Accent2 10 38" xfId="591"/>
    <cellStyle name="20% - Accent2 10 39" xfId="592"/>
    <cellStyle name="20% - Accent2 10 4" xfId="593"/>
    <cellStyle name="20% - Accent2 10 40" xfId="594"/>
    <cellStyle name="20% - Accent2 10 41" xfId="595"/>
    <cellStyle name="20% - Accent2 10 5" xfId="596"/>
    <cellStyle name="20% - Accent2 10 6" xfId="597"/>
    <cellStyle name="20% - Accent2 10 7" xfId="598"/>
    <cellStyle name="20% - Accent2 10 8" xfId="599"/>
    <cellStyle name="20% - Accent2 10 9" xfId="600"/>
    <cellStyle name="20% - Accent2 11" xfId="601"/>
    <cellStyle name="20% - Accent2 11 10" xfId="602"/>
    <cellStyle name="20% - Accent2 11 11" xfId="603"/>
    <cellStyle name="20% - Accent2 11 12" xfId="604"/>
    <cellStyle name="20% - Accent2 11 13" xfId="605"/>
    <cellStyle name="20% - Accent2 11 14" xfId="606"/>
    <cellStyle name="20% - Accent2 11 15" xfId="607"/>
    <cellStyle name="20% - Accent2 11 16" xfId="608"/>
    <cellStyle name="20% - Accent2 11 17" xfId="609"/>
    <cellStyle name="20% - Accent2 11 18" xfId="610"/>
    <cellStyle name="20% - Accent2 11 19" xfId="611"/>
    <cellStyle name="20% - Accent2 11 2" xfId="612"/>
    <cellStyle name="20% - Accent2 11 20" xfId="613"/>
    <cellStyle name="20% - Accent2 11 21" xfId="614"/>
    <cellStyle name="20% - Accent2 11 22" xfId="615"/>
    <cellStyle name="20% - Accent2 11 23" xfId="616"/>
    <cellStyle name="20% - Accent2 11 24" xfId="617"/>
    <cellStyle name="20% - Accent2 11 25" xfId="618"/>
    <cellStyle name="20% - Accent2 11 26" xfId="619"/>
    <cellStyle name="20% - Accent2 11 27" xfId="620"/>
    <cellStyle name="20% - Accent2 11 28" xfId="621"/>
    <cellStyle name="20% - Accent2 11 29" xfId="622"/>
    <cellStyle name="20% - Accent2 11 3" xfId="623"/>
    <cellStyle name="20% - Accent2 11 30" xfId="624"/>
    <cellStyle name="20% - Accent2 11 31" xfId="625"/>
    <cellStyle name="20% - Accent2 11 32" xfId="626"/>
    <cellStyle name="20% - Accent2 11 33" xfId="627"/>
    <cellStyle name="20% - Accent2 11 34" xfId="628"/>
    <cellStyle name="20% - Accent2 11 35" xfId="629"/>
    <cellStyle name="20% - Accent2 11 36" xfId="630"/>
    <cellStyle name="20% - Accent2 11 37" xfId="631"/>
    <cellStyle name="20% - Accent2 11 38" xfId="632"/>
    <cellStyle name="20% - Accent2 11 39" xfId="633"/>
    <cellStyle name="20% - Accent2 11 4" xfId="634"/>
    <cellStyle name="20% - Accent2 11 40" xfId="635"/>
    <cellStyle name="20% - Accent2 11 41" xfId="636"/>
    <cellStyle name="20% - Accent2 11 5" xfId="637"/>
    <cellStyle name="20% - Accent2 11 6" xfId="638"/>
    <cellStyle name="20% - Accent2 11 7" xfId="639"/>
    <cellStyle name="20% - Accent2 11 8" xfId="640"/>
    <cellStyle name="20% - Accent2 11 9" xfId="641"/>
    <cellStyle name="20% - Accent2 12" xfId="642"/>
    <cellStyle name="20% - Accent2 12 10" xfId="643"/>
    <cellStyle name="20% - Accent2 12 11" xfId="644"/>
    <cellStyle name="20% - Accent2 12 12" xfId="645"/>
    <cellStyle name="20% - Accent2 12 13" xfId="646"/>
    <cellStyle name="20% - Accent2 12 14" xfId="647"/>
    <cellStyle name="20% - Accent2 12 15" xfId="648"/>
    <cellStyle name="20% - Accent2 12 16" xfId="649"/>
    <cellStyle name="20% - Accent2 12 17" xfId="650"/>
    <cellStyle name="20% - Accent2 12 18" xfId="651"/>
    <cellStyle name="20% - Accent2 12 19" xfId="652"/>
    <cellStyle name="20% - Accent2 12 2" xfId="653"/>
    <cellStyle name="20% - Accent2 12 20" xfId="654"/>
    <cellStyle name="20% - Accent2 12 21" xfId="655"/>
    <cellStyle name="20% - Accent2 12 22" xfId="656"/>
    <cellStyle name="20% - Accent2 12 23" xfId="657"/>
    <cellStyle name="20% - Accent2 12 24" xfId="658"/>
    <cellStyle name="20% - Accent2 12 25" xfId="659"/>
    <cellStyle name="20% - Accent2 12 26" xfId="660"/>
    <cellStyle name="20% - Accent2 12 27" xfId="661"/>
    <cellStyle name="20% - Accent2 12 28" xfId="662"/>
    <cellStyle name="20% - Accent2 12 29" xfId="663"/>
    <cellStyle name="20% - Accent2 12 3" xfId="664"/>
    <cellStyle name="20% - Accent2 12 30" xfId="665"/>
    <cellStyle name="20% - Accent2 12 31" xfId="666"/>
    <cellStyle name="20% - Accent2 12 32" xfId="667"/>
    <cellStyle name="20% - Accent2 12 33" xfId="668"/>
    <cellStyle name="20% - Accent2 12 34" xfId="669"/>
    <cellStyle name="20% - Accent2 12 35" xfId="670"/>
    <cellStyle name="20% - Accent2 12 36" xfId="671"/>
    <cellStyle name="20% - Accent2 12 37" xfId="672"/>
    <cellStyle name="20% - Accent2 12 38" xfId="673"/>
    <cellStyle name="20% - Accent2 12 39" xfId="674"/>
    <cellStyle name="20% - Accent2 12 4" xfId="675"/>
    <cellStyle name="20% - Accent2 12 40" xfId="676"/>
    <cellStyle name="20% - Accent2 12 41" xfId="677"/>
    <cellStyle name="20% - Accent2 12 5" xfId="678"/>
    <cellStyle name="20% - Accent2 12 6" xfId="679"/>
    <cellStyle name="20% - Accent2 12 7" xfId="680"/>
    <cellStyle name="20% - Accent2 12 8" xfId="681"/>
    <cellStyle name="20% - Accent2 12 9" xfId="682"/>
    <cellStyle name="20% - Accent2 13" xfId="683"/>
    <cellStyle name="20% - Accent2 14" xfId="684"/>
    <cellStyle name="20% - Accent2 14 2" xfId="685"/>
    <cellStyle name="20% - Accent2 15" xfId="686"/>
    <cellStyle name="20% - Accent2 16" xfId="687"/>
    <cellStyle name="20% - Accent2 2" xfId="688"/>
    <cellStyle name="20% - Accent2 2 10" xfId="689"/>
    <cellStyle name="20% - Accent2 2 11" xfId="690"/>
    <cellStyle name="20% - Accent2 2 12" xfId="691"/>
    <cellStyle name="20% - Accent2 2 13" xfId="692"/>
    <cellStyle name="20% - Accent2 2 14" xfId="693"/>
    <cellStyle name="20% - Accent2 2 15" xfId="694"/>
    <cellStyle name="20% - Accent2 2 16" xfId="695"/>
    <cellStyle name="20% - Accent2 2 17" xfId="696"/>
    <cellStyle name="20% - Accent2 2 18" xfId="697"/>
    <cellStyle name="20% - Accent2 2 19" xfId="698"/>
    <cellStyle name="20% - Accent2 2 2" xfId="699"/>
    <cellStyle name="20% - Accent2 2 2 2" xfId="700"/>
    <cellStyle name="20% - Accent2 2 2 2 2" xfId="701"/>
    <cellStyle name="20% - Accent2 2 2 3" xfId="702"/>
    <cellStyle name="20% - Accent2 2 2 4" xfId="703"/>
    <cellStyle name="20% - Accent2 2 2 5" xfId="704"/>
    <cellStyle name="20% - Accent2 2 20" xfId="705"/>
    <cellStyle name="20% - Accent2 2 21" xfId="706"/>
    <cellStyle name="20% - Accent2 2 22" xfId="707"/>
    <cellStyle name="20% - Accent2 2 23" xfId="708"/>
    <cellStyle name="20% - Accent2 2 24" xfId="709"/>
    <cellStyle name="20% - Accent2 2 25" xfId="710"/>
    <cellStyle name="20% - Accent2 2 26" xfId="711"/>
    <cellStyle name="20% - Accent2 2 27" xfId="712"/>
    <cellStyle name="20% - Accent2 2 28" xfId="713"/>
    <cellStyle name="20% - Accent2 2 29" xfId="714"/>
    <cellStyle name="20% - Accent2 2 3" xfId="715"/>
    <cellStyle name="20% - Accent2 2 3 2" xfId="716"/>
    <cellStyle name="20% - Accent2 2 3 3" xfId="717"/>
    <cellStyle name="20% - Accent2 2 3 4" xfId="718"/>
    <cellStyle name="20% - Accent2 2 3 5" xfId="719"/>
    <cellStyle name="20% - Accent2 2 3 6" xfId="720"/>
    <cellStyle name="20% - Accent2 2 30" xfId="721"/>
    <cellStyle name="20% - Accent2 2 31" xfId="722"/>
    <cellStyle name="20% - Accent2 2 32" xfId="723"/>
    <cellStyle name="20% - Accent2 2 33" xfId="724"/>
    <cellStyle name="20% - Accent2 2 34" xfId="725"/>
    <cellStyle name="20% - Accent2 2 35" xfId="726"/>
    <cellStyle name="20% - Accent2 2 36" xfId="727"/>
    <cellStyle name="20% - Accent2 2 37" xfId="728"/>
    <cellStyle name="20% - Accent2 2 38" xfId="729"/>
    <cellStyle name="20% - Accent2 2 39" xfId="730"/>
    <cellStyle name="20% - Accent2 2 4" xfId="731"/>
    <cellStyle name="20% - Accent2 2 40" xfId="732"/>
    <cellStyle name="20% - Accent2 2 41" xfId="733"/>
    <cellStyle name="20% - Accent2 2 42" xfId="734"/>
    <cellStyle name="20% - Accent2 2 43" xfId="735"/>
    <cellStyle name="20% - Accent2 2 44" xfId="736"/>
    <cellStyle name="20% - Accent2 2 45" xfId="737"/>
    <cellStyle name="20% - Accent2 2 5" xfId="738"/>
    <cellStyle name="20% - Accent2 2 6" xfId="739"/>
    <cellStyle name="20% - Accent2 2 7" xfId="740"/>
    <cellStyle name="20% - Accent2 2 8" xfId="741"/>
    <cellStyle name="20% - Accent2 2 9" xfId="742"/>
    <cellStyle name="20% - Accent2 3" xfId="743"/>
    <cellStyle name="20% - Accent2 3 10" xfId="744"/>
    <cellStyle name="20% - Accent2 3 11" xfId="745"/>
    <cellStyle name="20% - Accent2 3 12" xfId="746"/>
    <cellStyle name="20% - Accent2 3 13" xfId="747"/>
    <cellStyle name="20% - Accent2 3 14" xfId="748"/>
    <cellStyle name="20% - Accent2 3 15" xfId="749"/>
    <cellStyle name="20% - Accent2 3 16" xfId="750"/>
    <cellStyle name="20% - Accent2 3 17" xfId="751"/>
    <cellStyle name="20% - Accent2 3 18" xfId="752"/>
    <cellStyle name="20% - Accent2 3 19" xfId="753"/>
    <cellStyle name="20% - Accent2 3 2" xfId="754"/>
    <cellStyle name="20% - Accent2 3 20" xfId="755"/>
    <cellStyle name="20% - Accent2 3 21" xfId="756"/>
    <cellStyle name="20% - Accent2 3 22" xfId="757"/>
    <cellStyle name="20% - Accent2 3 23" xfId="758"/>
    <cellStyle name="20% - Accent2 3 24" xfId="759"/>
    <cellStyle name="20% - Accent2 3 25" xfId="760"/>
    <cellStyle name="20% - Accent2 3 26" xfId="761"/>
    <cellStyle name="20% - Accent2 3 27" xfId="762"/>
    <cellStyle name="20% - Accent2 3 28" xfId="763"/>
    <cellStyle name="20% - Accent2 3 29" xfId="764"/>
    <cellStyle name="20% - Accent2 3 3" xfId="765"/>
    <cellStyle name="20% - Accent2 3 30" xfId="766"/>
    <cellStyle name="20% - Accent2 3 31" xfId="767"/>
    <cellStyle name="20% - Accent2 3 32" xfId="768"/>
    <cellStyle name="20% - Accent2 3 33" xfId="769"/>
    <cellStyle name="20% - Accent2 3 34" xfId="770"/>
    <cellStyle name="20% - Accent2 3 35" xfId="771"/>
    <cellStyle name="20% - Accent2 3 36" xfId="772"/>
    <cellStyle name="20% - Accent2 3 37" xfId="773"/>
    <cellStyle name="20% - Accent2 3 38" xfId="774"/>
    <cellStyle name="20% - Accent2 3 39" xfId="775"/>
    <cellStyle name="20% - Accent2 3 4" xfId="776"/>
    <cellStyle name="20% - Accent2 3 40" xfId="777"/>
    <cellStyle name="20% - Accent2 3 41" xfId="778"/>
    <cellStyle name="20% - Accent2 3 42" xfId="779"/>
    <cellStyle name="20% - Accent2 3 43" xfId="780"/>
    <cellStyle name="20% - Accent2 3 44" xfId="781"/>
    <cellStyle name="20% - Accent2 3 45" xfId="782"/>
    <cellStyle name="20% - Accent2 3 5" xfId="783"/>
    <cellStyle name="20% - Accent2 3 6" xfId="784"/>
    <cellStyle name="20% - Accent2 3 7" xfId="785"/>
    <cellStyle name="20% - Accent2 3 8" xfId="786"/>
    <cellStyle name="20% - Accent2 3 9" xfId="787"/>
    <cellStyle name="20% - Accent2 4" xfId="788"/>
    <cellStyle name="20% - Accent2 4 10" xfId="789"/>
    <cellStyle name="20% - Accent2 4 11" xfId="790"/>
    <cellStyle name="20% - Accent2 4 12" xfId="791"/>
    <cellStyle name="20% - Accent2 4 13" xfId="792"/>
    <cellStyle name="20% - Accent2 4 14" xfId="793"/>
    <cellStyle name="20% - Accent2 4 15" xfId="794"/>
    <cellStyle name="20% - Accent2 4 16" xfId="795"/>
    <cellStyle name="20% - Accent2 4 17" xfId="796"/>
    <cellStyle name="20% - Accent2 4 18" xfId="797"/>
    <cellStyle name="20% - Accent2 4 19" xfId="798"/>
    <cellStyle name="20% - Accent2 4 2" xfId="799"/>
    <cellStyle name="20% - Accent2 4 20" xfId="800"/>
    <cellStyle name="20% - Accent2 4 21" xfId="801"/>
    <cellStyle name="20% - Accent2 4 22" xfId="802"/>
    <cellStyle name="20% - Accent2 4 23" xfId="803"/>
    <cellStyle name="20% - Accent2 4 24" xfId="804"/>
    <cellStyle name="20% - Accent2 4 25" xfId="805"/>
    <cellStyle name="20% - Accent2 4 26" xfId="806"/>
    <cellStyle name="20% - Accent2 4 27" xfId="807"/>
    <cellStyle name="20% - Accent2 4 28" xfId="808"/>
    <cellStyle name="20% - Accent2 4 29" xfId="809"/>
    <cellStyle name="20% - Accent2 4 3" xfId="810"/>
    <cellStyle name="20% - Accent2 4 30" xfId="811"/>
    <cellStyle name="20% - Accent2 4 31" xfId="812"/>
    <cellStyle name="20% - Accent2 4 32" xfId="813"/>
    <cellStyle name="20% - Accent2 4 33" xfId="814"/>
    <cellStyle name="20% - Accent2 4 34" xfId="815"/>
    <cellStyle name="20% - Accent2 4 35" xfId="816"/>
    <cellStyle name="20% - Accent2 4 36" xfId="817"/>
    <cellStyle name="20% - Accent2 4 37" xfId="818"/>
    <cellStyle name="20% - Accent2 4 38" xfId="819"/>
    <cellStyle name="20% - Accent2 4 39" xfId="820"/>
    <cellStyle name="20% - Accent2 4 4" xfId="821"/>
    <cellStyle name="20% - Accent2 4 40" xfId="822"/>
    <cellStyle name="20% - Accent2 4 41" xfId="823"/>
    <cellStyle name="20% - Accent2 4 5" xfId="824"/>
    <cellStyle name="20% - Accent2 4 6" xfId="825"/>
    <cellStyle name="20% - Accent2 4 7" xfId="826"/>
    <cellStyle name="20% - Accent2 4 8" xfId="827"/>
    <cellStyle name="20% - Accent2 4 9" xfId="828"/>
    <cellStyle name="20% - Accent2 5" xfId="829"/>
    <cellStyle name="20% - Accent2 5 10" xfId="830"/>
    <cellStyle name="20% - Accent2 5 11" xfId="831"/>
    <cellStyle name="20% - Accent2 5 12" xfId="832"/>
    <cellStyle name="20% - Accent2 5 13" xfId="833"/>
    <cellStyle name="20% - Accent2 5 14" xfId="834"/>
    <cellStyle name="20% - Accent2 5 15" xfId="835"/>
    <cellStyle name="20% - Accent2 5 16" xfId="836"/>
    <cellStyle name="20% - Accent2 5 17" xfId="837"/>
    <cellStyle name="20% - Accent2 5 18" xfId="838"/>
    <cellStyle name="20% - Accent2 5 19" xfId="839"/>
    <cellStyle name="20% - Accent2 5 2" xfId="840"/>
    <cellStyle name="20% - Accent2 5 20" xfId="841"/>
    <cellStyle name="20% - Accent2 5 21" xfId="842"/>
    <cellStyle name="20% - Accent2 5 22" xfId="843"/>
    <cellStyle name="20% - Accent2 5 23" xfId="844"/>
    <cellStyle name="20% - Accent2 5 24" xfId="845"/>
    <cellStyle name="20% - Accent2 5 25" xfId="846"/>
    <cellStyle name="20% - Accent2 5 26" xfId="847"/>
    <cellStyle name="20% - Accent2 5 27" xfId="848"/>
    <cellStyle name="20% - Accent2 5 28" xfId="849"/>
    <cellStyle name="20% - Accent2 5 29" xfId="850"/>
    <cellStyle name="20% - Accent2 5 3" xfId="851"/>
    <cellStyle name="20% - Accent2 5 30" xfId="852"/>
    <cellStyle name="20% - Accent2 5 31" xfId="853"/>
    <cellStyle name="20% - Accent2 5 32" xfId="854"/>
    <cellStyle name="20% - Accent2 5 33" xfId="855"/>
    <cellStyle name="20% - Accent2 5 34" xfId="856"/>
    <cellStyle name="20% - Accent2 5 35" xfId="857"/>
    <cellStyle name="20% - Accent2 5 36" xfId="858"/>
    <cellStyle name="20% - Accent2 5 37" xfId="859"/>
    <cellStyle name="20% - Accent2 5 38" xfId="860"/>
    <cellStyle name="20% - Accent2 5 39" xfId="861"/>
    <cellStyle name="20% - Accent2 5 4" xfId="862"/>
    <cellStyle name="20% - Accent2 5 40" xfId="863"/>
    <cellStyle name="20% - Accent2 5 41" xfId="864"/>
    <cellStyle name="20% - Accent2 5 5" xfId="865"/>
    <cellStyle name="20% - Accent2 5 6" xfId="866"/>
    <cellStyle name="20% - Accent2 5 7" xfId="867"/>
    <cellStyle name="20% - Accent2 5 8" xfId="868"/>
    <cellStyle name="20% - Accent2 5 9" xfId="869"/>
    <cellStyle name="20% - Accent2 6" xfId="870"/>
    <cellStyle name="20% - Accent2 6 10" xfId="871"/>
    <cellStyle name="20% - Accent2 6 11" xfId="872"/>
    <cellStyle name="20% - Accent2 6 12" xfId="873"/>
    <cellStyle name="20% - Accent2 6 13" xfId="874"/>
    <cellStyle name="20% - Accent2 6 14" xfId="875"/>
    <cellStyle name="20% - Accent2 6 15" xfId="876"/>
    <cellStyle name="20% - Accent2 6 16" xfId="877"/>
    <cellStyle name="20% - Accent2 6 17" xfId="878"/>
    <cellStyle name="20% - Accent2 6 18" xfId="879"/>
    <cellStyle name="20% - Accent2 6 19" xfId="880"/>
    <cellStyle name="20% - Accent2 6 2" xfId="881"/>
    <cellStyle name="20% - Accent2 6 20" xfId="882"/>
    <cellStyle name="20% - Accent2 6 21" xfId="883"/>
    <cellStyle name="20% - Accent2 6 22" xfId="884"/>
    <cellStyle name="20% - Accent2 6 23" xfId="885"/>
    <cellStyle name="20% - Accent2 6 24" xfId="886"/>
    <cellStyle name="20% - Accent2 6 25" xfId="887"/>
    <cellStyle name="20% - Accent2 6 26" xfId="888"/>
    <cellStyle name="20% - Accent2 6 27" xfId="889"/>
    <cellStyle name="20% - Accent2 6 28" xfId="890"/>
    <cellStyle name="20% - Accent2 6 29" xfId="891"/>
    <cellStyle name="20% - Accent2 6 3" xfId="892"/>
    <cellStyle name="20% - Accent2 6 30" xfId="893"/>
    <cellStyle name="20% - Accent2 6 31" xfId="894"/>
    <cellStyle name="20% - Accent2 6 32" xfId="895"/>
    <cellStyle name="20% - Accent2 6 33" xfId="896"/>
    <cellStyle name="20% - Accent2 6 34" xfId="897"/>
    <cellStyle name="20% - Accent2 6 35" xfId="898"/>
    <cellStyle name="20% - Accent2 6 36" xfId="899"/>
    <cellStyle name="20% - Accent2 6 37" xfId="900"/>
    <cellStyle name="20% - Accent2 6 38" xfId="901"/>
    <cellStyle name="20% - Accent2 6 39" xfId="902"/>
    <cellStyle name="20% - Accent2 6 4" xfId="903"/>
    <cellStyle name="20% - Accent2 6 40" xfId="904"/>
    <cellStyle name="20% - Accent2 6 41" xfId="905"/>
    <cellStyle name="20% - Accent2 6 5" xfId="906"/>
    <cellStyle name="20% - Accent2 6 6" xfId="907"/>
    <cellStyle name="20% - Accent2 6 7" xfId="908"/>
    <cellStyle name="20% - Accent2 6 8" xfId="909"/>
    <cellStyle name="20% - Accent2 6 9" xfId="910"/>
    <cellStyle name="20% - Accent2 7" xfId="911"/>
    <cellStyle name="20% - Accent2 7 10" xfId="912"/>
    <cellStyle name="20% - Accent2 7 11" xfId="913"/>
    <cellStyle name="20% - Accent2 7 12" xfId="914"/>
    <cellStyle name="20% - Accent2 7 13" xfId="915"/>
    <cellStyle name="20% - Accent2 7 14" xfId="916"/>
    <cellStyle name="20% - Accent2 7 15" xfId="917"/>
    <cellStyle name="20% - Accent2 7 16" xfId="918"/>
    <cellStyle name="20% - Accent2 7 17" xfId="919"/>
    <cellStyle name="20% - Accent2 7 18" xfId="920"/>
    <cellStyle name="20% - Accent2 7 19" xfId="921"/>
    <cellStyle name="20% - Accent2 7 2" xfId="922"/>
    <cellStyle name="20% - Accent2 7 20" xfId="923"/>
    <cellStyle name="20% - Accent2 7 21" xfId="924"/>
    <cellStyle name="20% - Accent2 7 22" xfId="925"/>
    <cellStyle name="20% - Accent2 7 23" xfId="926"/>
    <cellStyle name="20% - Accent2 7 24" xfId="927"/>
    <cellStyle name="20% - Accent2 7 25" xfId="928"/>
    <cellStyle name="20% - Accent2 7 26" xfId="929"/>
    <cellStyle name="20% - Accent2 7 27" xfId="930"/>
    <cellStyle name="20% - Accent2 7 28" xfId="931"/>
    <cellStyle name="20% - Accent2 7 29" xfId="932"/>
    <cellStyle name="20% - Accent2 7 3" xfId="933"/>
    <cellStyle name="20% - Accent2 7 30" xfId="934"/>
    <cellStyle name="20% - Accent2 7 31" xfId="935"/>
    <cellStyle name="20% - Accent2 7 32" xfId="936"/>
    <cellStyle name="20% - Accent2 7 33" xfId="937"/>
    <cellStyle name="20% - Accent2 7 34" xfId="938"/>
    <cellStyle name="20% - Accent2 7 35" xfId="939"/>
    <cellStyle name="20% - Accent2 7 36" xfId="940"/>
    <cellStyle name="20% - Accent2 7 37" xfId="941"/>
    <cellStyle name="20% - Accent2 7 38" xfId="942"/>
    <cellStyle name="20% - Accent2 7 39" xfId="943"/>
    <cellStyle name="20% - Accent2 7 4" xfId="944"/>
    <cellStyle name="20% - Accent2 7 40" xfId="945"/>
    <cellStyle name="20% - Accent2 7 41" xfId="946"/>
    <cellStyle name="20% - Accent2 7 5" xfId="947"/>
    <cellStyle name="20% - Accent2 7 6" xfId="948"/>
    <cellStyle name="20% - Accent2 7 7" xfId="949"/>
    <cellStyle name="20% - Accent2 7 8" xfId="950"/>
    <cellStyle name="20% - Accent2 7 9" xfId="951"/>
    <cellStyle name="20% - Accent2 8" xfId="952"/>
    <cellStyle name="20% - Accent2 8 10" xfId="953"/>
    <cellStyle name="20% - Accent2 8 11" xfId="954"/>
    <cellStyle name="20% - Accent2 8 12" xfId="955"/>
    <cellStyle name="20% - Accent2 8 13" xfId="956"/>
    <cellStyle name="20% - Accent2 8 14" xfId="957"/>
    <cellStyle name="20% - Accent2 8 15" xfId="958"/>
    <cellStyle name="20% - Accent2 8 16" xfId="959"/>
    <cellStyle name="20% - Accent2 8 17" xfId="960"/>
    <cellStyle name="20% - Accent2 8 18" xfId="961"/>
    <cellStyle name="20% - Accent2 8 19" xfId="962"/>
    <cellStyle name="20% - Accent2 8 2" xfId="963"/>
    <cellStyle name="20% - Accent2 8 20" xfId="964"/>
    <cellStyle name="20% - Accent2 8 21" xfId="965"/>
    <cellStyle name="20% - Accent2 8 22" xfId="966"/>
    <cellStyle name="20% - Accent2 8 23" xfId="967"/>
    <cellStyle name="20% - Accent2 8 24" xfId="968"/>
    <cellStyle name="20% - Accent2 8 25" xfId="969"/>
    <cellStyle name="20% - Accent2 8 26" xfId="970"/>
    <cellStyle name="20% - Accent2 8 27" xfId="971"/>
    <cellStyle name="20% - Accent2 8 28" xfId="972"/>
    <cellStyle name="20% - Accent2 8 29" xfId="973"/>
    <cellStyle name="20% - Accent2 8 3" xfId="974"/>
    <cellStyle name="20% - Accent2 8 30" xfId="975"/>
    <cellStyle name="20% - Accent2 8 31" xfId="976"/>
    <cellStyle name="20% - Accent2 8 32" xfId="977"/>
    <cellStyle name="20% - Accent2 8 33" xfId="978"/>
    <cellStyle name="20% - Accent2 8 34" xfId="979"/>
    <cellStyle name="20% - Accent2 8 35" xfId="980"/>
    <cellStyle name="20% - Accent2 8 36" xfId="981"/>
    <cellStyle name="20% - Accent2 8 37" xfId="982"/>
    <cellStyle name="20% - Accent2 8 38" xfId="983"/>
    <cellStyle name="20% - Accent2 8 39" xfId="984"/>
    <cellStyle name="20% - Accent2 8 4" xfId="985"/>
    <cellStyle name="20% - Accent2 8 40" xfId="986"/>
    <cellStyle name="20% - Accent2 8 41" xfId="987"/>
    <cellStyle name="20% - Accent2 8 5" xfId="988"/>
    <cellStyle name="20% - Accent2 8 6" xfId="989"/>
    <cellStyle name="20% - Accent2 8 7" xfId="990"/>
    <cellStyle name="20% - Accent2 8 8" xfId="991"/>
    <cellStyle name="20% - Accent2 8 9" xfId="992"/>
    <cellStyle name="20% - Accent2 9" xfId="993"/>
    <cellStyle name="20% - Accent2 9 10" xfId="994"/>
    <cellStyle name="20% - Accent2 9 11" xfId="995"/>
    <cellStyle name="20% - Accent2 9 12" xfId="996"/>
    <cellStyle name="20% - Accent2 9 13" xfId="997"/>
    <cellStyle name="20% - Accent2 9 14" xfId="998"/>
    <cellStyle name="20% - Accent2 9 15" xfId="999"/>
    <cellStyle name="20% - Accent2 9 16" xfId="1000"/>
    <cellStyle name="20% - Accent2 9 17" xfId="1001"/>
    <cellStyle name="20% - Accent2 9 18" xfId="1002"/>
    <cellStyle name="20% - Accent2 9 19" xfId="1003"/>
    <cellStyle name="20% - Accent2 9 2" xfId="1004"/>
    <cellStyle name="20% - Accent2 9 20" xfId="1005"/>
    <cellStyle name="20% - Accent2 9 21" xfId="1006"/>
    <cellStyle name="20% - Accent2 9 22" xfId="1007"/>
    <cellStyle name="20% - Accent2 9 23" xfId="1008"/>
    <cellStyle name="20% - Accent2 9 24" xfId="1009"/>
    <cellStyle name="20% - Accent2 9 25" xfId="1010"/>
    <cellStyle name="20% - Accent2 9 26" xfId="1011"/>
    <cellStyle name="20% - Accent2 9 27" xfId="1012"/>
    <cellStyle name="20% - Accent2 9 28" xfId="1013"/>
    <cellStyle name="20% - Accent2 9 29" xfId="1014"/>
    <cellStyle name="20% - Accent2 9 3" xfId="1015"/>
    <cellStyle name="20% - Accent2 9 30" xfId="1016"/>
    <cellStyle name="20% - Accent2 9 31" xfId="1017"/>
    <cellStyle name="20% - Accent2 9 32" xfId="1018"/>
    <cellStyle name="20% - Accent2 9 33" xfId="1019"/>
    <cellStyle name="20% - Accent2 9 34" xfId="1020"/>
    <cellStyle name="20% - Accent2 9 35" xfId="1021"/>
    <cellStyle name="20% - Accent2 9 36" xfId="1022"/>
    <cellStyle name="20% - Accent2 9 37" xfId="1023"/>
    <cellStyle name="20% - Accent2 9 38" xfId="1024"/>
    <cellStyle name="20% - Accent2 9 39" xfId="1025"/>
    <cellStyle name="20% - Accent2 9 4" xfId="1026"/>
    <cellStyle name="20% - Accent2 9 40" xfId="1027"/>
    <cellStyle name="20% - Accent2 9 41" xfId="1028"/>
    <cellStyle name="20% - Accent2 9 5" xfId="1029"/>
    <cellStyle name="20% - Accent2 9 6" xfId="1030"/>
    <cellStyle name="20% - Accent2 9 7" xfId="1031"/>
    <cellStyle name="20% - Accent2 9 8" xfId="1032"/>
    <cellStyle name="20% - Accent2 9 9" xfId="1033"/>
    <cellStyle name="20% - Accent3" xfId="27" builtinId="38" customBuiltin="1"/>
    <cellStyle name="20% - Accent3 10" xfId="1034"/>
    <cellStyle name="20% - Accent3 10 10" xfId="1035"/>
    <cellStyle name="20% - Accent3 10 11" xfId="1036"/>
    <cellStyle name="20% - Accent3 10 12" xfId="1037"/>
    <cellStyle name="20% - Accent3 10 13" xfId="1038"/>
    <cellStyle name="20% - Accent3 10 14" xfId="1039"/>
    <cellStyle name="20% - Accent3 10 15" xfId="1040"/>
    <cellStyle name="20% - Accent3 10 16" xfId="1041"/>
    <cellStyle name="20% - Accent3 10 17" xfId="1042"/>
    <cellStyle name="20% - Accent3 10 18" xfId="1043"/>
    <cellStyle name="20% - Accent3 10 19" xfId="1044"/>
    <cellStyle name="20% - Accent3 10 2" xfId="1045"/>
    <cellStyle name="20% - Accent3 10 20" xfId="1046"/>
    <cellStyle name="20% - Accent3 10 21" xfId="1047"/>
    <cellStyle name="20% - Accent3 10 22" xfId="1048"/>
    <cellStyle name="20% - Accent3 10 23" xfId="1049"/>
    <cellStyle name="20% - Accent3 10 24" xfId="1050"/>
    <cellStyle name="20% - Accent3 10 25" xfId="1051"/>
    <cellStyle name="20% - Accent3 10 26" xfId="1052"/>
    <cellStyle name="20% - Accent3 10 27" xfId="1053"/>
    <cellStyle name="20% - Accent3 10 28" xfId="1054"/>
    <cellStyle name="20% - Accent3 10 29" xfId="1055"/>
    <cellStyle name="20% - Accent3 10 3" xfId="1056"/>
    <cellStyle name="20% - Accent3 10 30" xfId="1057"/>
    <cellStyle name="20% - Accent3 10 31" xfId="1058"/>
    <cellStyle name="20% - Accent3 10 32" xfId="1059"/>
    <cellStyle name="20% - Accent3 10 33" xfId="1060"/>
    <cellStyle name="20% - Accent3 10 34" xfId="1061"/>
    <cellStyle name="20% - Accent3 10 35" xfId="1062"/>
    <cellStyle name="20% - Accent3 10 36" xfId="1063"/>
    <cellStyle name="20% - Accent3 10 37" xfId="1064"/>
    <cellStyle name="20% - Accent3 10 38" xfId="1065"/>
    <cellStyle name="20% - Accent3 10 39" xfId="1066"/>
    <cellStyle name="20% - Accent3 10 4" xfId="1067"/>
    <cellStyle name="20% - Accent3 10 40" xfId="1068"/>
    <cellStyle name="20% - Accent3 10 41" xfId="1069"/>
    <cellStyle name="20% - Accent3 10 5" xfId="1070"/>
    <cellStyle name="20% - Accent3 10 6" xfId="1071"/>
    <cellStyle name="20% - Accent3 10 7" xfId="1072"/>
    <cellStyle name="20% - Accent3 10 8" xfId="1073"/>
    <cellStyle name="20% - Accent3 10 9" xfId="1074"/>
    <cellStyle name="20% - Accent3 11" xfId="1075"/>
    <cellStyle name="20% - Accent3 11 10" xfId="1076"/>
    <cellStyle name="20% - Accent3 11 11" xfId="1077"/>
    <cellStyle name="20% - Accent3 11 12" xfId="1078"/>
    <cellStyle name="20% - Accent3 11 13" xfId="1079"/>
    <cellStyle name="20% - Accent3 11 14" xfId="1080"/>
    <cellStyle name="20% - Accent3 11 15" xfId="1081"/>
    <cellStyle name="20% - Accent3 11 16" xfId="1082"/>
    <cellStyle name="20% - Accent3 11 17" xfId="1083"/>
    <cellStyle name="20% - Accent3 11 18" xfId="1084"/>
    <cellStyle name="20% - Accent3 11 19" xfId="1085"/>
    <cellStyle name="20% - Accent3 11 2" xfId="1086"/>
    <cellStyle name="20% - Accent3 11 20" xfId="1087"/>
    <cellStyle name="20% - Accent3 11 21" xfId="1088"/>
    <cellStyle name="20% - Accent3 11 22" xfId="1089"/>
    <cellStyle name="20% - Accent3 11 23" xfId="1090"/>
    <cellStyle name="20% - Accent3 11 24" xfId="1091"/>
    <cellStyle name="20% - Accent3 11 25" xfId="1092"/>
    <cellStyle name="20% - Accent3 11 26" xfId="1093"/>
    <cellStyle name="20% - Accent3 11 27" xfId="1094"/>
    <cellStyle name="20% - Accent3 11 28" xfId="1095"/>
    <cellStyle name="20% - Accent3 11 29" xfId="1096"/>
    <cellStyle name="20% - Accent3 11 3" xfId="1097"/>
    <cellStyle name="20% - Accent3 11 30" xfId="1098"/>
    <cellStyle name="20% - Accent3 11 31" xfId="1099"/>
    <cellStyle name="20% - Accent3 11 32" xfId="1100"/>
    <cellStyle name="20% - Accent3 11 33" xfId="1101"/>
    <cellStyle name="20% - Accent3 11 34" xfId="1102"/>
    <cellStyle name="20% - Accent3 11 35" xfId="1103"/>
    <cellStyle name="20% - Accent3 11 36" xfId="1104"/>
    <cellStyle name="20% - Accent3 11 37" xfId="1105"/>
    <cellStyle name="20% - Accent3 11 38" xfId="1106"/>
    <cellStyle name="20% - Accent3 11 39" xfId="1107"/>
    <cellStyle name="20% - Accent3 11 4" xfId="1108"/>
    <cellStyle name="20% - Accent3 11 40" xfId="1109"/>
    <cellStyle name="20% - Accent3 11 41" xfId="1110"/>
    <cellStyle name="20% - Accent3 11 5" xfId="1111"/>
    <cellStyle name="20% - Accent3 11 6" xfId="1112"/>
    <cellStyle name="20% - Accent3 11 7" xfId="1113"/>
    <cellStyle name="20% - Accent3 11 8" xfId="1114"/>
    <cellStyle name="20% - Accent3 11 9" xfId="1115"/>
    <cellStyle name="20% - Accent3 12" xfId="1116"/>
    <cellStyle name="20% - Accent3 12 10" xfId="1117"/>
    <cellStyle name="20% - Accent3 12 11" xfId="1118"/>
    <cellStyle name="20% - Accent3 12 12" xfId="1119"/>
    <cellStyle name="20% - Accent3 12 13" xfId="1120"/>
    <cellStyle name="20% - Accent3 12 14" xfId="1121"/>
    <cellStyle name="20% - Accent3 12 15" xfId="1122"/>
    <cellStyle name="20% - Accent3 12 16" xfId="1123"/>
    <cellStyle name="20% - Accent3 12 17" xfId="1124"/>
    <cellStyle name="20% - Accent3 12 18" xfId="1125"/>
    <cellStyle name="20% - Accent3 12 19" xfId="1126"/>
    <cellStyle name="20% - Accent3 12 2" xfId="1127"/>
    <cellStyle name="20% - Accent3 12 20" xfId="1128"/>
    <cellStyle name="20% - Accent3 12 21" xfId="1129"/>
    <cellStyle name="20% - Accent3 12 22" xfId="1130"/>
    <cellStyle name="20% - Accent3 12 23" xfId="1131"/>
    <cellStyle name="20% - Accent3 12 24" xfId="1132"/>
    <cellStyle name="20% - Accent3 12 25" xfId="1133"/>
    <cellStyle name="20% - Accent3 12 26" xfId="1134"/>
    <cellStyle name="20% - Accent3 12 27" xfId="1135"/>
    <cellStyle name="20% - Accent3 12 28" xfId="1136"/>
    <cellStyle name="20% - Accent3 12 29" xfId="1137"/>
    <cellStyle name="20% - Accent3 12 3" xfId="1138"/>
    <cellStyle name="20% - Accent3 12 30" xfId="1139"/>
    <cellStyle name="20% - Accent3 12 31" xfId="1140"/>
    <cellStyle name="20% - Accent3 12 32" xfId="1141"/>
    <cellStyle name="20% - Accent3 12 33" xfId="1142"/>
    <cellStyle name="20% - Accent3 12 34" xfId="1143"/>
    <cellStyle name="20% - Accent3 12 35" xfId="1144"/>
    <cellStyle name="20% - Accent3 12 36" xfId="1145"/>
    <cellStyle name="20% - Accent3 12 37" xfId="1146"/>
    <cellStyle name="20% - Accent3 12 38" xfId="1147"/>
    <cellStyle name="20% - Accent3 12 39" xfId="1148"/>
    <cellStyle name="20% - Accent3 12 4" xfId="1149"/>
    <cellStyle name="20% - Accent3 12 40" xfId="1150"/>
    <cellStyle name="20% - Accent3 12 41" xfId="1151"/>
    <cellStyle name="20% - Accent3 12 5" xfId="1152"/>
    <cellStyle name="20% - Accent3 12 6" xfId="1153"/>
    <cellStyle name="20% - Accent3 12 7" xfId="1154"/>
    <cellStyle name="20% - Accent3 12 8" xfId="1155"/>
    <cellStyle name="20% - Accent3 12 9" xfId="1156"/>
    <cellStyle name="20% - Accent3 13" xfId="1157"/>
    <cellStyle name="20% - Accent3 14" xfId="1158"/>
    <cellStyle name="20% - Accent3 14 2" xfId="1159"/>
    <cellStyle name="20% - Accent3 15" xfId="1160"/>
    <cellStyle name="20% - Accent3 16" xfId="1161"/>
    <cellStyle name="20% - Accent3 2" xfId="1162"/>
    <cellStyle name="20% - Accent3 2 10" xfId="1163"/>
    <cellStyle name="20% - Accent3 2 11" xfId="1164"/>
    <cellStyle name="20% - Accent3 2 12" xfId="1165"/>
    <cellStyle name="20% - Accent3 2 13" xfId="1166"/>
    <cellStyle name="20% - Accent3 2 14" xfId="1167"/>
    <cellStyle name="20% - Accent3 2 15" xfId="1168"/>
    <cellStyle name="20% - Accent3 2 16" xfId="1169"/>
    <cellStyle name="20% - Accent3 2 17" xfId="1170"/>
    <cellStyle name="20% - Accent3 2 18" xfId="1171"/>
    <cellStyle name="20% - Accent3 2 19" xfId="1172"/>
    <cellStyle name="20% - Accent3 2 2" xfId="1173"/>
    <cellStyle name="20% - Accent3 2 2 2" xfId="1174"/>
    <cellStyle name="20% - Accent3 2 2 2 2" xfId="1175"/>
    <cellStyle name="20% - Accent3 2 2 3" xfId="1176"/>
    <cellStyle name="20% - Accent3 2 2 4" xfId="1177"/>
    <cellStyle name="20% - Accent3 2 2 5" xfId="1178"/>
    <cellStyle name="20% - Accent3 2 20" xfId="1179"/>
    <cellStyle name="20% - Accent3 2 21" xfId="1180"/>
    <cellStyle name="20% - Accent3 2 22" xfId="1181"/>
    <cellStyle name="20% - Accent3 2 23" xfId="1182"/>
    <cellStyle name="20% - Accent3 2 24" xfId="1183"/>
    <cellStyle name="20% - Accent3 2 25" xfId="1184"/>
    <cellStyle name="20% - Accent3 2 26" xfId="1185"/>
    <cellStyle name="20% - Accent3 2 27" xfId="1186"/>
    <cellStyle name="20% - Accent3 2 28" xfId="1187"/>
    <cellStyle name="20% - Accent3 2 29" xfId="1188"/>
    <cellStyle name="20% - Accent3 2 3" xfId="1189"/>
    <cellStyle name="20% - Accent3 2 3 2" xfId="1190"/>
    <cellStyle name="20% - Accent3 2 3 3" xfId="1191"/>
    <cellStyle name="20% - Accent3 2 3 4" xfId="1192"/>
    <cellStyle name="20% - Accent3 2 3 5" xfId="1193"/>
    <cellStyle name="20% - Accent3 2 3 6" xfId="1194"/>
    <cellStyle name="20% - Accent3 2 30" xfId="1195"/>
    <cellStyle name="20% - Accent3 2 31" xfId="1196"/>
    <cellStyle name="20% - Accent3 2 32" xfId="1197"/>
    <cellStyle name="20% - Accent3 2 33" xfId="1198"/>
    <cellStyle name="20% - Accent3 2 34" xfId="1199"/>
    <cellStyle name="20% - Accent3 2 35" xfId="1200"/>
    <cellStyle name="20% - Accent3 2 36" xfId="1201"/>
    <cellStyle name="20% - Accent3 2 37" xfId="1202"/>
    <cellStyle name="20% - Accent3 2 38" xfId="1203"/>
    <cellStyle name="20% - Accent3 2 39" xfId="1204"/>
    <cellStyle name="20% - Accent3 2 4" xfId="1205"/>
    <cellStyle name="20% - Accent3 2 40" xfId="1206"/>
    <cellStyle name="20% - Accent3 2 41" xfId="1207"/>
    <cellStyle name="20% - Accent3 2 42" xfId="1208"/>
    <cellStyle name="20% - Accent3 2 43" xfId="1209"/>
    <cellStyle name="20% - Accent3 2 44" xfId="1210"/>
    <cellStyle name="20% - Accent3 2 45" xfId="1211"/>
    <cellStyle name="20% - Accent3 2 5" xfId="1212"/>
    <cellStyle name="20% - Accent3 2 6" xfId="1213"/>
    <cellStyle name="20% - Accent3 2 7" xfId="1214"/>
    <cellStyle name="20% - Accent3 2 8" xfId="1215"/>
    <cellStyle name="20% - Accent3 2 9" xfId="1216"/>
    <cellStyle name="20% - Accent3 3" xfId="1217"/>
    <cellStyle name="20% - Accent3 3 10" xfId="1218"/>
    <cellStyle name="20% - Accent3 3 11" xfId="1219"/>
    <cellStyle name="20% - Accent3 3 12" xfId="1220"/>
    <cellStyle name="20% - Accent3 3 13" xfId="1221"/>
    <cellStyle name="20% - Accent3 3 14" xfId="1222"/>
    <cellStyle name="20% - Accent3 3 15" xfId="1223"/>
    <cellStyle name="20% - Accent3 3 16" xfId="1224"/>
    <cellStyle name="20% - Accent3 3 17" xfId="1225"/>
    <cellStyle name="20% - Accent3 3 18" xfId="1226"/>
    <cellStyle name="20% - Accent3 3 19" xfId="1227"/>
    <cellStyle name="20% - Accent3 3 2" xfId="1228"/>
    <cellStyle name="20% - Accent3 3 20" xfId="1229"/>
    <cellStyle name="20% - Accent3 3 21" xfId="1230"/>
    <cellStyle name="20% - Accent3 3 22" xfId="1231"/>
    <cellStyle name="20% - Accent3 3 23" xfId="1232"/>
    <cellStyle name="20% - Accent3 3 24" xfId="1233"/>
    <cellStyle name="20% - Accent3 3 25" xfId="1234"/>
    <cellStyle name="20% - Accent3 3 26" xfId="1235"/>
    <cellStyle name="20% - Accent3 3 27" xfId="1236"/>
    <cellStyle name="20% - Accent3 3 28" xfId="1237"/>
    <cellStyle name="20% - Accent3 3 29" xfId="1238"/>
    <cellStyle name="20% - Accent3 3 3" xfId="1239"/>
    <cellStyle name="20% - Accent3 3 30" xfId="1240"/>
    <cellStyle name="20% - Accent3 3 31" xfId="1241"/>
    <cellStyle name="20% - Accent3 3 32" xfId="1242"/>
    <cellStyle name="20% - Accent3 3 33" xfId="1243"/>
    <cellStyle name="20% - Accent3 3 34" xfId="1244"/>
    <cellStyle name="20% - Accent3 3 35" xfId="1245"/>
    <cellStyle name="20% - Accent3 3 36" xfId="1246"/>
    <cellStyle name="20% - Accent3 3 37" xfId="1247"/>
    <cellStyle name="20% - Accent3 3 38" xfId="1248"/>
    <cellStyle name="20% - Accent3 3 39" xfId="1249"/>
    <cellStyle name="20% - Accent3 3 4" xfId="1250"/>
    <cellStyle name="20% - Accent3 3 40" xfId="1251"/>
    <cellStyle name="20% - Accent3 3 41" xfId="1252"/>
    <cellStyle name="20% - Accent3 3 42" xfId="1253"/>
    <cellStyle name="20% - Accent3 3 43" xfId="1254"/>
    <cellStyle name="20% - Accent3 3 44" xfId="1255"/>
    <cellStyle name="20% - Accent3 3 45" xfId="1256"/>
    <cellStyle name="20% - Accent3 3 5" xfId="1257"/>
    <cellStyle name="20% - Accent3 3 6" xfId="1258"/>
    <cellStyle name="20% - Accent3 3 7" xfId="1259"/>
    <cellStyle name="20% - Accent3 3 8" xfId="1260"/>
    <cellStyle name="20% - Accent3 3 9" xfId="1261"/>
    <cellStyle name="20% - Accent3 4" xfId="1262"/>
    <cellStyle name="20% - Accent3 4 10" xfId="1263"/>
    <cellStyle name="20% - Accent3 4 11" xfId="1264"/>
    <cellStyle name="20% - Accent3 4 12" xfId="1265"/>
    <cellStyle name="20% - Accent3 4 13" xfId="1266"/>
    <cellStyle name="20% - Accent3 4 14" xfId="1267"/>
    <cellStyle name="20% - Accent3 4 15" xfId="1268"/>
    <cellStyle name="20% - Accent3 4 16" xfId="1269"/>
    <cellStyle name="20% - Accent3 4 17" xfId="1270"/>
    <cellStyle name="20% - Accent3 4 18" xfId="1271"/>
    <cellStyle name="20% - Accent3 4 19" xfId="1272"/>
    <cellStyle name="20% - Accent3 4 2" xfId="1273"/>
    <cellStyle name="20% - Accent3 4 20" xfId="1274"/>
    <cellStyle name="20% - Accent3 4 21" xfId="1275"/>
    <cellStyle name="20% - Accent3 4 22" xfId="1276"/>
    <cellStyle name="20% - Accent3 4 23" xfId="1277"/>
    <cellStyle name="20% - Accent3 4 24" xfId="1278"/>
    <cellStyle name="20% - Accent3 4 25" xfId="1279"/>
    <cellStyle name="20% - Accent3 4 26" xfId="1280"/>
    <cellStyle name="20% - Accent3 4 27" xfId="1281"/>
    <cellStyle name="20% - Accent3 4 28" xfId="1282"/>
    <cellStyle name="20% - Accent3 4 29" xfId="1283"/>
    <cellStyle name="20% - Accent3 4 3" xfId="1284"/>
    <cellStyle name="20% - Accent3 4 30" xfId="1285"/>
    <cellStyle name="20% - Accent3 4 31" xfId="1286"/>
    <cellStyle name="20% - Accent3 4 32" xfId="1287"/>
    <cellStyle name="20% - Accent3 4 33" xfId="1288"/>
    <cellStyle name="20% - Accent3 4 34" xfId="1289"/>
    <cellStyle name="20% - Accent3 4 35" xfId="1290"/>
    <cellStyle name="20% - Accent3 4 36" xfId="1291"/>
    <cellStyle name="20% - Accent3 4 37" xfId="1292"/>
    <cellStyle name="20% - Accent3 4 38" xfId="1293"/>
    <cellStyle name="20% - Accent3 4 39" xfId="1294"/>
    <cellStyle name="20% - Accent3 4 4" xfId="1295"/>
    <cellStyle name="20% - Accent3 4 40" xfId="1296"/>
    <cellStyle name="20% - Accent3 4 41" xfId="1297"/>
    <cellStyle name="20% - Accent3 4 5" xfId="1298"/>
    <cellStyle name="20% - Accent3 4 6" xfId="1299"/>
    <cellStyle name="20% - Accent3 4 7" xfId="1300"/>
    <cellStyle name="20% - Accent3 4 8" xfId="1301"/>
    <cellStyle name="20% - Accent3 4 9" xfId="1302"/>
    <cellStyle name="20% - Accent3 5" xfId="1303"/>
    <cellStyle name="20% - Accent3 5 10" xfId="1304"/>
    <cellStyle name="20% - Accent3 5 11" xfId="1305"/>
    <cellStyle name="20% - Accent3 5 12" xfId="1306"/>
    <cellStyle name="20% - Accent3 5 13" xfId="1307"/>
    <cellStyle name="20% - Accent3 5 14" xfId="1308"/>
    <cellStyle name="20% - Accent3 5 15" xfId="1309"/>
    <cellStyle name="20% - Accent3 5 16" xfId="1310"/>
    <cellStyle name="20% - Accent3 5 17" xfId="1311"/>
    <cellStyle name="20% - Accent3 5 18" xfId="1312"/>
    <cellStyle name="20% - Accent3 5 19" xfId="1313"/>
    <cellStyle name="20% - Accent3 5 2" xfId="1314"/>
    <cellStyle name="20% - Accent3 5 20" xfId="1315"/>
    <cellStyle name="20% - Accent3 5 21" xfId="1316"/>
    <cellStyle name="20% - Accent3 5 22" xfId="1317"/>
    <cellStyle name="20% - Accent3 5 23" xfId="1318"/>
    <cellStyle name="20% - Accent3 5 24" xfId="1319"/>
    <cellStyle name="20% - Accent3 5 25" xfId="1320"/>
    <cellStyle name="20% - Accent3 5 26" xfId="1321"/>
    <cellStyle name="20% - Accent3 5 27" xfId="1322"/>
    <cellStyle name="20% - Accent3 5 28" xfId="1323"/>
    <cellStyle name="20% - Accent3 5 29" xfId="1324"/>
    <cellStyle name="20% - Accent3 5 3" xfId="1325"/>
    <cellStyle name="20% - Accent3 5 30" xfId="1326"/>
    <cellStyle name="20% - Accent3 5 31" xfId="1327"/>
    <cellStyle name="20% - Accent3 5 32" xfId="1328"/>
    <cellStyle name="20% - Accent3 5 33" xfId="1329"/>
    <cellStyle name="20% - Accent3 5 34" xfId="1330"/>
    <cellStyle name="20% - Accent3 5 35" xfId="1331"/>
    <cellStyle name="20% - Accent3 5 36" xfId="1332"/>
    <cellStyle name="20% - Accent3 5 37" xfId="1333"/>
    <cellStyle name="20% - Accent3 5 38" xfId="1334"/>
    <cellStyle name="20% - Accent3 5 39" xfId="1335"/>
    <cellStyle name="20% - Accent3 5 4" xfId="1336"/>
    <cellStyle name="20% - Accent3 5 40" xfId="1337"/>
    <cellStyle name="20% - Accent3 5 41" xfId="1338"/>
    <cellStyle name="20% - Accent3 5 5" xfId="1339"/>
    <cellStyle name="20% - Accent3 5 6" xfId="1340"/>
    <cellStyle name="20% - Accent3 5 7" xfId="1341"/>
    <cellStyle name="20% - Accent3 5 8" xfId="1342"/>
    <cellStyle name="20% - Accent3 5 9" xfId="1343"/>
    <cellStyle name="20% - Accent3 6" xfId="1344"/>
    <cellStyle name="20% - Accent3 6 10" xfId="1345"/>
    <cellStyle name="20% - Accent3 6 11" xfId="1346"/>
    <cellStyle name="20% - Accent3 6 12" xfId="1347"/>
    <cellStyle name="20% - Accent3 6 13" xfId="1348"/>
    <cellStyle name="20% - Accent3 6 14" xfId="1349"/>
    <cellStyle name="20% - Accent3 6 15" xfId="1350"/>
    <cellStyle name="20% - Accent3 6 16" xfId="1351"/>
    <cellStyle name="20% - Accent3 6 17" xfId="1352"/>
    <cellStyle name="20% - Accent3 6 18" xfId="1353"/>
    <cellStyle name="20% - Accent3 6 19" xfId="1354"/>
    <cellStyle name="20% - Accent3 6 2" xfId="1355"/>
    <cellStyle name="20% - Accent3 6 20" xfId="1356"/>
    <cellStyle name="20% - Accent3 6 21" xfId="1357"/>
    <cellStyle name="20% - Accent3 6 22" xfId="1358"/>
    <cellStyle name="20% - Accent3 6 23" xfId="1359"/>
    <cellStyle name="20% - Accent3 6 24" xfId="1360"/>
    <cellStyle name="20% - Accent3 6 25" xfId="1361"/>
    <cellStyle name="20% - Accent3 6 26" xfId="1362"/>
    <cellStyle name="20% - Accent3 6 27" xfId="1363"/>
    <cellStyle name="20% - Accent3 6 28" xfId="1364"/>
    <cellStyle name="20% - Accent3 6 29" xfId="1365"/>
    <cellStyle name="20% - Accent3 6 3" xfId="1366"/>
    <cellStyle name="20% - Accent3 6 30" xfId="1367"/>
    <cellStyle name="20% - Accent3 6 31" xfId="1368"/>
    <cellStyle name="20% - Accent3 6 32" xfId="1369"/>
    <cellStyle name="20% - Accent3 6 33" xfId="1370"/>
    <cellStyle name="20% - Accent3 6 34" xfId="1371"/>
    <cellStyle name="20% - Accent3 6 35" xfId="1372"/>
    <cellStyle name="20% - Accent3 6 36" xfId="1373"/>
    <cellStyle name="20% - Accent3 6 37" xfId="1374"/>
    <cellStyle name="20% - Accent3 6 38" xfId="1375"/>
    <cellStyle name="20% - Accent3 6 39" xfId="1376"/>
    <cellStyle name="20% - Accent3 6 4" xfId="1377"/>
    <cellStyle name="20% - Accent3 6 40" xfId="1378"/>
    <cellStyle name="20% - Accent3 6 41" xfId="1379"/>
    <cellStyle name="20% - Accent3 6 5" xfId="1380"/>
    <cellStyle name="20% - Accent3 6 6" xfId="1381"/>
    <cellStyle name="20% - Accent3 6 7" xfId="1382"/>
    <cellStyle name="20% - Accent3 6 8" xfId="1383"/>
    <cellStyle name="20% - Accent3 6 9" xfId="1384"/>
    <cellStyle name="20% - Accent3 7" xfId="1385"/>
    <cellStyle name="20% - Accent3 7 10" xfId="1386"/>
    <cellStyle name="20% - Accent3 7 11" xfId="1387"/>
    <cellStyle name="20% - Accent3 7 12" xfId="1388"/>
    <cellStyle name="20% - Accent3 7 13" xfId="1389"/>
    <cellStyle name="20% - Accent3 7 14" xfId="1390"/>
    <cellStyle name="20% - Accent3 7 15" xfId="1391"/>
    <cellStyle name="20% - Accent3 7 16" xfId="1392"/>
    <cellStyle name="20% - Accent3 7 17" xfId="1393"/>
    <cellStyle name="20% - Accent3 7 18" xfId="1394"/>
    <cellStyle name="20% - Accent3 7 19" xfId="1395"/>
    <cellStyle name="20% - Accent3 7 2" xfId="1396"/>
    <cellStyle name="20% - Accent3 7 20" xfId="1397"/>
    <cellStyle name="20% - Accent3 7 21" xfId="1398"/>
    <cellStyle name="20% - Accent3 7 22" xfId="1399"/>
    <cellStyle name="20% - Accent3 7 23" xfId="1400"/>
    <cellStyle name="20% - Accent3 7 24" xfId="1401"/>
    <cellStyle name="20% - Accent3 7 25" xfId="1402"/>
    <cellStyle name="20% - Accent3 7 26" xfId="1403"/>
    <cellStyle name="20% - Accent3 7 27" xfId="1404"/>
    <cellStyle name="20% - Accent3 7 28" xfId="1405"/>
    <cellStyle name="20% - Accent3 7 29" xfId="1406"/>
    <cellStyle name="20% - Accent3 7 3" xfId="1407"/>
    <cellStyle name="20% - Accent3 7 30" xfId="1408"/>
    <cellStyle name="20% - Accent3 7 31" xfId="1409"/>
    <cellStyle name="20% - Accent3 7 32" xfId="1410"/>
    <cellStyle name="20% - Accent3 7 33" xfId="1411"/>
    <cellStyle name="20% - Accent3 7 34" xfId="1412"/>
    <cellStyle name="20% - Accent3 7 35" xfId="1413"/>
    <cellStyle name="20% - Accent3 7 36" xfId="1414"/>
    <cellStyle name="20% - Accent3 7 37" xfId="1415"/>
    <cellStyle name="20% - Accent3 7 38" xfId="1416"/>
    <cellStyle name="20% - Accent3 7 39" xfId="1417"/>
    <cellStyle name="20% - Accent3 7 4" xfId="1418"/>
    <cellStyle name="20% - Accent3 7 40" xfId="1419"/>
    <cellStyle name="20% - Accent3 7 41" xfId="1420"/>
    <cellStyle name="20% - Accent3 7 5" xfId="1421"/>
    <cellStyle name="20% - Accent3 7 6" xfId="1422"/>
    <cellStyle name="20% - Accent3 7 7" xfId="1423"/>
    <cellStyle name="20% - Accent3 7 8" xfId="1424"/>
    <cellStyle name="20% - Accent3 7 9" xfId="1425"/>
    <cellStyle name="20% - Accent3 8" xfId="1426"/>
    <cellStyle name="20% - Accent3 8 10" xfId="1427"/>
    <cellStyle name="20% - Accent3 8 11" xfId="1428"/>
    <cellStyle name="20% - Accent3 8 12" xfId="1429"/>
    <cellStyle name="20% - Accent3 8 13" xfId="1430"/>
    <cellStyle name="20% - Accent3 8 14" xfId="1431"/>
    <cellStyle name="20% - Accent3 8 15" xfId="1432"/>
    <cellStyle name="20% - Accent3 8 16" xfId="1433"/>
    <cellStyle name="20% - Accent3 8 17" xfId="1434"/>
    <cellStyle name="20% - Accent3 8 18" xfId="1435"/>
    <cellStyle name="20% - Accent3 8 19" xfId="1436"/>
    <cellStyle name="20% - Accent3 8 2" xfId="1437"/>
    <cellStyle name="20% - Accent3 8 20" xfId="1438"/>
    <cellStyle name="20% - Accent3 8 21" xfId="1439"/>
    <cellStyle name="20% - Accent3 8 22" xfId="1440"/>
    <cellStyle name="20% - Accent3 8 23" xfId="1441"/>
    <cellStyle name="20% - Accent3 8 24" xfId="1442"/>
    <cellStyle name="20% - Accent3 8 25" xfId="1443"/>
    <cellStyle name="20% - Accent3 8 26" xfId="1444"/>
    <cellStyle name="20% - Accent3 8 27" xfId="1445"/>
    <cellStyle name="20% - Accent3 8 28" xfId="1446"/>
    <cellStyle name="20% - Accent3 8 29" xfId="1447"/>
    <cellStyle name="20% - Accent3 8 3" xfId="1448"/>
    <cellStyle name="20% - Accent3 8 30" xfId="1449"/>
    <cellStyle name="20% - Accent3 8 31" xfId="1450"/>
    <cellStyle name="20% - Accent3 8 32" xfId="1451"/>
    <cellStyle name="20% - Accent3 8 33" xfId="1452"/>
    <cellStyle name="20% - Accent3 8 34" xfId="1453"/>
    <cellStyle name="20% - Accent3 8 35" xfId="1454"/>
    <cellStyle name="20% - Accent3 8 36" xfId="1455"/>
    <cellStyle name="20% - Accent3 8 37" xfId="1456"/>
    <cellStyle name="20% - Accent3 8 38" xfId="1457"/>
    <cellStyle name="20% - Accent3 8 39" xfId="1458"/>
    <cellStyle name="20% - Accent3 8 4" xfId="1459"/>
    <cellStyle name="20% - Accent3 8 40" xfId="1460"/>
    <cellStyle name="20% - Accent3 8 41" xfId="1461"/>
    <cellStyle name="20% - Accent3 8 5" xfId="1462"/>
    <cellStyle name="20% - Accent3 8 6" xfId="1463"/>
    <cellStyle name="20% - Accent3 8 7" xfId="1464"/>
    <cellStyle name="20% - Accent3 8 8" xfId="1465"/>
    <cellStyle name="20% - Accent3 8 9" xfId="1466"/>
    <cellStyle name="20% - Accent3 9" xfId="1467"/>
    <cellStyle name="20% - Accent3 9 10" xfId="1468"/>
    <cellStyle name="20% - Accent3 9 11" xfId="1469"/>
    <cellStyle name="20% - Accent3 9 12" xfId="1470"/>
    <cellStyle name="20% - Accent3 9 13" xfId="1471"/>
    <cellStyle name="20% - Accent3 9 14" xfId="1472"/>
    <cellStyle name="20% - Accent3 9 15" xfId="1473"/>
    <cellStyle name="20% - Accent3 9 16" xfId="1474"/>
    <cellStyle name="20% - Accent3 9 17" xfId="1475"/>
    <cellStyle name="20% - Accent3 9 18" xfId="1476"/>
    <cellStyle name="20% - Accent3 9 19" xfId="1477"/>
    <cellStyle name="20% - Accent3 9 2" xfId="1478"/>
    <cellStyle name="20% - Accent3 9 20" xfId="1479"/>
    <cellStyle name="20% - Accent3 9 21" xfId="1480"/>
    <cellStyle name="20% - Accent3 9 22" xfId="1481"/>
    <cellStyle name="20% - Accent3 9 23" xfId="1482"/>
    <cellStyle name="20% - Accent3 9 24" xfId="1483"/>
    <cellStyle name="20% - Accent3 9 25" xfId="1484"/>
    <cellStyle name="20% - Accent3 9 26" xfId="1485"/>
    <cellStyle name="20% - Accent3 9 27" xfId="1486"/>
    <cellStyle name="20% - Accent3 9 28" xfId="1487"/>
    <cellStyle name="20% - Accent3 9 29" xfId="1488"/>
    <cellStyle name="20% - Accent3 9 3" xfId="1489"/>
    <cellStyle name="20% - Accent3 9 30" xfId="1490"/>
    <cellStyle name="20% - Accent3 9 31" xfId="1491"/>
    <cellStyle name="20% - Accent3 9 32" xfId="1492"/>
    <cellStyle name="20% - Accent3 9 33" xfId="1493"/>
    <cellStyle name="20% - Accent3 9 34" xfId="1494"/>
    <cellStyle name="20% - Accent3 9 35" xfId="1495"/>
    <cellStyle name="20% - Accent3 9 36" xfId="1496"/>
    <cellStyle name="20% - Accent3 9 37" xfId="1497"/>
    <cellStyle name="20% - Accent3 9 38" xfId="1498"/>
    <cellStyle name="20% - Accent3 9 39" xfId="1499"/>
    <cellStyle name="20% - Accent3 9 4" xfId="1500"/>
    <cellStyle name="20% - Accent3 9 40" xfId="1501"/>
    <cellStyle name="20% - Accent3 9 41" xfId="1502"/>
    <cellStyle name="20% - Accent3 9 5" xfId="1503"/>
    <cellStyle name="20% - Accent3 9 6" xfId="1504"/>
    <cellStyle name="20% - Accent3 9 7" xfId="1505"/>
    <cellStyle name="20% - Accent3 9 8" xfId="1506"/>
    <cellStyle name="20% - Accent3 9 9" xfId="1507"/>
    <cellStyle name="20% - Accent4" xfId="31" builtinId="42" customBuiltin="1"/>
    <cellStyle name="20% - Accent4 10" xfId="1508"/>
    <cellStyle name="20% - Accent4 10 10" xfId="1509"/>
    <cellStyle name="20% - Accent4 10 11" xfId="1510"/>
    <cellStyle name="20% - Accent4 10 12" xfId="1511"/>
    <cellStyle name="20% - Accent4 10 13" xfId="1512"/>
    <cellStyle name="20% - Accent4 10 14" xfId="1513"/>
    <cellStyle name="20% - Accent4 10 15" xfId="1514"/>
    <cellStyle name="20% - Accent4 10 16" xfId="1515"/>
    <cellStyle name="20% - Accent4 10 17" xfId="1516"/>
    <cellStyle name="20% - Accent4 10 18" xfId="1517"/>
    <cellStyle name="20% - Accent4 10 19" xfId="1518"/>
    <cellStyle name="20% - Accent4 10 2" xfId="1519"/>
    <cellStyle name="20% - Accent4 10 20" xfId="1520"/>
    <cellStyle name="20% - Accent4 10 21" xfId="1521"/>
    <cellStyle name="20% - Accent4 10 22" xfId="1522"/>
    <cellStyle name="20% - Accent4 10 23" xfId="1523"/>
    <cellStyle name="20% - Accent4 10 24" xfId="1524"/>
    <cellStyle name="20% - Accent4 10 25" xfId="1525"/>
    <cellStyle name="20% - Accent4 10 26" xfId="1526"/>
    <cellStyle name="20% - Accent4 10 27" xfId="1527"/>
    <cellStyle name="20% - Accent4 10 28" xfId="1528"/>
    <cellStyle name="20% - Accent4 10 29" xfId="1529"/>
    <cellStyle name="20% - Accent4 10 3" xfId="1530"/>
    <cellStyle name="20% - Accent4 10 30" xfId="1531"/>
    <cellStyle name="20% - Accent4 10 31" xfId="1532"/>
    <cellStyle name="20% - Accent4 10 32" xfId="1533"/>
    <cellStyle name="20% - Accent4 10 33" xfId="1534"/>
    <cellStyle name="20% - Accent4 10 34" xfId="1535"/>
    <cellStyle name="20% - Accent4 10 35" xfId="1536"/>
    <cellStyle name="20% - Accent4 10 36" xfId="1537"/>
    <cellStyle name="20% - Accent4 10 37" xfId="1538"/>
    <cellStyle name="20% - Accent4 10 38" xfId="1539"/>
    <cellStyle name="20% - Accent4 10 39" xfId="1540"/>
    <cellStyle name="20% - Accent4 10 4" xfId="1541"/>
    <cellStyle name="20% - Accent4 10 40" xfId="1542"/>
    <cellStyle name="20% - Accent4 10 41" xfId="1543"/>
    <cellStyle name="20% - Accent4 10 5" xfId="1544"/>
    <cellStyle name="20% - Accent4 10 6" xfId="1545"/>
    <cellStyle name="20% - Accent4 10 7" xfId="1546"/>
    <cellStyle name="20% - Accent4 10 8" xfId="1547"/>
    <cellStyle name="20% - Accent4 10 9" xfId="1548"/>
    <cellStyle name="20% - Accent4 11" xfId="1549"/>
    <cellStyle name="20% - Accent4 11 10" xfId="1550"/>
    <cellStyle name="20% - Accent4 11 11" xfId="1551"/>
    <cellStyle name="20% - Accent4 11 12" xfId="1552"/>
    <cellStyle name="20% - Accent4 11 13" xfId="1553"/>
    <cellStyle name="20% - Accent4 11 14" xfId="1554"/>
    <cellStyle name="20% - Accent4 11 15" xfId="1555"/>
    <cellStyle name="20% - Accent4 11 16" xfId="1556"/>
    <cellStyle name="20% - Accent4 11 17" xfId="1557"/>
    <cellStyle name="20% - Accent4 11 18" xfId="1558"/>
    <cellStyle name="20% - Accent4 11 19" xfId="1559"/>
    <cellStyle name="20% - Accent4 11 2" xfId="1560"/>
    <cellStyle name="20% - Accent4 11 20" xfId="1561"/>
    <cellStyle name="20% - Accent4 11 21" xfId="1562"/>
    <cellStyle name="20% - Accent4 11 22" xfId="1563"/>
    <cellStyle name="20% - Accent4 11 23" xfId="1564"/>
    <cellStyle name="20% - Accent4 11 24" xfId="1565"/>
    <cellStyle name="20% - Accent4 11 25" xfId="1566"/>
    <cellStyle name="20% - Accent4 11 26" xfId="1567"/>
    <cellStyle name="20% - Accent4 11 27" xfId="1568"/>
    <cellStyle name="20% - Accent4 11 28" xfId="1569"/>
    <cellStyle name="20% - Accent4 11 29" xfId="1570"/>
    <cellStyle name="20% - Accent4 11 3" xfId="1571"/>
    <cellStyle name="20% - Accent4 11 30" xfId="1572"/>
    <cellStyle name="20% - Accent4 11 31" xfId="1573"/>
    <cellStyle name="20% - Accent4 11 32" xfId="1574"/>
    <cellStyle name="20% - Accent4 11 33" xfId="1575"/>
    <cellStyle name="20% - Accent4 11 34" xfId="1576"/>
    <cellStyle name="20% - Accent4 11 35" xfId="1577"/>
    <cellStyle name="20% - Accent4 11 36" xfId="1578"/>
    <cellStyle name="20% - Accent4 11 37" xfId="1579"/>
    <cellStyle name="20% - Accent4 11 38" xfId="1580"/>
    <cellStyle name="20% - Accent4 11 39" xfId="1581"/>
    <cellStyle name="20% - Accent4 11 4" xfId="1582"/>
    <cellStyle name="20% - Accent4 11 40" xfId="1583"/>
    <cellStyle name="20% - Accent4 11 41" xfId="1584"/>
    <cellStyle name="20% - Accent4 11 5" xfId="1585"/>
    <cellStyle name="20% - Accent4 11 6" xfId="1586"/>
    <cellStyle name="20% - Accent4 11 7" xfId="1587"/>
    <cellStyle name="20% - Accent4 11 8" xfId="1588"/>
    <cellStyle name="20% - Accent4 11 9" xfId="1589"/>
    <cellStyle name="20% - Accent4 12" xfId="1590"/>
    <cellStyle name="20% - Accent4 12 10" xfId="1591"/>
    <cellStyle name="20% - Accent4 12 11" xfId="1592"/>
    <cellStyle name="20% - Accent4 12 12" xfId="1593"/>
    <cellStyle name="20% - Accent4 12 13" xfId="1594"/>
    <cellStyle name="20% - Accent4 12 14" xfId="1595"/>
    <cellStyle name="20% - Accent4 12 15" xfId="1596"/>
    <cellStyle name="20% - Accent4 12 16" xfId="1597"/>
    <cellStyle name="20% - Accent4 12 17" xfId="1598"/>
    <cellStyle name="20% - Accent4 12 18" xfId="1599"/>
    <cellStyle name="20% - Accent4 12 19" xfId="1600"/>
    <cellStyle name="20% - Accent4 12 2" xfId="1601"/>
    <cellStyle name="20% - Accent4 12 20" xfId="1602"/>
    <cellStyle name="20% - Accent4 12 21" xfId="1603"/>
    <cellStyle name="20% - Accent4 12 22" xfId="1604"/>
    <cellStyle name="20% - Accent4 12 23" xfId="1605"/>
    <cellStyle name="20% - Accent4 12 24" xfId="1606"/>
    <cellStyle name="20% - Accent4 12 25" xfId="1607"/>
    <cellStyle name="20% - Accent4 12 26" xfId="1608"/>
    <cellStyle name="20% - Accent4 12 27" xfId="1609"/>
    <cellStyle name="20% - Accent4 12 28" xfId="1610"/>
    <cellStyle name="20% - Accent4 12 29" xfId="1611"/>
    <cellStyle name="20% - Accent4 12 3" xfId="1612"/>
    <cellStyle name="20% - Accent4 12 30" xfId="1613"/>
    <cellStyle name="20% - Accent4 12 31" xfId="1614"/>
    <cellStyle name="20% - Accent4 12 32" xfId="1615"/>
    <cellStyle name="20% - Accent4 12 33" xfId="1616"/>
    <cellStyle name="20% - Accent4 12 34" xfId="1617"/>
    <cellStyle name="20% - Accent4 12 35" xfId="1618"/>
    <cellStyle name="20% - Accent4 12 36" xfId="1619"/>
    <cellStyle name="20% - Accent4 12 37" xfId="1620"/>
    <cellStyle name="20% - Accent4 12 38" xfId="1621"/>
    <cellStyle name="20% - Accent4 12 39" xfId="1622"/>
    <cellStyle name="20% - Accent4 12 4" xfId="1623"/>
    <cellStyle name="20% - Accent4 12 40" xfId="1624"/>
    <cellStyle name="20% - Accent4 12 41" xfId="1625"/>
    <cellStyle name="20% - Accent4 12 5" xfId="1626"/>
    <cellStyle name="20% - Accent4 12 6" xfId="1627"/>
    <cellStyle name="20% - Accent4 12 7" xfId="1628"/>
    <cellStyle name="20% - Accent4 12 8" xfId="1629"/>
    <cellStyle name="20% - Accent4 12 9" xfId="1630"/>
    <cellStyle name="20% - Accent4 13" xfId="1631"/>
    <cellStyle name="20% - Accent4 14" xfId="1632"/>
    <cellStyle name="20% - Accent4 14 2" xfId="1633"/>
    <cellStyle name="20% - Accent4 15" xfId="1634"/>
    <cellStyle name="20% - Accent4 16" xfId="1635"/>
    <cellStyle name="20% - Accent4 2" xfId="1636"/>
    <cellStyle name="20% - Accent4 2 10" xfId="1637"/>
    <cellStyle name="20% - Accent4 2 11" xfId="1638"/>
    <cellStyle name="20% - Accent4 2 12" xfId="1639"/>
    <cellStyle name="20% - Accent4 2 13" xfId="1640"/>
    <cellStyle name="20% - Accent4 2 14" xfId="1641"/>
    <cellStyle name="20% - Accent4 2 15" xfId="1642"/>
    <cellStyle name="20% - Accent4 2 16" xfId="1643"/>
    <cellStyle name="20% - Accent4 2 17" xfId="1644"/>
    <cellStyle name="20% - Accent4 2 18" xfId="1645"/>
    <cellStyle name="20% - Accent4 2 19" xfId="1646"/>
    <cellStyle name="20% - Accent4 2 2" xfId="1647"/>
    <cellStyle name="20% - Accent4 2 2 2" xfId="1648"/>
    <cellStyle name="20% - Accent4 2 2 2 2" xfId="1649"/>
    <cellStyle name="20% - Accent4 2 2 3" xfId="1650"/>
    <cellStyle name="20% - Accent4 2 2 4" xfId="1651"/>
    <cellStyle name="20% - Accent4 2 2 5" xfId="1652"/>
    <cellStyle name="20% - Accent4 2 20" xfId="1653"/>
    <cellStyle name="20% - Accent4 2 21" xfId="1654"/>
    <cellStyle name="20% - Accent4 2 22" xfId="1655"/>
    <cellStyle name="20% - Accent4 2 23" xfId="1656"/>
    <cellStyle name="20% - Accent4 2 24" xfId="1657"/>
    <cellStyle name="20% - Accent4 2 25" xfId="1658"/>
    <cellStyle name="20% - Accent4 2 26" xfId="1659"/>
    <cellStyle name="20% - Accent4 2 27" xfId="1660"/>
    <cellStyle name="20% - Accent4 2 28" xfId="1661"/>
    <cellStyle name="20% - Accent4 2 29" xfId="1662"/>
    <cellStyle name="20% - Accent4 2 3" xfId="1663"/>
    <cellStyle name="20% - Accent4 2 3 2" xfId="1664"/>
    <cellStyle name="20% - Accent4 2 3 3" xfId="1665"/>
    <cellStyle name="20% - Accent4 2 3 4" xfId="1666"/>
    <cellStyle name="20% - Accent4 2 3 5" xfId="1667"/>
    <cellStyle name="20% - Accent4 2 3 6" xfId="1668"/>
    <cellStyle name="20% - Accent4 2 30" xfId="1669"/>
    <cellStyle name="20% - Accent4 2 31" xfId="1670"/>
    <cellStyle name="20% - Accent4 2 32" xfId="1671"/>
    <cellStyle name="20% - Accent4 2 33" xfId="1672"/>
    <cellStyle name="20% - Accent4 2 34" xfId="1673"/>
    <cellStyle name="20% - Accent4 2 35" xfId="1674"/>
    <cellStyle name="20% - Accent4 2 36" xfId="1675"/>
    <cellStyle name="20% - Accent4 2 37" xfId="1676"/>
    <cellStyle name="20% - Accent4 2 38" xfId="1677"/>
    <cellStyle name="20% - Accent4 2 39" xfId="1678"/>
    <cellStyle name="20% - Accent4 2 4" xfId="1679"/>
    <cellStyle name="20% - Accent4 2 40" xfId="1680"/>
    <cellStyle name="20% - Accent4 2 41" xfId="1681"/>
    <cellStyle name="20% - Accent4 2 42" xfId="1682"/>
    <cellStyle name="20% - Accent4 2 43" xfId="1683"/>
    <cellStyle name="20% - Accent4 2 44" xfId="1684"/>
    <cellStyle name="20% - Accent4 2 45" xfId="1685"/>
    <cellStyle name="20% - Accent4 2 5" xfId="1686"/>
    <cellStyle name="20% - Accent4 2 6" xfId="1687"/>
    <cellStyle name="20% - Accent4 2 7" xfId="1688"/>
    <cellStyle name="20% - Accent4 2 8" xfId="1689"/>
    <cellStyle name="20% - Accent4 2 9" xfId="1690"/>
    <cellStyle name="20% - Accent4 3" xfId="1691"/>
    <cellStyle name="20% - Accent4 3 10" xfId="1692"/>
    <cellStyle name="20% - Accent4 3 11" xfId="1693"/>
    <cellStyle name="20% - Accent4 3 12" xfId="1694"/>
    <cellStyle name="20% - Accent4 3 13" xfId="1695"/>
    <cellStyle name="20% - Accent4 3 14" xfId="1696"/>
    <cellStyle name="20% - Accent4 3 15" xfId="1697"/>
    <cellStyle name="20% - Accent4 3 16" xfId="1698"/>
    <cellStyle name="20% - Accent4 3 17" xfId="1699"/>
    <cellStyle name="20% - Accent4 3 18" xfId="1700"/>
    <cellStyle name="20% - Accent4 3 19" xfId="1701"/>
    <cellStyle name="20% - Accent4 3 2" xfId="1702"/>
    <cellStyle name="20% - Accent4 3 20" xfId="1703"/>
    <cellStyle name="20% - Accent4 3 21" xfId="1704"/>
    <cellStyle name="20% - Accent4 3 22" xfId="1705"/>
    <cellStyle name="20% - Accent4 3 23" xfId="1706"/>
    <cellStyle name="20% - Accent4 3 24" xfId="1707"/>
    <cellStyle name="20% - Accent4 3 25" xfId="1708"/>
    <cellStyle name="20% - Accent4 3 26" xfId="1709"/>
    <cellStyle name="20% - Accent4 3 27" xfId="1710"/>
    <cellStyle name="20% - Accent4 3 28" xfId="1711"/>
    <cellStyle name="20% - Accent4 3 29" xfId="1712"/>
    <cellStyle name="20% - Accent4 3 3" xfId="1713"/>
    <cellStyle name="20% - Accent4 3 30" xfId="1714"/>
    <cellStyle name="20% - Accent4 3 31" xfId="1715"/>
    <cellStyle name="20% - Accent4 3 32" xfId="1716"/>
    <cellStyle name="20% - Accent4 3 33" xfId="1717"/>
    <cellStyle name="20% - Accent4 3 34" xfId="1718"/>
    <cellStyle name="20% - Accent4 3 35" xfId="1719"/>
    <cellStyle name="20% - Accent4 3 36" xfId="1720"/>
    <cellStyle name="20% - Accent4 3 37" xfId="1721"/>
    <cellStyle name="20% - Accent4 3 38" xfId="1722"/>
    <cellStyle name="20% - Accent4 3 39" xfId="1723"/>
    <cellStyle name="20% - Accent4 3 4" xfId="1724"/>
    <cellStyle name="20% - Accent4 3 40" xfId="1725"/>
    <cellStyle name="20% - Accent4 3 41" xfId="1726"/>
    <cellStyle name="20% - Accent4 3 42" xfId="1727"/>
    <cellStyle name="20% - Accent4 3 43" xfId="1728"/>
    <cellStyle name="20% - Accent4 3 44" xfId="1729"/>
    <cellStyle name="20% - Accent4 3 45" xfId="1730"/>
    <cellStyle name="20% - Accent4 3 5" xfId="1731"/>
    <cellStyle name="20% - Accent4 3 6" xfId="1732"/>
    <cellStyle name="20% - Accent4 3 7" xfId="1733"/>
    <cellStyle name="20% - Accent4 3 8" xfId="1734"/>
    <cellStyle name="20% - Accent4 3 9" xfId="1735"/>
    <cellStyle name="20% - Accent4 4" xfId="1736"/>
    <cellStyle name="20% - Accent4 4 10" xfId="1737"/>
    <cellStyle name="20% - Accent4 4 11" xfId="1738"/>
    <cellStyle name="20% - Accent4 4 12" xfId="1739"/>
    <cellStyle name="20% - Accent4 4 13" xfId="1740"/>
    <cellStyle name="20% - Accent4 4 14" xfId="1741"/>
    <cellStyle name="20% - Accent4 4 15" xfId="1742"/>
    <cellStyle name="20% - Accent4 4 16" xfId="1743"/>
    <cellStyle name="20% - Accent4 4 17" xfId="1744"/>
    <cellStyle name="20% - Accent4 4 18" xfId="1745"/>
    <cellStyle name="20% - Accent4 4 19" xfId="1746"/>
    <cellStyle name="20% - Accent4 4 2" xfId="1747"/>
    <cellStyle name="20% - Accent4 4 20" xfId="1748"/>
    <cellStyle name="20% - Accent4 4 21" xfId="1749"/>
    <cellStyle name="20% - Accent4 4 22" xfId="1750"/>
    <cellStyle name="20% - Accent4 4 23" xfId="1751"/>
    <cellStyle name="20% - Accent4 4 24" xfId="1752"/>
    <cellStyle name="20% - Accent4 4 25" xfId="1753"/>
    <cellStyle name="20% - Accent4 4 26" xfId="1754"/>
    <cellStyle name="20% - Accent4 4 27" xfId="1755"/>
    <cellStyle name="20% - Accent4 4 28" xfId="1756"/>
    <cellStyle name="20% - Accent4 4 29" xfId="1757"/>
    <cellStyle name="20% - Accent4 4 3" xfId="1758"/>
    <cellStyle name="20% - Accent4 4 30" xfId="1759"/>
    <cellStyle name="20% - Accent4 4 31" xfId="1760"/>
    <cellStyle name="20% - Accent4 4 32" xfId="1761"/>
    <cellStyle name="20% - Accent4 4 33" xfId="1762"/>
    <cellStyle name="20% - Accent4 4 34" xfId="1763"/>
    <cellStyle name="20% - Accent4 4 35" xfId="1764"/>
    <cellStyle name="20% - Accent4 4 36" xfId="1765"/>
    <cellStyle name="20% - Accent4 4 37" xfId="1766"/>
    <cellStyle name="20% - Accent4 4 38" xfId="1767"/>
    <cellStyle name="20% - Accent4 4 39" xfId="1768"/>
    <cellStyle name="20% - Accent4 4 4" xfId="1769"/>
    <cellStyle name="20% - Accent4 4 40" xfId="1770"/>
    <cellStyle name="20% - Accent4 4 41" xfId="1771"/>
    <cellStyle name="20% - Accent4 4 5" xfId="1772"/>
    <cellStyle name="20% - Accent4 4 6" xfId="1773"/>
    <cellStyle name="20% - Accent4 4 7" xfId="1774"/>
    <cellStyle name="20% - Accent4 4 8" xfId="1775"/>
    <cellStyle name="20% - Accent4 4 9" xfId="1776"/>
    <cellStyle name="20% - Accent4 5" xfId="1777"/>
    <cellStyle name="20% - Accent4 5 10" xfId="1778"/>
    <cellStyle name="20% - Accent4 5 11" xfId="1779"/>
    <cellStyle name="20% - Accent4 5 12" xfId="1780"/>
    <cellStyle name="20% - Accent4 5 13" xfId="1781"/>
    <cellStyle name="20% - Accent4 5 14" xfId="1782"/>
    <cellStyle name="20% - Accent4 5 15" xfId="1783"/>
    <cellStyle name="20% - Accent4 5 16" xfId="1784"/>
    <cellStyle name="20% - Accent4 5 17" xfId="1785"/>
    <cellStyle name="20% - Accent4 5 18" xfId="1786"/>
    <cellStyle name="20% - Accent4 5 19" xfId="1787"/>
    <cellStyle name="20% - Accent4 5 2" xfId="1788"/>
    <cellStyle name="20% - Accent4 5 20" xfId="1789"/>
    <cellStyle name="20% - Accent4 5 21" xfId="1790"/>
    <cellStyle name="20% - Accent4 5 22" xfId="1791"/>
    <cellStyle name="20% - Accent4 5 23" xfId="1792"/>
    <cellStyle name="20% - Accent4 5 24" xfId="1793"/>
    <cellStyle name="20% - Accent4 5 25" xfId="1794"/>
    <cellStyle name="20% - Accent4 5 26" xfId="1795"/>
    <cellStyle name="20% - Accent4 5 27" xfId="1796"/>
    <cellStyle name="20% - Accent4 5 28" xfId="1797"/>
    <cellStyle name="20% - Accent4 5 29" xfId="1798"/>
    <cellStyle name="20% - Accent4 5 3" xfId="1799"/>
    <cellStyle name="20% - Accent4 5 30" xfId="1800"/>
    <cellStyle name="20% - Accent4 5 31" xfId="1801"/>
    <cellStyle name="20% - Accent4 5 32" xfId="1802"/>
    <cellStyle name="20% - Accent4 5 33" xfId="1803"/>
    <cellStyle name="20% - Accent4 5 34" xfId="1804"/>
    <cellStyle name="20% - Accent4 5 35" xfId="1805"/>
    <cellStyle name="20% - Accent4 5 36" xfId="1806"/>
    <cellStyle name="20% - Accent4 5 37" xfId="1807"/>
    <cellStyle name="20% - Accent4 5 38" xfId="1808"/>
    <cellStyle name="20% - Accent4 5 39" xfId="1809"/>
    <cellStyle name="20% - Accent4 5 4" xfId="1810"/>
    <cellStyle name="20% - Accent4 5 40" xfId="1811"/>
    <cellStyle name="20% - Accent4 5 41" xfId="1812"/>
    <cellStyle name="20% - Accent4 5 5" xfId="1813"/>
    <cellStyle name="20% - Accent4 5 6" xfId="1814"/>
    <cellStyle name="20% - Accent4 5 7" xfId="1815"/>
    <cellStyle name="20% - Accent4 5 8" xfId="1816"/>
    <cellStyle name="20% - Accent4 5 9" xfId="1817"/>
    <cellStyle name="20% - Accent4 6" xfId="1818"/>
    <cellStyle name="20% - Accent4 6 10" xfId="1819"/>
    <cellStyle name="20% - Accent4 6 11" xfId="1820"/>
    <cellStyle name="20% - Accent4 6 12" xfId="1821"/>
    <cellStyle name="20% - Accent4 6 13" xfId="1822"/>
    <cellStyle name="20% - Accent4 6 14" xfId="1823"/>
    <cellStyle name="20% - Accent4 6 15" xfId="1824"/>
    <cellStyle name="20% - Accent4 6 16" xfId="1825"/>
    <cellStyle name="20% - Accent4 6 17" xfId="1826"/>
    <cellStyle name="20% - Accent4 6 18" xfId="1827"/>
    <cellStyle name="20% - Accent4 6 19" xfId="1828"/>
    <cellStyle name="20% - Accent4 6 2" xfId="1829"/>
    <cellStyle name="20% - Accent4 6 20" xfId="1830"/>
    <cellStyle name="20% - Accent4 6 21" xfId="1831"/>
    <cellStyle name="20% - Accent4 6 22" xfId="1832"/>
    <cellStyle name="20% - Accent4 6 23" xfId="1833"/>
    <cellStyle name="20% - Accent4 6 24" xfId="1834"/>
    <cellStyle name="20% - Accent4 6 25" xfId="1835"/>
    <cellStyle name="20% - Accent4 6 26" xfId="1836"/>
    <cellStyle name="20% - Accent4 6 27" xfId="1837"/>
    <cellStyle name="20% - Accent4 6 28" xfId="1838"/>
    <cellStyle name="20% - Accent4 6 29" xfId="1839"/>
    <cellStyle name="20% - Accent4 6 3" xfId="1840"/>
    <cellStyle name="20% - Accent4 6 30" xfId="1841"/>
    <cellStyle name="20% - Accent4 6 31" xfId="1842"/>
    <cellStyle name="20% - Accent4 6 32" xfId="1843"/>
    <cellStyle name="20% - Accent4 6 33" xfId="1844"/>
    <cellStyle name="20% - Accent4 6 34" xfId="1845"/>
    <cellStyle name="20% - Accent4 6 35" xfId="1846"/>
    <cellStyle name="20% - Accent4 6 36" xfId="1847"/>
    <cellStyle name="20% - Accent4 6 37" xfId="1848"/>
    <cellStyle name="20% - Accent4 6 38" xfId="1849"/>
    <cellStyle name="20% - Accent4 6 39" xfId="1850"/>
    <cellStyle name="20% - Accent4 6 4" xfId="1851"/>
    <cellStyle name="20% - Accent4 6 40" xfId="1852"/>
    <cellStyle name="20% - Accent4 6 41" xfId="1853"/>
    <cellStyle name="20% - Accent4 6 5" xfId="1854"/>
    <cellStyle name="20% - Accent4 6 6" xfId="1855"/>
    <cellStyle name="20% - Accent4 6 7" xfId="1856"/>
    <cellStyle name="20% - Accent4 6 8" xfId="1857"/>
    <cellStyle name="20% - Accent4 6 9" xfId="1858"/>
    <cellStyle name="20% - Accent4 7" xfId="1859"/>
    <cellStyle name="20% - Accent4 7 10" xfId="1860"/>
    <cellStyle name="20% - Accent4 7 11" xfId="1861"/>
    <cellStyle name="20% - Accent4 7 12" xfId="1862"/>
    <cellStyle name="20% - Accent4 7 13" xfId="1863"/>
    <cellStyle name="20% - Accent4 7 14" xfId="1864"/>
    <cellStyle name="20% - Accent4 7 15" xfId="1865"/>
    <cellStyle name="20% - Accent4 7 16" xfId="1866"/>
    <cellStyle name="20% - Accent4 7 17" xfId="1867"/>
    <cellStyle name="20% - Accent4 7 18" xfId="1868"/>
    <cellStyle name="20% - Accent4 7 19" xfId="1869"/>
    <cellStyle name="20% - Accent4 7 2" xfId="1870"/>
    <cellStyle name="20% - Accent4 7 20" xfId="1871"/>
    <cellStyle name="20% - Accent4 7 21" xfId="1872"/>
    <cellStyle name="20% - Accent4 7 22" xfId="1873"/>
    <cellStyle name="20% - Accent4 7 23" xfId="1874"/>
    <cellStyle name="20% - Accent4 7 24" xfId="1875"/>
    <cellStyle name="20% - Accent4 7 25" xfId="1876"/>
    <cellStyle name="20% - Accent4 7 26" xfId="1877"/>
    <cellStyle name="20% - Accent4 7 27" xfId="1878"/>
    <cellStyle name="20% - Accent4 7 28" xfId="1879"/>
    <cellStyle name="20% - Accent4 7 29" xfId="1880"/>
    <cellStyle name="20% - Accent4 7 3" xfId="1881"/>
    <cellStyle name="20% - Accent4 7 30" xfId="1882"/>
    <cellStyle name="20% - Accent4 7 31" xfId="1883"/>
    <cellStyle name="20% - Accent4 7 32" xfId="1884"/>
    <cellStyle name="20% - Accent4 7 33" xfId="1885"/>
    <cellStyle name="20% - Accent4 7 34" xfId="1886"/>
    <cellStyle name="20% - Accent4 7 35" xfId="1887"/>
    <cellStyle name="20% - Accent4 7 36" xfId="1888"/>
    <cellStyle name="20% - Accent4 7 37" xfId="1889"/>
    <cellStyle name="20% - Accent4 7 38" xfId="1890"/>
    <cellStyle name="20% - Accent4 7 39" xfId="1891"/>
    <cellStyle name="20% - Accent4 7 4" xfId="1892"/>
    <cellStyle name="20% - Accent4 7 40" xfId="1893"/>
    <cellStyle name="20% - Accent4 7 41" xfId="1894"/>
    <cellStyle name="20% - Accent4 7 5" xfId="1895"/>
    <cellStyle name="20% - Accent4 7 6" xfId="1896"/>
    <cellStyle name="20% - Accent4 7 7" xfId="1897"/>
    <cellStyle name="20% - Accent4 7 8" xfId="1898"/>
    <cellStyle name="20% - Accent4 7 9" xfId="1899"/>
    <cellStyle name="20% - Accent4 8" xfId="1900"/>
    <cellStyle name="20% - Accent4 8 10" xfId="1901"/>
    <cellStyle name="20% - Accent4 8 11" xfId="1902"/>
    <cellStyle name="20% - Accent4 8 12" xfId="1903"/>
    <cellStyle name="20% - Accent4 8 13" xfId="1904"/>
    <cellStyle name="20% - Accent4 8 14" xfId="1905"/>
    <cellStyle name="20% - Accent4 8 15" xfId="1906"/>
    <cellStyle name="20% - Accent4 8 16" xfId="1907"/>
    <cellStyle name="20% - Accent4 8 17" xfId="1908"/>
    <cellStyle name="20% - Accent4 8 18" xfId="1909"/>
    <cellStyle name="20% - Accent4 8 19" xfId="1910"/>
    <cellStyle name="20% - Accent4 8 2" xfId="1911"/>
    <cellStyle name="20% - Accent4 8 20" xfId="1912"/>
    <cellStyle name="20% - Accent4 8 21" xfId="1913"/>
    <cellStyle name="20% - Accent4 8 22" xfId="1914"/>
    <cellStyle name="20% - Accent4 8 23" xfId="1915"/>
    <cellStyle name="20% - Accent4 8 24" xfId="1916"/>
    <cellStyle name="20% - Accent4 8 25" xfId="1917"/>
    <cellStyle name="20% - Accent4 8 26" xfId="1918"/>
    <cellStyle name="20% - Accent4 8 27" xfId="1919"/>
    <cellStyle name="20% - Accent4 8 28" xfId="1920"/>
    <cellStyle name="20% - Accent4 8 29" xfId="1921"/>
    <cellStyle name="20% - Accent4 8 3" xfId="1922"/>
    <cellStyle name="20% - Accent4 8 30" xfId="1923"/>
    <cellStyle name="20% - Accent4 8 31" xfId="1924"/>
    <cellStyle name="20% - Accent4 8 32" xfId="1925"/>
    <cellStyle name="20% - Accent4 8 33" xfId="1926"/>
    <cellStyle name="20% - Accent4 8 34" xfId="1927"/>
    <cellStyle name="20% - Accent4 8 35" xfId="1928"/>
    <cellStyle name="20% - Accent4 8 36" xfId="1929"/>
    <cellStyle name="20% - Accent4 8 37" xfId="1930"/>
    <cellStyle name="20% - Accent4 8 38" xfId="1931"/>
    <cellStyle name="20% - Accent4 8 39" xfId="1932"/>
    <cellStyle name="20% - Accent4 8 4" xfId="1933"/>
    <cellStyle name="20% - Accent4 8 40" xfId="1934"/>
    <cellStyle name="20% - Accent4 8 41" xfId="1935"/>
    <cellStyle name="20% - Accent4 8 5" xfId="1936"/>
    <cellStyle name="20% - Accent4 8 6" xfId="1937"/>
    <cellStyle name="20% - Accent4 8 7" xfId="1938"/>
    <cellStyle name="20% - Accent4 8 8" xfId="1939"/>
    <cellStyle name="20% - Accent4 8 9" xfId="1940"/>
    <cellStyle name="20% - Accent4 9" xfId="1941"/>
    <cellStyle name="20% - Accent4 9 10" xfId="1942"/>
    <cellStyle name="20% - Accent4 9 11" xfId="1943"/>
    <cellStyle name="20% - Accent4 9 12" xfId="1944"/>
    <cellStyle name="20% - Accent4 9 13" xfId="1945"/>
    <cellStyle name="20% - Accent4 9 14" xfId="1946"/>
    <cellStyle name="20% - Accent4 9 15" xfId="1947"/>
    <cellStyle name="20% - Accent4 9 16" xfId="1948"/>
    <cellStyle name="20% - Accent4 9 17" xfId="1949"/>
    <cellStyle name="20% - Accent4 9 18" xfId="1950"/>
    <cellStyle name="20% - Accent4 9 19" xfId="1951"/>
    <cellStyle name="20% - Accent4 9 2" xfId="1952"/>
    <cellStyle name="20% - Accent4 9 20" xfId="1953"/>
    <cellStyle name="20% - Accent4 9 21" xfId="1954"/>
    <cellStyle name="20% - Accent4 9 22" xfId="1955"/>
    <cellStyle name="20% - Accent4 9 23" xfId="1956"/>
    <cellStyle name="20% - Accent4 9 24" xfId="1957"/>
    <cellStyle name="20% - Accent4 9 25" xfId="1958"/>
    <cellStyle name="20% - Accent4 9 26" xfId="1959"/>
    <cellStyle name="20% - Accent4 9 27" xfId="1960"/>
    <cellStyle name="20% - Accent4 9 28" xfId="1961"/>
    <cellStyle name="20% - Accent4 9 29" xfId="1962"/>
    <cellStyle name="20% - Accent4 9 3" xfId="1963"/>
    <cellStyle name="20% - Accent4 9 30" xfId="1964"/>
    <cellStyle name="20% - Accent4 9 31" xfId="1965"/>
    <cellStyle name="20% - Accent4 9 32" xfId="1966"/>
    <cellStyle name="20% - Accent4 9 33" xfId="1967"/>
    <cellStyle name="20% - Accent4 9 34" xfId="1968"/>
    <cellStyle name="20% - Accent4 9 35" xfId="1969"/>
    <cellStyle name="20% - Accent4 9 36" xfId="1970"/>
    <cellStyle name="20% - Accent4 9 37" xfId="1971"/>
    <cellStyle name="20% - Accent4 9 38" xfId="1972"/>
    <cellStyle name="20% - Accent4 9 39" xfId="1973"/>
    <cellStyle name="20% - Accent4 9 4" xfId="1974"/>
    <cellStyle name="20% - Accent4 9 40" xfId="1975"/>
    <cellStyle name="20% - Accent4 9 41" xfId="1976"/>
    <cellStyle name="20% - Accent4 9 5" xfId="1977"/>
    <cellStyle name="20% - Accent4 9 6" xfId="1978"/>
    <cellStyle name="20% - Accent4 9 7" xfId="1979"/>
    <cellStyle name="20% - Accent4 9 8" xfId="1980"/>
    <cellStyle name="20% - Accent4 9 9" xfId="1981"/>
    <cellStyle name="20% - Accent5" xfId="35" builtinId="46" customBuiltin="1"/>
    <cellStyle name="20% - Accent5 10" xfId="1982"/>
    <cellStyle name="20% - Accent5 10 10" xfId="1983"/>
    <cellStyle name="20% - Accent5 10 11" xfId="1984"/>
    <cellStyle name="20% - Accent5 10 12" xfId="1985"/>
    <cellStyle name="20% - Accent5 10 13" xfId="1986"/>
    <cellStyle name="20% - Accent5 10 14" xfId="1987"/>
    <cellStyle name="20% - Accent5 10 15" xfId="1988"/>
    <cellStyle name="20% - Accent5 10 16" xfId="1989"/>
    <cellStyle name="20% - Accent5 10 17" xfId="1990"/>
    <cellStyle name="20% - Accent5 10 18" xfId="1991"/>
    <cellStyle name="20% - Accent5 10 19" xfId="1992"/>
    <cellStyle name="20% - Accent5 10 2" xfId="1993"/>
    <cellStyle name="20% - Accent5 10 20" xfId="1994"/>
    <cellStyle name="20% - Accent5 10 21" xfId="1995"/>
    <cellStyle name="20% - Accent5 10 22" xfId="1996"/>
    <cellStyle name="20% - Accent5 10 23" xfId="1997"/>
    <cellStyle name="20% - Accent5 10 24" xfId="1998"/>
    <cellStyle name="20% - Accent5 10 25" xfId="1999"/>
    <cellStyle name="20% - Accent5 10 26" xfId="2000"/>
    <cellStyle name="20% - Accent5 10 27" xfId="2001"/>
    <cellStyle name="20% - Accent5 10 28" xfId="2002"/>
    <cellStyle name="20% - Accent5 10 29" xfId="2003"/>
    <cellStyle name="20% - Accent5 10 3" xfId="2004"/>
    <cellStyle name="20% - Accent5 10 30" xfId="2005"/>
    <cellStyle name="20% - Accent5 10 31" xfId="2006"/>
    <cellStyle name="20% - Accent5 10 32" xfId="2007"/>
    <cellStyle name="20% - Accent5 10 33" xfId="2008"/>
    <cellStyle name="20% - Accent5 10 34" xfId="2009"/>
    <cellStyle name="20% - Accent5 10 35" xfId="2010"/>
    <cellStyle name="20% - Accent5 10 36" xfId="2011"/>
    <cellStyle name="20% - Accent5 10 37" xfId="2012"/>
    <cellStyle name="20% - Accent5 10 38" xfId="2013"/>
    <cellStyle name="20% - Accent5 10 39" xfId="2014"/>
    <cellStyle name="20% - Accent5 10 4" xfId="2015"/>
    <cellStyle name="20% - Accent5 10 40" xfId="2016"/>
    <cellStyle name="20% - Accent5 10 41" xfId="2017"/>
    <cellStyle name="20% - Accent5 10 5" xfId="2018"/>
    <cellStyle name="20% - Accent5 10 6" xfId="2019"/>
    <cellStyle name="20% - Accent5 10 7" xfId="2020"/>
    <cellStyle name="20% - Accent5 10 8" xfId="2021"/>
    <cellStyle name="20% - Accent5 10 9" xfId="2022"/>
    <cellStyle name="20% - Accent5 11" xfId="2023"/>
    <cellStyle name="20% - Accent5 11 10" xfId="2024"/>
    <cellStyle name="20% - Accent5 11 11" xfId="2025"/>
    <cellStyle name="20% - Accent5 11 12" xfId="2026"/>
    <cellStyle name="20% - Accent5 11 13" xfId="2027"/>
    <cellStyle name="20% - Accent5 11 14" xfId="2028"/>
    <cellStyle name="20% - Accent5 11 15" xfId="2029"/>
    <cellStyle name="20% - Accent5 11 16" xfId="2030"/>
    <cellStyle name="20% - Accent5 11 17" xfId="2031"/>
    <cellStyle name="20% - Accent5 11 18" xfId="2032"/>
    <cellStyle name="20% - Accent5 11 19" xfId="2033"/>
    <cellStyle name="20% - Accent5 11 2" xfId="2034"/>
    <cellStyle name="20% - Accent5 11 20" xfId="2035"/>
    <cellStyle name="20% - Accent5 11 21" xfId="2036"/>
    <cellStyle name="20% - Accent5 11 22" xfId="2037"/>
    <cellStyle name="20% - Accent5 11 23" xfId="2038"/>
    <cellStyle name="20% - Accent5 11 24" xfId="2039"/>
    <cellStyle name="20% - Accent5 11 25" xfId="2040"/>
    <cellStyle name="20% - Accent5 11 26" xfId="2041"/>
    <cellStyle name="20% - Accent5 11 27" xfId="2042"/>
    <cellStyle name="20% - Accent5 11 28" xfId="2043"/>
    <cellStyle name="20% - Accent5 11 29" xfId="2044"/>
    <cellStyle name="20% - Accent5 11 3" xfId="2045"/>
    <cellStyle name="20% - Accent5 11 30" xfId="2046"/>
    <cellStyle name="20% - Accent5 11 31" xfId="2047"/>
    <cellStyle name="20% - Accent5 11 32" xfId="2048"/>
    <cellStyle name="20% - Accent5 11 33" xfId="2049"/>
    <cellStyle name="20% - Accent5 11 34" xfId="2050"/>
    <cellStyle name="20% - Accent5 11 35" xfId="2051"/>
    <cellStyle name="20% - Accent5 11 36" xfId="2052"/>
    <cellStyle name="20% - Accent5 11 37" xfId="2053"/>
    <cellStyle name="20% - Accent5 11 38" xfId="2054"/>
    <cellStyle name="20% - Accent5 11 39" xfId="2055"/>
    <cellStyle name="20% - Accent5 11 4" xfId="2056"/>
    <cellStyle name="20% - Accent5 11 40" xfId="2057"/>
    <cellStyle name="20% - Accent5 11 41" xfId="2058"/>
    <cellStyle name="20% - Accent5 11 5" xfId="2059"/>
    <cellStyle name="20% - Accent5 11 6" xfId="2060"/>
    <cellStyle name="20% - Accent5 11 7" xfId="2061"/>
    <cellStyle name="20% - Accent5 11 8" xfId="2062"/>
    <cellStyle name="20% - Accent5 11 9" xfId="2063"/>
    <cellStyle name="20% - Accent5 12" xfId="2064"/>
    <cellStyle name="20% - Accent5 12 10" xfId="2065"/>
    <cellStyle name="20% - Accent5 12 11" xfId="2066"/>
    <cellStyle name="20% - Accent5 12 12" xfId="2067"/>
    <cellStyle name="20% - Accent5 12 13" xfId="2068"/>
    <cellStyle name="20% - Accent5 12 14" xfId="2069"/>
    <cellStyle name="20% - Accent5 12 15" xfId="2070"/>
    <cellStyle name="20% - Accent5 12 16" xfId="2071"/>
    <cellStyle name="20% - Accent5 12 17" xfId="2072"/>
    <cellStyle name="20% - Accent5 12 18" xfId="2073"/>
    <cellStyle name="20% - Accent5 12 19" xfId="2074"/>
    <cellStyle name="20% - Accent5 12 2" xfId="2075"/>
    <cellStyle name="20% - Accent5 12 20" xfId="2076"/>
    <cellStyle name="20% - Accent5 12 21" xfId="2077"/>
    <cellStyle name="20% - Accent5 12 22" xfId="2078"/>
    <cellStyle name="20% - Accent5 12 23" xfId="2079"/>
    <cellStyle name="20% - Accent5 12 24" xfId="2080"/>
    <cellStyle name="20% - Accent5 12 25" xfId="2081"/>
    <cellStyle name="20% - Accent5 12 26" xfId="2082"/>
    <cellStyle name="20% - Accent5 12 27" xfId="2083"/>
    <cellStyle name="20% - Accent5 12 28" xfId="2084"/>
    <cellStyle name="20% - Accent5 12 29" xfId="2085"/>
    <cellStyle name="20% - Accent5 12 3" xfId="2086"/>
    <cellStyle name="20% - Accent5 12 30" xfId="2087"/>
    <cellStyle name="20% - Accent5 12 31" xfId="2088"/>
    <cellStyle name="20% - Accent5 12 32" xfId="2089"/>
    <cellStyle name="20% - Accent5 12 33" xfId="2090"/>
    <cellStyle name="20% - Accent5 12 34" xfId="2091"/>
    <cellStyle name="20% - Accent5 12 35" xfId="2092"/>
    <cellStyle name="20% - Accent5 12 36" xfId="2093"/>
    <cellStyle name="20% - Accent5 12 37" xfId="2094"/>
    <cellStyle name="20% - Accent5 12 38" xfId="2095"/>
    <cellStyle name="20% - Accent5 12 39" xfId="2096"/>
    <cellStyle name="20% - Accent5 12 4" xfId="2097"/>
    <cellStyle name="20% - Accent5 12 40" xfId="2098"/>
    <cellStyle name="20% - Accent5 12 41" xfId="2099"/>
    <cellStyle name="20% - Accent5 12 5" xfId="2100"/>
    <cellStyle name="20% - Accent5 12 6" xfId="2101"/>
    <cellStyle name="20% - Accent5 12 7" xfId="2102"/>
    <cellStyle name="20% - Accent5 12 8" xfId="2103"/>
    <cellStyle name="20% - Accent5 12 9" xfId="2104"/>
    <cellStyle name="20% - Accent5 13" xfId="2105"/>
    <cellStyle name="20% - Accent5 14" xfId="2106"/>
    <cellStyle name="20% - Accent5 14 2" xfId="2107"/>
    <cellStyle name="20% - Accent5 15" xfId="2108"/>
    <cellStyle name="20% - Accent5 16" xfId="2109"/>
    <cellStyle name="20% - Accent5 2" xfId="2110"/>
    <cellStyle name="20% - Accent5 2 10" xfId="2111"/>
    <cellStyle name="20% - Accent5 2 11" xfId="2112"/>
    <cellStyle name="20% - Accent5 2 12" xfId="2113"/>
    <cellStyle name="20% - Accent5 2 13" xfId="2114"/>
    <cellStyle name="20% - Accent5 2 14" xfId="2115"/>
    <cellStyle name="20% - Accent5 2 15" xfId="2116"/>
    <cellStyle name="20% - Accent5 2 16" xfId="2117"/>
    <cellStyle name="20% - Accent5 2 17" xfId="2118"/>
    <cellStyle name="20% - Accent5 2 18" xfId="2119"/>
    <cellStyle name="20% - Accent5 2 19" xfId="2120"/>
    <cellStyle name="20% - Accent5 2 2" xfId="2121"/>
    <cellStyle name="20% - Accent5 2 2 2" xfId="2122"/>
    <cellStyle name="20% - Accent5 2 2 2 2" xfId="2123"/>
    <cellStyle name="20% - Accent5 2 2 3" xfId="2124"/>
    <cellStyle name="20% - Accent5 2 2 4" xfId="2125"/>
    <cellStyle name="20% - Accent5 2 2 5" xfId="2126"/>
    <cellStyle name="20% - Accent5 2 20" xfId="2127"/>
    <cellStyle name="20% - Accent5 2 21" xfId="2128"/>
    <cellStyle name="20% - Accent5 2 22" xfId="2129"/>
    <cellStyle name="20% - Accent5 2 23" xfId="2130"/>
    <cellStyle name="20% - Accent5 2 24" xfId="2131"/>
    <cellStyle name="20% - Accent5 2 25" xfId="2132"/>
    <cellStyle name="20% - Accent5 2 26" xfId="2133"/>
    <cellStyle name="20% - Accent5 2 27" xfId="2134"/>
    <cellStyle name="20% - Accent5 2 28" xfId="2135"/>
    <cellStyle name="20% - Accent5 2 29" xfId="2136"/>
    <cellStyle name="20% - Accent5 2 3" xfId="2137"/>
    <cellStyle name="20% - Accent5 2 3 2" xfId="2138"/>
    <cellStyle name="20% - Accent5 2 3 3" xfId="2139"/>
    <cellStyle name="20% - Accent5 2 3 4" xfId="2140"/>
    <cellStyle name="20% - Accent5 2 3 5" xfId="2141"/>
    <cellStyle name="20% - Accent5 2 3 6" xfId="2142"/>
    <cellStyle name="20% - Accent5 2 30" xfId="2143"/>
    <cellStyle name="20% - Accent5 2 31" xfId="2144"/>
    <cellStyle name="20% - Accent5 2 32" xfId="2145"/>
    <cellStyle name="20% - Accent5 2 33" xfId="2146"/>
    <cellStyle name="20% - Accent5 2 34" xfId="2147"/>
    <cellStyle name="20% - Accent5 2 35" xfId="2148"/>
    <cellStyle name="20% - Accent5 2 36" xfId="2149"/>
    <cellStyle name="20% - Accent5 2 37" xfId="2150"/>
    <cellStyle name="20% - Accent5 2 38" xfId="2151"/>
    <cellStyle name="20% - Accent5 2 39" xfId="2152"/>
    <cellStyle name="20% - Accent5 2 4" xfId="2153"/>
    <cellStyle name="20% - Accent5 2 40" xfId="2154"/>
    <cellStyle name="20% - Accent5 2 41" xfId="2155"/>
    <cellStyle name="20% - Accent5 2 42" xfId="2156"/>
    <cellStyle name="20% - Accent5 2 43" xfId="2157"/>
    <cellStyle name="20% - Accent5 2 44" xfId="2158"/>
    <cellStyle name="20% - Accent5 2 45" xfId="2159"/>
    <cellStyle name="20% - Accent5 2 5" xfId="2160"/>
    <cellStyle name="20% - Accent5 2 6" xfId="2161"/>
    <cellStyle name="20% - Accent5 2 7" xfId="2162"/>
    <cellStyle name="20% - Accent5 2 8" xfId="2163"/>
    <cellStyle name="20% - Accent5 2 9" xfId="2164"/>
    <cellStyle name="20% - Accent5 3" xfId="2165"/>
    <cellStyle name="20% - Accent5 3 10" xfId="2166"/>
    <cellStyle name="20% - Accent5 3 11" xfId="2167"/>
    <cellStyle name="20% - Accent5 3 12" xfId="2168"/>
    <cellStyle name="20% - Accent5 3 13" xfId="2169"/>
    <cellStyle name="20% - Accent5 3 14" xfId="2170"/>
    <cellStyle name="20% - Accent5 3 15" xfId="2171"/>
    <cellStyle name="20% - Accent5 3 16" xfId="2172"/>
    <cellStyle name="20% - Accent5 3 17" xfId="2173"/>
    <cellStyle name="20% - Accent5 3 18" xfId="2174"/>
    <cellStyle name="20% - Accent5 3 19" xfId="2175"/>
    <cellStyle name="20% - Accent5 3 2" xfId="2176"/>
    <cellStyle name="20% - Accent5 3 20" xfId="2177"/>
    <cellStyle name="20% - Accent5 3 21" xfId="2178"/>
    <cellStyle name="20% - Accent5 3 22" xfId="2179"/>
    <cellStyle name="20% - Accent5 3 23" xfId="2180"/>
    <cellStyle name="20% - Accent5 3 24" xfId="2181"/>
    <cellStyle name="20% - Accent5 3 25" xfId="2182"/>
    <cellStyle name="20% - Accent5 3 26" xfId="2183"/>
    <cellStyle name="20% - Accent5 3 27" xfId="2184"/>
    <cellStyle name="20% - Accent5 3 28" xfId="2185"/>
    <cellStyle name="20% - Accent5 3 29" xfId="2186"/>
    <cellStyle name="20% - Accent5 3 3" xfId="2187"/>
    <cellStyle name="20% - Accent5 3 30" xfId="2188"/>
    <cellStyle name="20% - Accent5 3 31" xfId="2189"/>
    <cellStyle name="20% - Accent5 3 32" xfId="2190"/>
    <cellStyle name="20% - Accent5 3 33" xfId="2191"/>
    <cellStyle name="20% - Accent5 3 34" xfId="2192"/>
    <cellStyle name="20% - Accent5 3 35" xfId="2193"/>
    <cellStyle name="20% - Accent5 3 36" xfId="2194"/>
    <cellStyle name="20% - Accent5 3 37" xfId="2195"/>
    <cellStyle name="20% - Accent5 3 38" xfId="2196"/>
    <cellStyle name="20% - Accent5 3 39" xfId="2197"/>
    <cellStyle name="20% - Accent5 3 4" xfId="2198"/>
    <cellStyle name="20% - Accent5 3 40" xfId="2199"/>
    <cellStyle name="20% - Accent5 3 41" xfId="2200"/>
    <cellStyle name="20% - Accent5 3 42" xfId="2201"/>
    <cellStyle name="20% - Accent5 3 43" xfId="2202"/>
    <cellStyle name="20% - Accent5 3 44" xfId="2203"/>
    <cellStyle name="20% - Accent5 3 45" xfId="2204"/>
    <cellStyle name="20% - Accent5 3 5" xfId="2205"/>
    <cellStyle name="20% - Accent5 3 6" xfId="2206"/>
    <cellStyle name="20% - Accent5 3 7" xfId="2207"/>
    <cellStyle name="20% - Accent5 3 8" xfId="2208"/>
    <cellStyle name="20% - Accent5 3 9" xfId="2209"/>
    <cellStyle name="20% - Accent5 4" xfId="2210"/>
    <cellStyle name="20% - Accent5 4 10" xfId="2211"/>
    <cellStyle name="20% - Accent5 4 11" xfId="2212"/>
    <cellStyle name="20% - Accent5 4 12" xfId="2213"/>
    <cellStyle name="20% - Accent5 4 13" xfId="2214"/>
    <cellStyle name="20% - Accent5 4 14" xfId="2215"/>
    <cellStyle name="20% - Accent5 4 15" xfId="2216"/>
    <cellStyle name="20% - Accent5 4 16" xfId="2217"/>
    <cellStyle name="20% - Accent5 4 17" xfId="2218"/>
    <cellStyle name="20% - Accent5 4 18" xfId="2219"/>
    <cellStyle name="20% - Accent5 4 19" xfId="2220"/>
    <cellStyle name="20% - Accent5 4 2" xfId="2221"/>
    <cellStyle name="20% - Accent5 4 20" xfId="2222"/>
    <cellStyle name="20% - Accent5 4 21" xfId="2223"/>
    <cellStyle name="20% - Accent5 4 22" xfId="2224"/>
    <cellStyle name="20% - Accent5 4 23" xfId="2225"/>
    <cellStyle name="20% - Accent5 4 24" xfId="2226"/>
    <cellStyle name="20% - Accent5 4 25" xfId="2227"/>
    <cellStyle name="20% - Accent5 4 26" xfId="2228"/>
    <cellStyle name="20% - Accent5 4 27" xfId="2229"/>
    <cellStyle name="20% - Accent5 4 28" xfId="2230"/>
    <cellStyle name="20% - Accent5 4 29" xfId="2231"/>
    <cellStyle name="20% - Accent5 4 3" xfId="2232"/>
    <cellStyle name="20% - Accent5 4 30" xfId="2233"/>
    <cellStyle name="20% - Accent5 4 31" xfId="2234"/>
    <cellStyle name="20% - Accent5 4 32" xfId="2235"/>
    <cellStyle name="20% - Accent5 4 33" xfId="2236"/>
    <cellStyle name="20% - Accent5 4 34" xfId="2237"/>
    <cellStyle name="20% - Accent5 4 35" xfId="2238"/>
    <cellStyle name="20% - Accent5 4 36" xfId="2239"/>
    <cellStyle name="20% - Accent5 4 37" xfId="2240"/>
    <cellStyle name="20% - Accent5 4 38" xfId="2241"/>
    <cellStyle name="20% - Accent5 4 39" xfId="2242"/>
    <cellStyle name="20% - Accent5 4 4" xfId="2243"/>
    <cellStyle name="20% - Accent5 4 40" xfId="2244"/>
    <cellStyle name="20% - Accent5 4 41" xfId="2245"/>
    <cellStyle name="20% - Accent5 4 5" xfId="2246"/>
    <cellStyle name="20% - Accent5 4 6" xfId="2247"/>
    <cellStyle name="20% - Accent5 4 7" xfId="2248"/>
    <cellStyle name="20% - Accent5 4 8" xfId="2249"/>
    <cellStyle name="20% - Accent5 4 9" xfId="2250"/>
    <cellStyle name="20% - Accent5 5" xfId="2251"/>
    <cellStyle name="20% - Accent5 5 10" xfId="2252"/>
    <cellStyle name="20% - Accent5 5 11" xfId="2253"/>
    <cellStyle name="20% - Accent5 5 12" xfId="2254"/>
    <cellStyle name="20% - Accent5 5 13" xfId="2255"/>
    <cellStyle name="20% - Accent5 5 14" xfId="2256"/>
    <cellStyle name="20% - Accent5 5 15" xfId="2257"/>
    <cellStyle name="20% - Accent5 5 16" xfId="2258"/>
    <cellStyle name="20% - Accent5 5 17" xfId="2259"/>
    <cellStyle name="20% - Accent5 5 18" xfId="2260"/>
    <cellStyle name="20% - Accent5 5 19" xfId="2261"/>
    <cellStyle name="20% - Accent5 5 2" xfId="2262"/>
    <cellStyle name="20% - Accent5 5 20" xfId="2263"/>
    <cellStyle name="20% - Accent5 5 21" xfId="2264"/>
    <cellStyle name="20% - Accent5 5 22" xfId="2265"/>
    <cellStyle name="20% - Accent5 5 23" xfId="2266"/>
    <cellStyle name="20% - Accent5 5 24" xfId="2267"/>
    <cellStyle name="20% - Accent5 5 25" xfId="2268"/>
    <cellStyle name="20% - Accent5 5 26" xfId="2269"/>
    <cellStyle name="20% - Accent5 5 27" xfId="2270"/>
    <cellStyle name="20% - Accent5 5 28" xfId="2271"/>
    <cellStyle name="20% - Accent5 5 29" xfId="2272"/>
    <cellStyle name="20% - Accent5 5 3" xfId="2273"/>
    <cellStyle name="20% - Accent5 5 30" xfId="2274"/>
    <cellStyle name="20% - Accent5 5 31" xfId="2275"/>
    <cellStyle name="20% - Accent5 5 32" xfId="2276"/>
    <cellStyle name="20% - Accent5 5 33" xfId="2277"/>
    <cellStyle name="20% - Accent5 5 34" xfId="2278"/>
    <cellStyle name="20% - Accent5 5 35" xfId="2279"/>
    <cellStyle name="20% - Accent5 5 36" xfId="2280"/>
    <cellStyle name="20% - Accent5 5 37" xfId="2281"/>
    <cellStyle name="20% - Accent5 5 38" xfId="2282"/>
    <cellStyle name="20% - Accent5 5 39" xfId="2283"/>
    <cellStyle name="20% - Accent5 5 4" xfId="2284"/>
    <cellStyle name="20% - Accent5 5 40" xfId="2285"/>
    <cellStyle name="20% - Accent5 5 41" xfId="2286"/>
    <cellStyle name="20% - Accent5 5 5" xfId="2287"/>
    <cellStyle name="20% - Accent5 5 6" xfId="2288"/>
    <cellStyle name="20% - Accent5 5 7" xfId="2289"/>
    <cellStyle name="20% - Accent5 5 8" xfId="2290"/>
    <cellStyle name="20% - Accent5 5 9" xfId="2291"/>
    <cellStyle name="20% - Accent5 6" xfId="2292"/>
    <cellStyle name="20% - Accent5 6 10" xfId="2293"/>
    <cellStyle name="20% - Accent5 6 11" xfId="2294"/>
    <cellStyle name="20% - Accent5 6 12" xfId="2295"/>
    <cellStyle name="20% - Accent5 6 13" xfId="2296"/>
    <cellStyle name="20% - Accent5 6 14" xfId="2297"/>
    <cellStyle name="20% - Accent5 6 15" xfId="2298"/>
    <cellStyle name="20% - Accent5 6 16" xfId="2299"/>
    <cellStyle name="20% - Accent5 6 17" xfId="2300"/>
    <cellStyle name="20% - Accent5 6 18" xfId="2301"/>
    <cellStyle name="20% - Accent5 6 19" xfId="2302"/>
    <cellStyle name="20% - Accent5 6 2" xfId="2303"/>
    <cellStyle name="20% - Accent5 6 20" xfId="2304"/>
    <cellStyle name="20% - Accent5 6 21" xfId="2305"/>
    <cellStyle name="20% - Accent5 6 22" xfId="2306"/>
    <cellStyle name="20% - Accent5 6 23" xfId="2307"/>
    <cellStyle name="20% - Accent5 6 24" xfId="2308"/>
    <cellStyle name="20% - Accent5 6 25" xfId="2309"/>
    <cellStyle name="20% - Accent5 6 26" xfId="2310"/>
    <cellStyle name="20% - Accent5 6 27" xfId="2311"/>
    <cellStyle name="20% - Accent5 6 28" xfId="2312"/>
    <cellStyle name="20% - Accent5 6 29" xfId="2313"/>
    <cellStyle name="20% - Accent5 6 3" xfId="2314"/>
    <cellStyle name="20% - Accent5 6 30" xfId="2315"/>
    <cellStyle name="20% - Accent5 6 31" xfId="2316"/>
    <cellStyle name="20% - Accent5 6 32" xfId="2317"/>
    <cellStyle name="20% - Accent5 6 33" xfId="2318"/>
    <cellStyle name="20% - Accent5 6 34" xfId="2319"/>
    <cellStyle name="20% - Accent5 6 35" xfId="2320"/>
    <cellStyle name="20% - Accent5 6 36" xfId="2321"/>
    <cellStyle name="20% - Accent5 6 37" xfId="2322"/>
    <cellStyle name="20% - Accent5 6 38" xfId="2323"/>
    <cellStyle name="20% - Accent5 6 39" xfId="2324"/>
    <cellStyle name="20% - Accent5 6 4" xfId="2325"/>
    <cellStyle name="20% - Accent5 6 40" xfId="2326"/>
    <cellStyle name="20% - Accent5 6 41" xfId="2327"/>
    <cellStyle name="20% - Accent5 6 5" xfId="2328"/>
    <cellStyle name="20% - Accent5 6 6" xfId="2329"/>
    <cellStyle name="20% - Accent5 6 7" xfId="2330"/>
    <cellStyle name="20% - Accent5 6 8" xfId="2331"/>
    <cellStyle name="20% - Accent5 6 9" xfId="2332"/>
    <cellStyle name="20% - Accent5 7" xfId="2333"/>
    <cellStyle name="20% - Accent5 7 10" xfId="2334"/>
    <cellStyle name="20% - Accent5 7 11" xfId="2335"/>
    <cellStyle name="20% - Accent5 7 12" xfId="2336"/>
    <cellStyle name="20% - Accent5 7 13" xfId="2337"/>
    <cellStyle name="20% - Accent5 7 14" xfId="2338"/>
    <cellStyle name="20% - Accent5 7 15" xfId="2339"/>
    <cellStyle name="20% - Accent5 7 16" xfId="2340"/>
    <cellStyle name="20% - Accent5 7 17" xfId="2341"/>
    <cellStyle name="20% - Accent5 7 18" xfId="2342"/>
    <cellStyle name="20% - Accent5 7 19" xfId="2343"/>
    <cellStyle name="20% - Accent5 7 2" xfId="2344"/>
    <cellStyle name="20% - Accent5 7 20" xfId="2345"/>
    <cellStyle name="20% - Accent5 7 21" xfId="2346"/>
    <cellStyle name="20% - Accent5 7 22" xfId="2347"/>
    <cellStyle name="20% - Accent5 7 23" xfId="2348"/>
    <cellStyle name="20% - Accent5 7 24" xfId="2349"/>
    <cellStyle name="20% - Accent5 7 25" xfId="2350"/>
    <cellStyle name="20% - Accent5 7 26" xfId="2351"/>
    <cellStyle name="20% - Accent5 7 27" xfId="2352"/>
    <cellStyle name="20% - Accent5 7 28" xfId="2353"/>
    <cellStyle name="20% - Accent5 7 29" xfId="2354"/>
    <cellStyle name="20% - Accent5 7 3" xfId="2355"/>
    <cellStyle name="20% - Accent5 7 30" xfId="2356"/>
    <cellStyle name="20% - Accent5 7 31" xfId="2357"/>
    <cellStyle name="20% - Accent5 7 32" xfId="2358"/>
    <cellStyle name="20% - Accent5 7 33" xfId="2359"/>
    <cellStyle name="20% - Accent5 7 34" xfId="2360"/>
    <cellStyle name="20% - Accent5 7 35" xfId="2361"/>
    <cellStyle name="20% - Accent5 7 36" xfId="2362"/>
    <cellStyle name="20% - Accent5 7 37" xfId="2363"/>
    <cellStyle name="20% - Accent5 7 38" xfId="2364"/>
    <cellStyle name="20% - Accent5 7 39" xfId="2365"/>
    <cellStyle name="20% - Accent5 7 4" xfId="2366"/>
    <cellStyle name="20% - Accent5 7 40" xfId="2367"/>
    <cellStyle name="20% - Accent5 7 41" xfId="2368"/>
    <cellStyle name="20% - Accent5 7 5" xfId="2369"/>
    <cellStyle name="20% - Accent5 7 6" xfId="2370"/>
    <cellStyle name="20% - Accent5 7 7" xfId="2371"/>
    <cellStyle name="20% - Accent5 7 8" xfId="2372"/>
    <cellStyle name="20% - Accent5 7 9" xfId="2373"/>
    <cellStyle name="20% - Accent5 8" xfId="2374"/>
    <cellStyle name="20% - Accent5 8 10" xfId="2375"/>
    <cellStyle name="20% - Accent5 8 11" xfId="2376"/>
    <cellStyle name="20% - Accent5 8 12" xfId="2377"/>
    <cellStyle name="20% - Accent5 8 13" xfId="2378"/>
    <cellStyle name="20% - Accent5 8 14" xfId="2379"/>
    <cellStyle name="20% - Accent5 8 15" xfId="2380"/>
    <cellStyle name="20% - Accent5 8 16" xfId="2381"/>
    <cellStyle name="20% - Accent5 8 17" xfId="2382"/>
    <cellStyle name="20% - Accent5 8 18" xfId="2383"/>
    <cellStyle name="20% - Accent5 8 19" xfId="2384"/>
    <cellStyle name="20% - Accent5 8 2" xfId="2385"/>
    <cellStyle name="20% - Accent5 8 20" xfId="2386"/>
    <cellStyle name="20% - Accent5 8 21" xfId="2387"/>
    <cellStyle name="20% - Accent5 8 22" xfId="2388"/>
    <cellStyle name="20% - Accent5 8 23" xfId="2389"/>
    <cellStyle name="20% - Accent5 8 24" xfId="2390"/>
    <cellStyle name="20% - Accent5 8 25" xfId="2391"/>
    <cellStyle name="20% - Accent5 8 26" xfId="2392"/>
    <cellStyle name="20% - Accent5 8 27" xfId="2393"/>
    <cellStyle name="20% - Accent5 8 28" xfId="2394"/>
    <cellStyle name="20% - Accent5 8 29" xfId="2395"/>
    <cellStyle name="20% - Accent5 8 3" xfId="2396"/>
    <cellStyle name="20% - Accent5 8 30" xfId="2397"/>
    <cellStyle name="20% - Accent5 8 31" xfId="2398"/>
    <cellStyle name="20% - Accent5 8 32" xfId="2399"/>
    <cellStyle name="20% - Accent5 8 33" xfId="2400"/>
    <cellStyle name="20% - Accent5 8 34" xfId="2401"/>
    <cellStyle name="20% - Accent5 8 35" xfId="2402"/>
    <cellStyle name="20% - Accent5 8 36" xfId="2403"/>
    <cellStyle name="20% - Accent5 8 37" xfId="2404"/>
    <cellStyle name="20% - Accent5 8 38" xfId="2405"/>
    <cellStyle name="20% - Accent5 8 39" xfId="2406"/>
    <cellStyle name="20% - Accent5 8 4" xfId="2407"/>
    <cellStyle name="20% - Accent5 8 40" xfId="2408"/>
    <cellStyle name="20% - Accent5 8 41" xfId="2409"/>
    <cellStyle name="20% - Accent5 8 5" xfId="2410"/>
    <cellStyle name="20% - Accent5 8 6" xfId="2411"/>
    <cellStyle name="20% - Accent5 8 7" xfId="2412"/>
    <cellStyle name="20% - Accent5 8 8" xfId="2413"/>
    <cellStyle name="20% - Accent5 8 9" xfId="2414"/>
    <cellStyle name="20% - Accent5 9" xfId="2415"/>
    <cellStyle name="20% - Accent5 9 10" xfId="2416"/>
    <cellStyle name="20% - Accent5 9 11" xfId="2417"/>
    <cellStyle name="20% - Accent5 9 12" xfId="2418"/>
    <cellStyle name="20% - Accent5 9 13" xfId="2419"/>
    <cellStyle name="20% - Accent5 9 14" xfId="2420"/>
    <cellStyle name="20% - Accent5 9 15" xfId="2421"/>
    <cellStyle name="20% - Accent5 9 16" xfId="2422"/>
    <cellStyle name="20% - Accent5 9 17" xfId="2423"/>
    <cellStyle name="20% - Accent5 9 18" xfId="2424"/>
    <cellStyle name="20% - Accent5 9 19" xfId="2425"/>
    <cellStyle name="20% - Accent5 9 2" xfId="2426"/>
    <cellStyle name="20% - Accent5 9 20" xfId="2427"/>
    <cellStyle name="20% - Accent5 9 21" xfId="2428"/>
    <cellStyle name="20% - Accent5 9 22" xfId="2429"/>
    <cellStyle name="20% - Accent5 9 23" xfId="2430"/>
    <cellStyle name="20% - Accent5 9 24" xfId="2431"/>
    <cellStyle name="20% - Accent5 9 25" xfId="2432"/>
    <cellStyle name="20% - Accent5 9 26" xfId="2433"/>
    <cellStyle name="20% - Accent5 9 27" xfId="2434"/>
    <cellStyle name="20% - Accent5 9 28" xfId="2435"/>
    <cellStyle name="20% - Accent5 9 29" xfId="2436"/>
    <cellStyle name="20% - Accent5 9 3" xfId="2437"/>
    <cellStyle name="20% - Accent5 9 30" xfId="2438"/>
    <cellStyle name="20% - Accent5 9 31" xfId="2439"/>
    <cellStyle name="20% - Accent5 9 32" xfId="2440"/>
    <cellStyle name="20% - Accent5 9 33" xfId="2441"/>
    <cellStyle name="20% - Accent5 9 34" xfId="2442"/>
    <cellStyle name="20% - Accent5 9 35" xfId="2443"/>
    <cellStyle name="20% - Accent5 9 36" xfId="2444"/>
    <cellStyle name="20% - Accent5 9 37" xfId="2445"/>
    <cellStyle name="20% - Accent5 9 38" xfId="2446"/>
    <cellStyle name="20% - Accent5 9 39" xfId="2447"/>
    <cellStyle name="20% - Accent5 9 4" xfId="2448"/>
    <cellStyle name="20% - Accent5 9 40" xfId="2449"/>
    <cellStyle name="20% - Accent5 9 41" xfId="2450"/>
    <cellStyle name="20% - Accent5 9 5" xfId="2451"/>
    <cellStyle name="20% - Accent5 9 6" xfId="2452"/>
    <cellStyle name="20% - Accent5 9 7" xfId="2453"/>
    <cellStyle name="20% - Accent5 9 8" xfId="2454"/>
    <cellStyle name="20% - Accent5 9 9" xfId="2455"/>
    <cellStyle name="20% - Accent6" xfId="39" builtinId="50" customBuiltin="1"/>
    <cellStyle name="20% - Accent6 10" xfId="2456"/>
    <cellStyle name="20% - Accent6 10 10" xfId="2457"/>
    <cellStyle name="20% - Accent6 10 11" xfId="2458"/>
    <cellStyle name="20% - Accent6 10 12" xfId="2459"/>
    <cellStyle name="20% - Accent6 10 13" xfId="2460"/>
    <cellStyle name="20% - Accent6 10 14" xfId="2461"/>
    <cellStyle name="20% - Accent6 10 15" xfId="2462"/>
    <cellStyle name="20% - Accent6 10 16" xfId="2463"/>
    <cellStyle name="20% - Accent6 10 17" xfId="2464"/>
    <cellStyle name="20% - Accent6 10 18" xfId="2465"/>
    <cellStyle name="20% - Accent6 10 19" xfId="2466"/>
    <cellStyle name="20% - Accent6 10 2" xfId="2467"/>
    <cellStyle name="20% - Accent6 10 20" xfId="2468"/>
    <cellStyle name="20% - Accent6 10 21" xfId="2469"/>
    <cellStyle name="20% - Accent6 10 22" xfId="2470"/>
    <cellStyle name="20% - Accent6 10 23" xfId="2471"/>
    <cellStyle name="20% - Accent6 10 24" xfId="2472"/>
    <cellStyle name="20% - Accent6 10 25" xfId="2473"/>
    <cellStyle name="20% - Accent6 10 26" xfId="2474"/>
    <cellStyle name="20% - Accent6 10 27" xfId="2475"/>
    <cellStyle name="20% - Accent6 10 28" xfId="2476"/>
    <cellStyle name="20% - Accent6 10 29" xfId="2477"/>
    <cellStyle name="20% - Accent6 10 3" xfId="2478"/>
    <cellStyle name="20% - Accent6 10 30" xfId="2479"/>
    <cellStyle name="20% - Accent6 10 31" xfId="2480"/>
    <cellStyle name="20% - Accent6 10 32" xfId="2481"/>
    <cellStyle name="20% - Accent6 10 33" xfId="2482"/>
    <cellStyle name="20% - Accent6 10 34" xfId="2483"/>
    <cellStyle name="20% - Accent6 10 35" xfId="2484"/>
    <cellStyle name="20% - Accent6 10 36" xfId="2485"/>
    <cellStyle name="20% - Accent6 10 37" xfId="2486"/>
    <cellStyle name="20% - Accent6 10 38" xfId="2487"/>
    <cellStyle name="20% - Accent6 10 39" xfId="2488"/>
    <cellStyle name="20% - Accent6 10 4" xfId="2489"/>
    <cellStyle name="20% - Accent6 10 40" xfId="2490"/>
    <cellStyle name="20% - Accent6 10 41" xfId="2491"/>
    <cellStyle name="20% - Accent6 10 5" xfId="2492"/>
    <cellStyle name="20% - Accent6 10 6" xfId="2493"/>
    <cellStyle name="20% - Accent6 10 7" xfId="2494"/>
    <cellStyle name="20% - Accent6 10 8" xfId="2495"/>
    <cellStyle name="20% - Accent6 10 9" xfId="2496"/>
    <cellStyle name="20% - Accent6 11" xfId="2497"/>
    <cellStyle name="20% - Accent6 11 10" xfId="2498"/>
    <cellStyle name="20% - Accent6 11 11" xfId="2499"/>
    <cellStyle name="20% - Accent6 11 12" xfId="2500"/>
    <cellStyle name="20% - Accent6 11 13" xfId="2501"/>
    <cellStyle name="20% - Accent6 11 14" xfId="2502"/>
    <cellStyle name="20% - Accent6 11 15" xfId="2503"/>
    <cellStyle name="20% - Accent6 11 16" xfId="2504"/>
    <cellStyle name="20% - Accent6 11 17" xfId="2505"/>
    <cellStyle name="20% - Accent6 11 18" xfId="2506"/>
    <cellStyle name="20% - Accent6 11 19" xfId="2507"/>
    <cellStyle name="20% - Accent6 11 2" xfId="2508"/>
    <cellStyle name="20% - Accent6 11 20" xfId="2509"/>
    <cellStyle name="20% - Accent6 11 21" xfId="2510"/>
    <cellStyle name="20% - Accent6 11 22" xfId="2511"/>
    <cellStyle name="20% - Accent6 11 23" xfId="2512"/>
    <cellStyle name="20% - Accent6 11 24" xfId="2513"/>
    <cellStyle name="20% - Accent6 11 25" xfId="2514"/>
    <cellStyle name="20% - Accent6 11 26" xfId="2515"/>
    <cellStyle name="20% - Accent6 11 27" xfId="2516"/>
    <cellStyle name="20% - Accent6 11 28" xfId="2517"/>
    <cellStyle name="20% - Accent6 11 29" xfId="2518"/>
    <cellStyle name="20% - Accent6 11 3" xfId="2519"/>
    <cellStyle name="20% - Accent6 11 30" xfId="2520"/>
    <cellStyle name="20% - Accent6 11 31" xfId="2521"/>
    <cellStyle name="20% - Accent6 11 32" xfId="2522"/>
    <cellStyle name="20% - Accent6 11 33" xfId="2523"/>
    <cellStyle name="20% - Accent6 11 34" xfId="2524"/>
    <cellStyle name="20% - Accent6 11 35" xfId="2525"/>
    <cellStyle name="20% - Accent6 11 36" xfId="2526"/>
    <cellStyle name="20% - Accent6 11 37" xfId="2527"/>
    <cellStyle name="20% - Accent6 11 38" xfId="2528"/>
    <cellStyle name="20% - Accent6 11 39" xfId="2529"/>
    <cellStyle name="20% - Accent6 11 4" xfId="2530"/>
    <cellStyle name="20% - Accent6 11 40" xfId="2531"/>
    <cellStyle name="20% - Accent6 11 41" xfId="2532"/>
    <cellStyle name="20% - Accent6 11 5" xfId="2533"/>
    <cellStyle name="20% - Accent6 11 6" xfId="2534"/>
    <cellStyle name="20% - Accent6 11 7" xfId="2535"/>
    <cellStyle name="20% - Accent6 11 8" xfId="2536"/>
    <cellStyle name="20% - Accent6 11 9" xfId="2537"/>
    <cellStyle name="20% - Accent6 12" xfId="2538"/>
    <cellStyle name="20% - Accent6 12 10" xfId="2539"/>
    <cellStyle name="20% - Accent6 12 11" xfId="2540"/>
    <cellStyle name="20% - Accent6 12 12" xfId="2541"/>
    <cellStyle name="20% - Accent6 12 13" xfId="2542"/>
    <cellStyle name="20% - Accent6 12 14" xfId="2543"/>
    <cellStyle name="20% - Accent6 12 15" xfId="2544"/>
    <cellStyle name="20% - Accent6 12 16" xfId="2545"/>
    <cellStyle name="20% - Accent6 12 17" xfId="2546"/>
    <cellStyle name="20% - Accent6 12 18" xfId="2547"/>
    <cellStyle name="20% - Accent6 12 19" xfId="2548"/>
    <cellStyle name="20% - Accent6 12 2" xfId="2549"/>
    <cellStyle name="20% - Accent6 12 20" xfId="2550"/>
    <cellStyle name="20% - Accent6 12 21" xfId="2551"/>
    <cellStyle name="20% - Accent6 12 22" xfId="2552"/>
    <cellStyle name="20% - Accent6 12 23" xfId="2553"/>
    <cellStyle name="20% - Accent6 12 24" xfId="2554"/>
    <cellStyle name="20% - Accent6 12 25" xfId="2555"/>
    <cellStyle name="20% - Accent6 12 26" xfId="2556"/>
    <cellStyle name="20% - Accent6 12 27" xfId="2557"/>
    <cellStyle name="20% - Accent6 12 28" xfId="2558"/>
    <cellStyle name="20% - Accent6 12 29" xfId="2559"/>
    <cellStyle name="20% - Accent6 12 3" xfId="2560"/>
    <cellStyle name="20% - Accent6 12 30" xfId="2561"/>
    <cellStyle name="20% - Accent6 12 31" xfId="2562"/>
    <cellStyle name="20% - Accent6 12 32" xfId="2563"/>
    <cellStyle name="20% - Accent6 12 33" xfId="2564"/>
    <cellStyle name="20% - Accent6 12 34" xfId="2565"/>
    <cellStyle name="20% - Accent6 12 35" xfId="2566"/>
    <cellStyle name="20% - Accent6 12 36" xfId="2567"/>
    <cellStyle name="20% - Accent6 12 37" xfId="2568"/>
    <cellStyle name="20% - Accent6 12 38" xfId="2569"/>
    <cellStyle name="20% - Accent6 12 39" xfId="2570"/>
    <cellStyle name="20% - Accent6 12 4" xfId="2571"/>
    <cellStyle name="20% - Accent6 12 40" xfId="2572"/>
    <cellStyle name="20% - Accent6 12 41" xfId="2573"/>
    <cellStyle name="20% - Accent6 12 5" xfId="2574"/>
    <cellStyle name="20% - Accent6 12 6" xfId="2575"/>
    <cellStyle name="20% - Accent6 12 7" xfId="2576"/>
    <cellStyle name="20% - Accent6 12 8" xfId="2577"/>
    <cellStyle name="20% - Accent6 12 9" xfId="2578"/>
    <cellStyle name="20% - Accent6 13" xfId="2579"/>
    <cellStyle name="20% - Accent6 14" xfId="2580"/>
    <cellStyle name="20% - Accent6 14 2" xfId="2581"/>
    <cellStyle name="20% - Accent6 15" xfId="2582"/>
    <cellStyle name="20% - Accent6 16" xfId="2583"/>
    <cellStyle name="20% - Accent6 2" xfId="2584"/>
    <cellStyle name="20% - Accent6 2 10" xfId="2585"/>
    <cellStyle name="20% - Accent6 2 11" xfId="2586"/>
    <cellStyle name="20% - Accent6 2 12" xfId="2587"/>
    <cellStyle name="20% - Accent6 2 13" xfId="2588"/>
    <cellStyle name="20% - Accent6 2 14" xfId="2589"/>
    <cellStyle name="20% - Accent6 2 15" xfId="2590"/>
    <cellStyle name="20% - Accent6 2 16" xfId="2591"/>
    <cellStyle name="20% - Accent6 2 17" xfId="2592"/>
    <cellStyle name="20% - Accent6 2 18" xfId="2593"/>
    <cellStyle name="20% - Accent6 2 19" xfId="2594"/>
    <cellStyle name="20% - Accent6 2 2" xfId="2595"/>
    <cellStyle name="20% - Accent6 2 2 2" xfId="2596"/>
    <cellStyle name="20% - Accent6 2 2 2 2" xfId="2597"/>
    <cellStyle name="20% - Accent6 2 2 3" xfId="2598"/>
    <cellStyle name="20% - Accent6 2 2 4" xfId="2599"/>
    <cellStyle name="20% - Accent6 2 2 5" xfId="2600"/>
    <cellStyle name="20% - Accent6 2 20" xfId="2601"/>
    <cellStyle name="20% - Accent6 2 21" xfId="2602"/>
    <cellStyle name="20% - Accent6 2 22" xfId="2603"/>
    <cellStyle name="20% - Accent6 2 23" xfId="2604"/>
    <cellStyle name="20% - Accent6 2 24" xfId="2605"/>
    <cellStyle name="20% - Accent6 2 25" xfId="2606"/>
    <cellStyle name="20% - Accent6 2 26" xfId="2607"/>
    <cellStyle name="20% - Accent6 2 27" xfId="2608"/>
    <cellStyle name="20% - Accent6 2 28" xfId="2609"/>
    <cellStyle name="20% - Accent6 2 29" xfId="2610"/>
    <cellStyle name="20% - Accent6 2 3" xfId="2611"/>
    <cellStyle name="20% - Accent6 2 3 2" xfId="2612"/>
    <cellStyle name="20% - Accent6 2 3 3" xfId="2613"/>
    <cellStyle name="20% - Accent6 2 3 4" xfId="2614"/>
    <cellStyle name="20% - Accent6 2 3 5" xfId="2615"/>
    <cellStyle name="20% - Accent6 2 3 6" xfId="2616"/>
    <cellStyle name="20% - Accent6 2 30" xfId="2617"/>
    <cellStyle name="20% - Accent6 2 31" xfId="2618"/>
    <cellStyle name="20% - Accent6 2 32" xfId="2619"/>
    <cellStyle name="20% - Accent6 2 33" xfId="2620"/>
    <cellStyle name="20% - Accent6 2 34" xfId="2621"/>
    <cellStyle name="20% - Accent6 2 35" xfId="2622"/>
    <cellStyle name="20% - Accent6 2 36" xfId="2623"/>
    <cellStyle name="20% - Accent6 2 37" xfId="2624"/>
    <cellStyle name="20% - Accent6 2 38" xfId="2625"/>
    <cellStyle name="20% - Accent6 2 39" xfId="2626"/>
    <cellStyle name="20% - Accent6 2 4" xfId="2627"/>
    <cellStyle name="20% - Accent6 2 40" xfId="2628"/>
    <cellStyle name="20% - Accent6 2 41" xfId="2629"/>
    <cellStyle name="20% - Accent6 2 42" xfId="2630"/>
    <cellStyle name="20% - Accent6 2 43" xfId="2631"/>
    <cellStyle name="20% - Accent6 2 44" xfId="2632"/>
    <cellStyle name="20% - Accent6 2 45" xfId="2633"/>
    <cellStyle name="20% - Accent6 2 5" xfId="2634"/>
    <cellStyle name="20% - Accent6 2 6" xfId="2635"/>
    <cellStyle name="20% - Accent6 2 7" xfId="2636"/>
    <cellStyle name="20% - Accent6 2 8" xfId="2637"/>
    <cellStyle name="20% - Accent6 2 9" xfId="2638"/>
    <cellStyle name="20% - Accent6 3" xfId="2639"/>
    <cellStyle name="20% - Accent6 3 10" xfId="2640"/>
    <cellStyle name="20% - Accent6 3 11" xfId="2641"/>
    <cellStyle name="20% - Accent6 3 12" xfId="2642"/>
    <cellStyle name="20% - Accent6 3 13" xfId="2643"/>
    <cellStyle name="20% - Accent6 3 14" xfId="2644"/>
    <cellStyle name="20% - Accent6 3 15" xfId="2645"/>
    <cellStyle name="20% - Accent6 3 16" xfId="2646"/>
    <cellStyle name="20% - Accent6 3 17" xfId="2647"/>
    <cellStyle name="20% - Accent6 3 18" xfId="2648"/>
    <cellStyle name="20% - Accent6 3 19" xfId="2649"/>
    <cellStyle name="20% - Accent6 3 2" xfId="2650"/>
    <cellStyle name="20% - Accent6 3 20" xfId="2651"/>
    <cellStyle name="20% - Accent6 3 21" xfId="2652"/>
    <cellStyle name="20% - Accent6 3 22" xfId="2653"/>
    <cellStyle name="20% - Accent6 3 23" xfId="2654"/>
    <cellStyle name="20% - Accent6 3 24" xfId="2655"/>
    <cellStyle name="20% - Accent6 3 25" xfId="2656"/>
    <cellStyle name="20% - Accent6 3 26" xfId="2657"/>
    <cellStyle name="20% - Accent6 3 27" xfId="2658"/>
    <cellStyle name="20% - Accent6 3 28" xfId="2659"/>
    <cellStyle name="20% - Accent6 3 29" xfId="2660"/>
    <cellStyle name="20% - Accent6 3 3" xfId="2661"/>
    <cellStyle name="20% - Accent6 3 30" xfId="2662"/>
    <cellStyle name="20% - Accent6 3 31" xfId="2663"/>
    <cellStyle name="20% - Accent6 3 32" xfId="2664"/>
    <cellStyle name="20% - Accent6 3 33" xfId="2665"/>
    <cellStyle name="20% - Accent6 3 34" xfId="2666"/>
    <cellStyle name="20% - Accent6 3 35" xfId="2667"/>
    <cellStyle name="20% - Accent6 3 36" xfId="2668"/>
    <cellStyle name="20% - Accent6 3 37" xfId="2669"/>
    <cellStyle name="20% - Accent6 3 38" xfId="2670"/>
    <cellStyle name="20% - Accent6 3 39" xfId="2671"/>
    <cellStyle name="20% - Accent6 3 4" xfId="2672"/>
    <cellStyle name="20% - Accent6 3 40" xfId="2673"/>
    <cellStyle name="20% - Accent6 3 41" xfId="2674"/>
    <cellStyle name="20% - Accent6 3 42" xfId="2675"/>
    <cellStyle name="20% - Accent6 3 43" xfId="2676"/>
    <cellStyle name="20% - Accent6 3 44" xfId="2677"/>
    <cellStyle name="20% - Accent6 3 45" xfId="2678"/>
    <cellStyle name="20% - Accent6 3 5" xfId="2679"/>
    <cellStyle name="20% - Accent6 3 6" xfId="2680"/>
    <cellStyle name="20% - Accent6 3 7" xfId="2681"/>
    <cellStyle name="20% - Accent6 3 8" xfId="2682"/>
    <cellStyle name="20% - Accent6 3 9" xfId="2683"/>
    <cellStyle name="20% - Accent6 4" xfId="2684"/>
    <cellStyle name="20% - Accent6 4 10" xfId="2685"/>
    <cellStyle name="20% - Accent6 4 11" xfId="2686"/>
    <cellStyle name="20% - Accent6 4 12" xfId="2687"/>
    <cellStyle name="20% - Accent6 4 13" xfId="2688"/>
    <cellStyle name="20% - Accent6 4 14" xfId="2689"/>
    <cellStyle name="20% - Accent6 4 15" xfId="2690"/>
    <cellStyle name="20% - Accent6 4 16" xfId="2691"/>
    <cellStyle name="20% - Accent6 4 17" xfId="2692"/>
    <cellStyle name="20% - Accent6 4 18" xfId="2693"/>
    <cellStyle name="20% - Accent6 4 19" xfId="2694"/>
    <cellStyle name="20% - Accent6 4 2" xfId="2695"/>
    <cellStyle name="20% - Accent6 4 20" xfId="2696"/>
    <cellStyle name="20% - Accent6 4 21" xfId="2697"/>
    <cellStyle name="20% - Accent6 4 22" xfId="2698"/>
    <cellStyle name="20% - Accent6 4 23" xfId="2699"/>
    <cellStyle name="20% - Accent6 4 24" xfId="2700"/>
    <cellStyle name="20% - Accent6 4 25" xfId="2701"/>
    <cellStyle name="20% - Accent6 4 26" xfId="2702"/>
    <cellStyle name="20% - Accent6 4 27" xfId="2703"/>
    <cellStyle name="20% - Accent6 4 28" xfId="2704"/>
    <cellStyle name="20% - Accent6 4 29" xfId="2705"/>
    <cellStyle name="20% - Accent6 4 3" xfId="2706"/>
    <cellStyle name="20% - Accent6 4 30" xfId="2707"/>
    <cellStyle name="20% - Accent6 4 31" xfId="2708"/>
    <cellStyle name="20% - Accent6 4 32" xfId="2709"/>
    <cellStyle name="20% - Accent6 4 33" xfId="2710"/>
    <cellStyle name="20% - Accent6 4 34" xfId="2711"/>
    <cellStyle name="20% - Accent6 4 35" xfId="2712"/>
    <cellStyle name="20% - Accent6 4 36" xfId="2713"/>
    <cellStyle name="20% - Accent6 4 37" xfId="2714"/>
    <cellStyle name="20% - Accent6 4 38" xfId="2715"/>
    <cellStyle name="20% - Accent6 4 39" xfId="2716"/>
    <cellStyle name="20% - Accent6 4 4" xfId="2717"/>
    <cellStyle name="20% - Accent6 4 40" xfId="2718"/>
    <cellStyle name="20% - Accent6 4 41" xfId="2719"/>
    <cellStyle name="20% - Accent6 4 5" xfId="2720"/>
    <cellStyle name="20% - Accent6 4 6" xfId="2721"/>
    <cellStyle name="20% - Accent6 4 7" xfId="2722"/>
    <cellStyle name="20% - Accent6 4 8" xfId="2723"/>
    <cellStyle name="20% - Accent6 4 9" xfId="2724"/>
    <cellStyle name="20% - Accent6 5" xfId="2725"/>
    <cellStyle name="20% - Accent6 5 10" xfId="2726"/>
    <cellStyle name="20% - Accent6 5 11" xfId="2727"/>
    <cellStyle name="20% - Accent6 5 12" xfId="2728"/>
    <cellStyle name="20% - Accent6 5 13" xfId="2729"/>
    <cellStyle name="20% - Accent6 5 14" xfId="2730"/>
    <cellStyle name="20% - Accent6 5 15" xfId="2731"/>
    <cellStyle name="20% - Accent6 5 16" xfId="2732"/>
    <cellStyle name="20% - Accent6 5 17" xfId="2733"/>
    <cellStyle name="20% - Accent6 5 18" xfId="2734"/>
    <cellStyle name="20% - Accent6 5 19" xfId="2735"/>
    <cellStyle name="20% - Accent6 5 2" xfId="2736"/>
    <cellStyle name="20% - Accent6 5 20" xfId="2737"/>
    <cellStyle name="20% - Accent6 5 21" xfId="2738"/>
    <cellStyle name="20% - Accent6 5 22" xfId="2739"/>
    <cellStyle name="20% - Accent6 5 23" xfId="2740"/>
    <cellStyle name="20% - Accent6 5 24" xfId="2741"/>
    <cellStyle name="20% - Accent6 5 25" xfId="2742"/>
    <cellStyle name="20% - Accent6 5 26" xfId="2743"/>
    <cellStyle name="20% - Accent6 5 27" xfId="2744"/>
    <cellStyle name="20% - Accent6 5 28" xfId="2745"/>
    <cellStyle name="20% - Accent6 5 29" xfId="2746"/>
    <cellStyle name="20% - Accent6 5 3" xfId="2747"/>
    <cellStyle name="20% - Accent6 5 30" xfId="2748"/>
    <cellStyle name="20% - Accent6 5 31" xfId="2749"/>
    <cellStyle name="20% - Accent6 5 32" xfId="2750"/>
    <cellStyle name="20% - Accent6 5 33" xfId="2751"/>
    <cellStyle name="20% - Accent6 5 34" xfId="2752"/>
    <cellStyle name="20% - Accent6 5 35" xfId="2753"/>
    <cellStyle name="20% - Accent6 5 36" xfId="2754"/>
    <cellStyle name="20% - Accent6 5 37" xfId="2755"/>
    <cellStyle name="20% - Accent6 5 38" xfId="2756"/>
    <cellStyle name="20% - Accent6 5 39" xfId="2757"/>
    <cellStyle name="20% - Accent6 5 4" xfId="2758"/>
    <cellStyle name="20% - Accent6 5 40" xfId="2759"/>
    <cellStyle name="20% - Accent6 5 41" xfId="2760"/>
    <cellStyle name="20% - Accent6 5 5" xfId="2761"/>
    <cellStyle name="20% - Accent6 5 6" xfId="2762"/>
    <cellStyle name="20% - Accent6 5 7" xfId="2763"/>
    <cellStyle name="20% - Accent6 5 8" xfId="2764"/>
    <cellStyle name="20% - Accent6 5 9" xfId="2765"/>
    <cellStyle name="20% - Accent6 6" xfId="2766"/>
    <cellStyle name="20% - Accent6 6 10" xfId="2767"/>
    <cellStyle name="20% - Accent6 6 11" xfId="2768"/>
    <cellStyle name="20% - Accent6 6 12" xfId="2769"/>
    <cellStyle name="20% - Accent6 6 13" xfId="2770"/>
    <cellStyle name="20% - Accent6 6 14" xfId="2771"/>
    <cellStyle name="20% - Accent6 6 15" xfId="2772"/>
    <cellStyle name="20% - Accent6 6 16" xfId="2773"/>
    <cellStyle name="20% - Accent6 6 17" xfId="2774"/>
    <cellStyle name="20% - Accent6 6 18" xfId="2775"/>
    <cellStyle name="20% - Accent6 6 19" xfId="2776"/>
    <cellStyle name="20% - Accent6 6 2" xfId="2777"/>
    <cellStyle name="20% - Accent6 6 20" xfId="2778"/>
    <cellStyle name="20% - Accent6 6 21" xfId="2779"/>
    <cellStyle name="20% - Accent6 6 22" xfId="2780"/>
    <cellStyle name="20% - Accent6 6 23" xfId="2781"/>
    <cellStyle name="20% - Accent6 6 24" xfId="2782"/>
    <cellStyle name="20% - Accent6 6 25" xfId="2783"/>
    <cellStyle name="20% - Accent6 6 26" xfId="2784"/>
    <cellStyle name="20% - Accent6 6 27" xfId="2785"/>
    <cellStyle name="20% - Accent6 6 28" xfId="2786"/>
    <cellStyle name="20% - Accent6 6 29" xfId="2787"/>
    <cellStyle name="20% - Accent6 6 3" xfId="2788"/>
    <cellStyle name="20% - Accent6 6 30" xfId="2789"/>
    <cellStyle name="20% - Accent6 6 31" xfId="2790"/>
    <cellStyle name="20% - Accent6 6 32" xfId="2791"/>
    <cellStyle name="20% - Accent6 6 33" xfId="2792"/>
    <cellStyle name="20% - Accent6 6 34" xfId="2793"/>
    <cellStyle name="20% - Accent6 6 35" xfId="2794"/>
    <cellStyle name="20% - Accent6 6 36" xfId="2795"/>
    <cellStyle name="20% - Accent6 6 37" xfId="2796"/>
    <cellStyle name="20% - Accent6 6 38" xfId="2797"/>
    <cellStyle name="20% - Accent6 6 39" xfId="2798"/>
    <cellStyle name="20% - Accent6 6 4" xfId="2799"/>
    <cellStyle name="20% - Accent6 6 40" xfId="2800"/>
    <cellStyle name="20% - Accent6 6 41" xfId="2801"/>
    <cellStyle name="20% - Accent6 6 5" xfId="2802"/>
    <cellStyle name="20% - Accent6 6 6" xfId="2803"/>
    <cellStyle name="20% - Accent6 6 7" xfId="2804"/>
    <cellStyle name="20% - Accent6 6 8" xfId="2805"/>
    <cellStyle name="20% - Accent6 6 9" xfId="2806"/>
    <cellStyle name="20% - Accent6 7" xfId="2807"/>
    <cellStyle name="20% - Accent6 7 10" xfId="2808"/>
    <cellStyle name="20% - Accent6 7 11" xfId="2809"/>
    <cellStyle name="20% - Accent6 7 12" xfId="2810"/>
    <cellStyle name="20% - Accent6 7 13" xfId="2811"/>
    <cellStyle name="20% - Accent6 7 14" xfId="2812"/>
    <cellStyle name="20% - Accent6 7 15" xfId="2813"/>
    <cellStyle name="20% - Accent6 7 16" xfId="2814"/>
    <cellStyle name="20% - Accent6 7 17" xfId="2815"/>
    <cellStyle name="20% - Accent6 7 18" xfId="2816"/>
    <cellStyle name="20% - Accent6 7 19" xfId="2817"/>
    <cellStyle name="20% - Accent6 7 2" xfId="2818"/>
    <cellStyle name="20% - Accent6 7 20" xfId="2819"/>
    <cellStyle name="20% - Accent6 7 21" xfId="2820"/>
    <cellStyle name="20% - Accent6 7 22" xfId="2821"/>
    <cellStyle name="20% - Accent6 7 23" xfId="2822"/>
    <cellStyle name="20% - Accent6 7 24" xfId="2823"/>
    <cellStyle name="20% - Accent6 7 25" xfId="2824"/>
    <cellStyle name="20% - Accent6 7 26" xfId="2825"/>
    <cellStyle name="20% - Accent6 7 27" xfId="2826"/>
    <cellStyle name="20% - Accent6 7 28" xfId="2827"/>
    <cellStyle name="20% - Accent6 7 29" xfId="2828"/>
    <cellStyle name="20% - Accent6 7 3" xfId="2829"/>
    <cellStyle name="20% - Accent6 7 30" xfId="2830"/>
    <cellStyle name="20% - Accent6 7 31" xfId="2831"/>
    <cellStyle name="20% - Accent6 7 32" xfId="2832"/>
    <cellStyle name="20% - Accent6 7 33" xfId="2833"/>
    <cellStyle name="20% - Accent6 7 34" xfId="2834"/>
    <cellStyle name="20% - Accent6 7 35" xfId="2835"/>
    <cellStyle name="20% - Accent6 7 36" xfId="2836"/>
    <cellStyle name="20% - Accent6 7 37" xfId="2837"/>
    <cellStyle name="20% - Accent6 7 38" xfId="2838"/>
    <cellStyle name="20% - Accent6 7 39" xfId="2839"/>
    <cellStyle name="20% - Accent6 7 4" xfId="2840"/>
    <cellStyle name="20% - Accent6 7 40" xfId="2841"/>
    <cellStyle name="20% - Accent6 7 41" xfId="2842"/>
    <cellStyle name="20% - Accent6 7 5" xfId="2843"/>
    <cellStyle name="20% - Accent6 7 6" xfId="2844"/>
    <cellStyle name="20% - Accent6 7 7" xfId="2845"/>
    <cellStyle name="20% - Accent6 7 8" xfId="2846"/>
    <cellStyle name="20% - Accent6 7 9" xfId="2847"/>
    <cellStyle name="20% - Accent6 8" xfId="2848"/>
    <cellStyle name="20% - Accent6 8 10" xfId="2849"/>
    <cellStyle name="20% - Accent6 8 11" xfId="2850"/>
    <cellStyle name="20% - Accent6 8 12" xfId="2851"/>
    <cellStyle name="20% - Accent6 8 13" xfId="2852"/>
    <cellStyle name="20% - Accent6 8 14" xfId="2853"/>
    <cellStyle name="20% - Accent6 8 15" xfId="2854"/>
    <cellStyle name="20% - Accent6 8 16" xfId="2855"/>
    <cellStyle name="20% - Accent6 8 17" xfId="2856"/>
    <cellStyle name="20% - Accent6 8 18" xfId="2857"/>
    <cellStyle name="20% - Accent6 8 19" xfId="2858"/>
    <cellStyle name="20% - Accent6 8 2" xfId="2859"/>
    <cellStyle name="20% - Accent6 8 20" xfId="2860"/>
    <cellStyle name="20% - Accent6 8 21" xfId="2861"/>
    <cellStyle name="20% - Accent6 8 22" xfId="2862"/>
    <cellStyle name="20% - Accent6 8 23" xfId="2863"/>
    <cellStyle name="20% - Accent6 8 24" xfId="2864"/>
    <cellStyle name="20% - Accent6 8 25" xfId="2865"/>
    <cellStyle name="20% - Accent6 8 26" xfId="2866"/>
    <cellStyle name="20% - Accent6 8 27" xfId="2867"/>
    <cellStyle name="20% - Accent6 8 28" xfId="2868"/>
    <cellStyle name="20% - Accent6 8 29" xfId="2869"/>
    <cellStyle name="20% - Accent6 8 3" xfId="2870"/>
    <cellStyle name="20% - Accent6 8 30" xfId="2871"/>
    <cellStyle name="20% - Accent6 8 31" xfId="2872"/>
    <cellStyle name="20% - Accent6 8 32" xfId="2873"/>
    <cellStyle name="20% - Accent6 8 33" xfId="2874"/>
    <cellStyle name="20% - Accent6 8 34" xfId="2875"/>
    <cellStyle name="20% - Accent6 8 35" xfId="2876"/>
    <cellStyle name="20% - Accent6 8 36" xfId="2877"/>
    <cellStyle name="20% - Accent6 8 37" xfId="2878"/>
    <cellStyle name="20% - Accent6 8 38" xfId="2879"/>
    <cellStyle name="20% - Accent6 8 39" xfId="2880"/>
    <cellStyle name="20% - Accent6 8 4" xfId="2881"/>
    <cellStyle name="20% - Accent6 8 40" xfId="2882"/>
    <cellStyle name="20% - Accent6 8 41" xfId="2883"/>
    <cellStyle name="20% - Accent6 8 5" xfId="2884"/>
    <cellStyle name="20% - Accent6 8 6" xfId="2885"/>
    <cellStyle name="20% - Accent6 8 7" xfId="2886"/>
    <cellStyle name="20% - Accent6 8 8" xfId="2887"/>
    <cellStyle name="20% - Accent6 8 9" xfId="2888"/>
    <cellStyle name="20% - Accent6 9" xfId="2889"/>
    <cellStyle name="20% - Accent6 9 10" xfId="2890"/>
    <cellStyle name="20% - Accent6 9 11" xfId="2891"/>
    <cellStyle name="20% - Accent6 9 12" xfId="2892"/>
    <cellStyle name="20% - Accent6 9 13" xfId="2893"/>
    <cellStyle name="20% - Accent6 9 14" xfId="2894"/>
    <cellStyle name="20% - Accent6 9 15" xfId="2895"/>
    <cellStyle name="20% - Accent6 9 16" xfId="2896"/>
    <cellStyle name="20% - Accent6 9 17" xfId="2897"/>
    <cellStyle name="20% - Accent6 9 18" xfId="2898"/>
    <cellStyle name="20% - Accent6 9 19" xfId="2899"/>
    <cellStyle name="20% - Accent6 9 2" xfId="2900"/>
    <cellStyle name="20% - Accent6 9 20" xfId="2901"/>
    <cellStyle name="20% - Accent6 9 21" xfId="2902"/>
    <cellStyle name="20% - Accent6 9 22" xfId="2903"/>
    <cellStyle name="20% - Accent6 9 23" xfId="2904"/>
    <cellStyle name="20% - Accent6 9 24" xfId="2905"/>
    <cellStyle name="20% - Accent6 9 25" xfId="2906"/>
    <cellStyle name="20% - Accent6 9 26" xfId="2907"/>
    <cellStyle name="20% - Accent6 9 27" xfId="2908"/>
    <cellStyle name="20% - Accent6 9 28" xfId="2909"/>
    <cellStyle name="20% - Accent6 9 29" xfId="2910"/>
    <cellStyle name="20% - Accent6 9 3" xfId="2911"/>
    <cellStyle name="20% - Accent6 9 30" xfId="2912"/>
    <cellStyle name="20% - Accent6 9 31" xfId="2913"/>
    <cellStyle name="20% - Accent6 9 32" xfId="2914"/>
    <cellStyle name="20% - Accent6 9 33" xfId="2915"/>
    <cellStyle name="20% - Accent6 9 34" xfId="2916"/>
    <cellStyle name="20% - Accent6 9 35" xfId="2917"/>
    <cellStyle name="20% - Accent6 9 36" xfId="2918"/>
    <cellStyle name="20% - Accent6 9 37" xfId="2919"/>
    <cellStyle name="20% - Accent6 9 38" xfId="2920"/>
    <cellStyle name="20% - Accent6 9 39" xfId="2921"/>
    <cellStyle name="20% - Accent6 9 4" xfId="2922"/>
    <cellStyle name="20% - Accent6 9 40" xfId="2923"/>
    <cellStyle name="20% - Accent6 9 41" xfId="2924"/>
    <cellStyle name="20% - Accent6 9 5" xfId="2925"/>
    <cellStyle name="20% - Accent6 9 6" xfId="2926"/>
    <cellStyle name="20% - Accent6 9 7" xfId="2927"/>
    <cellStyle name="20% - Accent6 9 8" xfId="2928"/>
    <cellStyle name="20% - Accent6 9 9" xfId="2929"/>
    <cellStyle name="40% - Accent1" xfId="20" builtinId="31" customBuiltin="1"/>
    <cellStyle name="40% - Accent1 10" xfId="2930"/>
    <cellStyle name="40% - Accent1 10 10" xfId="2931"/>
    <cellStyle name="40% - Accent1 10 11" xfId="2932"/>
    <cellStyle name="40% - Accent1 10 12" xfId="2933"/>
    <cellStyle name="40% - Accent1 10 13" xfId="2934"/>
    <cellStyle name="40% - Accent1 10 14" xfId="2935"/>
    <cellStyle name="40% - Accent1 10 15" xfId="2936"/>
    <cellStyle name="40% - Accent1 10 16" xfId="2937"/>
    <cellStyle name="40% - Accent1 10 17" xfId="2938"/>
    <cellStyle name="40% - Accent1 10 18" xfId="2939"/>
    <cellStyle name="40% - Accent1 10 19" xfId="2940"/>
    <cellStyle name="40% - Accent1 10 2" xfId="2941"/>
    <cellStyle name="40% - Accent1 10 20" xfId="2942"/>
    <cellStyle name="40% - Accent1 10 21" xfId="2943"/>
    <cellStyle name="40% - Accent1 10 22" xfId="2944"/>
    <cellStyle name="40% - Accent1 10 23" xfId="2945"/>
    <cellStyle name="40% - Accent1 10 24" xfId="2946"/>
    <cellStyle name="40% - Accent1 10 25" xfId="2947"/>
    <cellStyle name="40% - Accent1 10 26" xfId="2948"/>
    <cellStyle name="40% - Accent1 10 27" xfId="2949"/>
    <cellStyle name="40% - Accent1 10 28" xfId="2950"/>
    <cellStyle name="40% - Accent1 10 29" xfId="2951"/>
    <cellStyle name="40% - Accent1 10 3" xfId="2952"/>
    <cellStyle name="40% - Accent1 10 30" xfId="2953"/>
    <cellStyle name="40% - Accent1 10 31" xfId="2954"/>
    <cellStyle name="40% - Accent1 10 32" xfId="2955"/>
    <cellStyle name="40% - Accent1 10 33" xfId="2956"/>
    <cellStyle name="40% - Accent1 10 34" xfId="2957"/>
    <cellStyle name="40% - Accent1 10 35" xfId="2958"/>
    <cellStyle name="40% - Accent1 10 36" xfId="2959"/>
    <cellStyle name="40% - Accent1 10 37" xfId="2960"/>
    <cellStyle name="40% - Accent1 10 38" xfId="2961"/>
    <cellStyle name="40% - Accent1 10 39" xfId="2962"/>
    <cellStyle name="40% - Accent1 10 4" xfId="2963"/>
    <cellStyle name="40% - Accent1 10 40" xfId="2964"/>
    <cellStyle name="40% - Accent1 10 41" xfId="2965"/>
    <cellStyle name="40% - Accent1 10 5" xfId="2966"/>
    <cellStyle name="40% - Accent1 10 6" xfId="2967"/>
    <cellStyle name="40% - Accent1 10 7" xfId="2968"/>
    <cellStyle name="40% - Accent1 10 8" xfId="2969"/>
    <cellStyle name="40% - Accent1 10 9" xfId="2970"/>
    <cellStyle name="40% - Accent1 11" xfId="2971"/>
    <cellStyle name="40% - Accent1 11 10" xfId="2972"/>
    <cellStyle name="40% - Accent1 11 11" xfId="2973"/>
    <cellStyle name="40% - Accent1 11 12" xfId="2974"/>
    <cellStyle name="40% - Accent1 11 13" xfId="2975"/>
    <cellStyle name="40% - Accent1 11 14" xfId="2976"/>
    <cellStyle name="40% - Accent1 11 15" xfId="2977"/>
    <cellStyle name="40% - Accent1 11 16" xfId="2978"/>
    <cellStyle name="40% - Accent1 11 17" xfId="2979"/>
    <cellStyle name="40% - Accent1 11 18" xfId="2980"/>
    <cellStyle name="40% - Accent1 11 19" xfId="2981"/>
    <cellStyle name="40% - Accent1 11 2" xfId="2982"/>
    <cellStyle name="40% - Accent1 11 20" xfId="2983"/>
    <cellStyle name="40% - Accent1 11 21" xfId="2984"/>
    <cellStyle name="40% - Accent1 11 22" xfId="2985"/>
    <cellStyle name="40% - Accent1 11 23" xfId="2986"/>
    <cellStyle name="40% - Accent1 11 24" xfId="2987"/>
    <cellStyle name="40% - Accent1 11 25" xfId="2988"/>
    <cellStyle name="40% - Accent1 11 26" xfId="2989"/>
    <cellStyle name="40% - Accent1 11 27" xfId="2990"/>
    <cellStyle name="40% - Accent1 11 28" xfId="2991"/>
    <cellStyle name="40% - Accent1 11 29" xfId="2992"/>
    <cellStyle name="40% - Accent1 11 3" xfId="2993"/>
    <cellStyle name="40% - Accent1 11 30" xfId="2994"/>
    <cellStyle name="40% - Accent1 11 31" xfId="2995"/>
    <cellStyle name="40% - Accent1 11 32" xfId="2996"/>
    <cellStyle name="40% - Accent1 11 33" xfId="2997"/>
    <cellStyle name="40% - Accent1 11 34" xfId="2998"/>
    <cellStyle name="40% - Accent1 11 35" xfId="2999"/>
    <cellStyle name="40% - Accent1 11 36" xfId="3000"/>
    <cellStyle name="40% - Accent1 11 37" xfId="3001"/>
    <cellStyle name="40% - Accent1 11 38" xfId="3002"/>
    <cellStyle name="40% - Accent1 11 39" xfId="3003"/>
    <cellStyle name="40% - Accent1 11 4" xfId="3004"/>
    <cellStyle name="40% - Accent1 11 40" xfId="3005"/>
    <cellStyle name="40% - Accent1 11 41" xfId="3006"/>
    <cellStyle name="40% - Accent1 11 5" xfId="3007"/>
    <cellStyle name="40% - Accent1 11 6" xfId="3008"/>
    <cellStyle name="40% - Accent1 11 7" xfId="3009"/>
    <cellStyle name="40% - Accent1 11 8" xfId="3010"/>
    <cellStyle name="40% - Accent1 11 9" xfId="3011"/>
    <cellStyle name="40% - Accent1 12" xfId="3012"/>
    <cellStyle name="40% - Accent1 12 10" xfId="3013"/>
    <cellStyle name="40% - Accent1 12 11" xfId="3014"/>
    <cellStyle name="40% - Accent1 12 12" xfId="3015"/>
    <cellStyle name="40% - Accent1 12 13" xfId="3016"/>
    <cellStyle name="40% - Accent1 12 14" xfId="3017"/>
    <cellStyle name="40% - Accent1 12 15" xfId="3018"/>
    <cellStyle name="40% - Accent1 12 16" xfId="3019"/>
    <cellStyle name="40% - Accent1 12 17" xfId="3020"/>
    <cellStyle name="40% - Accent1 12 18" xfId="3021"/>
    <cellStyle name="40% - Accent1 12 19" xfId="3022"/>
    <cellStyle name="40% - Accent1 12 2" xfId="3023"/>
    <cellStyle name="40% - Accent1 12 20" xfId="3024"/>
    <cellStyle name="40% - Accent1 12 21" xfId="3025"/>
    <cellStyle name="40% - Accent1 12 22" xfId="3026"/>
    <cellStyle name="40% - Accent1 12 23" xfId="3027"/>
    <cellStyle name="40% - Accent1 12 24" xfId="3028"/>
    <cellStyle name="40% - Accent1 12 25" xfId="3029"/>
    <cellStyle name="40% - Accent1 12 26" xfId="3030"/>
    <cellStyle name="40% - Accent1 12 27" xfId="3031"/>
    <cellStyle name="40% - Accent1 12 28" xfId="3032"/>
    <cellStyle name="40% - Accent1 12 29" xfId="3033"/>
    <cellStyle name="40% - Accent1 12 3" xfId="3034"/>
    <cellStyle name="40% - Accent1 12 30" xfId="3035"/>
    <cellStyle name="40% - Accent1 12 31" xfId="3036"/>
    <cellStyle name="40% - Accent1 12 32" xfId="3037"/>
    <cellStyle name="40% - Accent1 12 33" xfId="3038"/>
    <cellStyle name="40% - Accent1 12 34" xfId="3039"/>
    <cellStyle name="40% - Accent1 12 35" xfId="3040"/>
    <cellStyle name="40% - Accent1 12 36" xfId="3041"/>
    <cellStyle name="40% - Accent1 12 37" xfId="3042"/>
    <cellStyle name="40% - Accent1 12 38" xfId="3043"/>
    <cellStyle name="40% - Accent1 12 39" xfId="3044"/>
    <cellStyle name="40% - Accent1 12 4" xfId="3045"/>
    <cellStyle name="40% - Accent1 12 40" xfId="3046"/>
    <cellStyle name="40% - Accent1 12 41" xfId="3047"/>
    <cellStyle name="40% - Accent1 12 5" xfId="3048"/>
    <cellStyle name="40% - Accent1 12 6" xfId="3049"/>
    <cellStyle name="40% - Accent1 12 7" xfId="3050"/>
    <cellStyle name="40% - Accent1 12 8" xfId="3051"/>
    <cellStyle name="40% - Accent1 12 9" xfId="3052"/>
    <cellStyle name="40% - Accent1 13" xfId="3053"/>
    <cellStyle name="40% - Accent1 14" xfId="3054"/>
    <cellStyle name="40% - Accent1 14 2" xfId="3055"/>
    <cellStyle name="40% - Accent1 15" xfId="3056"/>
    <cellStyle name="40% - Accent1 2" xfId="3057"/>
    <cellStyle name="40% - Accent1 2 10" xfId="3058"/>
    <cellStyle name="40% - Accent1 2 11" xfId="3059"/>
    <cellStyle name="40% - Accent1 2 12" xfId="3060"/>
    <cellStyle name="40% - Accent1 2 13" xfId="3061"/>
    <cellStyle name="40% - Accent1 2 14" xfId="3062"/>
    <cellStyle name="40% - Accent1 2 15" xfId="3063"/>
    <cellStyle name="40% - Accent1 2 16" xfId="3064"/>
    <cellStyle name="40% - Accent1 2 17" xfId="3065"/>
    <cellStyle name="40% - Accent1 2 18" xfId="3066"/>
    <cellStyle name="40% - Accent1 2 19" xfId="3067"/>
    <cellStyle name="40% - Accent1 2 2" xfId="3068"/>
    <cellStyle name="40% - Accent1 2 2 2" xfId="3069"/>
    <cellStyle name="40% - Accent1 2 2 2 2" xfId="3070"/>
    <cellStyle name="40% - Accent1 2 2 3" xfId="3071"/>
    <cellStyle name="40% - Accent1 2 2 4" xfId="3072"/>
    <cellStyle name="40% - Accent1 2 2 5" xfId="3073"/>
    <cellStyle name="40% - Accent1 2 20" xfId="3074"/>
    <cellStyle name="40% - Accent1 2 21" xfId="3075"/>
    <cellStyle name="40% - Accent1 2 22" xfId="3076"/>
    <cellStyle name="40% - Accent1 2 23" xfId="3077"/>
    <cellStyle name="40% - Accent1 2 24" xfId="3078"/>
    <cellStyle name="40% - Accent1 2 25" xfId="3079"/>
    <cellStyle name="40% - Accent1 2 26" xfId="3080"/>
    <cellStyle name="40% - Accent1 2 27" xfId="3081"/>
    <cellStyle name="40% - Accent1 2 28" xfId="3082"/>
    <cellStyle name="40% - Accent1 2 29" xfId="3083"/>
    <cellStyle name="40% - Accent1 2 3" xfId="3084"/>
    <cellStyle name="40% - Accent1 2 3 2" xfId="3085"/>
    <cellStyle name="40% - Accent1 2 3 3" xfId="3086"/>
    <cellStyle name="40% - Accent1 2 3 4" xfId="3087"/>
    <cellStyle name="40% - Accent1 2 3 5" xfId="3088"/>
    <cellStyle name="40% - Accent1 2 3 6" xfId="3089"/>
    <cellStyle name="40% - Accent1 2 30" xfId="3090"/>
    <cellStyle name="40% - Accent1 2 31" xfId="3091"/>
    <cellStyle name="40% - Accent1 2 32" xfId="3092"/>
    <cellStyle name="40% - Accent1 2 33" xfId="3093"/>
    <cellStyle name="40% - Accent1 2 34" xfId="3094"/>
    <cellStyle name="40% - Accent1 2 35" xfId="3095"/>
    <cellStyle name="40% - Accent1 2 36" xfId="3096"/>
    <cellStyle name="40% - Accent1 2 37" xfId="3097"/>
    <cellStyle name="40% - Accent1 2 38" xfId="3098"/>
    <cellStyle name="40% - Accent1 2 39" xfId="3099"/>
    <cellStyle name="40% - Accent1 2 4" xfId="3100"/>
    <cellStyle name="40% - Accent1 2 40" xfId="3101"/>
    <cellStyle name="40% - Accent1 2 41" xfId="3102"/>
    <cellStyle name="40% - Accent1 2 42" xfId="3103"/>
    <cellStyle name="40% - Accent1 2 43" xfId="3104"/>
    <cellStyle name="40% - Accent1 2 44" xfId="3105"/>
    <cellStyle name="40% - Accent1 2 45" xfId="3106"/>
    <cellStyle name="40% - Accent1 2 5" xfId="3107"/>
    <cellStyle name="40% - Accent1 2 6" xfId="3108"/>
    <cellStyle name="40% - Accent1 2 7" xfId="3109"/>
    <cellStyle name="40% - Accent1 2 8" xfId="3110"/>
    <cellStyle name="40% - Accent1 2 9" xfId="3111"/>
    <cellStyle name="40% - Accent1 3" xfId="3112"/>
    <cellStyle name="40% - Accent1 3 10" xfId="3113"/>
    <cellStyle name="40% - Accent1 3 11" xfId="3114"/>
    <cellStyle name="40% - Accent1 3 12" xfId="3115"/>
    <cellStyle name="40% - Accent1 3 13" xfId="3116"/>
    <cellStyle name="40% - Accent1 3 14" xfId="3117"/>
    <cellStyle name="40% - Accent1 3 15" xfId="3118"/>
    <cellStyle name="40% - Accent1 3 16" xfId="3119"/>
    <cellStyle name="40% - Accent1 3 17" xfId="3120"/>
    <cellStyle name="40% - Accent1 3 18" xfId="3121"/>
    <cellStyle name="40% - Accent1 3 19" xfId="3122"/>
    <cellStyle name="40% - Accent1 3 2" xfId="3123"/>
    <cellStyle name="40% - Accent1 3 20" xfId="3124"/>
    <cellStyle name="40% - Accent1 3 21" xfId="3125"/>
    <cellStyle name="40% - Accent1 3 22" xfId="3126"/>
    <cellStyle name="40% - Accent1 3 23" xfId="3127"/>
    <cellStyle name="40% - Accent1 3 24" xfId="3128"/>
    <cellStyle name="40% - Accent1 3 25" xfId="3129"/>
    <cellStyle name="40% - Accent1 3 26" xfId="3130"/>
    <cellStyle name="40% - Accent1 3 27" xfId="3131"/>
    <cellStyle name="40% - Accent1 3 28" xfId="3132"/>
    <cellStyle name="40% - Accent1 3 29" xfId="3133"/>
    <cellStyle name="40% - Accent1 3 3" xfId="3134"/>
    <cellStyle name="40% - Accent1 3 30" xfId="3135"/>
    <cellStyle name="40% - Accent1 3 31" xfId="3136"/>
    <cellStyle name="40% - Accent1 3 32" xfId="3137"/>
    <cellStyle name="40% - Accent1 3 33" xfId="3138"/>
    <cellStyle name="40% - Accent1 3 34" xfId="3139"/>
    <cellStyle name="40% - Accent1 3 35" xfId="3140"/>
    <cellStyle name="40% - Accent1 3 36" xfId="3141"/>
    <cellStyle name="40% - Accent1 3 37" xfId="3142"/>
    <cellStyle name="40% - Accent1 3 38" xfId="3143"/>
    <cellStyle name="40% - Accent1 3 39" xfId="3144"/>
    <cellStyle name="40% - Accent1 3 4" xfId="3145"/>
    <cellStyle name="40% - Accent1 3 40" xfId="3146"/>
    <cellStyle name="40% - Accent1 3 41" xfId="3147"/>
    <cellStyle name="40% - Accent1 3 42" xfId="3148"/>
    <cellStyle name="40% - Accent1 3 43" xfId="3149"/>
    <cellStyle name="40% - Accent1 3 44" xfId="3150"/>
    <cellStyle name="40% - Accent1 3 45" xfId="3151"/>
    <cellStyle name="40% - Accent1 3 5" xfId="3152"/>
    <cellStyle name="40% - Accent1 3 6" xfId="3153"/>
    <cellStyle name="40% - Accent1 3 7" xfId="3154"/>
    <cellStyle name="40% - Accent1 3 8" xfId="3155"/>
    <cellStyle name="40% - Accent1 3 9" xfId="3156"/>
    <cellStyle name="40% - Accent1 4" xfId="3157"/>
    <cellStyle name="40% - Accent1 4 10" xfId="3158"/>
    <cellStyle name="40% - Accent1 4 11" xfId="3159"/>
    <cellStyle name="40% - Accent1 4 12" xfId="3160"/>
    <cellStyle name="40% - Accent1 4 13" xfId="3161"/>
    <cellStyle name="40% - Accent1 4 14" xfId="3162"/>
    <cellStyle name="40% - Accent1 4 15" xfId="3163"/>
    <cellStyle name="40% - Accent1 4 16" xfId="3164"/>
    <cellStyle name="40% - Accent1 4 17" xfId="3165"/>
    <cellStyle name="40% - Accent1 4 18" xfId="3166"/>
    <cellStyle name="40% - Accent1 4 19" xfId="3167"/>
    <cellStyle name="40% - Accent1 4 2" xfId="3168"/>
    <cellStyle name="40% - Accent1 4 20" xfId="3169"/>
    <cellStyle name="40% - Accent1 4 21" xfId="3170"/>
    <cellStyle name="40% - Accent1 4 22" xfId="3171"/>
    <cellStyle name="40% - Accent1 4 23" xfId="3172"/>
    <cellStyle name="40% - Accent1 4 24" xfId="3173"/>
    <cellStyle name="40% - Accent1 4 25" xfId="3174"/>
    <cellStyle name="40% - Accent1 4 26" xfId="3175"/>
    <cellStyle name="40% - Accent1 4 27" xfId="3176"/>
    <cellStyle name="40% - Accent1 4 28" xfId="3177"/>
    <cellStyle name="40% - Accent1 4 29" xfId="3178"/>
    <cellStyle name="40% - Accent1 4 3" xfId="3179"/>
    <cellStyle name="40% - Accent1 4 30" xfId="3180"/>
    <cellStyle name="40% - Accent1 4 31" xfId="3181"/>
    <cellStyle name="40% - Accent1 4 32" xfId="3182"/>
    <cellStyle name="40% - Accent1 4 33" xfId="3183"/>
    <cellStyle name="40% - Accent1 4 34" xfId="3184"/>
    <cellStyle name="40% - Accent1 4 35" xfId="3185"/>
    <cellStyle name="40% - Accent1 4 36" xfId="3186"/>
    <cellStyle name="40% - Accent1 4 37" xfId="3187"/>
    <cellStyle name="40% - Accent1 4 38" xfId="3188"/>
    <cellStyle name="40% - Accent1 4 39" xfId="3189"/>
    <cellStyle name="40% - Accent1 4 4" xfId="3190"/>
    <cellStyle name="40% - Accent1 4 40" xfId="3191"/>
    <cellStyle name="40% - Accent1 4 41" xfId="3192"/>
    <cellStyle name="40% - Accent1 4 5" xfId="3193"/>
    <cellStyle name="40% - Accent1 4 6" xfId="3194"/>
    <cellStyle name="40% - Accent1 4 7" xfId="3195"/>
    <cellStyle name="40% - Accent1 4 8" xfId="3196"/>
    <cellStyle name="40% - Accent1 4 9" xfId="3197"/>
    <cellStyle name="40% - Accent1 5" xfId="3198"/>
    <cellStyle name="40% - Accent1 5 10" xfId="3199"/>
    <cellStyle name="40% - Accent1 5 11" xfId="3200"/>
    <cellStyle name="40% - Accent1 5 12" xfId="3201"/>
    <cellStyle name="40% - Accent1 5 13" xfId="3202"/>
    <cellStyle name="40% - Accent1 5 14" xfId="3203"/>
    <cellStyle name="40% - Accent1 5 15" xfId="3204"/>
    <cellStyle name="40% - Accent1 5 16" xfId="3205"/>
    <cellStyle name="40% - Accent1 5 17" xfId="3206"/>
    <cellStyle name="40% - Accent1 5 18" xfId="3207"/>
    <cellStyle name="40% - Accent1 5 19" xfId="3208"/>
    <cellStyle name="40% - Accent1 5 2" xfId="3209"/>
    <cellStyle name="40% - Accent1 5 20" xfId="3210"/>
    <cellStyle name="40% - Accent1 5 21" xfId="3211"/>
    <cellStyle name="40% - Accent1 5 22" xfId="3212"/>
    <cellStyle name="40% - Accent1 5 23" xfId="3213"/>
    <cellStyle name="40% - Accent1 5 24" xfId="3214"/>
    <cellStyle name="40% - Accent1 5 25" xfId="3215"/>
    <cellStyle name="40% - Accent1 5 26" xfId="3216"/>
    <cellStyle name="40% - Accent1 5 27" xfId="3217"/>
    <cellStyle name="40% - Accent1 5 28" xfId="3218"/>
    <cellStyle name="40% - Accent1 5 29" xfId="3219"/>
    <cellStyle name="40% - Accent1 5 3" xfId="3220"/>
    <cellStyle name="40% - Accent1 5 30" xfId="3221"/>
    <cellStyle name="40% - Accent1 5 31" xfId="3222"/>
    <cellStyle name="40% - Accent1 5 32" xfId="3223"/>
    <cellStyle name="40% - Accent1 5 33" xfId="3224"/>
    <cellStyle name="40% - Accent1 5 34" xfId="3225"/>
    <cellStyle name="40% - Accent1 5 35" xfId="3226"/>
    <cellStyle name="40% - Accent1 5 36" xfId="3227"/>
    <cellStyle name="40% - Accent1 5 37" xfId="3228"/>
    <cellStyle name="40% - Accent1 5 38" xfId="3229"/>
    <cellStyle name="40% - Accent1 5 39" xfId="3230"/>
    <cellStyle name="40% - Accent1 5 4" xfId="3231"/>
    <cellStyle name="40% - Accent1 5 40" xfId="3232"/>
    <cellStyle name="40% - Accent1 5 41" xfId="3233"/>
    <cellStyle name="40% - Accent1 5 5" xfId="3234"/>
    <cellStyle name="40% - Accent1 5 6" xfId="3235"/>
    <cellStyle name="40% - Accent1 5 7" xfId="3236"/>
    <cellStyle name="40% - Accent1 5 8" xfId="3237"/>
    <cellStyle name="40% - Accent1 5 9" xfId="3238"/>
    <cellStyle name="40% - Accent1 6" xfId="3239"/>
    <cellStyle name="40% - Accent1 6 10" xfId="3240"/>
    <cellStyle name="40% - Accent1 6 11" xfId="3241"/>
    <cellStyle name="40% - Accent1 6 12" xfId="3242"/>
    <cellStyle name="40% - Accent1 6 13" xfId="3243"/>
    <cellStyle name="40% - Accent1 6 14" xfId="3244"/>
    <cellStyle name="40% - Accent1 6 15" xfId="3245"/>
    <cellStyle name="40% - Accent1 6 16" xfId="3246"/>
    <cellStyle name="40% - Accent1 6 17" xfId="3247"/>
    <cellStyle name="40% - Accent1 6 18" xfId="3248"/>
    <cellStyle name="40% - Accent1 7" xfId="3249"/>
    <cellStyle name="40% - Accent2" xfId="24" builtinId="35" customBuiltin="1"/>
    <cellStyle name="40% - Accent2 2" xfId="3250"/>
    <cellStyle name="40% - Accent2 3" xfId="3251"/>
    <cellStyle name="40% - Accent2 4" xfId="3252"/>
    <cellStyle name="40% - Accent2 5" xfId="3253"/>
    <cellStyle name="40% - Accent2 6" xfId="3254"/>
    <cellStyle name="40% - Accent3" xfId="28" builtinId="39" customBuiltin="1"/>
    <cellStyle name="40% - Accent3 2" xfId="3255"/>
    <cellStyle name="40% - Accent3 3" xfId="3256"/>
    <cellStyle name="40% - Accent3 4" xfId="3257"/>
    <cellStyle name="40% - Accent3 5" xfId="3258"/>
    <cellStyle name="40% - Accent3 6" xfId="3259"/>
    <cellStyle name="40% - Accent4" xfId="32" builtinId="43" customBuiltin="1"/>
    <cellStyle name="40% - Accent4 2" xfId="3260"/>
    <cellStyle name="40% - Accent4 3" xfId="3261"/>
    <cellStyle name="40% - Accent4 4" xfId="3262"/>
    <cellStyle name="40% - Accent4 5" xfId="3263"/>
    <cellStyle name="40% - Accent4 6" xfId="3264"/>
    <cellStyle name="40% - Accent5" xfId="36" builtinId="47" customBuiltin="1"/>
    <cellStyle name="40% - Accent5 2" xfId="3265"/>
    <cellStyle name="40% - Accent5 3" xfId="3266"/>
    <cellStyle name="40% - Accent5 4" xfId="3267"/>
    <cellStyle name="40% - Accent5 5" xfId="3268"/>
    <cellStyle name="40% - Accent5 6" xfId="3269"/>
    <cellStyle name="40% - Accent6" xfId="40" builtinId="51" customBuiltin="1"/>
    <cellStyle name="40% - Accent6 2" xfId="3270"/>
    <cellStyle name="40% - Accent6 3" xfId="3271"/>
    <cellStyle name="40% - Accent6 4" xfId="3272"/>
    <cellStyle name="40% - Accent6 5" xfId="3273"/>
    <cellStyle name="40% - Accent6 6" xfId="3274"/>
    <cellStyle name="60% - Accent1" xfId="21" builtinId="32" customBuiltin="1"/>
    <cellStyle name="60% - Accent1 2" xfId="3275"/>
    <cellStyle name="60% - Accent1 3" xfId="3276"/>
    <cellStyle name="60% - Accent1 4" xfId="3277"/>
    <cellStyle name="60% - Accent1 5" xfId="3278"/>
    <cellStyle name="60% - Accent1 6" xfId="3279"/>
    <cellStyle name="60% - Accent2" xfId="25" builtinId="36" customBuiltin="1"/>
    <cellStyle name="60% - Accent2 2" xfId="3280"/>
    <cellStyle name="60% - Accent2 3" xfId="3281"/>
    <cellStyle name="60% - Accent2 4" xfId="3282"/>
    <cellStyle name="60% - Accent2 5" xfId="3283"/>
    <cellStyle name="60% - Accent2 6" xfId="3284"/>
    <cellStyle name="60% - Accent3" xfId="29" builtinId="40" customBuiltin="1"/>
    <cellStyle name="60% - Accent3 2" xfId="3285"/>
    <cellStyle name="60% - Accent3 3" xfId="3286"/>
    <cellStyle name="60% - Accent3 4" xfId="3287"/>
    <cellStyle name="60% - Accent3 5" xfId="3288"/>
    <cellStyle name="60% - Accent3 6" xfId="3289"/>
    <cellStyle name="60% - Accent4" xfId="33" builtinId="44" customBuiltin="1"/>
    <cellStyle name="60% - Accent4 2" xfId="3290"/>
    <cellStyle name="60% - Accent4 3" xfId="3291"/>
    <cellStyle name="60% - Accent4 4" xfId="3292"/>
    <cellStyle name="60% - Accent4 5" xfId="3293"/>
    <cellStyle name="60% - Accent4 6" xfId="3294"/>
    <cellStyle name="60% - Accent5" xfId="37" builtinId="48" customBuiltin="1"/>
    <cellStyle name="60% - Accent5 2" xfId="3295"/>
    <cellStyle name="60% - Accent5 3" xfId="3296"/>
    <cellStyle name="60% - Accent5 4" xfId="3297"/>
    <cellStyle name="60% - Accent5 5" xfId="3298"/>
    <cellStyle name="60% - Accent5 6" xfId="3299"/>
    <cellStyle name="60% - Accent6" xfId="41" builtinId="52" customBuiltin="1"/>
    <cellStyle name="60% - Accent6 2" xfId="3300"/>
    <cellStyle name="60% - Accent6 3" xfId="3301"/>
    <cellStyle name="60% - Accent6 4" xfId="3302"/>
    <cellStyle name="60% - Accent6 5" xfId="3303"/>
    <cellStyle name="60% - Accent6 6" xfId="3304"/>
    <cellStyle name="Accent1" xfId="18" builtinId="29" customBuiltin="1"/>
    <cellStyle name="Accent1 2" xfId="3305"/>
    <cellStyle name="Accent1 3" xfId="3306"/>
    <cellStyle name="Accent1 4" xfId="3307"/>
    <cellStyle name="Accent1 5" xfId="3308"/>
    <cellStyle name="Accent1 6" xfId="3309"/>
    <cellStyle name="Accent2" xfId="22" builtinId="33" customBuiltin="1"/>
    <cellStyle name="Accent2 2" xfId="3310"/>
    <cellStyle name="Accent2 3" xfId="3311"/>
    <cellStyle name="Accent2 4" xfId="3312"/>
    <cellStyle name="Accent2 5" xfId="3313"/>
    <cellStyle name="Accent2 6" xfId="3314"/>
    <cellStyle name="Accent3" xfId="26" builtinId="37" customBuiltin="1"/>
    <cellStyle name="Accent3 2" xfId="3315"/>
    <cellStyle name="Accent3 3" xfId="3316"/>
    <cellStyle name="Accent3 4" xfId="3317"/>
    <cellStyle name="Accent3 5" xfId="3318"/>
    <cellStyle name="Accent3 6" xfId="3319"/>
    <cellStyle name="Accent4" xfId="30" builtinId="41" customBuiltin="1"/>
    <cellStyle name="Accent4 2" xfId="3320"/>
    <cellStyle name="Accent4 3" xfId="3321"/>
    <cellStyle name="Accent4 4" xfId="3322"/>
    <cellStyle name="Accent4 5" xfId="3323"/>
    <cellStyle name="Accent4 6" xfId="3324"/>
    <cellStyle name="Accent5" xfId="34" builtinId="45" customBuiltin="1"/>
    <cellStyle name="Accent5 2" xfId="3325"/>
    <cellStyle name="Accent5 3" xfId="3326"/>
    <cellStyle name="Accent5 4" xfId="3327"/>
    <cellStyle name="Accent5 5" xfId="3328"/>
    <cellStyle name="Accent5 6" xfId="3329"/>
    <cellStyle name="Accent6" xfId="38" builtinId="49" customBuiltin="1"/>
    <cellStyle name="Accent6 2" xfId="3330"/>
    <cellStyle name="Accent6 3" xfId="3331"/>
    <cellStyle name="Accent6 4" xfId="3332"/>
    <cellStyle name="Accent6 5" xfId="3333"/>
    <cellStyle name="Accent6 6" xfId="3334"/>
    <cellStyle name="alternate1" xfId="3335"/>
    <cellStyle name="Bad" xfId="7" builtinId="27" customBuiltin="1"/>
    <cellStyle name="Bad 2" xfId="3336"/>
    <cellStyle name="Bad 3" xfId="3337"/>
    <cellStyle name="Bad 4" xfId="3338"/>
    <cellStyle name="Bad 5" xfId="3339"/>
    <cellStyle name="Bad 6" xfId="3340"/>
    <cellStyle name="Body: normal cell" xfId="3341"/>
    <cellStyle name="Body: normal cell 2" xfId="3342"/>
    <cellStyle name="BuffetDate162" xfId="3343"/>
    <cellStyle name="BuffetValue2" xfId="3344"/>
    <cellStyle name="Calculation" xfId="11" builtinId="22" customBuiltin="1"/>
    <cellStyle name="Calculation 2" xfId="3345"/>
    <cellStyle name="Calculation 2 2" xfId="3346"/>
    <cellStyle name="Calculation 2 3" xfId="3347"/>
    <cellStyle name="Calculation 3" xfId="3348"/>
    <cellStyle name="Calculation 3 2" xfId="3349"/>
    <cellStyle name="Calculation 3 3" xfId="3350"/>
    <cellStyle name="Calculation 4" xfId="3351"/>
    <cellStyle name="Calculation 4 2" xfId="3352"/>
    <cellStyle name="Calculation 4 3" xfId="3353"/>
    <cellStyle name="Calculation 5" xfId="3354"/>
    <cellStyle name="Calculation 5 2" xfId="3355"/>
    <cellStyle name="Calculation 5 3" xfId="3356"/>
    <cellStyle name="Calculation 6" xfId="3357"/>
    <cellStyle name="Calculation 6 2" xfId="3358"/>
    <cellStyle name="Calculation 6 3" xfId="3359"/>
    <cellStyle name="Check Cell" xfId="13" builtinId="23" customBuiltin="1"/>
    <cellStyle name="Check Cell 2" xfId="3360"/>
    <cellStyle name="Check Cell 3" xfId="3361"/>
    <cellStyle name="Check Cell 4" xfId="3362"/>
    <cellStyle name="Check Cell 5" xfId="3363"/>
    <cellStyle name="Check Cell 6" xfId="3364"/>
    <cellStyle name="Comma" xfId="4159" builtinId="3"/>
    <cellStyle name="Comma 10" xfId="3365"/>
    <cellStyle name="Comma 11" xfId="3366"/>
    <cellStyle name="Comma 2" xfId="3367"/>
    <cellStyle name="Comma 2 2" xfId="3368"/>
    <cellStyle name="Comma 2 3" xfId="3369"/>
    <cellStyle name="Comma 2 4" xfId="3370"/>
    <cellStyle name="Comma 2 5" xfId="3371"/>
    <cellStyle name="Comma 2 6" xfId="3372"/>
    <cellStyle name="Comma 3" xfId="3373"/>
    <cellStyle name="Comma 3 2" xfId="3374"/>
    <cellStyle name="Comma 3 3" xfId="3375"/>
    <cellStyle name="Comma 3 4" xfId="3376"/>
    <cellStyle name="Comma 3 5" xfId="3377"/>
    <cellStyle name="Comma 3 6" xfId="3378"/>
    <cellStyle name="Comma 4" xfId="3379"/>
    <cellStyle name="Comma 4 2" xfId="3380"/>
    <cellStyle name="Comma 4 3" xfId="3381"/>
    <cellStyle name="Comma 4 4" xfId="3382"/>
    <cellStyle name="Comma 4 5" xfId="3383"/>
    <cellStyle name="Comma 5" xfId="3384"/>
    <cellStyle name="Comma 6" xfId="3385"/>
    <cellStyle name="Comma 7" xfId="3386"/>
    <cellStyle name="Comma 7 2" xfId="3387"/>
    <cellStyle name="Comma 8" xfId="3388"/>
    <cellStyle name="Comma 9" xfId="3389"/>
    <cellStyle name="Comma0" xfId="3390"/>
    <cellStyle name="Currency 10" xfId="3391"/>
    <cellStyle name="Currency 11" xfId="3392"/>
    <cellStyle name="Currency 2" xfId="3393"/>
    <cellStyle name="Currency 2 2" xfId="3394"/>
    <cellStyle name="Currency 2 2 2" xfId="3395"/>
    <cellStyle name="Currency 2 3" xfId="3396"/>
    <cellStyle name="Currency 2 4" xfId="3397"/>
    <cellStyle name="Currency 2 5" xfId="3398"/>
    <cellStyle name="Currency 2 6" xfId="3399"/>
    <cellStyle name="Currency 3" xfId="3400"/>
    <cellStyle name="Currency 3 2" xfId="3401"/>
    <cellStyle name="Currency 4" xfId="3402"/>
    <cellStyle name="Currency 4 2" xfId="3403"/>
    <cellStyle name="Currency 5" xfId="3404"/>
    <cellStyle name="Currency 6" xfId="3405"/>
    <cellStyle name="Currency 7" xfId="3406"/>
    <cellStyle name="Currency 8" xfId="3407"/>
    <cellStyle name="Currency 9" xfId="3408"/>
    <cellStyle name="Currency0" xfId="3409"/>
    <cellStyle name="Custom - Style8" xfId="3410"/>
    <cellStyle name="Data   - Style2" xfId="3411"/>
    <cellStyle name="Data   - Style2 2" xfId="3412"/>
    <cellStyle name="Date" xfId="3413"/>
    <cellStyle name="Euro" xfId="3414"/>
    <cellStyle name="Exhibits" xfId="3415"/>
    <cellStyle name="Explanatory Text" xfId="16" builtinId="53" customBuiltin="1"/>
    <cellStyle name="Explanatory Text 2" xfId="3416"/>
    <cellStyle name="Explanatory Text 3" xfId="3417"/>
    <cellStyle name="Explanatory Text 4" xfId="3418"/>
    <cellStyle name="Explanatory Text 5" xfId="3419"/>
    <cellStyle name="Explanatory Text 6" xfId="3420"/>
    <cellStyle name="F2" xfId="3421"/>
    <cellStyle name="F3" xfId="3422"/>
    <cellStyle name="F4" xfId="3423"/>
    <cellStyle name="F5" xfId="3424"/>
    <cellStyle name="F6" xfId="3425"/>
    <cellStyle name="F7" xfId="3426"/>
    <cellStyle name="F8" xfId="3427"/>
    <cellStyle name="Fixed" xfId="3428"/>
    <cellStyle name="Font: Calibri, 9pt regular" xfId="3429"/>
    <cellStyle name="Footnotes: top row" xfId="3430"/>
    <cellStyle name="Good" xfId="6" builtinId="26" customBuiltin="1"/>
    <cellStyle name="Good 2" xfId="3431"/>
    <cellStyle name="Good 3" xfId="3432"/>
    <cellStyle name="Good 4" xfId="3433"/>
    <cellStyle name="Good 5" xfId="3434"/>
    <cellStyle name="Good 6" xfId="3435"/>
    <cellStyle name="Header: bottom row" xfId="3436"/>
    <cellStyle name="HeaderText" xfId="3437"/>
    <cellStyle name="Heading 1" xfId="2" builtinId="16" customBuiltin="1"/>
    <cellStyle name="Heading 1 2" xfId="3438"/>
    <cellStyle name="Heading 1 3" xfId="3439"/>
    <cellStyle name="Heading 1 4" xfId="3440"/>
    <cellStyle name="Heading 1 5" xfId="3441"/>
    <cellStyle name="Heading 1 6" xfId="3442"/>
    <cellStyle name="Heading 2" xfId="3" builtinId="17" customBuiltin="1"/>
    <cellStyle name="Heading 2 2" xfId="3443"/>
    <cellStyle name="Heading 2 3" xfId="3444"/>
    <cellStyle name="Heading 2 4" xfId="3445"/>
    <cellStyle name="Heading 2 5" xfId="3446"/>
    <cellStyle name="Heading 2 6" xfId="3447"/>
    <cellStyle name="Heading 3" xfId="4" builtinId="18" customBuiltin="1"/>
    <cellStyle name="Heading 3 2" xfId="3448"/>
    <cellStyle name="Heading 3 3" xfId="3449"/>
    <cellStyle name="Heading 3 4" xfId="3450"/>
    <cellStyle name="Heading 3 5" xfId="3451"/>
    <cellStyle name="Heading 3 6" xfId="3452"/>
    <cellStyle name="Heading 4" xfId="5" builtinId="19" customBuiltin="1"/>
    <cellStyle name="Heading 4 2" xfId="3453"/>
    <cellStyle name="Heading 4 3" xfId="3454"/>
    <cellStyle name="Heading 4 4" xfId="3455"/>
    <cellStyle name="Heading 4 5" xfId="3456"/>
    <cellStyle name="Heading 4 6" xfId="3457"/>
    <cellStyle name="HEADING1" xfId="3458"/>
    <cellStyle name="HEADING2" xfId="3459"/>
    <cellStyle name="HeadlineStyle" xfId="3460"/>
    <cellStyle name="HeadlineStyle 2" xfId="3461"/>
    <cellStyle name="HeadlineStyleJustified" xfId="3462"/>
    <cellStyle name="Hyperlink" xfId="4161" builtinId="8"/>
    <cellStyle name="Hyperlink 2" xfId="3463"/>
    <cellStyle name="Hyperlink 3" xfId="3464"/>
    <cellStyle name="Hyperlink 4" xfId="3465"/>
    <cellStyle name="Hyperlink 5" xfId="3466"/>
    <cellStyle name="Input" xfId="9" builtinId="20" customBuiltin="1"/>
    <cellStyle name="Input 2" xfId="3467"/>
    <cellStyle name="Input 2 2" xfId="3468"/>
    <cellStyle name="Input 2 3" xfId="3469"/>
    <cellStyle name="Input 3" xfId="3470"/>
    <cellStyle name="Input 3 2" xfId="3471"/>
    <cellStyle name="Input 3 3" xfId="3472"/>
    <cellStyle name="Input 4" xfId="3473"/>
    <cellStyle name="Input 4 2" xfId="3474"/>
    <cellStyle name="Input 4 3" xfId="3475"/>
    <cellStyle name="Input 5" xfId="3476"/>
    <cellStyle name="Input 5 2" xfId="3477"/>
    <cellStyle name="Input 5 3" xfId="3478"/>
    <cellStyle name="Input 6" xfId="3479"/>
    <cellStyle name="Input 6 2" xfId="3480"/>
    <cellStyle name="Input 6 3" xfId="3481"/>
    <cellStyle name="Lines" xfId="3482"/>
    <cellStyle name="Linked Cell" xfId="12" builtinId="24" customBuiltin="1"/>
    <cellStyle name="Linked Cell 2" xfId="3483"/>
    <cellStyle name="Linked Cell 3" xfId="3484"/>
    <cellStyle name="Linked Cell 4" xfId="3485"/>
    <cellStyle name="Linked Cell 5" xfId="3486"/>
    <cellStyle name="Linked Cell 6" xfId="3487"/>
    <cellStyle name="Neutral" xfId="8" builtinId="28" customBuiltin="1"/>
    <cellStyle name="Neutral 2" xfId="3488"/>
    <cellStyle name="Neutral 3" xfId="3489"/>
    <cellStyle name="Neutral 4" xfId="3490"/>
    <cellStyle name="Neutral 5" xfId="3491"/>
    <cellStyle name="Neutral 6" xfId="3492"/>
    <cellStyle name="NewStyle" xfId="3493"/>
    <cellStyle name="Normal" xfId="0" builtinId="0"/>
    <cellStyle name="Normal - Style1" xfId="3494"/>
    <cellStyle name="Normal - Style2" xfId="3495"/>
    <cellStyle name="Normal - Style3" xfId="3496"/>
    <cellStyle name="Normal - Style4" xfId="3497"/>
    <cellStyle name="Normal - Style5" xfId="3498"/>
    <cellStyle name="Normal - Style6" xfId="3499"/>
    <cellStyle name="Normal - Style7" xfId="3500"/>
    <cellStyle name="Normal - Style8" xfId="3501"/>
    <cellStyle name="Normal 10" xfId="42"/>
    <cellStyle name="Normal 10 2" xfId="3502"/>
    <cellStyle name="Normal 10 3" xfId="3503"/>
    <cellStyle name="Normal 10 70" xfId="3504"/>
    <cellStyle name="Normal 10_Avera Rebuttal Analyses" xfId="3505"/>
    <cellStyle name="Normal 11" xfId="3506"/>
    <cellStyle name="Normal 11 2" xfId="3507"/>
    <cellStyle name="Normal 11 3" xfId="3508"/>
    <cellStyle name="Normal 11_Avera Rebuttal Analyses" xfId="3509"/>
    <cellStyle name="Normal 12" xfId="3510"/>
    <cellStyle name="Normal 12 2" xfId="3511"/>
    <cellStyle name="Normal 12_Avera Rebuttal Analyses" xfId="3512"/>
    <cellStyle name="Normal 13" xfId="3513"/>
    <cellStyle name="Normal 13 2" xfId="3514"/>
    <cellStyle name="Normal 13_Avera Rebuttal Analyses" xfId="3515"/>
    <cellStyle name="Normal 14" xfId="3516"/>
    <cellStyle name="Normal 14 2" xfId="3517"/>
    <cellStyle name="Normal 14 2 2" xfId="3518"/>
    <cellStyle name="Normal 15" xfId="3519"/>
    <cellStyle name="Normal 16" xfId="3520"/>
    <cellStyle name="Normal 16 2" xfId="3521"/>
    <cellStyle name="Normal 17" xfId="3522"/>
    <cellStyle name="Normal 18" xfId="3523"/>
    <cellStyle name="Normal 19" xfId="3524"/>
    <cellStyle name="Normal 2" xfId="43"/>
    <cellStyle name="Normal 2 10" xfId="3525"/>
    <cellStyle name="Normal 2 10 2" xfId="3526"/>
    <cellStyle name="Normal 2 11" xfId="3527"/>
    <cellStyle name="Normal 2 12" xfId="3528"/>
    <cellStyle name="Normal 2 13" xfId="3529"/>
    <cellStyle name="Normal 2 2" xfId="3530"/>
    <cellStyle name="Normal 2 2 2" xfId="3531"/>
    <cellStyle name="Normal 2 2 2 2" xfId="3532"/>
    <cellStyle name="Normal 2 2 2 2 2" xfId="3533"/>
    <cellStyle name="Normal 2 2 2 3" xfId="3534"/>
    <cellStyle name="Normal 2 2 2 4" xfId="3535"/>
    <cellStyle name="Normal 2 2 3" xfId="3536"/>
    <cellStyle name="Normal 2 2 3 2" xfId="3537"/>
    <cellStyle name="Normal 2 2 3 2 2" xfId="3538"/>
    <cellStyle name="Normal 2 2 3 3" xfId="3539"/>
    <cellStyle name="Normal 2 2 4" xfId="3540"/>
    <cellStyle name="Normal 2 2 4 2" xfId="3541"/>
    <cellStyle name="Normal 2 2 4 2 2" xfId="3542"/>
    <cellStyle name="Normal 2 2 4 3" xfId="3543"/>
    <cellStyle name="Normal 2 2 5" xfId="3544"/>
    <cellStyle name="Normal 2 2 5 2" xfId="3545"/>
    <cellStyle name="Normal 2 2 5 2 2" xfId="3546"/>
    <cellStyle name="Normal 2 2 5 3" xfId="3547"/>
    <cellStyle name="Normal 2 2 6" xfId="3548"/>
    <cellStyle name="Normal 2 2 6 2" xfId="3549"/>
    <cellStyle name="Normal 2 2 7" xfId="3550"/>
    <cellStyle name="Normal 2 2 7 2" xfId="3551"/>
    <cellStyle name="Normal 2 2 8" xfId="3552"/>
    <cellStyle name="Normal 2 2 9" xfId="3553"/>
    <cellStyle name="Normal 2 3" xfId="3554"/>
    <cellStyle name="Normal 2 3 2" xfId="3555"/>
    <cellStyle name="Normal 2 3 2 2" xfId="3556"/>
    <cellStyle name="Normal 2 3 2 2 2" xfId="3557"/>
    <cellStyle name="Normal 2 3 2 3" xfId="3558"/>
    <cellStyle name="Normal 2 3 2 4" xfId="3559"/>
    <cellStyle name="Normal 2 3 3" xfId="3560"/>
    <cellStyle name="Normal 2 3 4" xfId="3561"/>
    <cellStyle name="Normal 2 3 4 2" xfId="3562"/>
    <cellStyle name="Normal 2 3 5" xfId="3563"/>
    <cellStyle name="Normal 2 4" xfId="3564"/>
    <cellStyle name="Normal 2 4 2" xfId="3565"/>
    <cellStyle name="Normal 2 4 2 2" xfId="3566"/>
    <cellStyle name="Normal 2 4 2_Avera Analyses - Black Hills CO" xfId="3567"/>
    <cellStyle name="Normal 2 4 3" xfId="3568"/>
    <cellStyle name="Normal 2 4 4" xfId="3569"/>
    <cellStyle name="Normal 2 4_Avera Analyses - Black Hills CO" xfId="3570"/>
    <cellStyle name="Normal 2 5" xfId="3571"/>
    <cellStyle name="Normal 2 5 2" xfId="3572"/>
    <cellStyle name="Normal 2 5 2 2" xfId="3573"/>
    <cellStyle name="Normal 2 5 3" xfId="3574"/>
    <cellStyle name="Normal 2 5_Avera Analyses - Black Hills CO" xfId="3575"/>
    <cellStyle name="Normal 2 6" xfId="3576"/>
    <cellStyle name="Normal 2 6 2" xfId="3577"/>
    <cellStyle name="Normal 2 6 2 2" xfId="3578"/>
    <cellStyle name="Normal 2 6 3" xfId="3579"/>
    <cellStyle name="Normal 2 7" xfId="3580"/>
    <cellStyle name="Normal 2 7 2" xfId="3581"/>
    <cellStyle name="Normal 2 7 2 2" xfId="3582"/>
    <cellStyle name="Normal 2 7 3" xfId="3583"/>
    <cellStyle name="Normal 2 8" xfId="3584"/>
    <cellStyle name="Normal 2 8 2" xfId="3585"/>
    <cellStyle name="Normal 2 8 2 2" xfId="3586"/>
    <cellStyle name="Normal 2 8 3" xfId="3587"/>
    <cellStyle name="Normal 2 9" xfId="3588"/>
    <cellStyle name="Normal 2 9 2" xfId="3589"/>
    <cellStyle name="Normal 2_Atmos Rebuttal Analyses" xfId="3590"/>
    <cellStyle name="Normal 20" xfId="3591"/>
    <cellStyle name="Normal 21" xfId="3592"/>
    <cellStyle name="Normal 22" xfId="3593"/>
    <cellStyle name="Normal 22 2" xfId="3594"/>
    <cellStyle name="Normal 22 2 2" xfId="3595"/>
    <cellStyle name="Normal 23" xfId="3596"/>
    <cellStyle name="Normal 24" xfId="3597"/>
    <cellStyle name="Normal 24 2" xfId="3598"/>
    <cellStyle name="Normal 25" xfId="4160"/>
    <cellStyle name="Normal 3" xfId="3599"/>
    <cellStyle name="Normal 3 10" xfId="3600"/>
    <cellStyle name="Normal 3 2" xfId="3601"/>
    <cellStyle name="Normal 3 2 10" xfId="3602"/>
    <cellStyle name="Normal 3 2 2" xfId="3603"/>
    <cellStyle name="Normal 3 2 2 2" xfId="3604"/>
    <cellStyle name="Normal 3 2 2 3" xfId="3605"/>
    <cellStyle name="Normal 3 2 3" xfId="3606"/>
    <cellStyle name="Normal 3 2 3 2" xfId="3607"/>
    <cellStyle name="Normal 3 2 4" xfId="3608"/>
    <cellStyle name="Normal 3 2 5" xfId="3609"/>
    <cellStyle name="Normal 3 2_Avera Rebuttal Analyses" xfId="3610"/>
    <cellStyle name="Normal 3 3" xfId="3611"/>
    <cellStyle name="Normal 3 3 2" xfId="3612"/>
    <cellStyle name="Normal 3 3 2 2" xfId="3613"/>
    <cellStyle name="Normal 3 3 3" xfId="3614"/>
    <cellStyle name="Normal 3 3 4" xfId="3615"/>
    <cellStyle name="Normal 3 4" xfId="3616"/>
    <cellStyle name="Normal 3 4 2" xfId="3617"/>
    <cellStyle name="Normal 3 4 2 2" xfId="3618"/>
    <cellStyle name="Normal 3 4 3" xfId="3619"/>
    <cellStyle name="Normal 3 5" xfId="3620"/>
    <cellStyle name="Normal 3 5 2" xfId="3621"/>
    <cellStyle name="Normal 3 5 2 2" xfId="3622"/>
    <cellStyle name="Normal 3 5 3" xfId="3623"/>
    <cellStyle name="Normal 3 6" xfId="3624"/>
    <cellStyle name="Normal 3 6 2" xfId="3625"/>
    <cellStyle name="Normal 3 6 2 2" xfId="3626"/>
    <cellStyle name="Normal 3 6 3" xfId="3627"/>
    <cellStyle name="Normal 3 7" xfId="3628"/>
    <cellStyle name="Normal 3 7 2" xfId="3629"/>
    <cellStyle name="Normal 3 8" xfId="3630"/>
    <cellStyle name="Normal 3 8 2" xfId="3631"/>
    <cellStyle name="Normal 3 9" xfId="3632"/>
    <cellStyle name="Normal 3_Atmos Rebuttal Analyses" xfId="3633"/>
    <cellStyle name="Normal 4" xfId="3634"/>
    <cellStyle name="Normal 4 10" xfId="3635"/>
    <cellStyle name="Normal 4 10 2" xfId="3636"/>
    <cellStyle name="Normal 4 11" xfId="3637"/>
    <cellStyle name="Normal 4 2" xfId="3638"/>
    <cellStyle name="Normal 4 2 2" xfId="3639"/>
    <cellStyle name="Normal 4 2 2 2" xfId="3640"/>
    <cellStyle name="Normal 4 2 2 3" xfId="3641"/>
    <cellStyle name="Normal 4 2 3" xfId="3642"/>
    <cellStyle name="Normal 4 2 3 2" xfId="3643"/>
    <cellStyle name="Normal 4 2 4" xfId="3644"/>
    <cellStyle name="Normal 4 2 5" xfId="3645"/>
    <cellStyle name="Normal 4 2 6" xfId="3646"/>
    <cellStyle name="Normal 4 3" xfId="3647"/>
    <cellStyle name="Normal 4 3 2" xfId="3648"/>
    <cellStyle name="Normal 4 3 2 2" xfId="3649"/>
    <cellStyle name="Normal 4 3 3" xfId="3650"/>
    <cellStyle name="Normal 4 3 4" xfId="3651"/>
    <cellStyle name="Normal 4 3 5" xfId="3652"/>
    <cellStyle name="Normal 4 4" xfId="3653"/>
    <cellStyle name="Normal 4 4 2" xfId="3654"/>
    <cellStyle name="Normal 4 4 2 2" xfId="3655"/>
    <cellStyle name="Normal 4 4 3" xfId="3656"/>
    <cellStyle name="Normal 4 5" xfId="3657"/>
    <cellStyle name="Normal 4 5 2" xfId="3658"/>
    <cellStyle name="Normal 4 5 2 2" xfId="3659"/>
    <cellStyle name="Normal 4 5 3" xfId="3660"/>
    <cellStyle name="Normal 4 6" xfId="3661"/>
    <cellStyle name="Normal 4 6 2" xfId="3662"/>
    <cellStyle name="Normal 4 6 2 2" xfId="3663"/>
    <cellStyle name="Normal 4 6 3" xfId="3664"/>
    <cellStyle name="Normal 4 7" xfId="3665"/>
    <cellStyle name="Normal 4 7 2" xfId="3666"/>
    <cellStyle name="Normal 4 8" xfId="3667"/>
    <cellStyle name="Normal 4 8 2" xfId="3668"/>
    <cellStyle name="Normal 4 9" xfId="3669"/>
    <cellStyle name="Normal 4_Exhibits MPG-5 thru 18, 22" xfId="3670"/>
    <cellStyle name="Normal 5" xfId="3671"/>
    <cellStyle name="Normal 5 10" xfId="3672"/>
    <cellStyle name="Normal 5 2" xfId="3673"/>
    <cellStyle name="Normal 5 2 2" xfId="3674"/>
    <cellStyle name="Normal 5 2 2 2" xfId="3675"/>
    <cellStyle name="Normal 5 2 2 3" xfId="3676"/>
    <cellStyle name="Normal 5 2 3" xfId="3677"/>
    <cellStyle name="Normal 5 2 3 2" xfId="3678"/>
    <cellStyle name="Normal 5 2 4" xfId="3679"/>
    <cellStyle name="Normal 5 2 5" xfId="3680"/>
    <cellStyle name="Normal 5 3" xfId="3681"/>
    <cellStyle name="Normal 5 3 2" xfId="3682"/>
    <cellStyle name="Normal 5 3 2 2" xfId="3683"/>
    <cellStyle name="Normal 5 3 3" xfId="3684"/>
    <cellStyle name="Normal 5 3 4" xfId="3685"/>
    <cellStyle name="Normal 5 4" xfId="3686"/>
    <cellStyle name="Normal 5 4 2" xfId="3687"/>
    <cellStyle name="Normal 5 4 2 2" xfId="3688"/>
    <cellStyle name="Normal 5 4 3" xfId="3689"/>
    <cellStyle name="Normal 5 5" xfId="3690"/>
    <cellStyle name="Normal 5 5 2" xfId="3691"/>
    <cellStyle name="Normal 5 5 2 2" xfId="3692"/>
    <cellStyle name="Normal 5 5 3" xfId="3693"/>
    <cellStyle name="Normal 5 6" xfId="3694"/>
    <cellStyle name="Normal 5 6 2" xfId="3695"/>
    <cellStyle name="Normal 5 6 2 2" xfId="3696"/>
    <cellStyle name="Normal 5 6 3" xfId="3697"/>
    <cellStyle name="Normal 5 7" xfId="3698"/>
    <cellStyle name="Normal 5 7 2" xfId="3699"/>
    <cellStyle name="Normal 5 8" xfId="3700"/>
    <cellStyle name="Normal 5 8 2" xfId="3701"/>
    <cellStyle name="Normal 5 9" xfId="3702"/>
    <cellStyle name="Normal 5_Atmos Rebuttal Analyses" xfId="3703"/>
    <cellStyle name="Normal 6" xfId="3704"/>
    <cellStyle name="Normal 6 2" xfId="3705"/>
    <cellStyle name="Normal 6 3" xfId="3706"/>
    <cellStyle name="Normal 6 4" xfId="3707"/>
    <cellStyle name="Normal 6 5" xfId="3708"/>
    <cellStyle name="Normal 6 6" xfId="3709"/>
    <cellStyle name="Normal 6_Atmos Rebuttal Analyses" xfId="3710"/>
    <cellStyle name="Normal 7" xfId="3711"/>
    <cellStyle name="Normal 7 2" xfId="3712"/>
    <cellStyle name="Normal 7 2 2" xfId="3713"/>
    <cellStyle name="Normal 7 2 2 2" xfId="3714"/>
    <cellStyle name="Normal 7 2 3" xfId="3715"/>
    <cellStyle name="Normal 7 2 4" xfId="3716"/>
    <cellStyle name="Normal 7 3" xfId="3717"/>
    <cellStyle name="Normal 7 3 2" xfId="3718"/>
    <cellStyle name="Normal 7 3 2 2" xfId="3719"/>
    <cellStyle name="Normal 7 3 3" xfId="3720"/>
    <cellStyle name="Normal 7 4" xfId="3721"/>
    <cellStyle name="Normal 7 4 2" xfId="3722"/>
    <cellStyle name="Normal 7 4 2 2" xfId="3723"/>
    <cellStyle name="Normal 7 4 3" xfId="3724"/>
    <cellStyle name="Normal 7 5" xfId="3725"/>
    <cellStyle name="Normal 7 5 2" xfId="3726"/>
    <cellStyle name="Normal 7 5 2 2" xfId="3727"/>
    <cellStyle name="Normal 7 5 3" xfId="3728"/>
    <cellStyle name="Normal 7 6" xfId="3729"/>
    <cellStyle name="Normal 7 6 2" xfId="3730"/>
    <cellStyle name="Normal 7 7" xfId="3731"/>
    <cellStyle name="Normal 7 7 2" xfId="3732"/>
    <cellStyle name="Normal 7 8" xfId="3733"/>
    <cellStyle name="Normal 7 9" xfId="3734"/>
    <cellStyle name="Normal 7_Avera Rebuttal Analyses" xfId="3735"/>
    <cellStyle name="Normal 8" xfId="3736"/>
    <cellStyle name="Normal 8 2" xfId="3737"/>
    <cellStyle name="Normal 8 2 2" xfId="3738"/>
    <cellStyle name="Normal 8 2 2 2" xfId="3739"/>
    <cellStyle name="Normal 8 2 3" xfId="3740"/>
    <cellStyle name="Normal 8 3" xfId="3741"/>
    <cellStyle name="Normal 8 3 2" xfId="3742"/>
    <cellStyle name="Normal 8 3 2 2" xfId="3743"/>
    <cellStyle name="Normal 8 3 3" xfId="3744"/>
    <cellStyle name="Normal 8 4" xfId="3745"/>
    <cellStyle name="Normal 8 4 2" xfId="3746"/>
    <cellStyle name="Normal 8 4 2 2" xfId="3747"/>
    <cellStyle name="Normal 8 4 3" xfId="3748"/>
    <cellStyle name="Normal 8 5" xfId="3749"/>
    <cellStyle name="Normal 8 5 2" xfId="3750"/>
    <cellStyle name="Normal 8 6" xfId="3751"/>
    <cellStyle name="Normal 8_Avera Rebuttal Analyses" xfId="3752"/>
    <cellStyle name="Normal 9" xfId="3753"/>
    <cellStyle name="Normal 9 2" xfId="3754"/>
    <cellStyle name="Normal 9 3" xfId="3755"/>
    <cellStyle name="Normal 9 4" xfId="3756"/>
    <cellStyle name="Normal 9_Avera Rebuttal Analyses" xfId="3757"/>
    <cellStyle name="Note" xfId="15" builtinId="10" customBuiltin="1"/>
    <cellStyle name="Note 2" xfId="3758"/>
    <cellStyle name="Note 2 2" xfId="3759"/>
    <cellStyle name="Note 2 3" xfId="3760"/>
    <cellStyle name="Note 3" xfId="3761"/>
    <cellStyle name="Note 3 2" xfId="3762"/>
    <cellStyle name="Note 3 3" xfId="3763"/>
    <cellStyle name="Note 4" xfId="3764"/>
    <cellStyle name="Note 4 2" xfId="3765"/>
    <cellStyle name="Note 4 3" xfId="3766"/>
    <cellStyle name="Note 5" xfId="3767"/>
    <cellStyle name="Note 5 2" xfId="3768"/>
    <cellStyle name="Note 5 3" xfId="3769"/>
    <cellStyle name="Note 6" xfId="3770"/>
    <cellStyle name="Note 6 2" xfId="3771"/>
    <cellStyle name="Note 6 3" xfId="3772"/>
    <cellStyle name="Output" xfId="10" builtinId="21" customBuiltin="1"/>
    <cellStyle name="Output 2" xfId="3773"/>
    <cellStyle name="Output 2 2" xfId="3774"/>
    <cellStyle name="Output 2 3" xfId="3775"/>
    <cellStyle name="Output 3" xfId="3776"/>
    <cellStyle name="Output 3 2" xfId="3777"/>
    <cellStyle name="Output 3 3" xfId="3778"/>
    <cellStyle name="Output 4" xfId="3779"/>
    <cellStyle name="Output 4 2" xfId="3780"/>
    <cellStyle name="Output 4 3" xfId="3781"/>
    <cellStyle name="Output 5" xfId="3782"/>
    <cellStyle name="Output 5 2" xfId="3783"/>
    <cellStyle name="Output 5 3" xfId="3784"/>
    <cellStyle name="Output 6" xfId="3785"/>
    <cellStyle name="Output 6 2" xfId="3786"/>
    <cellStyle name="Output 6 3" xfId="3787"/>
    <cellStyle name="Output Amounts" xfId="3788"/>
    <cellStyle name="Output Column Headings" xfId="3789"/>
    <cellStyle name="Output Line Items" xfId="3790"/>
    <cellStyle name="Output Report Heading" xfId="3791"/>
    <cellStyle name="Output Report Title" xfId="3792"/>
    <cellStyle name="Parent row" xfId="3793"/>
    <cellStyle name="Percent" xfId="44" builtinId="5"/>
    <cellStyle name="Percent 10" xfId="3794"/>
    <cellStyle name="Percent 11" xfId="3795"/>
    <cellStyle name="Percent 12" xfId="3796"/>
    <cellStyle name="Percent 13" xfId="3797"/>
    <cellStyle name="Percent 2" xfId="3798"/>
    <cellStyle name="Percent 2 10" xfId="3799"/>
    <cellStyle name="Percent 2 2" xfId="3800"/>
    <cellStyle name="Percent 2 2 2" xfId="3801"/>
    <cellStyle name="Percent 2 2 2 2" xfId="3802"/>
    <cellStyle name="Percent 2 2 2 3" xfId="3803"/>
    <cellStyle name="Percent 2 2 3" xfId="3804"/>
    <cellStyle name="Percent 2 2 3 2" xfId="3805"/>
    <cellStyle name="Percent 2 2 4" xfId="3806"/>
    <cellStyle name="Percent 2 2 5" xfId="3807"/>
    <cellStyle name="Percent 2 3" xfId="3808"/>
    <cellStyle name="Percent 2 3 2" xfId="3809"/>
    <cellStyle name="Percent 2 3 2 2" xfId="3810"/>
    <cellStyle name="Percent 2 3 3" xfId="3811"/>
    <cellStyle name="Percent 2 3 4" xfId="3812"/>
    <cellStyle name="Percent 2 4" xfId="3813"/>
    <cellStyle name="Percent 2 4 2" xfId="3814"/>
    <cellStyle name="Percent 2 4 2 2" xfId="3815"/>
    <cellStyle name="Percent 2 4 3" xfId="3816"/>
    <cellStyle name="Percent 2 5" xfId="3817"/>
    <cellStyle name="Percent 2 5 2" xfId="3818"/>
    <cellStyle name="Percent 2 5 2 2" xfId="3819"/>
    <cellStyle name="Percent 2 5 3" xfId="3820"/>
    <cellStyle name="Percent 2 6" xfId="3821"/>
    <cellStyle name="Percent 2 6 2" xfId="3822"/>
    <cellStyle name="Percent 2 6 2 2" xfId="3823"/>
    <cellStyle name="Percent 2 6 3" xfId="3824"/>
    <cellStyle name="Percent 2 7" xfId="3825"/>
    <cellStyle name="Percent 2 7 2" xfId="3826"/>
    <cellStyle name="Percent 2 8" xfId="3827"/>
    <cellStyle name="Percent 2 8 2" xfId="3828"/>
    <cellStyle name="Percent 2 9" xfId="3829"/>
    <cellStyle name="Percent 2_Atmos Rebuttal Analyses" xfId="3830"/>
    <cellStyle name="Percent 3" xfId="3831"/>
    <cellStyle name="Percent 3 10" xfId="3832"/>
    <cellStyle name="Percent 3 2" xfId="3833"/>
    <cellStyle name="Percent 3 2 2" xfId="3834"/>
    <cellStyle name="Percent 3 2 2 2" xfId="3835"/>
    <cellStyle name="Percent 3 2 2 3" xfId="3836"/>
    <cellStyle name="Percent 3 2 3" xfId="3837"/>
    <cellStyle name="Percent 3 2 3 2" xfId="3838"/>
    <cellStyle name="Percent 3 2 4" xfId="3839"/>
    <cellStyle name="Percent 3 2 5" xfId="3840"/>
    <cellStyle name="Percent 3 3" xfId="3841"/>
    <cellStyle name="Percent 3 3 2" xfId="3842"/>
    <cellStyle name="Percent 3 3 2 2" xfId="3843"/>
    <cellStyle name="Percent 3 3 3" xfId="3844"/>
    <cellStyle name="Percent 3 3 4" xfId="3845"/>
    <cellStyle name="Percent 3 4" xfId="3846"/>
    <cellStyle name="Percent 3 4 2" xfId="3847"/>
    <cellStyle name="Percent 3 4 2 2" xfId="3848"/>
    <cellStyle name="Percent 3 4 3" xfId="3849"/>
    <cellStyle name="Percent 3 5" xfId="3850"/>
    <cellStyle name="Percent 3 5 2" xfId="3851"/>
    <cellStyle name="Percent 3 5 2 2" xfId="3852"/>
    <cellStyle name="Percent 3 5 3" xfId="3853"/>
    <cellStyle name="Percent 3 6" xfId="3854"/>
    <cellStyle name="Percent 3 6 2" xfId="3855"/>
    <cellStyle name="Percent 3 6 2 2" xfId="3856"/>
    <cellStyle name="Percent 3 6 3" xfId="3857"/>
    <cellStyle name="Percent 3 7" xfId="3858"/>
    <cellStyle name="Percent 3 7 2" xfId="3859"/>
    <cellStyle name="Percent 3 8" xfId="3860"/>
    <cellStyle name="Percent 3 8 2" xfId="3861"/>
    <cellStyle name="Percent 3 9" xfId="3862"/>
    <cellStyle name="Percent 4" xfId="3863"/>
    <cellStyle name="Percent 4 10" xfId="3864"/>
    <cellStyle name="Percent 4 2" xfId="3865"/>
    <cellStyle name="Percent 4 2 2" xfId="3866"/>
    <cellStyle name="Percent 4 2 2 2" xfId="3867"/>
    <cellStyle name="Percent 4 2 2 3" xfId="3868"/>
    <cellStyle name="Percent 4 2 3" xfId="3869"/>
    <cellStyle name="Percent 4 2 3 2" xfId="3870"/>
    <cellStyle name="Percent 4 2 4" xfId="3871"/>
    <cellStyle name="Percent 4 2 5" xfId="3872"/>
    <cellStyle name="Percent 4 3" xfId="3873"/>
    <cellStyle name="Percent 4 3 2" xfId="3874"/>
    <cellStyle name="Percent 4 3 2 2" xfId="3875"/>
    <cellStyle name="Percent 4 3 3" xfId="3876"/>
    <cellStyle name="Percent 4 3 4" xfId="3877"/>
    <cellStyle name="Percent 4 4" xfId="3878"/>
    <cellStyle name="Percent 4 4 2" xfId="3879"/>
    <cellStyle name="Percent 4 4 2 2" xfId="3880"/>
    <cellStyle name="Percent 4 4 3" xfId="3881"/>
    <cellStyle name="Percent 4 5" xfId="3882"/>
    <cellStyle name="Percent 4 5 2" xfId="3883"/>
    <cellStyle name="Percent 4 5 2 2" xfId="3884"/>
    <cellStyle name="Percent 4 5 3" xfId="3885"/>
    <cellStyle name="Percent 4 6" xfId="3886"/>
    <cellStyle name="Percent 4 6 2" xfId="3887"/>
    <cellStyle name="Percent 4 6 2 2" xfId="3888"/>
    <cellStyle name="Percent 4 6 3" xfId="3889"/>
    <cellStyle name="Percent 4 7" xfId="3890"/>
    <cellStyle name="Percent 4 7 2" xfId="3891"/>
    <cellStyle name="Percent 4 8" xfId="3892"/>
    <cellStyle name="Percent 4 8 2" xfId="3893"/>
    <cellStyle name="Percent 4 9" xfId="3894"/>
    <cellStyle name="Percent 5" xfId="3895"/>
    <cellStyle name="Percent 5 2" xfId="3896"/>
    <cellStyle name="Percent 5 2 2" xfId="3897"/>
    <cellStyle name="Percent 5 2 2 2" xfId="3898"/>
    <cellStyle name="Percent 5 2 3" xfId="3899"/>
    <cellStyle name="Percent 5 2 4" xfId="3900"/>
    <cellStyle name="Percent 5 3" xfId="3901"/>
    <cellStyle name="Percent 5 3 2" xfId="3902"/>
    <cellStyle name="Percent 5 3 2 2" xfId="3903"/>
    <cellStyle name="Percent 5 3 3" xfId="3904"/>
    <cellStyle name="Percent 5 4" xfId="3905"/>
    <cellStyle name="Percent 5 4 2" xfId="3906"/>
    <cellStyle name="Percent 5 4 2 2" xfId="3907"/>
    <cellStyle name="Percent 5 4 3" xfId="3908"/>
    <cellStyle name="Percent 5 5" xfId="3909"/>
    <cellStyle name="Percent 5 5 2" xfId="3910"/>
    <cellStyle name="Percent 5 5 2 2" xfId="3911"/>
    <cellStyle name="Percent 5 5 3" xfId="3912"/>
    <cellStyle name="Percent 5 6" xfId="3913"/>
    <cellStyle name="Percent 5 6 2" xfId="3914"/>
    <cellStyle name="Percent 5 7" xfId="3915"/>
    <cellStyle name="Percent 5 7 2" xfId="3916"/>
    <cellStyle name="Percent 5 8" xfId="3917"/>
    <cellStyle name="Percent 5 9" xfId="3918"/>
    <cellStyle name="Percent 6" xfId="3919"/>
    <cellStyle name="Percent 7" xfId="3920"/>
    <cellStyle name="Percent 8" xfId="3921"/>
    <cellStyle name="Percent 8 2" xfId="3922"/>
    <cellStyle name="Percent 9" xfId="3923"/>
    <cellStyle name="PSChar" xfId="3924"/>
    <cellStyle name="PSDate" xfId="3925"/>
    <cellStyle name="PSDec" xfId="3926"/>
    <cellStyle name="PSHeading" xfId="3927"/>
    <cellStyle name="PSInt" xfId="3928"/>
    <cellStyle name="PSSpacer" xfId="3929"/>
    <cellStyle name="Reset  - Style7" xfId="3930"/>
    <cellStyle name="SAPBEXaggData" xfId="3931"/>
    <cellStyle name="SAPBEXaggData 2" xfId="3932"/>
    <cellStyle name="SAPBEXaggData 3" xfId="3933"/>
    <cellStyle name="SAPBEXaggData 4" xfId="3934"/>
    <cellStyle name="SAPBEXaggDataEmph" xfId="3935"/>
    <cellStyle name="SAPBEXaggDataEmph 2" xfId="3936"/>
    <cellStyle name="SAPBEXaggDataEmph 3" xfId="3937"/>
    <cellStyle name="SAPBEXaggDataEmph 4" xfId="3938"/>
    <cellStyle name="SAPBEXaggItem" xfId="3939"/>
    <cellStyle name="SAPBEXaggItem 2" xfId="3940"/>
    <cellStyle name="SAPBEXaggItem 3" xfId="3941"/>
    <cellStyle name="SAPBEXaggItem 4" xfId="3942"/>
    <cellStyle name="SAPBEXaggItemX" xfId="3943"/>
    <cellStyle name="SAPBEXaggItemX 2" xfId="3944"/>
    <cellStyle name="SAPBEXaggItemX 3" xfId="3945"/>
    <cellStyle name="SAPBEXaggItemX 4" xfId="3946"/>
    <cellStyle name="SAPBEXchaText" xfId="3947"/>
    <cellStyle name="SAPBEXexcBad7" xfId="3948"/>
    <cellStyle name="SAPBEXexcBad7 2" xfId="3949"/>
    <cellStyle name="SAPBEXexcBad7 3" xfId="3950"/>
    <cellStyle name="SAPBEXexcBad7 4" xfId="3951"/>
    <cellStyle name="SAPBEXexcBad8" xfId="3952"/>
    <cellStyle name="SAPBEXexcBad8 2" xfId="3953"/>
    <cellStyle name="SAPBEXexcBad8 3" xfId="3954"/>
    <cellStyle name="SAPBEXexcBad8 4" xfId="3955"/>
    <cellStyle name="SAPBEXexcBad9" xfId="3956"/>
    <cellStyle name="SAPBEXexcBad9 2" xfId="3957"/>
    <cellStyle name="SAPBEXexcBad9 3" xfId="3958"/>
    <cellStyle name="SAPBEXexcBad9 4" xfId="3959"/>
    <cellStyle name="SAPBEXexcCritical4" xfId="3960"/>
    <cellStyle name="SAPBEXexcCritical4 2" xfId="3961"/>
    <cellStyle name="SAPBEXexcCritical4 3" xfId="3962"/>
    <cellStyle name="SAPBEXexcCritical4 4" xfId="3963"/>
    <cellStyle name="SAPBEXexcCritical5" xfId="3964"/>
    <cellStyle name="SAPBEXexcCritical5 2" xfId="3965"/>
    <cellStyle name="SAPBEXexcCritical5 3" xfId="3966"/>
    <cellStyle name="SAPBEXexcCritical5 4" xfId="3967"/>
    <cellStyle name="SAPBEXexcCritical6" xfId="3968"/>
    <cellStyle name="SAPBEXexcCritical6 2" xfId="3969"/>
    <cellStyle name="SAPBEXexcCritical6 3" xfId="3970"/>
    <cellStyle name="SAPBEXexcCritical6 4" xfId="3971"/>
    <cellStyle name="SAPBEXexcGood1" xfId="3972"/>
    <cellStyle name="SAPBEXexcGood1 2" xfId="3973"/>
    <cellStyle name="SAPBEXexcGood1 3" xfId="3974"/>
    <cellStyle name="SAPBEXexcGood1 4" xfId="3975"/>
    <cellStyle name="SAPBEXexcGood2" xfId="3976"/>
    <cellStyle name="SAPBEXexcGood2 2" xfId="3977"/>
    <cellStyle name="SAPBEXexcGood2 3" xfId="3978"/>
    <cellStyle name="SAPBEXexcGood2 4" xfId="3979"/>
    <cellStyle name="SAPBEXexcGood3" xfId="3980"/>
    <cellStyle name="SAPBEXexcGood3 2" xfId="3981"/>
    <cellStyle name="SAPBEXexcGood3 3" xfId="3982"/>
    <cellStyle name="SAPBEXexcGood3 4" xfId="3983"/>
    <cellStyle name="SAPBEXfilterDrill" xfId="3984"/>
    <cellStyle name="SAPBEXfilterItem" xfId="3985"/>
    <cellStyle name="SAPBEXfilterText" xfId="3986"/>
    <cellStyle name="SAPBEXformats" xfId="3987"/>
    <cellStyle name="SAPBEXformats 2" xfId="3988"/>
    <cellStyle name="SAPBEXformats 3" xfId="3989"/>
    <cellStyle name="SAPBEXformats 4" xfId="3990"/>
    <cellStyle name="SAPBEXheaderItem" xfId="3991"/>
    <cellStyle name="SAPBEXheaderText" xfId="3992"/>
    <cellStyle name="SAPBEXHLevel0" xfId="3993"/>
    <cellStyle name="SAPBEXHLevel0 2" xfId="3994"/>
    <cellStyle name="SAPBEXHLevel0 3" xfId="3995"/>
    <cellStyle name="SAPBEXHLevel0 4" xfId="3996"/>
    <cellStyle name="SAPBEXHLevel0X" xfId="3997"/>
    <cellStyle name="SAPBEXHLevel0X 2" xfId="3998"/>
    <cellStyle name="SAPBEXHLevel0X 3" xfId="3999"/>
    <cellStyle name="SAPBEXHLevel0X 4" xfId="4000"/>
    <cellStyle name="SAPBEXHLevel1" xfId="4001"/>
    <cellStyle name="SAPBEXHLevel1 2" xfId="4002"/>
    <cellStyle name="SAPBEXHLevel1 3" xfId="4003"/>
    <cellStyle name="SAPBEXHLevel1 4" xfId="4004"/>
    <cellStyle name="SAPBEXHLevel1X" xfId="4005"/>
    <cellStyle name="SAPBEXHLevel1X 2" xfId="4006"/>
    <cellStyle name="SAPBEXHLevel1X 3" xfId="4007"/>
    <cellStyle name="SAPBEXHLevel1X 4" xfId="4008"/>
    <cellStyle name="SAPBEXHLevel2" xfId="4009"/>
    <cellStyle name="SAPBEXHLevel2 2" xfId="4010"/>
    <cellStyle name="SAPBEXHLevel2 3" xfId="4011"/>
    <cellStyle name="SAPBEXHLevel2 4" xfId="4012"/>
    <cellStyle name="SAPBEXHLevel2X" xfId="4013"/>
    <cellStyle name="SAPBEXHLevel2X 2" xfId="4014"/>
    <cellStyle name="SAPBEXHLevel2X 3" xfId="4015"/>
    <cellStyle name="SAPBEXHLevel2X 4" xfId="4016"/>
    <cellStyle name="SAPBEXHLevel3" xfId="4017"/>
    <cellStyle name="SAPBEXHLevel3 2" xfId="4018"/>
    <cellStyle name="SAPBEXHLevel3 3" xfId="4019"/>
    <cellStyle name="SAPBEXHLevel3 4" xfId="4020"/>
    <cellStyle name="SAPBEXHLevel3X" xfId="4021"/>
    <cellStyle name="SAPBEXHLevel3X 2" xfId="4022"/>
    <cellStyle name="SAPBEXHLevel3X 3" xfId="4023"/>
    <cellStyle name="SAPBEXHLevel3X 4" xfId="4024"/>
    <cellStyle name="SAPBEXresData" xfId="4025"/>
    <cellStyle name="SAPBEXresData 2" xfId="4026"/>
    <cellStyle name="SAPBEXresData 3" xfId="4027"/>
    <cellStyle name="SAPBEXresData 4" xfId="4028"/>
    <cellStyle name="SAPBEXresDataEmph" xfId="4029"/>
    <cellStyle name="SAPBEXresDataEmph 2" xfId="4030"/>
    <cellStyle name="SAPBEXresDataEmph 3" xfId="4031"/>
    <cellStyle name="SAPBEXresDataEmph 4" xfId="4032"/>
    <cellStyle name="SAPBEXresItem" xfId="4033"/>
    <cellStyle name="SAPBEXresItem 2" xfId="4034"/>
    <cellStyle name="SAPBEXresItem 3" xfId="4035"/>
    <cellStyle name="SAPBEXresItem 4" xfId="4036"/>
    <cellStyle name="SAPBEXresItemX" xfId="4037"/>
    <cellStyle name="SAPBEXresItemX 2" xfId="4038"/>
    <cellStyle name="SAPBEXresItemX 3" xfId="4039"/>
    <cellStyle name="SAPBEXresItemX 4" xfId="4040"/>
    <cellStyle name="SAPBEXstdData" xfId="4041"/>
    <cellStyle name="SAPBEXstdData 2" xfId="4042"/>
    <cellStyle name="SAPBEXstdData 3" xfId="4043"/>
    <cellStyle name="SAPBEXstdData 4" xfId="4044"/>
    <cellStyle name="SAPBEXstdDataEmph" xfId="4045"/>
    <cellStyle name="SAPBEXstdDataEmph 2" xfId="4046"/>
    <cellStyle name="SAPBEXstdDataEmph 3" xfId="4047"/>
    <cellStyle name="SAPBEXstdDataEmph 4" xfId="4048"/>
    <cellStyle name="SAPBEXstdItem" xfId="4049"/>
    <cellStyle name="SAPBEXstdItem 2" xfId="4050"/>
    <cellStyle name="SAPBEXstdItem 3" xfId="4051"/>
    <cellStyle name="SAPBEXstdItem 4" xfId="4052"/>
    <cellStyle name="SAPBEXstdItemX" xfId="4053"/>
    <cellStyle name="SAPBEXstdItemX 2" xfId="4054"/>
    <cellStyle name="SAPBEXstdItemX 3" xfId="4055"/>
    <cellStyle name="SAPBEXstdItemX 4" xfId="4056"/>
    <cellStyle name="SAPBEXtitle" xfId="4057"/>
    <cellStyle name="SAPBEXundefined" xfId="4058"/>
    <cellStyle name="SAPBEXundefined 2" xfId="4059"/>
    <cellStyle name="SAPBEXundefined 3" xfId="4060"/>
    <cellStyle name="SAPBEXundefined 4" xfId="4061"/>
    <cellStyle name="Style 1" xfId="4062"/>
    <cellStyle name="Style 105" xfId="4063"/>
    <cellStyle name="Style 109" xfId="4064"/>
    <cellStyle name="Style 113" xfId="4065"/>
    <cellStyle name="Style 117" xfId="4066"/>
    <cellStyle name="Style 121" xfId="4067"/>
    <cellStyle name="Style 129" xfId="4068"/>
    <cellStyle name="Style 133" xfId="4069"/>
    <cellStyle name="Style 136" xfId="4070"/>
    <cellStyle name="Style 137" xfId="4071"/>
    <cellStyle name="Style 140" xfId="4072"/>
    <cellStyle name="Style 141" xfId="4073"/>
    <cellStyle name="Style 144" xfId="4074"/>
    <cellStyle name="Style 148" xfId="4075"/>
    <cellStyle name="Style 152" xfId="4076"/>
    <cellStyle name="Style 153" xfId="4077"/>
    <cellStyle name="Style 156" xfId="4078"/>
    <cellStyle name="Style 160" xfId="4079"/>
    <cellStyle name="Style 161" xfId="4080"/>
    <cellStyle name="Style 165" xfId="4081"/>
    <cellStyle name="Style 168" xfId="4082"/>
    <cellStyle name="Style 172" xfId="4083"/>
    <cellStyle name="Style 173" xfId="4084"/>
    <cellStyle name="Style 177" xfId="4085"/>
    <cellStyle name="Style 180" xfId="4086"/>
    <cellStyle name="Style 181" xfId="4087"/>
    <cellStyle name="Style 182" xfId="4088"/>
    <cellStyle name="Style 189" xfId="4089"/>
    <cellStyle name="Style 191" xfId="4090"/>
    <cellStyle name="Style 21" xfId="4091"/>
    <cellStyle name="Style 21 2" xfId="4092"/>
    <cellStyle name="Style 22" xfId="4093"/>
    <cellStyle name="Style 22 2" xfId="4094"/>
    <cellStyle name="Style 22 2 2" xfId="4095"/>
    <cellStyle name="Style 22 2_Avera Rebuttal Analyses" xfId="4096"/>
    <cellStyle name="Style 23" xfId="4097"/>
    <cellStyle name="Style 24" xfId="4098"/>
    <cellStyle name="Style 24 2" xfId="4099"/>
    <cellStyle name="Style 24 2 2" xfId="4100"/>
    <cellStyle name="Style 24 2_Avera Rebuttal Analyses" xfId="4101"/>
    <cellStyle name="Style 25" xfId="4102"/>
    <cellStyle name="Style 26" xfId="4103"/>
    <cellStyle name="Style 26 2" xfId="4104"/>
    <cellStyle name="Style 26 2 2" xfId="4105"/>
    <cellStyle name="Style 26 2_Avera Rebuttal Analyses" xfId="4106"/>
    <cellStyle name="Style 26 3" xfId="4107"/>
    <cellStyle name="Style 26 4" xfId="4108"/>
    <cellStyle name="Style 27" xfId="4109"/>
    <cellStyle name="Style 28" xfId="4110"/>
    <cellStyle name="Style 29" xfId="4111"/>
    <cellStyle name="Style 30" xfId="4112"/>
    <cellStyle name="Style 31" xfId="4113"/>
    <cellStyle name="Style 32" xfId="4114"/>
    <cellStyle name="Style 33" xfId="4115"/>
    <cellStyle name="Style 34" xfId="4116"/>
    <cellStyle name="Style 35" xfId="4117"/>
    <cellStyle name="Style 36" xfId="4118"/>
    <cellStyle name="Style 37" xfId="4119"/>
    <cellStyle name="Style 38" xfId="4120"/>
    <cellStyle name="Style 39" xfId="4121"/>
    <cellStyle name="STYLE1" xfId="4122"/>
    <cellStyle name="STYLE2" xfId="4123"/>
    <cellStyle name="STYLE3" xfId="4124"/>
    <cellStyle name="STYLE4" xfId="4125"/>
    <cellStyle name="Table  - Style6" xfId="4126"/>
    <cellStyle name="Table  - Style6 2" xfId="4127"/>
    <cellStyle name="Table title" xfId="4128"/>
    <cellStyle name="Title" xfId="1" builtinId="15" customBuiltin="1"/>
    <cellStyle name="Title  - Style1" xfId="4129"/>
    <cellStyle name="Title 2" xfId="4130"/>
    <cellStyle name="Title 3" xfId="4131"/>
    <cellStyle name="Title 4" xfId="4132"/>
    <cellStyle name="Title 5" xfId="4133"/>
    <cellStyle name="Title 6" xfId="4134"/>
    <cellStyle name="Total" xfId="17" builtinId="25" customBuiltin="1"/>
    <cellStyle name="Total 2" xfId="4135"/>
    <cellStyle name="Total 2 2" xfId="4136"/>
    <cellStyle name="Total 2 3" xfId="4137"/>
    <cellStyle name="Total 3" xfId="4138"/>
    <cellStyle name="Total 3 2" xfId="4139"/>
    <cellStyle name="Total 3 3" xfId="4140"/>
    <cellStyle name="Total 4" xfId="4141"/>
    <cellStyle name="Total 4 2" xfId="4142"/>
    <cellStyle name="Total 4 3" xfId="4143"/>
    <cellStyle name="Total 5" xfId="4144"/>
    <cellStyle name="Total 5 2" xfId="4145"/>
    <cellStyle name="Total 5 3" xfId="4146"/>
    <cellStyle name="Total 6" xfId="4147"/>
    <cellStyle name="Total 6 2" xfId="4148"/>
    <cellStyle name="Total 6 3" xfId="4149"/>
    <cellStyle name="TotCol - Style5" xfId="4150"/>
    <cellStyle name="TotRow - Style4" xfId="4151"/>
    <cellStyle name="TotRow - Style4 2" xfId="4152"/>
    <cellStyle name="Warning Text" xfId="14" builtinId="11" customBuiltin="1"/>
    <cellStyle name="Warning Text 2" xfId="4153"/>
    <cellStyle name="Warning Text 3" xfId="4154"/>
    <cellStyle name="Warning Text 4" xfId="4155"/>
    <cellStyle name="Warning Text 5" xfId="4156"/>
    <cellStyle name="Warning Text 6" xfId="4157"/>
    <cellStyle name="Обычный_RTS_select_issues" xfId="4158"/>
  </cellStyles>
  <dxfs count="0"/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1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Trends in Dividend Yield and "A" Rated Utility Bond Yield</a:t>
            </a:r>
          </a:p>
        </c:rich>
      </c:tx>
      <c:layout>
        <c:manualLayout>
          <c:xMode val="edge"/>
          <c:yMode val="edge"/>
          <c:x val="0.24133735707605541"/>
          <c:y val="5.642361111111193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2700734606449999E-2"/>
          <c:y val="0.17896007627952756"/>
          <c:w val="0.90412876730925851"/>
          <c:h val="0.5939355725065617"/>
        </c:manualLayout>
      </c:layout>
      <c:lineChart>
        <c:grouping val="standard"/>
        <c:varyColors val="0"/>
        <c:ser>
          <c:idx val="0"/>
          <c:order val="0"/>
          <c:tx>
            <c:v>Nom. "A" Rated Utility Bond Yield</c:v>
          </c:tx>
          <c:spPr>
            <a:ln w="44450"/>
          </c:spPr>
          <c:marker>
            <c:symbol val="triangle"/>
            <c:size val="8"/>
          </c:marker>
          <c:cat>
            <c:numRef>
              <c:f>('CCW-1 pg 4'!$G$10,'CCW-1 pg 4'!$H$11:$S$11)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'CCW-1 pg 4'!$G$71:$S$71</c:f>
              <c:numCache>
                <c:formatCode>0.00%</c:formatCode>
                <c:ptCount val="13"/>
                <c:pt idx="0">
                  <c:v>4.254454527705958E-2</c:v>
                </c:pt>
                <c:pt idx="1">
                  <c:v>3.9988761663160968E-2</c:v>
                </c:pt>
                <c:pt idx="2">
                  <c:v>3.930199127182251E-2</c:v>
                </c:pt>
                <c:pt idx="3">
                  <c:v>4.1153967589428117E-2</c:v>
                </c:pt>
                <c:pt idx="4">
                  <c:v>4.2774094021446961E-2</c:v>
                </c:pt>
                <c:pt idx="5">
                  <c:v>4.4759707479483019E-2</c:v>
                </c:pt>
                <c:pt idx="6">
                  <c:v>4.1308564221010043E-2</c:v>
                </c:pt>
                <c:pt idx="7">
                  <c:v>5.0407157265811221E-2</c:v>
                </c:pt>
                <c:pt idx="8">
                  <c:v>5.4644377733549555E-2</c:v>
                </c:pt>
                <c:pt idx="9">
                  <c:v>6.0391666666666656E-2</c:v>
                </c:pt>
                <c:pt idx="10">
                  <c:v>6.5283333333333332E-2</c:v>
                </c:pt>
                <c:pt idx="11">
                  <c:v>6.0733333333333334E-2</c:v>
                </c:pt>
                <c:pt idx="12">
                  <c:v>6.0683333333333332E-2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65-4435-95D2-21BF29183686}"/>
            </c:ext>
          </c:extLst>
        </c:ser>
        <c:ser>
          <c:idx val="1"/>
          <c:order val="1"/>
          <c:tx>
            <c:v>Average Nom. Dividend Yield</c:v>
          </c:tx>
          <c:spPr>
            <a:ln w="44450">
              <a:prstDash val="lgDash"/>
            </a:ln>
          </c:spPr>
          <c:marker>
            <c:symbol val="square"/>
            <c:size val="8"/>
          </c:marker>
          <c:cat>
            <c:numRef>
              <c:f>('CCW-1 pg 4'!$G$10,'CCW-1 pg 4'!$H$11:$S$11)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'CCW-1 pg 4'!$G$61:$S$61</c:f>
              <c:numCache>
                <c:formatCode>0.00%</c:formatCode>
                <c:ptCount val="13"/>
                <c:pt idx="0">
                  <c:v>3.4959451325116499E-2</c:v>
                </c:pt>
                <c:pt idx="1">
                  <c:v>3.3406097052904045E-2</c:v>
                </c:pt>
                <c:pt idx="2">
                  <c:v>3.4857080408313895E-2</c:v>
                </c:pt>
                <c:pt idx="3">
                  <c:v>3.7132383606324655E-2</c:v>
                </c:pt>
                <c:pt idx="4">
                  <c:v>3.6626497766093294E-2</c:v>
                </c:pt>
                <c:pt idx="5">
                  <c:v>3.87024111281771E-2</c:v>
                </c:pt>
                <c:pt idx="6">
                  <c:v>4.1798480891185888E-2</c:v>
                </c:pt>
                <c:pt idx="7">
                  <c:v>4.3018938310111818E-2</c:v>
                </c:pt>
                <c:pt idx="8">
                  <c:v>4.6277642879546561E-2</c:v>
                </c:pt>
                <c:pt idx="9">
                  <c:v>5.0911191944417351E-2</c:v>
                </c:pt>
                <c:pt idx="10">
                  <c:v>4.211628756261266E-2</c:v>
                </c:pt>
                <c:pt idx="11">
                  <c:v>3.5076999115169927E-2</c:v>
                </c:pt>
                <c:pt idx="12">
                  <c:v>3.7091701469498785E-2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65-4435-95D2-21BF29183686}"/>
            </c:ext>
          </c:extLst>
        </c:ser>
        <c:ser>
          <c:idx val="2"/>
          <c:order val="2"/>
          <c:tx>
            <c:v>Nominal Spread</c:v>
          </c:tx>
          <c:spPr>
            <a:ln w="44450">
              <a:prstDash val="sysDash"/>
            </a:ln>
          </c:spPr>
          <c:marker>
            <c:symbol val="circle"/>
            <c:size val="8"/>
          </c:marker>
          <c:cat>
            <c:numRef>
              <c:f>('CCW-1 pg 4'!$G$10,'CCW-1 pg 4'!$H$11:$S$11)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'CCW-1 pg 4'!$G$75:$S$75</c:f>
              <c:numCache>
                <c:formatCode>0.00%</c:formatCode>
                <c:ptCount val="13"/>
                <c:pt idx="0">
                  <c:v>7.585093951943081E-3</c:v>
                </c:pt>
                <c:pt idx="1">
                  <c:v>6.5826646102569233E-3</c:v>
                </c:pt>
                <c:pt idx="2">
                  <c:v>4.4449108635086151E-3</c:v>
                </c:pt>
                <c:pt idx="3">
                  <c:v>4.0215839831034619E-3</c:v>
                </c:pt>
                <c:pt idx="4">
                  <c:v>6.147596255353667E-3</c:v>
                </c:pt>
                <c:pt idx="5">
                  <c:v>6.0572963513059186E-3</c:v>
                </c:pt>
                <c:pt idx="6">
                  <c:v>-4.8991667017584534E-4</c:v>
                </c:pt>
                <c:pt idx="7">
                  <c:v>7.3882189556994035E-3</c:v>
                </c:pt>
                <c:pt idx="8">
                  <c:v>8.366734854002994E-3</c:v>
                </c:pt>
                <c:pt idx="9">
                  <c:v>9.4804747222493047E-3</c:v>
                </c:pt>
                <c:pt idx="10">
                  <c:v>2.3167045770720672E-2</c:v>
                </c:pt>
                <c:pt idx="11">
                  <c:v>2.5656334218163407E-2</c:v>
                </c:pt>
                <c:pt idx="12">
                  <c:v>2.3591631863834547E-2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65-4435-95D2-21BF29183686}"/>
            </c:ext>
          </c:extLst>
        </c:ser>
        <c:ser>
          <c:idx val="4"/>
          <c:order val="4"/>
          <c:tx>
            <c:strRef>
              <c:f>'CCW-1 pg 4'!$D$72:$E$72</c:f>
              <c:strCache>
                <c:ptCount val="2"/>
                <c:pt idx="0">
                  <c:v>Real "A" Rated Yield</c:v>
                </c:pt>
              </c:strCache>
            </c:strRef>
          </c:tx>
          <c:cat>
            <c:numRef>
              <c:f>('CCW-1 pg 4'!$G$10,'CCW-1 pg 4'!$H$11:$S$11)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'CCW-1 pg 4'!$G$72:$S$72</c:f>
              <c:numCache>
                <c:formatCode>0.00%</c:formatCode>
                <c:ptCount val="13"/>
                <c:pt idx="0">
                  <c:v>2.1265685254241218E-2</c:v>
                </c:pt>
                <c:pt idx="1">
                  <c:v>2.0672019201252168E-2</c:v>
                </c:pt>
                <c:pt idx="2">
                  <c:v>2.3365519065233098E-2</c:v>
                </c:pt>
                <c:pt idx="3">
                  <c:v>2.3250884477517886E-2</c:v>
                </c:pt>
                <c:pt idx="4">
                  <c:v>2.0432969514362131E-2</c:v>
                </c:pt>
                <c:pt idx="5">
                  <c:v>2.0773200534045744E-2</c:v>
                </c:pt>
                <c:pt idx="6">
                  <c:v>1.763957562157592E-2</c:v>
                </c:pt>
                <c:pt idx="7">
                  <c:v>2.5782629834632864E-2</c:v>
                </c:pt>
                <c:pt idx="8">
                  <c:v>3.1344134263804113E-2</c:v>
                </c:pt>
                <c:pt idx="9">
                  <c:v>4.1098546107522393E-2</c:v>
                </c:pt>
                <c:pt idx="10">
                  <c:v>4.3056437098255129E-2</c:v>
                </c:pt>
                <c:pt idx="11">
                  <c:v>3.4916454047183798E-2</c:v>
                </c:pt>
                <c:pt idx="12">
                  <c:v>3.3558207729123435E-2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265-4435-95D2-21BF29183686}"/>
            </c:ext>
          </c:extLst>
        </c:ser>
        <c:ser>
          <c:idx val="5"/>
          <c:order val="5"/>
          <c:tx>
            <c:strRef>
              <c:f>'CCW-1 pg 4'!$D$68</c:f>
              <c:strCache>
                <c:ptCount val="1"/>
                <c:pt idx="0">
                  <c:v>Real Dividend Yield</c:v>
                </c:pt>
              </c:strCache>
            </c:strRef>
          </c:tx>
          <c:cat>
            <c:numRef>
              <c:f>('CCW-1 pg 4'!$G$10,'CCW-1 pg 4'!$H$11:$S$11)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'CCW-1 pg 4'!$G$68:$S$68</c:f>
              <c:numCache>
                <c:formatCode>0.00%</c:formatCode>
                <c:ptCount val="13"/>
                <c:pt idx="0">
                  <c:v>1.3835406895736924E-2</c:v>
                </c:pt>
                <c:pt idx="1">
                  <c:v>1.421162094778361E-2</c:v>
                </c:pt>
                <c:pt idx="2">
                  <c:v>1.8988765675713948E-2</c:v>
                </c:pt>
                <c:pt idx="3">
                  <c:v>1.9298453333026266E-2</c:v>
                </c:pt>
                <c:pt idx="4">
                  <c:v>1.4417083678501585E-2</c:v>
                </c:pt>
                <c:pt idx="5">
                  <c:v>1.4854972889123852E-2</c:v>
                </c:pt>
                <c:pt idx="6">
                  <c:v>1.8118356464697838E-2</c:v>
                </c:pt>
                <c:pt idx="7">
                  <c:v>1.8567611717373866E-2</c:v>
                </c:pt>
                <c:pt idx="8">
                  <c:v>2.3162245565776507E-2</c:v>
                </c:pt>
                <c:pt idx="9">
                  <c:v>3.1790562312469239E-2</c:v>
                </c:pt>
                <c:pt idx="10">
                  <c:v>2.0372766506988382E-2</c:v>
                </c:pt>
                <c:pt idx="11">
                  <c:v>9.8845618660723389E-3</c:v>
                </c:pt>
                <c:pt idx="12">
                  <c:v>1.0569890688294281E-2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265-4435-95D2-21BF29183686}"/>
            </c:ext>
          </c:extLst>
        </c:ser>
        <c:ser>
          <c:idx val="6"/>
          <c:order val="6"/>
          <c:tx>
            <c:v>Real Spread</c:v>
          </c:tx>
          <c:cat>
            <c:numRef>
              <c:f>('CCW-1 pg 4'!$G$10,'CCW-1 pg 4'!$H$11:$S$11)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'CCW-1 pg 4'!$G$76:$S$76</c:f>
              <c:numCache>
                <c:formatCode>0.00%</c:formatCode>
                <c:ptCount val="13"/>
                <c:pt idx="0">
                  <c:v>7.4302783585042942E-3</c:v>
                </c:pt>
                <c:pt idx="1">
                  <c:v>6.4603982534685578E-3</c:v>
                </c:pt>
                <c:pt idx="2">
                  <c:v>4.3767533895191502E-3</c:v>
                </c:pt>
                <c:pt idx="3">
                  <c:v>3.9524311444916194E-3</c:v>
                </c:pt>
                <c:pt idx="4">
                  <c:v>6.015885835860546E-3</c:v>
                </c:pt>
                <c:pt idx="5">
                  <c:v>5.9182276449218918E-3</c:v>
                </c:pt>
                <c:pt idx="6">
                  <c:v>-4.787808431219176E-4</c:v>
                </c:pt>
                <c:pt idx="7">
                  <c:v>7.2150181172589978E-3</c:v>
                </c:pt>
                <c:pt idx="8">
                  <c:v>8.1818886980276062E-3</c:v>
                </c:pt>
                <c:pt idx="9">
                  <c:v>9.3079837950531541E-3</c:v>
                </c:pt>
                <c:pt idx="10">
                  <c:v>2.2683670591266747E-2</c:v>
                </c:pt>
                <c:pt idx="11">
                  <c:v>2.5031892181111459E-2</c:v>
                </c:pt>
                <c:pt idx="12">
                  <c:v>2.2988317040829154E-2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65-4435-95D2-21BF291836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859648"/>
        <c:axId val="418858112"/>
      </c:lineChart>
      <c:lineChart>
        <c:grouping val="standard"/>
        <c:varyColors val="0"/>
        <c:ser>
          <c:idx val="3"/>
          <c:order val="3"/>
          <c:tx>
            <c:v>blank</c:v>
          </c:tx>
          <c:cat>
            <c:numRef>
              <c:f>('CCW-1 pg 4'!$G$10,'CCW-1 pg 4'!$H$11:$S$11)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'CCW-1 pg 4'!$G$70:$S$70</c:f>
              <c:numCache>
                <c:formatCode>General</c:formatCode>
                <c:ptCount val="1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265-4435-95D2-21BF291836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871168"/>
        <c:axId val="418869632"/>
      </c:lineChart>
      <c:valAx>
        <c:axId val="418858112"/>
        <c:scaling>
          <c:orientation val="minMax"/>
          <c:max val="7.0000000000000021E-2"/>
          <c:min val="0"/>
        </c:scaling>
        <c:delete val="0"/>
        <c:axPos val="r"/>
        <c:numFmt formatCode="0.00%" sourceLinked="1"/>
        <c:majorTickMark val="none"/>
        <c:minorTickMark val="none"/>
        <c:tickLblPos val="none"/>
        <c:spPr>
          <a:ln>
            <a:noFill/>
          </a:ln>
        </c:spPr>
        <c:crossAx val="418859648"/>
        <c:crosses val="autoZero"/>
        <c:crossBetween val="between"/>
        <c:majorUnit val="1.0000000000000005E-2"/>
      </c:valAx>
      <c:catAx>
        <c:axId val="41885964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418858112"/>
        <c:crosses val="autoZero"/>
        <c:auto val="1"/>
        <c:lblAlgn val="ctr"/>
        <c:lblOffset val="100"/>
        <c:noMultiLvlLbl val="0"/>
      </c:catAx>
      <c:valAx>
        <c:axId val="418869632"/>
        <c:scaling>
          <c:orientation val="minMax"/>
          <c:max val="7.0000000000000021E-2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418871168"/>
        <c:crosses val="autoZero"/>
        <c:crossBetween val="between"/>
        <c:majorUnit val="1.0000000000000005E-2"/>
      </c:valAx>
      <c:catAx>
        <c:axId val="4188711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18869632"/>
        <c:crosses val="autoZero"/>
        <c:auto val="1"/>
        <c:lblAlgn val="ctr"/>
        <c:lblOffset val="100"/>
        <c:noMultiLvlLbl val="0"/>
      </c:catAx>
    </c:plotArea>
    <c:legend>
      <c:legendPos val="b"/>
      <c:legendEntry>
        <c:idx val="6"/>
        <c:delete val="1"/>
      </c:legendEntry>
      <c:layout>
        <c:manualLayout>
          <c:xMode val="edge"/>
          <c:yMode val="edge"/>
          <c:x val="0.11247578743445984"/>
          <c:y val="0.87278189559317332"/>
          <c:w val="0.82697923563738873"/>
          <c:h val="0.12721810440682707"/>
        </c:manualLayout>
      </c:layout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000000000000555" l="0.70000000000000062" r="0.70000000000000062" t="0.7500000000000055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Trends in Dividend Yield and "A" Rated Utility Bond Yield</a:t>
            </a:r>
          </a:p>
        </c:rich>
      </c:tx>
      <c:layout>
        <c:manualLayout>
          <c:xMode val="edge"/>
          <c:yMode val="edge"/>
          <c:x val="0.24133735707605541"/>
          <c:y val="5.64236111111119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2700734606449999E-2"/>
          <c:y val="0.17896007627952756"/>
          <c:w val="0.90412876730925851"/>
          <c:h val="0.5939355725065617"/>
        </c:manualLayout>
      </c:layout>
      <c:lineChart>
        <c:grouping val="standard"/>
        <c:varyColors val="0"/>
        <c:ser>
          <c:idx val="0"/>
          <c:order val="0"/>
          <c:tx>
            <c:v> Nom. "A" Rated Utility Bond Yield</c:v>
          </c:tx>
          <c:spPr>
            <a:ln w="44450"/>
          </c:spPr>
          <c:marker>
            <c:symbol val="triangle"/>
            <c:size val="8"/>
          </c:marker>
          <c:cat>
            <c:numRef>
              <c:f>('pg 2 - Gas'!$G$9,'pg 2 - Gas'!$H$10:$S$10)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'pg 2 - Gas'!$G$69:$S$69</c:f>
              <c:numCache>
                <c:formatCode>0.00%</c:formatCode>
                <c:ptCount val="13"/>
                <c:pt idx="0">
                  <c:v>4.254454527705958E-2</c:v>
                </c:pt>
                <c:pt idx="1">
                  <c:v>3.9988761663160968E-2</c:v>
                </c:pt>
                <c:pt idx="2">
                  <c:v>3.930199127182251E-2</c:v>
                </c:pt>
                <c:pt idx="3">
                  <c:v>4.1153967589428117E-2</c:v>
                </c:pt>
                <c:pt idx="4">
                  <c:v>4.2774094021446961E-2</c:v>
                </c:pt>
                <c:pt idx="5">
                  <c:v>4.4759707479483019E-2</c:v>
                </c:pt>
                <c:pt idx="6">
                  <c:v>4.1308564221010043E-2</c:v>
                </c:pt>
                <c:pt idx="7">
                  <c:v>5.0407157265811221E-2</c:v>
                </c:pt>
                <c:pt idx="8">
                  <c:v>5.4644377733549555E-2</c:v>
                </c:pt>
                <c:pt idx="9">
                  <c:v>6.0391666666666656E-2</c:v>
                </c:pt>
                <c:pt idx="10">
                  <c:v>6.5283333333333332E-2</c:v>
                </c:pt>
                <c:pt idx="11">
                  <c:v>6.0733333333333334E-2</c:v>
                </c:pt>
                <c:pt idx="12">
                  <c:v>6.0683333333333332E-2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A5-4C39-A775-46A875BC0C17}"/>
            </c:ext>
          </c:extLst>
        </c:ser>
        <c:ser>
          <c:idx val="1"/>
          <c:order val="1"/>
          <c:tx>
            <c:v>Average Nom. Dividend Yield</c:v>
          </c:tx>
          <c:spPr>
            <a:ln w="44450">
              <a:prstDash val="lgDash"/>
            </a:ln>
          </c:spPr>
          <c:marker>
            <c:symbol val="square"/>
            <c:size val="8"/>
          </c:marker>
          <c:cat>
            <c:numRef>
              <c:f>('pg 2 - Gas'!$G$9,'pg 2 - Gas'!$H$10:$S$10)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'pg 2 - Gas'!$G$59:$S$59</c:f>
              <c:numCache>
                <c:formatCode>0.00%</c:formatCode>
                <c:ptCount val="13"/>
                <c:pt idx="0">
                  <c:v>2.6842793742200572E-2</c:v>
                </c:pt>
                <c:pt idx="1">
                  <c:v>2.5587890791713551E-2</c:v>
                </c:pt>
                <c:pt idx="2">
                  <c:v>2.7417139418435713E-2</c:v>
                </c:pt>
                <c:pt idx="3">
                  <c:v>3.1550639408428428E-2</c:v>
                </c:pt>
                <c:pt idx="4">
                  <c:v>3.1723094191662436E-2</c:v>
                </c:pt>
                <c:pt idx="5">
                  <c:v>3.437456128923632E-2</c:v>
                </c:pt>
                <c:pt idx="6">
                  <c:v>3.6066386611707892E-2</c:v>
                </c:pt>
                <c:pt idx="7">
                  <c:v>3.6516233047539218E-2</c:v>
                </c:pt>
                <c:pt idx="8">
                  <c:v>4.0294955003973051E-2</c:v>
                </c:pt>
                <c:pt idx="9">
                  <c:v>4.3467237180520833E-2</c:v>
                </c:pt>
                <c:pt idx="10">
                  <c:v>3.8480261045568287E-2</c:v>
                </c:pt>
                <c:pt idx="11">
                  <c:v>3.4876329602697771E-2</c:v>
                </c:pt>
                <c:pt idx="12">
                  <c:v>3.7095266776903557E-2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A5-4C39-A775-46A875BC0C17}"/>
            </c:ext>
          </c:extLst>
        </c:ser>
        <c:ser>
          <c:idx val="2"/>
          <c:order val="2"/>
          <c:tx>
            <c:v>Nominal Spread</c:v>
          </c:tx>
          <c:spPr>
            <a:ln w="44450">
              <a:prstDash val="sysDash"/>
            </a:ln>
          </c:spPr>
          <c:marker>
            <c:symbol val="circle"/>
            <c:size val="8"/>
          </c:marker>
          <c:cat>
            <c:numRef>
              <c:f>('pg 2 - Gas'!$G$9,'pg 2 - Gas'!$H$10:$S$10)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'pg 2 - Gas'!$G$73:$S$73</c:f>
              <c:numCache>
                <c:formatCode>0.00%</c:formatCode>
                <c:ptCount val="13"/>
                <c:pt idx="0">
                  <c:v>1.5701751534859008E-2</c:v>
                </c:pt>
                <c:pt idx="1">
                  <c:v>1.4400870871447417E-2</c:v>
                </c:pt>
                <c:pt idx="2">
                  <c:v>1.1884851853386797E-2</c:v>
                </c:pt>
                <c:pt idx="3">
                  <c:v>9.6033281809996887E-3</c:v>
                </c:pt>
                <c:pt idx="4">
                  <c:v>1.1050999829784525E-2</c:v>
                </c:pt>
                <c:pt idx="5">
                  <c:v>1.0385146190246698E-2</c:v>
                </c:pt>
                <c:pt idx="6">
                  <c:v>5.242177609302151E-3</c:v>
                </c:pt>
                <c:pt idx="7">
                  <c:v>1.3890924218272004E-2</c:v>
                </c:pt>
                <c:pt idx="8">
                  <c:v>1.4349422729576504E-2</c:v>
                </c:pt>
                <c:pt idx="9">
                  <c:v>1.6924429486145823E-2</c:v>
                </c:pt>
                <c:pt idx="10">
                  <c:v>2.6803072287765045E-2</c:v>
                </c:pt>
                <c:pt idx="11">
                  <c:v>2.5857003730635562E-2</c:v>
                </c:pt>
                <c:pt idx="12">
                  <c:v>2.3588066556429775E-2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A5-4C39-A775-46A875BC0C17}"/>
            </c:ext>
          </c:extLst>
        </c:ser>
        <c:ser>
          <c:idx val="5"/>
          <c:order val="4"/>
          <c:tx>
            <c:strRef>
              <c:f>'pg 2 - Gas'!$D$70:$E$70</c:f>
              <c:strCache>
                <c:ptCount val="2"/>
                <c:pt idx="0">
                  <c:v>Real "A" Rated Yield</c:v>
                </c:pt>
              </c:strCache>
            </c:strRef>
          </c:tx>
          <c:cat>
            <c:numRef>
              <c:f>('pg 2 - Gas'!$G$9,'pg 2 - Gas'!$H$10:$S$10)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'pg 2 - Gas'!$G$70:$S$70</c:f>
              <c:numCache>
                <c:formatCode>0.00%</c:formatCode>
                <c:ptCount val="13"/>
                <c:pt idx="0">
                  <c:v>2.1265685254241218E-2</c:v>
                </c:pt>
                <c:pt idx="1">
                  <c:v>2.0672019201252168E-2</c:v>
                </c:pt>
                <c:pt idx="2">
                  <c:v>2.3365519065233098E-2</c:v>
                </c:pt>
                <c:pt idx="3">
                  <c:v>2.3250884477517886E-2</c:v>
                </c:pt>
                <c:pt idx="4">
                  <c:v>2.0432969514362131E-2</c:v>
                </c:pt>
                <c:pt idx="5">
                  <c:v>2.0773200534045744E-2</c:v>
                </c:pt>
                <c:pt idx="6">
                  <c:v>1.763957562157592E-2</c:v>
                </c:pt>
                <c:pt idx="7">
                  <c:v>2.5782629834632864E-2</c:v>
                </c:pt>
                <c:pt idx="8">
                  <c:v>3.1344134263804113E-2</c:v>
                </c:pt>
                <c:pt idx="9">
                  <c:v>4.1098546107522393E-2</c:v>
                </c:pt>
                <c:pt idx="10">
                  <c:v>4.3056437098255129E-2</c:v>
                </c:pt>
                <c:pt idx="11">
                  <c:v>3.4916454047183798E-2</c:v>
                </c:pt>
                <c:pt idx="12">
                  <c:v>3.3558207729123435E-2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8A5-4C39-A775-46A875BC0C17}"/>
            </c:ext>
          </c:extLst>
        </c:ser>
        <c:ser>
          <c:idx val="4"/>
          <c:order val="5"/>
          <c:tx>
            <c:v>Real Dividend Yield</c:v>
          </c:tx>
          <c:cat>
            <c:numRef>
              <c:f>('pg 2 - Gas'!$G$9,'pg 2 - Gas'!$H$10:$S$10)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'pg 2 - Gas'!$G$66:$S$66</c:f>
              <c:numCache>
                <c:formatCode>0.00%</c:formatCode>
                <c:ptCount val="13"/>
                <c:pt idx="0">
                  <c:v>5.8844143880856237E-3</c:v>
                </c:pt>
                <c:pt idx="1">
                  <c:v>6.5386299835545891E-3</c:v>
                </c:pt>
                <c:pt idx="2">
                  <c:v>1.1662907420016522E-2</c:v>
                </c:pt>
                <c:pt idx="3">
                  <c:v>1.3812689588929672E-2</c:v>
                </c:pt>
                <c:pt idx="4">
                  <c:v>9.6187340657991616E-3</c:v>
                </c:pt>
                <c:pt idx="5">
                  <c:v>1.0626485611236358E-2</c:v>
                </c:pt>
                <c:pt idx="6">
                  <c:v>1.2516552935544434E-2</c:v>
                </c:pt>
                <c:pt idx="7">
                  <c:v>1.2217348336987177E-2</c:v>
                </c:pt>
                <c:pt idx="8">
                  <c:v>1.7311733129666163E-2</c:v>
                </c:pt>
                <c:pt idx="9">
                  <c:v>2.4482045350670889E-2</c:v>
                </c:pt>
                <c:pt idx="10">
                  <c:v>1.6812604862296299E-2</c:v>
                </c:pt>
                <c:pt idx="11">
                  <c:v>9.6887763903481527E-3</c:v>
                </c:pt>
                <c:pt idx="12">
                  <c:v>1.0573364819182807E-2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8A5-4C39-A775-46A875BC0C17}"/>
            </c:ext>
          </c:extLst>
        </c:ser>
        <c:ser>
          <c:idx val="6"/>
          <c:order val="6"/>
          <c:tx>
            <c:v>Real Spread</c:v>
          </c:tx>
          <c:cat>
            <c:numRef>
              <c:f>('pg 2 - Gas'!$G$9,'pg 2 - Gas'!$H$10:$S$10)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'pg 2 - Gas'!$G$74:$S$74</c:f>
              <c:numCache>
                <c:formatCode>0.00%</c:formatCode>
                <c:ptCount val="13"/>
                <c:pt idx="0">
                  <c:v>1.5381270866155594E-2</c:v>
                </c:pt>
                <c:pt idx="1">
                  <c:v>1.4133389217697578E-2</c:v>
                </c:pt>
                <c:pt idx="2">
                  <c:v>1.1702611645216576E-2</c:v>
                </c:pt>
                <c:pt idx="3">
                  <c:v>9.4381948885882139E-3</c:v>
                </c:pt>
                <c:pt idx="4">
                  <c:v>1.081423544856297E-2</c:v>
                </c:pt>
                <c:pt idx="5">
                  <c:v>1.0146714922809386E-2</c:v>
                </c:pt>
                <c:pt idx="6">
                  <c:v>5.1230226860314865E-3</c:v>
                </c:pt>
                <c:pt idx="7">
                  <c:v>1.3565281497645687E-2</c:v>
                </c:pt>
                <c:pt idx="8">
                  <c:v>1.4032401134137951E-2</c:v>
                </c:pt>
                <c:pt idx="9">
                  <c:v>1.6616500756851504E-2</c:v>
                </c:pt>
                <c:pt idx="10">
                  <c:v>2.6243832235958831E-2</c:v>
                </c:pt>
                <c:pt idx="11">
                  <c:v>2.5227677656835645E-2</c:v>
                </c:pt>
                <c:pt idx="12">
                  <c:v>2.2984842909940628E-2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A5-4C39-A775-46A875BC0C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310592"/>
        <c:axId val="441309056"/>
      </c:lineChart>
      <c:lineChart>
        <c:grouping val="standard"/>
        <c:varyColors val="0"/>
        <c:ser>
          <c:idx val="3"/>
          <c:order val="3"/>
          <c:cat>
            <c:numRef>
              <c:f>('pg 2 - Gas'!$G$9,'pg 2 - Gas'!$I$10:$S$10)</c:f>
              <c:numCache>
                <c:formatCode>General</c:formatCode>
                <c:ptCount val="12"/>
                <c:pt idx="0">
                  <c:v>2018</c:v>
                </c:pt>
                <c:pt idx="1">
                  <c:v>2016</c:v>
                </c:pt>
                <c:pt idx="2">
                  <c:v>2015</c:v>
                </c:pt>
                <c:pt idx="3">
                  <c:v>2014</c:v>
                </c:pt>
                <c:pt idx="4">
                  <c:v>2013</c:v>
                </c:pt>
                <c:pt idx="5">
                  <c:v>2012</c:v>
                </c:pt>
                <c:pt idx="6">
                  <c:v>2011</c:v>
                </c:pt>
                <c:pt idx="7">
                  <c:v>2010</c:v>
                </c:pt>
                <c:pt idx="8">
                  <c:v>2009</c:v>
                </c:pt>
                <c:pt idx="9">
                  <c:v>2008</c:v>
                </c:pt>
                <c:pt idx="10">
                  <c:v>2007</c:v>
                </c:pt>
                <c:pt idx="11">
                  <c:v>2006</c:v>
                </c:pt>
              </c:numCache>
            </c:numRef>
          </c:cat>
          <c:val>
            <c:numRef>
              <c:f>'pg 2 - Gas'!$G$65:$S$65</c:f>
              <c:numCache>
                <c:formatCode>0.00%</c:formatCode>
                <c:ptCount val="1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8A5-4C39-A775-46A875BC0C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484224"/>
        <c:axId val="444482688"/>
      </c:lineChart>
      <c:valAx>
        <c:axId val="441309056"/>
        <c:scaling>
          <c:orientation val="minMax"/>
          <c:max val="7.0000000000000021E-2"/>
          <c:min val="0"/>
        </c:scaling>
        <c:delete val="0"/>
        <c:axPos val="r"/>
        <c:numFmt formatCode="0.00%" sourceLinked="1"/>
        <c:majorTickMark val="none"/>
        <c:minorTickMark val="none"/>
        <c:tickLblPos val="none"/>
        <c:spPr>
          <a:ln>
            <a:noFill/>
          </a:ln>
        </c:spPr>
        <c:crossAx val="441310592"/>
        <c:crosses val="autoZero"/>
        <c:crossBetween val="between"/>
        <c:majorUnit val="1.0000000000000005E-2"/>
      </c:valAx>
      <c:catAx>
        <c:axId val="4413105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441309056"/>
        <c:crosses val="autoZero"/>
        <c:auto val="1"/>
        <c:lblAlgn val="ctr"/>
        <c:lblOffset val="100"/>
        <c:noMultiLvlLbl val="0"/>
      </c:catAx>
      <c:valAx>
        <c:axId val="444482688"/>
        <c:scaling>
          <c:orientation val="minMax"/>
          <c:max val="7.0000000000000021E-2"/>
          <c:min val="0"/>
        </c:scaling>
        <c:delete val="0"/>
        <c:axPos val="l"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444484224"/>
        <c:crosses val="autoZero"/>
        <c:crossBetween val="between"/>
        <c:majorUnit val="1.0000000000000005E-2"/>
      </c:valAx>
      <c:catAx>
        <c:axId val="4444842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44482688"/>
        <c:crosses val="autoZero"/>
        <c:auto val="1"/>
        <c:lblAlgn val="ctr"/>
        <c:lblOffset val="100"/>
        <c:noMultiLvlLbl val="0"/>
      </c:catAx>
    </c:plotArea>
    <c:legend>
      <c:legendPos val="b"/>
      <c:legendEntry>
        <c:idx val="6"/>
        <c:delete val="1"/>
      </c:legendEntry>
      <c:layout>
        <c:manualLayout>
          <c:xMode val="edge"/>
          <c:yMode val="edge"/>
          <c:x val="4.5579813888576452E-2"/>
          <c:y val="0.87177701554056308"/>
          <c:w val="0.90055776486479366"/>
          <c:h val="0.12341597466529598"/>
        </c:manualLayout>
      </c:layout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000000000000533" l="0.70000000000000062" r="0.70000000000000062" t="0.75000000000000533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Trends in Dividend Yield and "A" Rated Utility Bond Yield</a:t>
            </a:r>
          </a:p>
        </c:rich>
      </c:tx>
      <c:layout>
        <c:manualLayout>
          <c:xMode val="edge"/>
          <c:yMode val="edge"/>
          <c:x val="0.24133735707605541"/>
          <c:y val="5.64236111111119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2700734606449999E-2"/>
          <c:y val="0.17896007627952756"/>
          <c:w val="0.90412876730925851"/>
          <c:h val="0.5939355725065617"/>
        </c:manualLayout>
      </c:layout>
      <c:lineChart>
        <c:grouping val="standard"/>
        <c:varyColors val="0"/>
        <c:ser>
          <c:idx val="0"/>
          <c:order val="0"/>
          <c:tx>
            <c:v> Nom. "A" Rated Utility Bond Yield</c:v>
          </c:tx>
          <c:spPr>
            <a:ln w="44450"/>
          </c:spPr>
          <c:marker>
            <c:symbol val="triangle"/>
            <c:size val="8"/>
          </c:marker>
          <c:cat>
            <c:numRef>
              <c:f>('pg 2 - Gas'!$G$9,'pg 2 - Gas'!$H$10:$S$10)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'pg 2 - Gas'!$G$69:$S$69</c:f>
              <c:numCache>
                <c:formatCode>0.00%</c:formatCode>
                <c:ptCount val="13"/>
                <c:pt idx="0">
                  <c:v>4.254454527705958E-2</c:v>
                </c:pt>
                <c:pt idx="1">
                  <c:v>3.9988761663160968E-2</c:v>
                </c:pt>
                <c:pt idx="2">
                  <c:v>3.930199127182251E-2</c:v>
                </c:pt>
                <c:pt idx="3">
                  <c:v>4.1153967589428117E-2</c:v>
                </c:pt>
                <c:pt idx="4">
                  <c:v>4.2774094021446961E-2</c:v>
                </c:pt>
                <c:pt idx="5">
                  <c:v>4.4759707479483019E-2</c:v>
                </c:pt>
                <c:pt idx="6">
                  <c:v>4.1308564221010043E-2</c:v>
                </c:pt>
                <c:pt idx="7">
                  <c:v>5.0407157265811221E-2</c:v>
                </c:pt>
                <c:pt idx="8">
                  <c:v>5.4644377733549555E-2</c:v>
                </c:pt>
                <c:pt idx="9">
                  <c:v>6.0391666666666656E-2</c:v>
                </c:pt>
                <c:pt idx="10">
                  <c:v>6.5283333333333332E-2</c:v>
                </c:pt>
                <c:pt idx="11">
                  <c:v>6.0733333333333334E-2</c:v>
                </c:pt>
                <c:pt idx="12">
                  <c:v>6.0683333333333332E-2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EB-4152-AC39-92185F9CB688}"/>
            </c:ext>
          </c:extLst>
        </c:ser>
        <c:ser>
          <c:idx val="1"/>
          <c:order val="1"/>
          <c:tx>
            <c:v>Average Nom. Dividend Yield</c:v>
          </c:tx>
          <c:spPr>
            <a:ln w="44450">
              <a:prstDash val="lgDash"/>
            </a:ln>
          </c:spPr>
          <c:marker>
            <c:symbol val="square"/>
            <c:size val="8"/>
          </c:marker>
          <c:cat>
            <c:numRef>
              <c:f>('pg 2 - Gas'!$G$9,'pg 2 - Gas'!$H$10:$S$10)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'pg 2 - Gas'!$G$59:$S$59</c:f>
              <c:numCache>
                <c:formatCode>0.00%</c:formatCode>
                <c:ptCount val="13"/>
                <c:pt idx="0">
                  <c:v>2.6842793742200572E-2</c:v>
                </c:pt>
                <c:pt idx="1">
                  <c:v>2.5587890791713551E-2</c:v>
                </c:pt>
                <c:pt idx="2">
                  <c:v>2.7417139418435713E-2</c:v>
                </c:pt>
                <c:pt idx="3">
                  <c:v>3.1550639408428428E-2</c:v>
                </c:pt>
                <c:pt idx="4">
                  <c:v>3.1723094191662436E-2</c:v>
                </c:pt>
                <c:pt idx="5">
                  <c:v>3.437456128923632E-2</c:v>
                </c:pt>
                <c:pt idx="6">
                  <c:v>3.6066386611707892E-2</c:v>
                </c:pt>
                <c:pt idx="7">
                  <c:v>3.6516233047539218E-2</c:v>
                </c:pt>
                <c:pt idx="8">
                  <c:v>4.0294955003973051E-2</c:v>
                </c:pt>
                <c:pt idx="9">
                  <c:v>4.3467237180520833E-2</c:v>
                </c:pt>
                <c:pt idx="10">
                  <c:v>3.8480261045568287E-2</c:v>
                </c:pt>
                <c:pt idx="11">
                  <c:v>3.4876329602697771E-2</c:v>
                </c:pt>
                <c:pt idx="12">
                  <c:v>3.7095266776903557E-2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EB-4152-AC39-92185F9CB688}"/>
            </c:ext>
          </c:extLst>
        </c:ser>
        <c:ser>
          <c:idx val="2"/>
          <c:order val="2"/>
          <c:tx>
            <c:v>Nominal Spread</c:v>
          </c:tx>
          <c:spPr>
            <a:ln w="44450">
              <a:prstDash val="sysDash"/>
            </a:ln>
          </c:spPr>
          <c:marker>
            <c:symbol val="circle"/>
            <c:size val="8"/>
          </c:marker>
          <c:cat>
            <c:numRef>
              <c:f>('pg 2 - Gas'!$G$9,'pg 2 - Gas'!$H$10:$S$10)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'pg 2 - Gas'!$G$73:$S$73</c:f>
              <c:numCache>
                <c:formatCode>0.00%</c:formatCode>
                <c:ptCount val="13"/>
                <c:pt idx="0">
                  <c:v>1.5701751534859008E-2</c:v>
                </c:pt>
                <c:pt idx="1">
                  <c:v>1.4400870871447417E-2</c:v>
                </c:pt>
                <c:pt idx="2">
                  <c:v>1.1884851853386797E-2</c:v>
                </c:pt>
                <c:pt idx="3">
                  <c:v>9.6033281809996887E-3</c:v>
                </c:pt>
                <c:pt idx="4">
                  <c:v>1.1050999829784525E-2</c:v>
                </c:pt>
                <c:pt idx="5">
                  <c:v>1.0385146190246698E-2</c:v>
                </c:pt>
                <c:pt idx="6">
                  <c:v>5.242177609302151E-3</c:v>
                </c:pt>
                <c:pt idx="7">
                  <c:v>1.3890924218272004E-2</c:v>
                </c:pt>
                <c:pt idx="8">
                  <c:v>1.4349422729576504E-2</c:v>
                </c:pt>
                <c:pt idx="9">
                  <c:v>1.6924429486145823E-2</c:v>
                </c:pt>
                <c:pt idx="10">
                  <c:v>2.6803072287765045E-2</c:v>
                </c:pt>
                <c:pt idx="11">
                  <c:v>2.5857003730635562E-2</c:v>
                </c:pt>
                <c:pt idx="12">
                  <c:v>2.3588066556429775E-2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EB-4152-AC39-92185F9CB688}"/>
            </c:ext>
          </c:extLst>
        </c:ser>
        <c:ser>
          <c:idx val="5"/>
          <c:order val="4"/>
          <c:tx>
            <c:strRef>
              <c:f>'pg 2 - Gas'!$D$70:$E$70</c:f>
              <c:strCache>
                <c:ptCount val="2"/>
                <c:pt idx="0">
                  <c:v>Real "A" Rated Yield</c:v>
                </c:pt>
              </c:strCache>
            </c:strRef>
          </c:tx>
          <c:cat>
            <c:numRef>
              <c:f>('pg 2 - Gas'!$G$9,'pg 2 - Gas'!$H$10:$S$10)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'pg 2 - Gas'!$G$70:$S$70</c:f>
              <c:numCache>
                <c:formatCode>0.00%</c:formatCode>
                <c:ptCount val="13"/>
                <c:pt idx="0">
                  <c:v>2.1265685254241218E-2</c:v>
                </c:pt>
                <c:pt idx="1">
                  <c:v>2.0672019201252168E-2</c:v>
                </c:pt>
                <c:pt idx="2">
                  <c:v>2.3365519065233098E-2</c:v>
                </c:pt>
                <c:pt idx="3">
                  <c:v>2.3250884477517886E-2</c:v>
                </c:pt>
                <c:pt idx="4">
                  <c:v>2.0432969514362131E-2</c:v>
                </c:pt>
                <c:pt idx="5">
                  <c:v>2.0773200534045744E-2</c:v>
                </c:pt>
                <c:pt idx="6">
                  <c:v>1.763957562157592E-2</c:v>
                </c:pt>
                <c:pt idx="7">
                  <c:v>2.5782629834632864E-2</c:v>
                </c:pt>
                <c:pt idx="8">
                  <c:v>3.1344134263804113E-2</c:v>
                </c:pt>
                <c:pt idx="9">
                  <c:v>4.1098546107522393E-2</c:v>
                </c:pt>
                <c:pt idx="10">
                  <c:v>4.3056437098255129E-2</c:v>
                </c:pt>
                <c:pt idx="11">
                  <c:v>3.4916454047183798E-2</c:v>
                </c:pt>
                <c:pt idx="12">
                  <c:v>3.3558207729123435E-2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9EB-4152-AC39-92185F9CB688}"/>
            </c:ext>
          </c:extLst>
        </c:ser>
        <c:ser>
          <c:idx val="4"/>
          <c:order val="5"/>
          <c:tx>
            <c:v>Real Dividend Yield</c:v>
          </c:tx>
          <c:cat>
            <c:numRef>
              <c:f>('pg 2 - Gas'!$G$9,'pg 2 - Gas'!$H$10:$S$10)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'pg 2 - Gas'!$G$66:$S$66</c:f>
              <c:numCache>
                <c:formatCode>0.00%</c:formatCode>
                <c:ptCount val="13"/>
                <c:pt idx="0">
                  <c:v>5.8844143880856237E-3</c:v>
                </c:pt>
                <c:pt idx="1">
                  <c:v>6.5386299835545891E-3</c:v>
                </c:pt>
                <c:pt idx="2">
                  <c:v>1.1662907420016522E-2</c:v>
                </c:pt>
                <c:pt idx="3">
                  <c:v>1.3812689588929672E-2</c:v>
                </c:pt>
                <c:pt idx="4">
                  <c:v>9.6187340657991616E-3</c:v>
                </c:pt>
                <c:pt idx="5">
                  <c:v>1.0626485611236358E-2</c:v>
                </c:pt>
                <c:pt idx="6">
                  <c:v>1.2516552935544434E-2</c:v>
                </c:pt>
                <c:pt idx="7">
                  <c:v>1.2217348336987177E-2</c:v>
                </c:pt>
                <c:pt idx="8">
                  <c:v>1.7311733129666163E-2</c:v>
                </c:pt>
                <c:pt idx="9">
                  <c:v>2.4482045350670889E-2</c:v>
                </c:pt>
                <c:pt idx="10">
                  <c:v>1.6812604862296299E-2</c:v>
                </c:pt>
                <c:pt idx="11">
                  <c:v>9.6887763903481527E-3</c:v>
                </c:pt>
                <c:pt idx="12">
                  <c:v>1.0573364819182807E-2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9EB-4152-AC39-92185F9CB688}"/>
            </c:ext>
          </c:extLst>
        </c:ser>
        <c:ser>
          <c:idx val="6"/>
          <c:order val="6"/>
          <c:tx>
            <c:v>Real Spread</c:v>
          </c:tx>
          <c:cat>
            <c:numRef>
              <c:f>('pg 2 - Gas'!$G$9,'pg 2 - Gas'!$H$10:$S$10)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'pg 2 - Gas'!$G$74:$S$74</c:f>
              <c:numCache>
                <c:formatCode>0.00%</c:formatCode>
                <c:ptCount val="13"/>
                <c:pt idx="0">
                  <c:v>1.5381270866155594E-2</c:v>
                </c:pt>
                <c:pt idx="1">
                  <c:v>1.4133389217697578E-2</c:v>
                </c:pt>
                <c:pt idx="2">
                  <c:v>1.1702611645216576E-2</c:v>
                </c:pt>
                <c:pt idx="3">
                  <c:v>9.4381948885882139E-3</c:v>
                </c:pt>
                <c:pt idx="4">
                  <c:v>1.081423544856297E-2</c:v>
                </c:pt>
                <c:pt idx="5">
                  <c:v>1.0146714922809386E-2</c:v>
                </c:pt>
                <c:pt idx="6">
                  <c:v>5.1230226860314865E-3</c:v>
                </c:pt>
                <c:pt idx="7">
                  <c:v>1.3565281497645687E-2</c:v>
                </c:pt>
                <c:pt idx="8">
                  <c:v>1.4032401134137951E-2</c:v>
                </c:pt>
                <c:pt idx="9">
                  <c:v>1.6616500756851504E-2</c:v>
                </c:pt>
                <c:pt idx="10">
                  <c:v>2.6243832235958831E-2</c:v>
                </c:pt>
                <c:pt idx="11">
                  <c:v>2.5227677656835645E-2</c:v>
                </c:pt>
                <c:pt idx="12">
                  <c:v>2.2984842909940628E-2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9EB-4152-AC39-92185F9CB6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310592"/>
        <c:axId val="441309056"/>
      </c:lineChart>
      <c:lineChart>
        <c:grouping val="standard"/>
        <c:varyColors val="0"/>
        <c:ser>
          <c:idx val="3"/>
          <c:order val="3"/>
          <c:cat>
            <c:numRef>
              <c:f>('pg 2 - Gas'!$G$9,'pg 2 - Gas'!$I$10:$S$10)</c:f>
              <c:numCache>
                <c:formatCode>General</c:formatCode>
                <c:ptCount val="12"/>
                <c:pt idx="0">
                  <c:v>2018</c:v>
                </c:pt>
                <c:pt idx="1">
                  <c:v>2016</c:v>
                </c:pt>
                <c:pt idx="2">
                  <c:v>2015</c:v>
                </c:pt>
                <c:pt idx="3">
                  <c:v>2014</c:v>
                </c:pt>
                <c:pt idx="4">
                  <c:v>2013</c:v>
                </c:pt>
                <c:pt idx="5">
                  <c:v>2012</c:v>
                </c:pt>
                <c:pt idx="6">
                  <c:v>2011</c:v>
                </c:pt>
                <c:pt idx="7">
                  <c:v>2010</c:v>
                </c:pt>
                <c:pt idx="8">
                  <c:v>2009</c:v>
                </c:pt>
                <c:pt idx="9">
                  <c:v>2008</c:v>
                </c:pt>
                <c:pt idx="10">
                  <c:v>2007</c:v>
                </c:pt>
                <c:pt idx="11">
                  <c:v>2006</c:v>
                </c:pt>
              </c:numCache>
            </c:numRef>
          </c:cat>
          <c:val>
            <c:numRef>
              <c:f>'pg 2 - Gas'!$G$65:$S$65</c:f>
              <c:numCache>
                <c:formatCode>0.00%</c:formatCode>
                <c:ptCount val="1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9EB-4152-AC39-92185F9CB6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484224"/>
        <c:axId val="444482688"/>
      </c:lineChart>
      <c:valAx>
        <c:axId val="441309056"/>
        <c:scaling>
          <c:orientation val="minMax"/>
          <c:max val="7.0000000000000021E-2"/>
          <c:min val="0"/>
        </c:scaling>
        <c:delete val="0"/>
        <c:axPos val="r"/>
        <c:numFmt formatCode="0.00%" sourceLinked="1"/>
        <c:majorTickMark val="none"/>
        <c:minorTickMark val="none"/>
        <c:tickLblPos val="none"/>
        <c:spPr>
          <a:ln>
            <a:noFill/>
          </a:ln>
        </c:spPr>
        <c:crossAx val="441310592"/>
        <c:crosses val="autoZero"/>
        <c:crossBetween val="between"/>
        <c:majorUnit val="1.0000000000000005E-2"/>
      </c:valAx>
      <c:catAx>
        <c:axId val="4413105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441309056"/>
        <c:crosses val="autoZero"/>
        <c:auto val="1"/>
        <c:lblAlgn val="ctr"/>
        <c:lblOffset val="100"/>
        <c:noMultiLvlLbl val="0"/>
      </c:catAx>
      <c:valAx>
        <c:axId val="444482688"/>
        <c:scaling>
          <c:orientation val="minMax"/>
          <c:max val="7.0000000000000021E-2"/>
          <c:min val="0"/>
        </c:scaling>
        <c:delete val="0"/>
        <c:axPos val="l"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444484224"/>
        <c:crosses val="autoZero"/>
        <c:crossBetween val="between"/>
        <c:majorUnit val="1.0000000000000005E-2"/>
      </c:valAx>
      <c:catAx>
        <c:axId val="4444842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44482688"/>
        <c:crosses val="autoZero"/>
        <c:auto val="1"/>
        <c:lblAlgn val="ctr"/>
        <c:lblOffset val="100"/>
        <c:noMultiLvlLbl val="0"/>
      </c:catAx>
    </c:plotArea>
    <c:legend>
      <c:legendPos val="b"/>
      <c:legendEntry>
        <c:idx val="6"/>
        <c:delete val="1"/>
      </c:legendEntry>
      <c:layout>
        <c:manualLayout>
          <c:xMode val="edge"/>
          <c:yMode val="edge"/>
          <c:x val="4.5579813888576452E-2"/>
          <c:y val="0.87177701554056308"/>
          <c:w val="0.90055776486479366"/>
          <c:h val="0.12341597466529598"/>
        </c:manualLayout>
      </c:layout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000000000000533" l="0.70000000000000062" r="0.70000000000000062" t="0.75000000000000533" header="0.30000000000000032" footer="0.30000000000000032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220980</xdr:colOff>
      <xdr:row>81</xdr:row>
      <xdr:rowOff>54428</xdr:rowOff>
    </xdr:from>
    <xdr:to>
      <xdr:col>18</xdr:col>
      <xdr:colOff>462643</xdr:colOff>
      <xdr:row>101</xdr:row>
      <xdr:rowOff>165100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220980</xdr:colOff>
      <xdr:row>78</xdr:row>
      <xdr:rowOff>137160</xdr:rowOff>
    </xdr:from>
    <xdr:to>
      <xdr:col>18</xdr:col>
      <xdr:colOff>598714</xdr:colOff>
      <xdr:row>148</xdr:row>
      <xdr:rowOff>136072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220980</xdr:colOff>
      <xdr:row>78</xdr:row>
      <xdr:rowOff>137160</xdr:rowOff>
    </xdr:from>
    <xdr:to>
      <xdr:col>18</xdr:col>
      <xdr:colOff>598714</xdr:colOff>
      <xdr:row>148</xdr:row>
      <xdr:rowOff>136072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MC.BRUBAKER\Documents\AIC%20RP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nsultbai.local\Documents\ProlawDocs\DEB\0718.1\Exhibit\32708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 MPG-12"/>
      <sheetName val="Exhibit MPG-13 Electric"/>
      <sheetName val="Exhibit MPG-14 Electric"/>
      <sheetName val="Exhibit MPG-13"/>
      <sheetName val="Exhibit MPG-14"/>
      <sheetName val="Exhibit MPG-15"/>
      <sheetName val="Exhibit MPG-16a"/>
      <sheetName val="Exhibit MPG-16b"/>
      <sheetName val="Exhibit MPG-16c"/>
      <sheetName val="Exhibit MPG-"/>
      <sheetName val="Yields (WP)"/>
      <sheetName val="FRED 20 yr TIPS monthly"/>
      <sheetName val="Treas 20 yr"/>
      <sheetName val="Moodys Yields(WP)"/>
      <sheetName val="Monthly Yields (WP)"/>
      <sheetName val="Annual Yields (WP)"/>
      <sheetName val="A rated Bond Yield Spread Graph"/>
      <sheetName val="Elec. Authorized Returns Graph"/>
      <sheetName val="Gas Authorized Returns Graph"/>
      <sheetName val="Authorized Returns G &amp; E"/>
    </sheetNames>
    <sheetDataSet>
      <sheetData sheetId="0">
        <row r="1">
          <cell r="A1" t="str">
            <v>Ameren Illinois Company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6">
          <cell r="E6">
            <v>10010</v>
          </cell>
        </row>
      </sheetData>
      <sheetData sheetId="11"/>
      <sheetData sheetId="12"/>
      <sheetData sheetId="13">
        <row r="1">
          <cell r="A1">
            <v>2868</v>
          </cell>
        </row>
        <row r="2">
          <cell r="Q2">
            <v>17</v>
          </cell>
        </row>
        <row r="3">
          <cell r="A3" t="str">
            <v>Date</v>
          </cell>
        </row>
        <row r="4">
          <cell r="A4">
            <v>38720</v>
          </cell>
          <cell r="B4" t="str">
            <v>N/A</v>
          </cell>
          <cell r="C4">
            <v>5.4600000000000003E-2</v>
          </cell>
          <cell r="D4">
            <v>5.7000000000000002E-2</v>
          </cell>
          <cell r="E4">
            <v>6.0299999999999999E-2</v>
          </cell>
          <cell r="F4">
            <v>5.7299999999999997E-2</v>
          </cell>
          <cell r="G4"/>
          <cell r="H4"/>
          <cell r="I4"/>
          <cell r="J4"/>
          <cell r="K4">
            <v>5.74E-2</v>
          </cell>
          <cell r="L4"/>
          <cell r="M4"/>
          <cell r="N4"/>
          <cell r="O4">
            <v>38718</v>
          </cell>
          <cell r="Q4">
            <v>3.9999999999999758E-4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tric -1"/>
      <sheetName val="Electric -2"/>
      <sheetName val="Gas -1"/>
      <sheetName val="Gas -2"/>
      <sheetName val="P-E Ratio (WP)"/>
      <sheetName val="MP-CF (WP)"/>
      <sheetName val="MP-BV (WP)"/>
      <sheetName val="DIV-BV (WP)"/>
      <sheetName val="DIV-Earnings (WP)"/>
      <sheetName val="CF-Cap Spend (WP)"/>
      <sheetName val="2017 Data (WP)"/>
      <sheetName val="2016"/>
      <sheetName val="MP"/>
      <sheetName val="CF"/>
      <sheetName val="EPS"/>
      <sheetName val="DIV"/>
      <sheetName val="CapS"/>
      <sheetName val="BV"/>
      <sheetName val="20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9">
          <cell r="C9" t="str">
            <v>Electric Util. (Central)</v>
          </cell>
          <cell r="D9" t="str">
            <v>ALE</v>
          </cell>
        </row>
        <row r="10">
          <cell r="C10" t="str">
            <v>Electric Util. (Central)</v>
          </cell>
          <cell r="D10" t="str">
            <v>LNT</v>
          </cell>
        </row>
        <row r="11">
          <cell r="C11" t="str">
            <v>Water Utility</v>
          </cell>
          <cell r="D11" t="str">
            <v>AWR</v>
          </cell>
        </row>
        <row r="12">
          <cell r="C12" t="str">
            <v>Water Utility</v>
          </cell>
          <cell r="D12" t="str">
            <v>AWK</v>
          </cell>
        </row>
        <row r="13">
          <cell r="C13" t="str">
            <v>Electric Util. (Central)</v>
          </cell>
          <cell r="D13" t="str">
            <v>AEE</v>
          </cell>
        </row>
        <row r="14">
          <cell r="C14" t="str">
            <v>Electric Util. (Central)</v>
          </cell>
          <cell r="D14" t="str">
            <v>AEP</v>
          </cell>
        </row>
        <row r="15">
          <cell r="C15" t="str">
            <v>Water Utility</v>
          </cell>
          <cell r="D15" t="str">
            <v>WTR</v>
          </cell>
        </row>
        <row r="16">
          <cell r="C16" t="str">
            <v>Natural Gas Utility</v>
          </cell>
          <cell r="D16" t="str">
            <v>ATO</v>
          </cell>
        </row>
        <row r="17">
          <cell r="C17" t="str">
            <v>Electric Utility (East)</v>
          </cell>
          <cell r="D17" t="str">
            <v>AGR</v>
          </cell>
        </row>
        <row r="18">
          <cell r="C18" t="str">
            <v>Electric Utility (West)</v>
          </cell>
          <cell r="D18" t="str">
            <v>AVA</v>
          </cell>
        </row>
        <row r="19">
          <cell r="C19" t="str">
            <v>Electric Utility (West)</v>
          </cell>
          <cell r="D19" t="str">
            <v>BKH</v>
          </cell>
        </row>
        <row r="20">
          <cell r="C20" t="str">
            <v>Water Utility</v>
          </cell>
          <cell r="D20" t="str">
            <v>CWT</v>
          </cell>
        </row>
        <row r="21">
          <cell r="C21" t="str">
            <v>Electric Util. (Central)</v>
          </cell>
          <cell r="D21" t="str">
            <v>CNP</v>
          </cell>
        </row>
        <row r="22">
          <cell r="C22" t="str">
            <v>Natural Gas Utility</v>
          </cell>
          <cell r="D22" t="str">
            <v>CPK</v>
          </cell>
        </row>
        <row r="23">
          <cell r="C23" t="str">
            <v>Electric Util. (Central)</v>
          </cell>
          <cell r="D23" t="str">
            <v>CMS</v>
          </cell>
        </row>
        <row r="24">
          <cell r="C24" t="str">
            <v>Water Utility</v>
          </cell>
          <cell r="D24" t="str">
            <v>CTWS</v>
          </cell>
        </row>
        <row r="25">
          <cell r="C25" t="str">
            <v>Electric Utility (East)</v>
          </cell>
          <cell r="D25" t="str">
            <v>ED</v>
          </cell>
        </row>
        <row r="26">
          <cell r="C26" t="str">
            <v>Water Utility</v>
          </cell>
          <cell r="D26" t="str">
            <v>CWCO</v>
          </cell>
        </row>
        <row r="27">
          <cell r="C27" t="str">
            <v>Electric Utility (East)</v>
          </cell>
          <cell r="D27" t="str">
            <v>D</v>
          </cell>
        </row>
        <row r="28">
          <cell r="C28" t="str">
            <v>Electric Util. (Central)</v>
          </cell>
          <cell r="D28" t="str">
            <v>DTE</v>
          </cell>
        </row>
        <row r="29">
          <cell r="C29" t="str">
            <v>Electric Utility (East)</v>
          </cell>
          <cell r="D29" t="str">
            <v>DUK</v>
          </cell>
        </row>
        <row r="30">
          <cell r="C30" t="str">
            <v>Electric Utility (West)</v>
          </cell>
          <cell r="D30" t="str">
            <v>EIX</v>
          </cell>
        </row>
        <row r="31">
          <cell r="C31" t="str">
            <v>Electric Utility (West)</v>
          </cell>
          <cell r="D31" t="str">
            <v>EE</v>
          </cell>
        </row>
        <row r="32">
          <cell r="D32"/>
        </row>
        <row r="33">
          <cell r="C33" t="str">
            <v>Electric Util. (Central)</v>
          </cell>
          <cell r="D33" t="str">
            <v>ETR</v>
          </cell>
        </row>
        <row r="34">
          <cell r="C34" t="str">
            <v>Electric Utility (East)</v>
          </cell>
          <cell r="D34" t="str">
            <v>ES</v>
          </cell>
        </row>
        <row r="35">
          <cell r="C35" t="str">
            <v>Electric Utility (East)</v>
          </cell>
          <cell r="D35" t="str">
            <v>EXC</v>
          </cell>
        </row>
        <row r="36">
          <cell r="C36" t="str">
            <v>Electric Utility (East)</v>
          </cell>
          <cell r="D36" t="str">
            <v>FE</v>
          </cell>
        </row>
        <row r="37">
          <cell r="C37" t="str">
            <v>Electric Util. (Central)</v>
          </cell>
          <cell r="D37" t="str">
            <v>FTS.TO</v>
          </cell>
        </row>
        <row r="38">
          <cell r="C38" t="str">
            <v>Electric Util. (Central)</v>
          </cell>
          <cell r="D38" t="str">
            <v>GXP</v>
          </cell>
        </row>
        <row r="39">
          <cell r="C39" t="str">
            <v>Electric Utility (West)</v>
          </cell>
          <cell r="D39" t="str">
            <v>HE</v>
          </cell>
        </row>
        <row r="40">
          <cell r="C40" t="str">
            <v>Electric Utility (West)</v>
          </cell>
          <cell r="D40" t="str">
            <v>IDA</v>
          </cell>
        </row>
        <row r="41">
          <cell r="C41" t="str">
            <v>Electric Util. (Central)</v>
          </cell>
          <cell r="D41" t="str">
            <v>MGEE</v>
          </cell>
        </row>
        <row r="42">
          <cell r="C42" t="str">
            <v>Water Utility</v>
          </cell>
          <cell r="D42" t="str">
            <v>MSEX</v>
          </cell>
        </row>
        <row r="43">
          <cell r="C43" t="str">
            <v>Natural Gas Utility</v>
          </cell>
          <cell r="D43" t="str">
            <v>NJR</v>
          </cell>
        </row>
        <row r="44">
          <cell r="C44" t="str">
            <v>Electric Utility (East)</v>
          </cell>
          <cell r="D44" t="str">
            <v>NEE</v>
          </cell>
        </row>
        <row r="45">
          <cell r="C45" t="str">
            <v>Natural Gas Utility</v>
          </cell>
          <cell r="D45" t="str">
            <v>NI</v>
          </cell>
        </row>
        <row r="46">
          <cell r="C46" t="str">
            <v>Natural Gas Utility</v>
          </cell>
          <cell r="D46" t="str">
            <v>NWN</v>
          </cell>
        </row>
        <row r="47">
          <cell r="C47" t="str">
            <v>Electric Utility (West)</v>
          </cell>
          <cell r="D47" t="str">
            <v>NWE</v>
          </cell>
        </row>
        <row r="48">
          <cell r="C48" t="str">
            <v>Natural Gas Utility</v>
          </cell>
          <cell r="D48" t="str">
            <v>OGS</v>
          </cell>
        </row>
        <row r="49">
          <cell r="C49" t="str">
            <v>Electric Util. (Central)</v>
          </cell>
          <cell r="D49" t="str">
            <v>OGE</v>
          </cell>
        </row>
        <row r="50">
          <cell r="C50" t="str">
            <v>Electric Util. (Central)</v>
          </cell>
          <cell r="D50" t="str">
            <v>OTTR</v>
          </cell>
        </row>
        <row r="51">
          <cell r="C51" t="str">
            <v>Electric Utility (West)</v>
          </cell>
          <cell r="D51" t="str">
            <v>PCG</v>
          </cell>
        </row>
        <row r="52">
          <cell r="C52" t="str">
            <v>Electric Utility (West)</v>
          </cell>
          <cell r="D52" t="str">
            <v>PNW</v>
          </cell>
        </row>
        <row r="53">
          <cell r="C53" t="str">
            <v>Electric Utility (West)</v>
          </cell>
          <cell r="D53" t="str">
            <v>PNM</v>
          </cell>
        </row>
        <row r="54">
          <cell r="C54" t="str">
            <v>Electric Utility (West)</v>
          </cell>
          <cell r="D54" t="str">
            <v>POR</v>
          </cell>
        </row>
        <row r="55">
          <cell r="C55" t="str">
            <v>Electric Utility (East)</v>
          </cell>
          <cell r="D55" t="str">
            <v>PPL</v>
          </cell>
        </row>
        <row r="56">
          <cell r="C56" t="str">
            <v>Electric Utility (East)</v>
          </cell>
          <cell r="D56" t="str">
            <v>PEG</v>
          </cell>
        </row>
        <row r="57">
          <cell r="C57" t="str">
            <v>Electric Utility (East)</v>
          </cell>
          <cell r="D57" t="str">
            <v>SCG</v>
          </cell>
        </row>
        <row r="58">
          <cell r="C58" t="str">
            <v>Electric Utility (West)</v>
          </cell>
          <cell r="D58" t="str">
            <v>SRE</v>
          </cell>
        </row>
        <row r="59">
          <cell r="C59" t="str">
            <v>Water Utility</v>
          </cell>
          <cell r="D59" t="str">
            <v>SJW</v>
          </cell>
        </row>
        <row r="60">
          <cell r="C60" t="str">
            <v>Natural Gas Utility</v>
          </cell>
          <cell r="D60" t="str">
            <v>SJI</v>
          </cell>
        </row>
        <row r="61">
          <cell r="C61" t="str">
            <v>Electric Utility (East)</v>
          </cell>
          <cell r="D61" t="str">
            <v>SO</v>
          </cell>
        </row>
        <row r="62">
          <cell r="C62" t="str">
            <v>Natural Gas Utility</v>
          </cell>
          <cell r="D62" t="str">
            <v>SWX</v>
          </cell>
        </row>
        <row r="63">
          <cell r="C63" t="str">
            <v>Natural Gas Utility</v>
          </cell>
          <cell r="D63" t="str">
            <v>SR</v>
          </cell>
        </row>
        <row r="64">
          <cell r="C64" t="str">
            <v>Natural Gas Utility</v>
          </cell>
          <cell r="D64" t="str">
            <v>UGI</v>
          </cell>
        </row>
        <row r="65">
          <cell r="C65" t="str">
            <v>Electric Util. (Central)</v>
          </cell>
          <cell r="D65" t="str">
            <v>VVC</v>
          </cell>
        </row>
        <row r="66">
          <cell r="C66" t="str">
            <v>Electric Util. (Central)</v>
          </cell>
          <cell r="D66" t="str">
            <v>WEC</v>
          </cell>
        </row>
        <row r="67">
          <cell r="C67" t="str">
            <v>Electric Util. (Central)</v>
          </cell>
          <cell r="D67" t="str">
            <v>WR</v>
          </cell>
        </row>
        <row r="68">
          <cell r="C68" t="str">
            <v>Natural Gas Utility</v>
          </cell>
          <cell r="D68" t="str">
            <v>WGL</v>
          </cell>
        </row>
        <row r="69">
          <cell r="C69" t="str">
            <v>Electric Utility (West)</v>
          </cell>
          <cell r="D69" t="str">
            <v>XEL</v>
          </cell>
        </row>
        <row r="70">
          <cell r="C70" t="str">
            <v>Water Utility</v>
          </cell>
          <cell r="D70" t="str">
            <v>YORW</v>
          </cell>
        </row>
        <row r="71">
          <cell r="D71"/>
        </row>
        <row r="72">
          <cell r="D72"/>
        </row>
      </sheetData>
      <sheetData sheetId="11">
        <row r="1">
          <cell r="A1">
            <v>42907</v>
          </cell>
        </row>
      </sheetData>
      <sheetData sheetId="12"/>
      <sheetData sheetId="13"/>
      <sheetData sheetId="14"/>
      <sheetData sheetId="15"/>
      <sheetData sheetId="16"/>
      <sheetData sheetId="17"/>
      <sheetData sheetId="1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hyperlink" Target="https://research.stlouisfed.org/fred2/series/WFII20" TargetMode="External"/><Relationship Id="rId2" Type="http://schemas.openxmlformats.org/officeDocument/2006/relationships/hyperlink" Target="https://research.stlouisfed.org/fred2/series/FII20" TargetMode="External"/><Relationship Id="rId1" Type="http://schemas.openxmlformats.org/officeDocument/2006/relationships/hyperlink" Target="https://research.stlouisfed.org/fred2/series/DFII20" TargetMode="Externa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hyperlink" Target="https://research.stlouisfed.org/fred2/series/WGS20yr" TargetMode="External"/><Relationship Id="rId2" Type="http://schemas.openxmlformats.org/officeDocument/2006/relationships/hyperlink" Target="https://research.stlouisfed.org/fred2/series/GS20" TargetMode="External"/><Relationship Id="rId1" Type="http://schemas.openxmlformats.org/officeDocument/2006/relationships/hyperlink" Target="https://research.stlouisfed.org/fred2/series/DGS20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W193"/>
  <sheetViews>
    <sheetView tabSelected="1" zoomScale="60" zoomScaleNormal="60" workbookViewId="0">
      <selection activeCell="C1" sqref="C1:W1"/>
    </sheetView>
  </sheetViews>
  <sheetFormatPr defaultRowHeight="14.25" x14ac:dyDescent="0.2"/>
  <cols>
    <col min="1" max="2" width="8" customWidth="1"/>
    <col min="3" max="3" width="4.75" bestFit="1" customWidth="1"/>
    <col min="4" max="4" width="2.125" customWidth="1"/>
    <col min="5" max="5" width="21.5" customWidth="1"/>
    <col min="6" max="20" width="9" customWidth="1"/>
    <col min="21" max="23" width="8.75" customWidth="1"/>
  </cols>
  <sheetData>
    <row r="1" spans="1:23" ht="27.75" x14ac:dyDescent="0.4">
      <c r="C1" s="236" t="s">
        <v>525</v>
      </c>
      <c r="D1" s="236"/>
      <c r="E1" s="236"/>
      <c r="F1" s="236"/>
      <c r="G1" s="236"/>
      <c r="H1" s="236"/>
      <c r="I1" s="236"/>
      <c r="J1" s="236"/>
      <c r="K1" s="236"/>
      <c r="L1" s="236"/>
      <c r="M1" s="236"/>
      <c r="N1" s="236"/>
      <c r="O1" s="236"/>
      <c r="P1" s="236"/>
      <c r="Q1" s="236"/>
      <c r="R1" s="236"/>
      <c r="S1" s="236"/>
      <c r="T1" s="236"/>
      <c r="U1" s="236"/>
      <c r="V1" s="236"/>
      <c r="W1" s="236"/>
    </row>
    <row r="2" spans="1:23" ht="27.75" x14ac:dyDescent="0.4">
      <c r="C2" s="236" t="s">
        <v>526</v>
      </c>
      <c r="D2" s="236"/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36"/>
      <c r="Q2" s="236"/>
      <c r="R2" s="236"/>
      <c r="S2" s="236"/>
      <c r="T2" s="236"/>
      <c r="U2" s="236"/>
      <c r="V2" s="236"/>
      <c r="W2" s="236"/>
    </row>
    <row r="3" spans="1:23" x14ac:dyDescent="0.2">
      <c r="C3" s="4"/>
      <c r="D3" s="5"/>
      <c r="E3" s="6"/>
      <c r="F3" s="6"/>
      <c r="G3" s="6"/>
      <c r="H3" s="6"/>
      <c r="I3" s="6"/>
      <c r="J3" s="6"/>
      <c r="K3" s="6"/>
      <c r="L3" s="6"/>
      <c r="M3" s="6"/>
      <c r="N3" s="6"/>
      <c r="O3" s="7"/>
      <c r="P3" s="7"/>
      <c r="Q3" s="7"/>
      <c r="R3" s="7"/>
      <c r="S3" s="7"/>
      <c r="T3" s="7"/>
      <c r="U3" s="7"/>
      <c r="V3" s="7"/>
    </row>
    <row r="4" spans="1:23" x14ac:dyDescent="0.2">
      <c r="C4" s="4"/>
      <c r="D4" s="5"/>
      <c r="E4" s="6"/>
      <c r="F4" s="6"/>
      <c r="G4" s="6"/>
      <c r="H4" s="6"/>
      <c r="I4" s="6"/>
      <c r="J4" s="6"/>
      <c r="K4" s="6"/>
      <c r="L4" s="6"/>
      <c r="M4" s="6"/>
      <c r="N4" s="6"/>
      <c r="O4" s="7"/>
      <c r="P4" s="7"/>
      <c r="Q4" s="7"/>
      <c r="R4" s="7"/>
      <c r="S4" s="7"/>
      <c r="T4" s="7"/>
      <c r="U4" s="7"/>
      <c r="V4" s="7"/>
    </row>
    <row r="5" spans="1:23" ht="20.25" x14ac:dyDescent="0.3">
      <c r="C5" s="237" t="s">
        <v>272</v>
      </c>
      <c r="D5" s="237"/>
      <c r="E5" s="237"/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</row>
    <row r="6" spans="1:23" ht="18" x14ac:dyDescent="0.25">
      <c r="C6" s="238" t="s">
        <v>274</v>
      </c>
      <c r="D6" s="238"/>
      <c r="E6" s="238"/>
      <c r="F6" s="238"/>
      <c r="G6" s="238"/>
      <c r="H6" s="238"/>
      <c r="I6" s="238"/>
      <c r="J6" s="238"/>
      <c r="K6" s="238"/>
      <c r="L6" s="238"/>
      <c r="M6" s="238"/>
      <c r="N6" s="238"/>
      <c r="O6" s="238"/>
      <c r="P6" s="238"/>
      <c r="Q6" s="238"/>
      <c r="R6" s="238"/>
      <c r="S6" s="238"/>
      <c r="T6" s="238"/>
      <c r="U6" s="238"/>
      <c r="V6" s="238"/>
      <c r="W6" s="238"/>
    </row>
    <row r="7" spans="1:23" x14ac:dyDescent="0.2">
      <c r="C7" s="6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3" x14ac:dyDescent="0.2">
      <c r="C8" s="6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</row>
    <row r="9" spans="1:23" ht="17.25" x14ac:dyDescent="0.25">
      <c r="C9" s="6"/>
      <c r="D9" s="7"/>
      <c r="E9" s="7"/>
      <c r="F9" s="239" t="s">
        <v>95</v>
      </c>
      <c r="G9" s="239"/>
      <c r="H9" s="239"/>
      <c r="I9" s="239"/>
      <c r="J9" s="239"/>
      <c r="K9" s="239"/>
      <c r="L9" s="239"/>
      <c r="M9" s="239"/>
      <c r="N9" s="239"/>
      <c r="O9" s="239"/>
      <c r="P9" s="239"/>
      <c r="Q9" s="239"/>
      <c r="R9" s="239"/>
      <c r="S9" s="239"/>
      <c r="T9" s="239"/>
      <c r="U9" s="239"/>
      <c r="V9" s="239"/>
      <c r="W9" s="239"/>
    </row>
    <row r="10" spans="1:23" ht="15" x14ac:dyDescent="0.25">
      <c r="A10" s="42" t="s">
        <v>99</v>
      </c>
      <c r="B10" s="42" t="s">
        <v>241</v>
      </c>
      <c r="C10" s="6"/>
      <c r="D10" s="7"/>
      <c r="E10" s="7"/>
      <c r="F10" s="8" t="s">
        <v>425</v>
      </c>
      <c r="G10" s="8"/>
      <c r="H10" s="8"/>
      <c r="I10" s="8"/>
      <c r="J10" s="8"/>
      <c r="K10" s="8"/>
      <c r="L10" s="8"/>
      <c r="M10" s="8"/>
      <c r="N10" s="7"/>
      <c r="O10" s="7"/>
      <c r="P10" s="7"/>
      <c r="Q10" s="7"/>
      <c r="R10" s="7"/>
      <c r="S10" s="7"/>
      <c r="T10" s="7"/>
      <c r="U10" s="7"/>
      <c r="V10" s="7"/>
    </row>
    <row r="11" spans="1:23" ht="17.25" x14ac:dyDescent="0.25">
      <c r="A11" s="42" t="s">
        <v>100</v>
      </c>
      <c r="B11" s="42" t="s">
        <v>242</v>
      </c>
      <c r="C11" s="9" t="s">
        <v>96</v>
      </c>
      <c r="D11" s="234" t="s">
        <v>97</v>
      </c>
      <c r="E11" s="234"/>
      <c r="F11" s="10" t="s">
        <v>98</v>
      </c>
      <c r="G11" s="41" t="s">
        <v>422</v>
      </c>
      <c r="H11" s="41">
        <v>2017</v>
      </c>
      <c r="I11" s="41">
        <v>2016</v>
      </c>
      <c r="J11" s="41">
        <v>2015</v>
      </c>
      <c r="K11" s="41">
        <v>2014</v>
      </c>
      <c r="L11" s="41">
        <v>2013</v>
      </c>
      <c r="M11" s="41">
        <v>2012</v>
      </c>
      <c r="N11" s="41">
        <v>2011</v>
      </c>
      <c r="O11" s="41">
        <v>2010</v>
      </c>
      <c r="P11" s="41">
        <v>2009</v>
      </c>
      <c r="Q11" s="41">
        <v>2008</v>
      </c>
      <c r="R11" s="41">
        <v>2007</v>
      </c>
      <c r="S11" s="41">
        <v>2006</v>
      </c>
      <c r="T11" s="41">
        <v>2005</v>
      </c>
      <c r="U11" s="41">
        <v>2004</v>
      </c>
      <c r="V11" s="41">
        <v>2003</v>
      </c>
      <c r="W11" s="41">
        <v>2002</v>
      </c>
    </row>
    <row r="12" spans="1:23" ht="15" x14ac:dyDescent="0.25">
      <c r="A12" s="42"/>
      <c r="B12" s="42"/>
      <c r="C12" s="9"/>
      <c r="D12" s="85"/>
      <c r="E12" s="85"/>
      <c r="F12" s="12">
        <v>-1</v>
      </c>
      <c r="G12" s="12">
        <f>+F12-1</f>
        <v>-2</v>
      </c>
      <c r="H12" s="12">
        <f>+G12-1</f>
        <v>-3</v>
      </c>
      <c r="I12" s="12">
        <f>+H12-1</f>
        <v>-4</v>
      </c>
      <c r="J12" s="12">
        <f t="shared" ref="J12:W12" si="0">+I12-1</f>
        <v>-5</v>
      </c>
      <c r="K12" s="12">
        <f t="shared" si="0"/>
        <v>-6</v>
      </c>
      <c r="L12" s="12">
        <f t="shared" si="0"/>
        <v>-7</v>
      </c>
      <c r="M12" s="12">
        <f t="shared" si="0"/>
        <v>-8</v>
      </c>
      <c r="N12" s="12">
        <f t="shared" si="0"/>
        <v>-9</v>
      </c>
      <c r="O12" s="12">
        <f t="shared" si="0"/>
        <v>-10</v>
      </c>
      <c r="P12" s="12">
        <f t="shared" si="0"/>
        <v>-11</v>
      </c>
      <c r="Q12" s="12">
        <f t="shared" si="0"/>
        <v>-12</v>
      </c>
      <c r="R12" s="12">
        <f t="shared" si="0"/>
        <v>-13</v>
      </c>
      <c r="S12" s="12">
        <f t="shared" si="0"/>
        <v>-14</v>
      </c>
      <c r="T12" s="12">
        <f t="shared" si="0"/>
        <v>-15</v>
      </c>
      <c r="U12" s="12">
        <f t="shared" si="0"/>
        <v>-16</v>
      </c>
      <c r="V12" s="12">
        <f t="shared" si="0"/>
        <v>-17</v>
      </c>
      <c r="W12" s="12">
        <f t="shared" si="0"/>
        <v>-18</v>
      </c>
    </row>
    <row r="13" spans="1:23" ht="15" x14ac:dyDescent="0.25">
      <c r="A13" s="43"/>
      <c r="B13" s="44"/>
      <c r="C13" s="9"/>
      <c r="D13" s="14" t="s">
        <v>101</v>
      </c>
      <c r="E13" s="11"/>
      <c r="F13" s="45"/>
      <c r="G13" s="134" t="e">
        <f ca="1">MATCH(G11,OFFSET(PE_WP,-1,0,1,),0)</f>
        <v>#N/A</v>
      </c>
      <c r="H13" s="134" t="e">
        <f ca="1">MATCH(H11,OFFSET(PE_WP,-1,0,1,),0)</f>
        <v>#N/A</v>
      </c>
      <c r="I13" s="134">
        <f ca="1">MATCH(I11,OFFSET(PE_WP,-1,0,1,),0)</f>
        <v>4</v>
      </c>
      <c r="J13" s="134">
        <f ca="1">MATCH(J11,OFFSET(PE_WP,-1,0,1,),0)</f>
        <v>5</v>
      </c>
      <c r="K13" s="134">
        <f ca="1">MATCH(K11,OFFSET(PE_WP,-1,0,1,),0)</f>
        <v>6</v>
      </c>
      <c r="L13" s="134">
        <f t="shared" ref="L13:S13" ca="1" si="1">MATCH(L11,OFFSET(PE_WP,-1,0,1,),0)</f>
        <v>7</v>
      </c>
      <c r="M13" s="134">
        <f t="shared" ca="1" si="1"/>
        <v>8</v>
      </c>
      <c r="N13" s="134">
        <f t="shared" ca="1" si="1"/>
        <v>9</v>
      </c>
      <c r="O13" s="134">
        <f t="shared" ca="1" si="1"/>
        <v>10</v>
      </c>
      <c r="P13" s="134">
        <f t="shared" ca="1" si="1"/>
        <v>11</v>
      </c>
      <c r="Q13" s="134">
        <f t="shared" ca="1" si="1"/>
        <v>12</v>
      </c>
      <c r="R13" s="134">
        <f t="shared" ca="1" si="1"/>
        <v>13</v>
      </c>
      <c r="S13" s="134">
        <f t="shared" ca="1" si="1"/>
        <v>14</v>
      </c>
      <c r="T13" s="134">
        <f t="shared" ref="T13:W13" ca="1" si="2">MATCH(T11,OFFSET(PE_WP,-1,0,1,),0)</f>
        <v>15</v>
      </c>
      <c r="U13" s="134">
        <f t="shared" ca="1" si="2"/>
        <v>16</v>
      </c>
      <c r="V13" s="134">
        <f t="shared" ca="1" si="2"/>
        <v>17</v>
      </c>
      <c r="W13" s="134">
        <f t="shared" ca="1" si="2"/>
        <v>18</v>
      </c>
    </row>
    <row r="14" spans="1:23" x14ac:dyDescent="0.2">
      <c r="A14" s="45" t="s">
        <v>0</v>
      </c>
      <c r="B14" s="46">
        <f t="shared" ref="B14:B59" ca="1" si="3">IFERROR(MATCH(A14,OFFSET(PE_WP,0,0,,1),0),"")</f>
        <v>1</v>
      </c>
      <c r="C14" s="1">
        <f>IF(ISERROR(D14),"",IF(D14="","",MAX($C$13:C13)+1))</f>
        <v>1</v>
      </c>
      <c r="D14" t="str">
        <f t="shared" ref="D14:D59" si="4">VLOOKUP(A14,LUCurYr,2,FALSE)</f>
        <v xml:space="preserve">ALLETE                        </v>
      </c>
      <c r="E14" s="15"/>
      <c r="F14" s="63">
        <f ca="1">IFERROR(AVERAGE(G14:W14),"N/A")</f>
        <v>17.78326666666667</v>
      </c>
      <c r="G14" s="63">
        <f>IFERROR(IF(VLOOKUP(A14,LUCurYr,3,FALSE)=0,"",VLOOKUP(A14,LUCurYr,3,FALSE)),"N/A")</f>
        <v>23.2</v>
      </c>
      <c r="H14" s="63">
        <f ca="1">IFERROR(VLOOKUP($A14,LASTYR,'2017'!$C$3,FALSE),"N/A")</f>
        <v>23.045999999999999</v>
      </c>
      <c r="I14" s="63">
        <f t="shared" ref="I14:R14" ca="1" si="5">IFERROR(INDEX(PE_WP,$B14,I$13),"N/A")</f>
        <v>18.632000000000001</v>
      </c>
      <c r="J14" s="63">
        <f t="shared" ca="1" si="5"/>
        <v>15.055999999999999</v>
      </c>
      <c r="K14" s="63">
        <f t="shared" ca="1" si="5"/>
        <v>17.228999999999999</v>
      </c>
      <c r="L14" s="63">
        <f t="shared" ca="1" si="5"/>
        <v>18.594000000000001</v>
      </c>
      <c r="M14" s="63">
        <f t="shared" ca="1" si="5"/>
        <v>15.881</v>
      </c>
      <c r="N14" s="63">
        <f t="shared" ca="1" si="5"/>
        <v>14.662000000000001</v>
      </c>
      <c r="O14" s="63">
        <f t="shared" ca="1" si="5"/>
        <v>15.976000000000001</v>
      </c>
      <c r="P14" s="63">
        <f t="shared" ca="1" si="5"/>
        <v>16.079999999999998</v>
      </c>
      <c r="Q14" s="63">
        <f t="shared" ca="1" si="5"/>
        <v>13.948</v>
      </c>
      <c r="R14" s="63">
        <f t="shared" ca="1" si="5"/>
        <v>14.781000000000001</v>
      </c>
      <c r="S14" s="63">
        <f ca="1">IFERROR(INDEX(PE_WP,$B14,S$13),"N/A")</f>
        <v>16.545000000000002</v>
      </c>
      <c r="T14" s="63">
        <f ca="1">IFERROR(INDEX(PE_WP,$B14,T$13),"N/A")</f>
        <v>17.905999999999999</v>
      </c>
      <c r="U14" s="63">
        <f ca="1">IFERROR(INDEX(PE_WP,$B14,U$13),"N/A")</f>
        <v>25.213000000000001</v>
      </c>
      <c r="V14" s="63" t="str">
        <f ca="1">IFERROR(INDEX(PE_WP,$B14,V$13),"N/A")</f>
        <v>N/A</v>
      </c>
      <c r="W14" s="63" t="str">
        <f ca="1">IFERROR(INDEX(PE_WP,$B14,W$13),"N/A")</f>
        <v>N/A</v>
      </c>
    </row>
    <row r="15" spans="1:23" x14ac:dyDescent="0.2">
      <c r="A15" s="45" t="s">
        <v>1</v>
      </c>
      <c r="B15" s="46">
        <f t="shared" ca="1" si="3"/>
        <v>2</v>
      </c>
      <c r="C15" s="1">
        <f>IF(ISERROR(D15),"",IF(D15="","",MAX($C$13:C14)+1))</f>
        <v>2</v>
      </c>
      <c r="D15" t="str">
        <f t="shared" si="4"/>
        <v xml:space="preserve">Alliant Energy                </v>
      </c>
      <c r="E15" s="15"/>
      <c r="F15" s="63">
        <f t="shared" ref="F15:F59" ca="1" si="6">IFERROR(AVERAGE(G15:W15),"N/A")</f>
        <v>16.104705882352942</v>
      </c>
      <c r="G15" s="63">
        <f t="shared" ref="G15:G59" si="7">IFERROR(IF(VLOOKUP(A15,LUCurYr,3,FALSE)=0,"",VLOOKUP(A15,LUCurYr,3,FALSE)),"N/A")</f>
        <v>21.1</v>
      </c>
      <c r="H15" s="63">
        <f ca="1">IFERROR(VLOOKUP($A15,LASTYR,'2017'!$C$3,FALSE),"N/A")</f>
        <v>20.596</v>
      </c>
      <c r="I15" s="63">
        <f t="shared" ref="I15:W31" ca="1" si="8">IFERROR(INDEX(PE_WP,$B15,I$13),"N/A")</f>
        <v>22.303999999999998</v>
      </c>
      <c r="J15" s="63">
        <f t="shared" ca="1" si="8"/>
        <v>18.071999999999999</v>
      </c>
      <c r="K15" s="63">
        <f t="shared" ca="1" si="8"/>
        <v>16.603000000000002</v>
      </c>
      <c r="L15" s="63">
        <f t="shared" ca="1" si="8"/>
        <v>15.276</v>
      </c>
      <c r="M15" s="63">
        <f t="shared" ca="1" si="8"/>
        <v>14.497999999999999</v>
      </c>
      <c r="N15" s="63">
        <f t="shared" ca="1" si="8"/>
        <v>14.451000000000001</v>
      </c>
      <c r="O15" s="63">
        <f t="shared" ca="1" si="8"/>
        <v>12.473000000000001</v>
      </c>
      <c r="P15" s="63">
        <f t="shared" ca="1" si="8"/>
        <v>13.861000000000001</v>
      </c>
      <c r="Q15" s="63">
        <f t="shared" ca="1" si="8"/>
        <v>13.433</v>
      </c>
      <c r="R15" s="63">
        <f t="shared" ca="1" si="8"/>
        <v>15.077</v>
      </c>
      <c r="S15" s="63">
        <f t="shared" ca="1" si="8"/>
        <v>16.82</v>
      </c>
      <c r="T15" s="63">
        <f t="shared" ca="1" si="8"/>
        <v>12.587999999999999</v>
      </c>
      <c r="U15" s="63">
        <f t="shared" ca="1" si="8"/>
        <v>14.002000000000001</v>
      </c>
      <c r="V15" s="63">
        <f t="shared" ca="1" si="8"/>
        <v>12.692</v>
      </c>
      <c r="W15" s="63">
        <f t="shared" ca="1" si="8"/>
        <v>19.934000000000001</v>
      </c>
    </row>
    <row r="16" spans="1:23" x14ac:dyDescent="0.2">
      <c r="A16" s="45" t="s">
        <v>3</v>
      </c>
      <c r="B16" s="46">
        <f t="shared" ca="1" si="3"/>
        <v>5</v>
      </c>
      <c r="C16" s="1">
        <f>IF(ISERROR(D16),"",IF(D16="","",MAX($C$13:C15)+1))</f>
        <v>3</v>
      </c>
      <c r="D16" t="str">
        <f t="shared" si="4"/>
        <v xml:space="preserve">Ameren Corp.                  </v>
      </c>
      <c r="E16" s="15"/>
      <c r="F16" s="63">
        <f t="shared" ca="1" si="6"/>
        <v>15.845588235294118</v>
      </c>
      <c r="G16" s="63">
        <f t="shared" si="7"/>
        <v>22.2</v>
      </c>
      <c r="H16" s="63">
        <f ca="1">IFERROR(VLOOKUP($A16,LASTYR,'2017'!$C$3,FALSE),"N/A")</f>
        <v>20.596</v>
      </c>
      <c r="I16" s="63">
        <f t="shared" ca="1" si="8"/>
        <v>18.294</v>
      </c>
      <c r="J16" s="63">
        <f t="shared" ca="1" si="8"/>
        <v>17.545000000000002</v>
      </c>
      <c r="K16" s="63">
        <f t="shared" ca="1" si="8"/>
        <v>16.706</v>
      </c>
      <c r="L16" s="63">
        <f t="shared" ca="1" si="8"/>
        <v>16.516999999999999</v>
      </c>
      <c r="M16" s="63">
        <f t="shared" ca="1" si="8"/>
        <v>13.351000000000001</v>
      </c>
      <c r="N16" s="63">
        <f t="shared" ca="1" si="8"/>
        <v>11.933999999999999</v>
      </c>
      <c r="O16" s="63">
        <f t="shared" ca="1" si="8"/>
        <v>9.6549999999999994</v>
      </c>
      <c r="P16" s="63">
        <f t="shared" ca="1" si="8"/>
        <v>9.2609999999999992</v>
      </c>
      <c r="Q16" s="63">
        <f t="shared" ca="1" si="8"/>
        <v>14.205</v>
      </c>
      <c r="R16" s="63">
        <f t="shared" ca="1" si="8"/>
        <v>17.45</v>
      </c>
      <c r="S16" s="63">
        <f t="shared" ca="1" si="8"/>
        <v>19.385000000000002</v>
      </c>
      <c r="T16" s="63">
        <f t="shared" ca="1" si="8"/>
        <v>16.716000000000001</v>
      </c>
      <c r="U16" s="63">
        <f t="shared" ca="1" si="8"/>
        <v>16.276</v>
      </c>
      <c r="V16" s="63">
        <f t="shared" ca="1" si="8"/>
        <v>13.505000000000001</v>
      </c>
      <c r="W16" s="63">
        <f t="shared" ca="1" si="8"/>
        <v>15.779</v>
      </c>
    </row>
    <row r="17" spans="1:23" x14ac:dyDescent="0.2">
      <c r="A17" s="45" t="s">
        <v>2</v>
      </c>
      <c r="B17" s="46">
        <f t="shared" ca="1" si="3"/>
        <v>6</v>
      </c>
      <c r="C17" s="1">
        <f>IF(ISERROR(D17),"",IF(D17="","",MAX($C$13:C16)+1))</f>
        <v>4</v>
      </c>
      <c r="D17" t="str">
        <f t="shared" si="4"/>
        <v>American Electric Power</v>
      </c>
      <c r="E17" s="15"/>
      <c r="F17" s="63">
        <f t="shared" ca="1" si="6"/>
        <v>14.238058823529412</v>
      </c>
      <c r="G17" s="63">
        <f t="shared" si="7"/>
        <v>20.6</v>
      </c>
      <c r="H17" s="63">
        <f ca="1">IFERROR(VLOOKUP($A17,LASTYR,'2017'!$C$3,FALSE),"N/A")</f>
        <v>19.329000000000001</v>
      </c>
      <c r="I17" s="63">
        <f t="shared" ca="1" si="8"/>
        <v>15.157</v>
      </c>
      <c r="J17" s="63">
        <f t="shared" ca="1" si="8"/>
        <v>15.769</v>
      </c>
      <c r="K17" s="63">
        <f t="shared" ca="1" si="8"/>
        <v>15.875999999999999</v>
      </c>
      <c r="L17" s="63">
        <f t="shared" ca="1" si="8"/>
        <v>14.494</v>
      </c>
      <c r="M17" s="63">
        <f t="shared" ca="1" si="8"/>
        <v>13.766999999999999</v>
      </c>
      <c r="N17" s="63">
        <f t="shared" ca="1" si="8"/>
        <v>11.917999999999999</v>
      </c>
      <c r="O17" s="63">
        <f t="shared" ca="1" si="8"/>
        <v>13.416</v>
      </c>
      <c r="P17" s="63">
        <f t="shared" ca="1" si="8"/>
        <v>10.032</v>
      </c>
      <c r="Q17" s="63">
        <f t="shared" ca="1" si="8"/>
        <v>13.061</v>
      </c>
      <c r="R17" s="63">
        <f t="shared" ca="1" si="8"/>
        <v>16.268000000000001</v>
      </c>
      <c r="S17" s="63">
        <f t="shared" ca="1" si="8"/>
        <v>12.906000000000001</v>
      </c>
      <c r="T17" s="63">
        <f t="shared" ca="1" si="8"/>
        <v>13.695</v>
      </c>
      <c r="U17" s="63">
        <f t="shared" ca="1" si="8"/>
        <v>12.420999999999999</v>
      </c>
      <c r="V17" s="63">
        <f t="shared" ca="1" si="8"/>
        <v>10.662000000000001</v>
      </c>
      <c r="W17" s="63">
        <f t="shared" ca="1" si="8"/>
        <v>12.676</v>
      </c>
    </row>
    <row r="18" spans="1:23" x14ac:dyDescent="0.2">
      <c r="A18" s="45" t="s">
        <v>260</v>
      </c>
      <c r="B18" s="46">
        <f t="shared" ca="1" si="3"/>
        <v>9</v>
      </c>
      <c r="C18" s="1">
        <f>IF(ISERROR(D18),"",IF(D18="","",MAX($C$13:C17)+1))</f>
        <v>5</v>
      </c>
      <c r="D18" t="str">
        <f t="shared" si="4"/>
        <v>Avangrid, Inc.</v>
      </c>
      <c r="E18" s="15"/>
      <c r="F18" s="63">
        <f t="shared" ca="1" si="6"/>
        <v>27.148499999999999</v>
      </c>
      <c r="G18" s="63">
        <f t="shared" si="7"/>
        <v>19.899999999999999</v>
      </c>
      <c r="H18" s="63">
        <f ca="1">IFERROR(VLOOKUP($A18,LASTYR,'2017'!$C$3,FALSE),"N/A")</f>
        <v>27.265999999999998</v>
      </c>
      <c r="I18" s="63">
        <f t="shared" ca="1" si="8"/>
        <v>20.492000000000001</v>
      </c>
      <c r="J18" s="63">
        <f t="shared" ca="1" si="8"/>
        <v>40.936</v>
      </c>
      <c r="K18" s="63" t="str">
        <f t="shared" ca="1" si="8"/>
        <v>N/A</v>
      </c>
      <c r="L18" s="63" t="str">
        <f t="shared" ca="1" si="8"/>
        <v>N/A</v>
      </c>
      <c r="M18" s="63" t="str">
        <f t="shared" ca="1" si="8"/>
        <v>N/A</v>
      </c>
      <c r="N18" s="63" t="str">
        <f t="shared" ca="1" si="8"/>
        <v>N/A</v>
      </c>
      <c r="O18" s="63" t="str">
        <f t="shared" ca="1" si="8"/>
        <v>N/A</v>
      </c>
      <c r="P18" s="63" t="str">
        <f t="shared" ca="1" si="8"/>
        <v>N/A</v>
      </c>
      <c r="Q18" s="63" t="str">
        <f t="shared" ca="1" si="8"/>
        <v>N/A</v>
      </c>
      <c r="R18" s="63" t="str">
        <f t="shared" ca="1" si="8"/>
        <v>N/A</v>
      </c>
      <c r="S18" s="63" t="str">
        <f t="shared" ca="1" si="8"/>
        <v>N/A</v>
      </c>
      <c r="T18" s="63" t="str">
        <f t="shared" ca="1" si="8"/>
        <v>N/A</v>
      </c>
      <c r="U18" s="63" t="str">
        <f t="shared" ca="1" si="8"/>
        <v>N/A</v>
      </c>
      <c r="V18" s="63" t="str">
        <f t="shared" ca="1" si="8"/>
        <v>N/A</v>
      </c>
      <c r="W18" s="63" t="str">
        <f t="shared" ca="1" si="8"/>
        <v>N/A</v>
      </c>
    </row>
    <row r="19" spans="1:23" x14ac:dyDescent="0.2">
      <c r="A19" s="45" t="s">
        <v>4</v>
      </c>
      <c r="B19" s="46">
        <f t="shared" ca="1" si="3"/>
        <v>10</v>
      </c>
      <c r="C19" s="1">
        <f>IF(ISERROR(D19),"",IF(D19="","",MAX($C$13:C18)+1))</f>
        <v>6</v>
      </c>
      <c r="D19" t="str">
        <f t="shared" si="4"/>
        <v xml:space="preserve">Avista Corp.                  </v>
      </c>
      <c r="E19" s="15"/>
      <c r="F19" s="63">
        <f t="shared" ca="1" si="6"/>
        <v>18.432117647058824</v>
      </c>
      <c r="G19" s="63">
        <f t="shared" si="7"/>
        <v>25.9</v>
      </c>
      <c r="H19" s="63">
        <f ca="1">IFERROR(VLOOKUP($A19,LASTYR,'2017'!$C$3,FALSE),"N/A")</f>
        <v>23.373000000000001</v>
      </c>
      <c r="I19" s="63">
        <f t="shared" ca="1" si="8"/>
        <v>18.795000000000002</v>
      </c>
      <c r="J19" s="63">
        <f t="shared" ca="1" si="8"/>
        <v>17.603000000000002</v>
      </c>
      <c r="K19" s="63">
        <f t="shared" ca="1" si="8"/>
        <v>17.282</v>
      </c>
      <c r="L19" s="63">
        <f t="shared" ca="1" si="8"/>
        <v>14.635</v>
      </c>
      <c r="M19" s="63">
        <f t="shared" ca="1" si="8"/>
        <v>19.297000000000001</v>
      </c>
      <c r="N19" s="63">
        <f t="shared" ca="1" si="8"/>
        <v>14.077999999999999</v>
      </c>
      <c r="O19" s="63">
        <f t="shared" ca="1" si="8"/>
        <v>12.739000000000001</v>
      </c>
      <c r="P19" s="63">
        <f t="shared" ca="1" si="8"/>
        <v>11.416</v>
      </c>
      <c r="Q19" s="63">
        <f t="shared" ca="1" si="8"/>
        <v>14.972</v>
      </c>
      <c r="R19" s="63">
        <f t="shared" ca="1" si="8"/>
        <v>30.875</v>
      </c>
      <c r="S19" s="63">
        <f t="shared" ca="1" si="8"/>
        <v>15.39</v>
      </c>
      <c r="T19" s="63">
        <f t="shared" ca="1" si="8"/>
        <v>19.446999999999999</v>
      </c>
      <c r="U19" s="63">
        <f t="shared" ca="1" si="8"/>
        <v>24.431999999999999</v>
      </c>
      <c r="V19" s="63">
        <f t="shared" ca="1" si="8"/>
        <v>13.842000000000001</v>
      </c>
      <c r="W19" s="63">
        <f t="shared" ca="1" si="8"/>
        <v>19.27</v>
      </c>
    </row>
    <row r="20" spans="1:23" x14ac:dyDescent="0.2">
      <c r="A20" s="45" t="s">
        <v>5</v>
      </c>
      <c r="B20" s="46">
        <f t="shared" ca="1" si="3"/>
        <v>11</v>
      </c>
      <c r="C20" s="1">
        <f>IF(ISERROR(D20),"",IF(D20="","",MAX($C$13:C19)+1))</f>
        <v>7</v>
      </c>
      <c r="D20" t="str">
        <f t="shared" si="4"/>
        <v xml:space="preserve">Black Hills                   </v>
      </c>
      <c r="E20" s="15"/>
      <c r="F20" s="63">
        <f t="shared" ca="1" si="6"/>
        <v>17.700062499999994</v>
      </c>
      <c r="G20" s="63">
        <f t="shared" si="7"/>
        <v>18.100000000000001</v>
      </c>
      <c r="H20" s="63">
        <f ca="1">IFERROR(VLOOKUP($A20,LASTYR,'2017'!$C$3,FALSE),"N/A")</f>
        <v>19.478000000000002</v>
      </c>
      <c r="I20" s="63">
        <f t="shared" ca="1" si="8"/>
        <v>22.289000000000001</v>
      </c>
      <c r="J20" s="63">
        <f t="shared" ca="1" si="8"/>
        <v>16.137</v>
      </c>
      <c r="K20" s="63">
        <f t="shared" ca="1" si="8"/>
        <v>19.029</v>
      </c>
      <c r="L20" s="63">
        <f t="shared" ca="1" si="8"/>
        <v>18.238</v>
      </c>
      <c r="M20" s="63">
        <f t="shared" ca="1" si="8"/>
        <v>17.131</v>
      </c>
      <c r="N20" s="63">
        <f t="shared" ca="1" si="8"/>
        <v>31.129000000000001</v>
      </c>
      <c r="O20" s="63">
        <f t="shared" ca="1" si="8"/>
        <v>18.096</v>
      </c>
      <c r="P20" s="63">
        <f t="shared" ca="1" si="8"/>
        <v>9.9260000000000002</v>
      </c>
      <c r="Q20" s="63" t="str">
        <f t="shared" ca="1" si="8"/>
        <v>N/A</v>
      </c>
      <c r="R20" s="63">
        <f t="shared" ca="1" si="8"/>
        <v>15.023</v>
      </c>
      <c r="S20" s="63">
        <f t="shared" ca="1" si="8"/>
        <v>15.766999999999999</v>
      </c>
      <c r="T20" s="63">
        <f t="shared" ca="1" si="8"/>
        <v>17.265000000000001</v>
      </c>
      <c r="U20" s="63">
        <f t="shared" ca="1" si="8"/>
        <v>17.129000000000001</v>
      </c>
      <c r="V20" s="63">
        <f t="shared" ca="1" si="8"/>
        <v>15.949</v>
      </c>
      <c r="W20" s="63">
        <f t="shared" ca="1" si="8"/>
        <v>12.515000000000001</v>
      </c>
    </row>
    <row r="21" spans="1:23" x14ac:dyDescent="0.2">
      <c r="A21" s="45" t="s">
        <v>6</v>
      </c>
      <c r="B21" s="46">
        <f t="shared" ca="1" si="3"/>
        <v>13</v>
      </c>
      <c r="C21" s="1">
        <f>IF(ISERROR(D21),"",IF(D21="","",MAX($C$13:C20)+1))</f>
        <v>8</v>
      </c>
      <c r="D21" t="str">
        <f t="shared" si="4"/>
        <v xml:space="preserve">CenterPoint Energy            </v>
      </c>
      <c r="E21" s="15"/>
      <c r="F21" s="63">
        <f t="shared" ca="1" si="6"/>
        <v>15.100294117647058</v>
      </c>
      <c r="G21" s="63">
        <f t="shared" si="7"/>
        <v>23</v>
      </c>
      <c r="H21" s="63">
        <f ca="1">IFERROR(VLOOKUP($A21,LASTYR,'2017'!$C$3,FALSE),"N/A")</f>
        <v>17.908000000000001</v>
      </c>
      <c r="I21" s="63">
        <f t="shared" ca="1" si="8"/>
        <v>21.91</v>
      </c>
      <c r="J21" s="63">
        <f t="shared" ca="1" si="8"/>
        <v>18.097999999999999</v>
      </c>
      <c r="K21" s="63">
        <f t="shared" ca="1" si="8"/>
        <v>16.96</v>
      </c>
      <c r="L21" s="63">
        <f t="shared" ca="1" si="8"/>
        <v>18.747</v>
      </c>
      <c r="M21" s="63">
        <f t="shared" ca="1" si="8"/>
        <v>14.847</v>
      </c>
      <c r="N21" s="63">
        <f t="shared" ca="1" si="8"/>
        <v>14.574999999999999</v>
      </c>
      <c r="O21" s="63">
        <f t="shared" ca="1" si="8"/>
        <v>13.781000000000001</v>
      </c>
      <c r="P21" s="63">
        <f t="shared" ca="1" si="8"/>
        <v>11.807</v>
      </c>
      <c r="Q21" s="63">
        <f t="shared" ca="1" si="8"/>
        <v>11.272</v>
      </c>
      <c r="R21" s="63">
        <f t="shared" ca="1" si="8"/>
        <v>15.002000000000001</v>
      </c>
      <c r="S21" s="63">
        <f t="shared" ca="1" si="8"/>
        <v>10.265000000000001</v>
      </c>
      <c r="T21" s="63">
        <f t="shared" ca="1" si="8"/>
        <v>19.055</v>
      </c>
      <c r="U21" s="63">
        <f t="shared" ca="1" si="8"/>
        <v>17.841000000000001</v>
      </c>
      <c r="V21" s="63">
        <f t="shared" ca="1" si="8"/>
        <v>6.0469999999999997</v>
      </c>
      <c r="W21" s="63">
        <f t="shared" ca="1" si="8"/>
        <v>5.59</v>
      </c>
    </row>
    <row r="22" spans="1:23" x14ac:dyDescent="0.2">
      <c r="A22" s="45" t="s">
        <v>9</v>
      </c>
      <c r="B22" s="46">
        <f t="shared" ca="1" si="3"/>
        <v>17</v>
      </c>
      <c r="C22" s="1">
        <f>IF(ISERROR(D22),"",IF(D22="","",MAX($C$13:C21)+1))</f>
        <v>9</v>
      </c>
      <c r="D22" t="str">
        <f t="shared" si="4"/>
        <v xml:space="preserve">CMS Energy Corp.              </v>
      </c>
      <c r="E22" s="15"/>
      <c r="F22" s="63">
        <f t="shared" ca="1" si="6"/>
        <v>17.109200000000001</v>
      </c>
      <c r="G22" s="63">
        <f t="shared" si="7"/>
        <v>22.9</v>
      </c>
      <c r="H22" s="63">
        <f ca="1">IFERROR(VLOOKUP($A22,LASTYR,'2017'!$C$3,FALSE),"N/A")</f>
        <v>21.315999999999999</v>
      </c>
      <c r="I22" s="63">
        <f t="shared" ca="1" si="8"/>
        <v>20.943000000000001</v>
      </c>
      <c r="J22" s="63">
        <f t="shared" ca="1" si="8"/>
        <v>18.291</v>
      </c>
      <c r="K22" s="63">
        <f t="shared" ca="1" si="8"/>
        <v>17.298999999999999</v>
      </c>
      <c r="L22" s="63">
        <f t="shared" ca="1" si="8"/>
        <v>16.323</v>
      </c>
      <c r="M22" s="63">
        <f t="shared" ca="1" si="8"/>
        <v>15.069000000000001</v>
      </c>
      <c r="N22" s="63">
        <f t="shared" ca="1" si="8"/>
        <v>13.615</v>
      </c>
      <c r="O22" s="63">
        <f t="shared" ca="1" si="8"/>
        <v>12.456</v>
      </c>
      <c r="P22" s="63">
        <f t="shared" ca="1" si="8"/>
        <v>13.555999999999999</v>
      </c>
      <c r="Q22" s="63">
        <f t="shared" ca="1" si="8"/>
        <v>10.866</v>
      </c>
      <c r="R22" s="63">
        <f t="shared" ca="1" si="8"/>
        <v>26.837</v>
      </c>
      <c r="S22" s="63">
        <f t="shared" ca="1" si="8"/>
        <v>22.181000000000001</v>
      </c>
      <c r="T22" s="63">
        <f t="shared" ca="1" si="8"/>
        <v>12.601000000000001</v>
      </c>
      <c r="U22" s="63">
        <f t="shared" ca="1" si="8"/>
        <v>12.385</v>
      </c>
      <c r="V22" s="63" t="str">
        <f t="shared" ca="1" si="8"/>
        <v>N/A</v>
      </c>
      <c r="W22" s="63" t="str">
        <f t="shared" ca="1" si="8"/>
        <v>N/A</v>
      </c>
    </row>
    <row r="23" spans="1:23" x14ac:dyDescent="0.2">
      <c r="A23" s="45" t="s">
        <v>10</v>
      </c>
      <c r="B23" s="46">
        <f t="shared" ca="1" si="3"/>
        <v>19</v>
      </c>
      <c r="C23" s="1">
        <f>IF(ISERROR(D23),"",IF(D23="","",MAX($C$13:C22)+1))</f>
        <v>10</v>
      </c>
      <c r="D23" t="str">
        <f t="shared" si="4"/>
        <v xml:space="preserve">Consol. Edison                </v>
      </c>
      <c r="E23" s="15"/>
      <c r="F23" s="63">
        <f t="shared" ca="1" si="6"/>
        <v>15.386176470588236</v>
      </c>
      <c r="G23" s="63">
        <f t="shared" si="7"/>
        <v>18</v>
      </c>
      <c r="H23" s="63">
        <f ca="1">IFERROR(VLOOKUP($A23,LASTYR,'2017'!$C$3,FALSE),"N/A")</f>
        <v>19.774000000000001</v>
      </c>
      <c r="I23" s="63">
        <f t="shared" ca="1" si="8"/>
        <v>18.802</v>
      </c>
      <c r="J23" s="63">
        <f t="shared" ca="1" si="8"/>
        <v>15.589</v>
      </c>
      <c r="K23" s="63">
        <f t="shared" ca="1" si="8"/>
        <v>15.901</v>
      </c>
      <c r="L23" s="63">
        <f t="shared" ca="1" si="8"/>
        <v>14.723000000000001</v>
      </c>
      <c r="M23" s="63">
        <f t="shared" ca="1" si="8"/>
        <v>15.39</v>
      </c>
      <c r="N23" s="63">
        <f t="shared" ca="1" si="8"/>
        <v>15.074999999999999</v>
      </c>
      <c r="O23" s="63">
        <f t="shared" ca="1" si="8"/>
        <v>13.297000000000001</v>
      </c>
      <c r="P23" s="63">
        <f t="shared" ca="1" si="8"/>
        <v>12.545999999999999</v>
      </c>
      <c r="Q23" s="63">
        <f t="shared" ca="1" si="8"/>
        <v>12.285</v>
      </c>
      <c r="R23" s="63">
        <f t="shared" ca="1" si="8"/>
        <v>13.782</v>
      </c>
      <c r="S23" s="63">
        <f t="shared" ca="1" si="8"/>
        <v>15.484999999999999</v>
      </c>
      <c r="T23" s="63">
        <f t="shared" ca="1" si="8"/>
        <v>15.129</v>
      </c>
      <c r="U23" s="63">
        <f t="shared" ca="1" si="8"/>
        <v>18.209</v>
      </c>
      <c r="V23" s="63">
        <f t="shared" ca="1" si="8"/>
        <v>14.3</v>
      </c>
      <c r="W23" s="63">
        <f t="shared" ca="1" si="8"/>
        <v>13.278</v>
      </c>
    </row>
    <row r="24" spans="1:23" x14ac:dyDescent="0.2">
      <c r="A24" s="45" t="s">
        <v>11</v>
      </c>
      <c r="B24" s="46">
        <f t="shared" ca="1" si="3"/>
        <v>21</v>
      </c>
      <c r="C24" s="1">
        <f>IF(ISERROR(D24),"",IF(D24="","",MAX($C$13:C23)+1))</f>
        <v>11</v>
      </c>
      <c r="D24" t="str">
        <f t="shared" si="4"/>
        <v xml:space="preserve">Dominion Resources            </v>
      </c>
      <c r="E24" s="15"/>
      <c r="F24" s="63">
        <f t="shared" ca="1" si="6"/>
        <v>17.962235294117647</v>
      </c>
      <c r="G24" s="63">
        <f t="shared" si="7"/>
        <v>16.600000000000001</v>
      </c>
      <c r="H24" s="63">
        <f ca="1">IFERROR(VLOOKUP($A24,LASTYR,'2017'!$C$3,FALSE),"N/A")</f>
        <v>22.172999999999998</v>
      </c>
      <c r="I24" s="63">
        <f t="shared" ca="1" si="8"/>
        <v>21.324999999999999</v>
      </c>
      <c r="J24" s="63">
        <f t="shared" ca="1" si="8"/>
        <v>22.137</v>
      </c>
      <c r="K24" s="63">
        <f t="shared" ca="1" si="8"/>
        <v>22.972000000000001</v>
      </c>
      <c r="L24" s="63">
        <f t="shared" ca="1" si="8"/>
        <v>19.245000000000001</v>
      </c>
      <c r="M24" s="63">
        <f t="shared" ca="1" si="8"/>
        <v>18.911999999999999</v>
      </c>
      <c r="N24" s="63">
        <f t="shared" ca="1" si="8"/>
        <v>17.27</v>
      </c>
      <c r="O24" s="63">
        <f t="shared" ca="1" si="8"/>
        <v>14.348000000000001</v>
      </c>
      <c r="P24" s="63">
        <f t="shared" ca="1" si="8"/>
        <v>12.742000000000001</v>
      </c>
      <c r="Q24" s="63">
        <f t="shared" ca="1" si="8"/>
        <v>13.78</v>
      </c>
      <c r="R24" s="63">
        <f t="shared" ca="1" si="8"/>
        <v>20.626000000000001</v>
      </c>
      <c r="S24" s="63">
        <f t="shared" ca="1" si="8"/>
        <v>15.976000000000001</v>
      </c>
      <c r="T24" s="63">
        <f t="shared" ca="1" si="8"/>
        <v>24.893999999999998</v>
      </c>
      <c r="U24" s="63">
        <f t="shared" ca="1" si="8"/>
        <v>15.071999999999999</v>
      </c>
      <c r="V24" s="63">
        <f t="shared" ca="1" si="8"/>
        <v>15.241</v>
      </c>
      <c r="W24" s="63">
        <f t="shared" ca="1" si="8"/>
        <v>12.045</v>
      </c>
    </row>
    <row r="25" spans="1:23" x14ac:dyDescent="0.2">
      <c r="A25" s="45" t="s">
        <v>12</v>
      </c>
      <c r="B25" s="46">
        <f t="shared" ca="1" si="3"/>
        <v>22</v>
      </c>
      <c r="C25" s="1">
        <f>IF(ISERROR(D25),"",IF(D25="","",MAX($C$13:C24)+1))</f>
        <v>12</v>
      </c>
      <c r="D25" t="str">
        <f t="shared" si="4"/>
        <v xml:space="preserve">DTE Energy                    </v>
      </c>
      <c r="E25" s="15"/>
      <c r="F25" s="63">
        <f t="shared" ca="1" si="6"/>
        <v>15.564000000000002</v>
      </c>
      <c r="G25" s="63">
        <f t="shared" si="7"/>
        <v>19.7</v>
      </c>
      <c r="H25" s="63">
        <f ca="1">IFERROR(VLOOKUP($A25,LASTYR,'2017'!$C$3,FALSE),"N/A")</f>
        <v>18.593</v>
      </c>
      <c r="I25" s="63">
        <f t="shared" ca="1" si="8"/>
        <v>18.966000000000001</v>
      </c>
      <c r="J25" s="63">
        <f t="shared" ca="1" si="8"/>
        <v>18.113</v>
      </c>
      <c r="K25" s="63">
        <f t="shared" ca="1" si="8"/>
        <v>14.912000000000001</v>
      </c>
      <c r="L25" s="63">
        <f t="shared" ca="1" si="8"/>
        <v>17.914999999999999</v>
      </c>
      <c r="M25" s="63">
        <f t="shared" ca="1" si="8"/>
        <v>14.888999999999999</v>
      </c>
      <c r="N25" s="63">
        <f t="shared" ca="1" si="8"/>
        <v>13.509</v>
      </c>
      <c r="O25" s="63">
        <f t="shared" ca="1" si="8"/>
        <v>12.266</v>
      </c>
      <c r="P25" s="63">
        <f t="shared" ca="1" si="8"/>
        <v>10.41</v>
      </c>
      <c r="Q25" s="63">
        <f t="shared" ca="1" si="8"/>
        <v>14.811</v>
      </c>
      <c r="R25" s="63">
        <f t="shared" ca="1" si="8"/>
        <v>18.265000000000001</v>
      </c>
      <c r="S25" s="63">
        <f t="shared" ca="1" si="8"/>
        <v>17.431000000000001</v>
      </c>
      <c r="T25" s="63">
        <f t="shared" ca="1" si="8"/>
        <v>13.797000000000001</v>
      </c>
      <c r="U25" s="63">
        <f t="shared" ca="1" si="8"/>
        <v>16.042999999999999</v>
      </c>
      <c r="V25" s="63">
        <f t="shared" ca="1" si="8"/>
        <v>13.689</v>
      </c>
      <c r="W25" s="63">
        <f t="shared" ca="1" si="8"/>
        <v>11.279</v>
      </c>
    </row>
    <row r="26" spans="1:23" x14ac:dyDescent="0.2">
      <c r="A26" s="45" t="s">
        <v>13</v>
      </c>
      <c r="B26" s="46">
        <f t="shared" ca="1" si="3"/>
        <v>23</v>
      </c>
      <c r="C26" s="1">
        <f>IF(ISERROR(D26),"",IF(D26="","",MAX($C$13:C25)+1))</f>
        <v>13</v>
      </c>
      <c r="D26" t="str">
        <f t="shared" si="4"/>
        <v xml:space="preserve">Duke Energy                   </v>
      </c>
      <c r="E26" s="15"/>
      <c r="F26" s="63">
        <f t="shared" ca="1" si="6"/>
        <v>16.924833333333332</v>
      </c>
      <c r="G26" s="63">
        <f t="shared" si="7"/>
        <v>17.7</v>
      </c>
      <c r="H26" s="63">
        <f ca="1">IFERROR(VLOOKUP($A26,LASTYR,'2017'!$C$3,FALSE),"N/A")</f>
        <v>19.925999999999998</v>
      </c>
      <c r="I26" s="63">
        <f t="shared" ca="1" si="8"/>
        <v>21.251000000000001</v>
      </c>
      <c r="J26" s="63">
        <f t="shared" ca="1" si="8"/>
        <v>18.218</v>
      </c>
      <c r="K26" s="63">
        <f t="shared" ca="1" si="8"/>
        <v>17.913</v>
      </c>
      <c r="L26" s="63">
        <f t="shared" ca="1" si="8"/>
        <v>17.449000000000002</v>
      </c>
      <c r="M26" s="63">
        <f t="shared" ca="1" si="8"/>
        <v>17.463999999999999</v>
      </c>
      <c r="N26" s="63">
        <f t="shared" ca="1" si="8"/>
        <v>13.763</v>
      </c>
      <c r="O26" s="63">
        <f t="shared" ca="1" si="8"/>
        <v>12.685</v>
      </c>
      <c r="P26" s="63">
        <f t="shared" ca="1" si="8"/>
        <v>13.317</v>
      </c>
      <c r="Q26" s="63">
        <f t="shared" ca="1" si="8"/>
        <v>17.283000000000001</v>
      </c>
      <c r="R26" s="63">
        <f t="shared" ca="1" si="8"/>
        <v>16.129000000000001</v>
      </c>
      <c r="S26" s="63" t="str">
        <f t="shared" ca="1" si="8"/>
        <v>N/A</v>
      </c>
      <c r="T26" s="63" t="str">
        <f t="shared" ca="1" si="8"/>
        <v>N/A</v>
      </c>
      <c r="U26" s="63" t="str">
        <f t="shared" ca="1" si="8"/>
        <v>N/A</v>
      </c>
      <c r="V26" s="63" t="str">
        <f t="shared" ca="1" si="8"/>
        <v>N/A</v>
      </c>
      <c r="W26" s="63" t="str">
        <f t="shared" ca="1" si="8"/>
        <v>N/A</v>
      </c>
    </row>
    <row r="27" spans="1:23" x14ac:dyDescent="0.2">
      <c r="A27" s="45" t="s">
        <v>14</v>
      </c>
      <c r="B27" s="46">
        <f t="shared" ca="1" si="3"/>
        <v>24</v>
      </c>
      <c r="C27" s="1">
        <f>IF(ISERROR(D27),"",IF(D27="","",MAX($C$13:C26)+1))</f>
        <v>14</v>
      </c>
      <c r="D27" t="str">
        <f t="shared" si="4"/>
        <v xml:space="preserve">Edison Int'l                  </v>
      </c>
      <c r="E27" s="15"/>
      <c r="F27" s="63">
        <f t="shared" ca="1" si="6"/>
        <v>13.969294117647058</v>
      </c>
      <c r="G27" s="63">
        <f t="shared" si="7"/>
        <v>14.8</v>
      </c>
      <c r="H27" s="63">
        <f ca="1">IFERROR(VLOOKUP($A27,LASTYR,'2017'!$C$3,FALSE),"N/A")</f>
        <v>17.234000000000002</v>
      </c>
      <c r="I27" s="63">
        <f t="shared" ca="1" si="8"/>
        <v>17.920000000000002</v>
      </c>
      <c r="J27" s="63">
        <f t="shared" ca="1" si="8"/>
        <v>14.766999999999999</v>
      </c>
      <c r="K27" s="63">
        <f t="shared" ca="1" si="8"/>
        <v>13.05</v>
      </c>
      <c r="L27" s="63">
        <f t="shared" ca="1" si="8"/>
        <v>12.699</v>
      </c>
      <c r="M27" s="63">
        <f t="shared" ca="1" si="8"/>
        <v>9.7070000000000007</v>
      </c>
      <c r="N27" s="63">
        <f t="shared" ca="1" si="8"/>
        <v>11.808</v>
      </c>
      <c r="O27" s="63">
        <f t="shared" ca="1" si="8"/>
        <v>10.319000000000001</v>
      </c>
      <c r="P27" s="63">
        <f t="shared" ca="1" si="8"/>
        <v>9.718</v>
      </c>
      <c r="Q27" s="63">
        <f t="shared" ca="1" si="8"/>
        <v>12.356999999999999</v>
      </c>
      <c r="R27" s="63">
        <f t="shared" ca="1" si="8"/>
        <v>16.027999999999999</v>
      </c>
      <c r="S27" s="63">
        <f t="shared" ca="1" si="8"/>
        <v>12.988</v>
      </c>
      <c r="T27" s="63">
        <f t="shared" ca="1" si="8"/>
        <v>11.74</v>
      </c>
      <c r="U27" s="63">
        <f t="shared" ca="1" si="8"/>
        <v>37.591000000000001</v>
      </c>
      <c r="V27" s="63">
        <f t="shared" ca="1" si="8"/>
        <v>6.968</v>
      </c>
      <c r="W27" s="63">
        <f t="shared" ca="1" si="8"/>
        <v>7.7839999999999998</v>
      </c>
    </row>
    <row r="28" spans="1:23" x14ac:dyDescent="0.2">
      <c r="A28" s="45" t="s">
        <v>15</v>
      </c>
      <c r="B28" s="46">
        <f t="shared" ca="1" si="3"/>
        <v>25</v>
      </c>
      <c r="C28" s="1">
        <f>IF(ISERROR(D28),"",IF(D28="","",MAX($C$13:C27)+1))</f>
        <v>15</v>
      </c>
      <c r="D28" t="str">
        <f t="shared" si="4"/>
        <v xml:space="preserve">El Paso Electric              </v>
      </c>
      <c r="E28" s="15"/>
      <c r="F28" s="63">
        <f t="shared" ca="1" si="6"/>
        <v>17.423470588235293</v>
      </c>
      <c r="G28" s="63">
        <f t="shared" si="7"/>
        <v>22.5</v>
      </c>
      <c r="H28" s="63">
        <f ca="1">IFERROR(VLOOKUP($A28,LASTYR,'2017'!$C$3,FALSE),"N/A")</f>
        <v>21.783000000000001</v>
      </c>
      <c r="I28" s="63">
        <f t="shared" ca="1" si="8"/>
        <v>18.657</v>
      </c>
      <c r="J28" s="63">
        <f t="shared" ca="1" si="8"/>
        <v>18.329000000000001</v>
      </c>
      <c r="K28" s="63">
        <f t="shared" ca="1" si="8"/>
        <v>16.382999999999999</v>
      </c>
      <c r="L28" s="63">
        <f t="shared" ca="1" si="8"/>
        <v>15.879</v>
      </c>
      <c r="M28" s="63">
        <f t="shared" ca="1" si="8"/>
        <v>14.473000000000001</v>
      </c>
      <c r="N28" s="63">
        <f t="shared" ca="1" si="8"/>
        <v>12.595000000000001</v>
      </c>
      <c r="O28" s="63">
        <f t="shared" ca="1" si="8"/>
        <v>10.72</v>
      </c>
      <c r="P28" s="63">
        <f t="shared" ca="1" si="8"/>
        <v>10.792999999999999</v>
      </c>
      <c r="Q28" s="63">
        <f t="shared" ca="1" si="8"/>
        <v>11.894</v>
      </c>
      <c r="R28" s="63">
        <f t="shared" ca="1" si="8"/>
        <v>15.26</v>
      </c>
      <c r="S28" s="63">
        <f t="shared" ca="1" si="8"/>
        <v>16.920000000000002</v>
      </c>
      <c r="T28" s="63">
        <f t="shared" ca="1" si="8"/>
        <v>26.724</v>
      </c>
      <c r="U28" s="63">
        <f t="shared" ca="1" si="8"/>
        <v>22.033000000000001</v>
      </c>
      <c r="V28" s="63">
        <f t="shared" ca="1" si="8"/>
        <v>18.263000000000002</v>
      </c>
      <c r="W28" s="63">
        <f t="shared" ca="1" si="8"/>
        <v>22.992999999999999</v>
      </c>
    </row>
    <row r="29" spans="1:23" x14ac:dyDescent="0.2">
      <c r="A29" s="45" t="s">
        <v>17</v>
      </c>
      <c r="B29" s="46">
        <f t="shared" ca="1" si="3"/>
        <v>27</v>
      </c>
      <c r="C29" s="1">
        <f>IF(ISERROR(D29),"",IF(D29="","",MAX($C$13:C28)+1))</f>
        <v>16</v>
      </c>
      <c r="D29" t="str">
        <f t="shared" si="4"/>
        <v xml:space="preserve">Entergy Corp.                 </v>
      </c>
      <c r="E29" s="15"/>
      <c r="F29" s="63">
        <f t="shared" ca="1" si="6"/>
        <v>13.764588235294118</v>
      </c>
      <c r="G29" s="63">
        <f t="shared" si="7"/>
        <v>18.8</v>
      </c>
      <c r="H29" s="63">
        <f ca="1">IFERROR(VLOOKUP($A29,LASTYR,'2017'!$C$3,FALSE),"N/A")</f>
        <v>15.009</v>
      </c>
      <c r="I29" s="63">
        <f t="shared" ca="1" si="8"/>
        <v>10.922000000000001</v>
      </c>
      <c r="J29" s="63">
        <f t="shared" ca="1" si="8"/>
        <v>12.529</v>
      </c>
      <c r="K29" s="63">
        <f t="shared" ca="1" si="8"/>
        <v>12.885999999999999</v>
      </c>
      <c r="L29" s="63">
        <f t="shared" ca="1" si="8"/>
        <v>13.214</v>
      </c>
      <c r="M29" s="63">
        <f t="shared" ca="1" si="8"/>
        <v>11.224</v>
      </c>
      <c r="N29" s="63">
        <f t="shared" ca="1" si="8"/>
        <v>9.0619999999999994</v>
      </c>
      <c r="O29" s="63">
        <f t="shared" ca="1" si="8"/>
        <v>11.571</v>
      </c>
      <c r="P29" s="63">
        <f t="shared" ca="1" si="8"/>
        <v>11.981</v>
      </c>
      <c r="Q29" s="63">
        <f t="shared" ca="1" si="8"/>
        <v>16.556000000000001</v>
      </c>
      <c r="R29" s="63">
        <f t="shared" ca="1" si="8"/>
        <v>19.303000000000001</v>
      </c>
      <c r="S29" s="63">
        <f t="shared" ca="1" si="8"/>
        <v>14.276</v>
      </c>
      <c r="T29" s="63">
        <f t="shared" ca="1" si="8"/>
        <v>16.282</v>
      </c>
      <c r="U29" s="63">
        <f t="shared" ca="1" si="8"/>
        <v>15.087</v>
      </c>
      <c r="V29" s="63">
        <f t="shared" ca="1" si="8"/>
        <v>13.771000000000001</v>
      </c>
      <c r="W29" s="63">
        <f t="shared" ca="1" si="8"/>
        <v>11.525</v>
      </c>
    </row>
    <row r="30" spans="1:23" x14ac:dyDescent="0.2">
      <c r="A30" s="45" t="s">
        <v>211</v>
      </c>
      <c r="B30" s="46">
        <f t="shared" ca="1" si="3"/>
        <v>28</v>
      </c>
      <c r="C30" s="1">
        <f>IF(ISERROR(D30),"",IF(D30="","",MAX($C$13:C29)+1))</f>
        <v>17</v>
      </c>
      <c r="D30" t="str">
        <f t="shared" si="4"/>
        <v xml:space="preserve">Eversource Energy    </v>
      </c>
      <c r="E30" s="15"/>
      <c r="F30" s="63">
        <f t="shared" ca="1" si="6"/>
        <v>17.65494117647059</v>
      </c>
      <c r="G30" s="63">
        <f t="shared" si="7"/>
        <v>19</v>
      </c>
      <c r="H30" s="63">
        <f ca="1">IFERROR(VLOOKUP($A30,LASTYR,'2017'!$C$3,FALSE),"N/A")</f>
        <v>19.465</v>
      </c>
      <c r="I30" s="63">
        <f t="shared" ca="1" si="8"/>
        <v>18.692</v>
      </c>
      <c r="J30" s="63">
        <f t="shared" ca="1" si="8"/>
        <v>18.11</v>
      </c>
      <c r="K30" s="63">
        <f t="shared" ca="1" si="8"/>
        <v>17.920000000000002</v>
      </c>
      <c r="L30" s="63">
        <f t="shared" ca="1" si="8"/>
        <v>16.940999999999999</v>
      </c>
      <c r="M30" s="63">
        <f t="shared" ca="1" si="8"/>
        <v>19.855</v>
      </c>
      <c r="N30" s="63">
        <f t="shared" ca="1" si="8"/>
        <v>15.35</v>
      </c>
      <c r="O30" s="63">
        <f t="shared" ca="1" si="8"/>
        <v>13.423</v>
      </c>
      <c r="P30" s="63">
        <f t="shared" ca="1" si="8"/>
        <v>11.96</v>
      </c>
      <c r="Q30" s="63">
        <f t="shared" ca="1" si="8"/>
        <v>13.662000000000001</v>
      </c>
      <c r="R30" s="63">
        <f t="shared" ca="1" si="8"/>
        <v>18.745999999999999</v>
      </c>
      <c r="S30" s="63">
        <f t="shared" ca="1" si="8"/>
        <v>27.065000000000001</v>
      </c>
      <c r="T30" s="63">
        <f t="shared" ca="1" si="8"/>
        <v>19.757000000000001</v>
      </c>
      <c r="U30" s="63">
        <f t="shared" ca="1" si="8"/>
        <v>20.768000000000001</v>
      </c>
      <c r="V30" s="63">
        <f t="shared" ca="1" si="8"/>
        <v>13.353999999999999</v>
      </c>
      <c r="W30" s="63">
        <f t="shared" ca="1" si="8"/>
        <v>16.065999999999999</v>
      </c>
    </row>
    <row r="31" spans="1:23" x14ac:dyDescent="0.2">
      <c r="A31" s="45" t="s">
        <v>487</v>
      </c>
      <c r="B31" s="46">
        <f t="shared" ca="1" si="3"/>
        <v>29</v>
      </c>
      <c r="C31" s="1">
        <f>IF(ISERROR(D31),"",IF(D31="","",MAX($C$13:C30)+1))</f>
        <v>18</v>
      </c>
      <c r="D31" t="str">
        <f t="shared" si="4"/>
        <v>Evergy, Inc.</v>
      </c>
      <c r="E31" s="15"/>
      <c r="F31" s="63">
        <f t="shared" ca="1" si="6"/>
        <v>21.7</v>
      </c>
      <c r="G31" s="63">
        <f t="shared" si="7"/>
        <v>21.7</v>
      </c>
      <c r="H31" s="63" t="str">
        <f ca="1">IFERROR(VLOOKUP($A31,LASTYR,'2017'!$C$3,FALSE),"N/A")</f>
        <v>N/A</v>
      </c>
      <c r="I31" s="63" t="str">
        <f t="shared" ca="1" si="8"/>
        <v>N/A</v>
      </c>
      <c r="J31" s="63" t="str">
        <f t="shared" ca="1" si="8"/>
        <v>N/A</v>
      </c>
      <c r="K31" s="63" t="str">
        <f t="shared" ca="1" si="8"/>
        <v>N/A</v>
      </c>
      <c r="L31" s="63" t="str">
        <f t="shared" ca="1" si="8"/>
        <v>N/A</v>
      </c>
      <c r="M31" s="63" t="str">
        <f t="shared" ca="1" si="8"/>
        <v>N/A</v>
      </c>
      <c r="N31" s="63" t="str">
        <f t="shared" ca="1" si="8"/>
        <v>N/A</v>
      </c>
      <c r="O31" s="63" t="str">
        <f t="shared" ca="1" si="8"/>
        <v>N/A</v>
      </c>
      <c r="P31" s="63" t="str">
        <f t="shared" ca="1" si="8"/>
        <v>N/A</v>
      </c>
      <c r="Q31" s="63" t="str">
        <f t="shared" ca="1" si="8"/>
        <v>N/A</v>
      </c>
      <c r="R31" s="63" t="str">
        <f t="shared" ca="1" si="8"/>
        <v>N/A</v>
      </c>
      <c r="S31" s="63" t="str">
        <f t="shared" ca="1" si="8"/>
        <v>N/A</v>
      </c>
      <c r="T31" s="63" t="str">
        <f t="shared" ca="1" si="8"/>
        <v>N/A</v>
      </c>
      <c r="U31" s="63" t="str">
        <f t="shared" ca="1" si="8"/>
        <v>N/A</v>
      </c>
      <c r="V31" s="63" t="str">
        <f t="shared" ca="1" si="8"/>
        <v>N/A</v>
      </c>
      <c r="W31" s="63" t="str">
        <f t="shared" ca="1" si="8"/>
        <v>N/A</v>
      </c>
    </row>
    <row r="32" spans="1:23" x14ac:dyDescent="0.2">
      <c r="A32" s="45" t="s">
        <v>18</v>
      </c>
      <c r="B32" s="46">
        <f t="shared" ca="1" si="3"/>
        <v>30</v>
      </c>
      <c r="C32" s="1">
        <f>IF(ISERROR(D32),"",IF(D32="","",MAX($C$13:C31)+1))</f>
        <v>19</v>
      </c>
      <c r="D32" t="str">
        <f t="shared" si="4"/>
        <v xml:space="preserve">Exelon Corp.                  </v>
      </c>
      <c r="E32" s="15"/>
      <c r="F32" s="63">
        <f t="shared" ca="1" si="6"/>
        <v>14.415352941176472</v>
      </c>
      <c r="G32" s="63">
        <f t="shared" si="7"/>
        <v>14.8</v>
      </c>
      <c r="H32" s="63">
        <f ca="1">IFERROR(VLOOKUP($A32,LASTYR,'2017'!$C$3,FALSE),"N/A")</f>
        <v>13.41</v>
      </c>
      <c r="I32" s="63">
        <f t="shared" ref="I32:W48" ca="1" si="9">IFERROR(INDEX(PE_WP,$B32,I$13),"N/A")</f>
        <v>18.681000000000001</v>
      </c>
      <c r="J32" s="63">
        <f t="shared" ca="1" si="9"/>
        <v>12.576000000000001</v>
      </c>
      <c r="K32" s="63">
        <f t="shared" ca="1" si="9"/>
        <v>16.018000000000001</v>
      </c>
      <c r="L32" s="63">
        <f t="shared" ca="1" si="9"/>
        <v>13.433</v>
      </c>
      <c r="M32" s="63">
        <f t="shared" ca="1" si="9"/>
        <v>19.077999999999999</v>
      </c>
      <c r="N32" s="63">
        <f t="shared" ca="1" si="9"/>
        <v>11.301</v>
      </c>
      <c r="O32" s="63">
        <f t="shared" ca="1" si="9"/>
        <v>10.97</v>
      </c>
      <c r="P32" s="63">
        <f t="shared" ca="1" si="9"/>
        <v>11.488</v>
      </c>
      <c r="Q32" s="63">
        <f t="shared" ca="1" si="9"/>
        <v>17.972000000000001</v>
      </c>
      <c r="R32" s="63">
        <f t="shared" ca="1" si="9"/>
        <v>18.222000000000001</v>
      </c>
      <c r="S32" s="63">
        <f t="shared" ca="1" si="9"/>
        <v>16.529</v>
      </c>
      <c r="T32" s="63">
        <f t="shared" ca="1" si="9"/>
        <v>15.371</v>
      </c>
      <c r="U32" s="63">
        <f t="shared" ca="1" si="9"/>
        <v>12.99</v>
      </c>
      <c r="V32" s="63">
        <f t="shared" ca="1" si="9"/>
        <v>11.765000000000001</v>
      </c>
      <c r="W32" s="63">
        <f t="shared" ca="1" si="9"/>
        <v>10.457000000000001</v>
      </c>
    </row>
    <row r="33" spans="1:23" x14ac:dyDescent="0.2">
      <c r="A33" s="45" t="s">
        <v>19</v>
      </c>
      <c r="B33" s="46">
        <f t="shared" ca="1" si="3"/>
        <v>31</v>
      </c>
      <c r="C33" s="1">
        <f>IF(ISERROR(D33),"",IF(D33="","",MAX($C$13:C32)+1))</f>
        <v>20</v>
      </c>
      <c r="D33" t="str">
        <f t="shared" si="4"/>
        <v xml:space="preserve">FirstEnergy Corp.             </v>
      </c>
      <c r="E33" s="15"/>
      <c r="F33" s="63">
        <f t="shared" ca="1" si="6"/>
        <v>17.313058823529417</v>
      </c>
      <c r="G33" s="63">
        <f t="shared" si="7"/>
        <v>17.8</v>
      </c>
      <c r="H33" s="63">
        <f ca="1">IFERROR(VLOOKUP($A33,LASTYR,'2017'!$C$3,FALSE),"N/A")</f>
        <v>11.409000000000001</v>
      </c>
      <c r="I33" s="63">
        <f t="shared" ca="1" si="9"/>
        <v>15.914</v>
      </c>
      <c r="J33" s="63">
        <f t="shared" ca="1" si="9"/>
        <v>17.023</v>
      </c>
      <c r="K33" s="63">
        <f t="shared" ca="1" si="9"/>
        <v>39.789000000000001</v>
      </c>
      <c r="L33" s="63">
        <f t="shared" ca="1" si="9"/>
        <v>13.055</v>
      </c>
      <c r="M33" s="63">
        <f t="shared" ca="1" si="9"/>
        <v>21.094999999999999</v>
      </c>
      <c r="N33" s="63">
        <f t="shared" ca="1" si="9"/>
        <v>22.39</v>
      </c>
      <c r="O33" s="63">
        <f t="shared" ca="1" si="9"/>
        <v>11.747999999999999</v>
      </c>
      <c r="P33" s="63">
        <f t="shared" ca="1" si="9"/>
        <v>13.023999999999999</v>
      </c>
      <c r="Q33" s="63">
        <f t="shared" ca="1" si="9"/>
        <v>15.643000000000001</v>
      </c>
      <c r="R33" s="63">
        <f t="shared" ca="1" si="9"/>
        <v>15.587</v>
      </c>
      <c r="S33" s="63">
        <f t="shared" ca="1" si="9"/>
        <v>14.228999999999999</v>
      </c>
      <c r="T33" s="63">
        <f t="shared" ca="1" si="9"/>
        <v>16.065000000000001</v>
      </c>
      <c r="U33" s="63">
        <f t="shared" ca="1" si="9"/>
        <v>14.127000000000001</v>
      </c>
      <c r="V33" s="63">
        <f t="shared" ca="1" si="9"/>
        <v>22.47</v>
      </c>
      <c r="W33" s="63">
        <f t="shared" ca="1" si="9"/>
        <v>12.954000000000001</v>
      </c>
    </row>
    <row r="34" spans="1:23" x14ac:dyDescent="0.2">
      <c r="A34" s="45" t="s">
        <v>266</v>
      </c>
      <c r="B34" s="46">
        <f t="shared" ca="1" si="3"/>
        <v>32</v>
      </c>
      <c r="C34" s="1">
        <f>IF(ISERROR(D34),"",IF(D34="","",MAX($C$13:C33)+1))</f>
        <v>21</v>
      </c>
      <c r="D34" t="str">
        <f t="shared" si="4"/>
        <v>Fortis Inc.</v>
      </c>
      <c r="E34" s="15"/>
      <c r="F34" s="63">
        <f t="shared" ca="1" si="6"/>
        <v>19.021153846153847</v>
      </c>
      <c r="G34" s="63">
        <f t="shared" si="7"/>
        <v>16.8</v>
      </c>
      <c r="H34" s="63">
        <f ca="1">IFERROR(VLOOKUP($A34,LASTYR,'2017'!$C$3,FALSE),"N/A")</f>
        <v>16.809999999999999</v>
      </c>
      <c r="I34" s="63">
        <f t="shared" ca="1" si="9"/>
        <v>21.603000000000002</v>
      </c>
      <c r="J34" s="63">
        <f t="shared" ca="1" si="9"/>
        <v>18.001999999999999</v>
      </c>
      <c r="K34" s="63">
        <f t="shared" ca="1" si="9"/>
        <v>24.286000000000001</v>
      </c>
      <c r="L34" s="63">
        <f t="shared" ca="1" si="9"/>
        <v>19.97</v>
      </c>
      <c r="M34" s="63">
        <f t="shared" ca="1" si="9"/>
        <v>20.122</v>
      </c>
      <c r="N34" s="63">
        <f t="shared" ca="1" si="9"/>
        <v>18.792999999999999</v>
      </c>
      <c r="O34" s="63">
        <f t="shared" ca="1" si="9"/>
        <v>18.215</v>
      </c>
      <c r="P34" s="63">
        <f t="shared" ca="1" si="9"/>
        <v>16.364000000000001</v>
      </c>
      <c r="Q34" s="63">
        <f t="shared" ca="1" si="9"/>
        <v>17.481999999999999</v>
      </c>
      <c r="R34" s="63">
        <f t="shared" ca="1" si="9"/>
        <v>21.143999999999998</v>
      </c>
      <c r="S34" s="63">
        <f t="shared" ca="1" si="9"/>
        <v>17.684000000000001</v>
      </c>
      <c r="T34" s="63" t="str">
        <f t="shared" ca="1" si="9"/>
        <v>N/A</v>
      </c>
      <c r="U34" s="63" t="str">
        <f t="shared" ca="1" si="9"/>
        <v>N/A</v>
      </c>
      <c r="V34" s="63" t="str">
        <f t="shared" ca="1" si="9"/>
        <v>N/A</v>
      </c>
      <c r="W34" s="63" t="str">
        <f t="shared" ca="1" si="9"/>
        <v>N/A</v>
      </c>
    </row>
    <row r="35" spans="1:23" x14ac:dyDescent="0.2">
      <c r="A35" s="45" t="s">
        <v>20</v>
      </c>
      <c r="B35" s="46">
        <f t="shared" ca="1" si="3"/>
        <v>34</v>
      </c>
      <c r="C35" s="1">
        <f>IF(ISERROR(D35),"",IF(D35="","",MAX($C$13:C34)+1))</f>
        <v>22</v>
      </c>
      <c r="D35" s="31" t="str">
        <f t="shared" si="4"/>
        <v xml:space="preserve">Great Plains Energy             </v>
      </c>
      <c r="E35" s="203"/>
      <c r="F35" s="63">
        <f t="shared" ca="1" si="6"/>
        <v>15.522533333333334</v>
      </c>
      <c r="G35" s="204" t="str">
        <f t="shared" si="7"/>
        <v>N/A</v>
      </c>
      <c r="H35" s="63" t="str">
        <f ca="1">IFERROR(VLOOKUP($A35,LASTYR,'2017'!$C$3,FALSE),"N/A")</f>
        <v>NMF</v>
      </c>
      <c r="I35" s="63">
        <f t="shared" ca="1" si="9"/>
        <v>17.981000000000002</v>
      </c>
      <c r="J35" s="63">
        <f t="shared" ca="1" si="9"/>
        <v>19.366</v>
      </c>
      <c r="K35" s="63">
        <f t="shared" ca="1" si="9"/>
        <v>16.47</v>
      </c>
      <c r="L35" s="63">
        <f t="shared" ca="1" si="9"/>
        <v>14.186</v>
      </c>
      <c r="M35" s="63">
        <f t="shared" ca="1" si="9"/>
        <v>15.534000000000001</v>
      </c>
      <c r="N35" s="63">
        <f t="shared" ca="1" si="9"/>
        <v>16.105</v>
      </c>
      <c r="O35" s="63">
        <f t="shared" ca="1" si="9"/>
        <v>12.095000000000001</v>
      </c>
      <c r="P35" s="63">
        <f t="shared" ca="1" si="9"/>
        <v>16.033000000000001</v>
      </c>
      <c r="Q35" s="63">
        <f t="shared" ca="1" si="9"/>
        <v>20.547000000000001</v>
      </c>
      <c r="R35" s="63">
        <f t="shared" ca="1" si="9"/>
        <v>16.347999999999999</v>
      </c>
      <c r="S35" s="63">
        <f t="shared" ca="1" si="9"/>
        <v>18.298999999999999</v>
      </c>
      <c r="T35" s="63">
        <f t="shared" ca="1" si="9"/>
        <v>13.962</v>
      </c>
      <c r="U35" s="63">
        <f t="shared" ca="1" si="9"/>
        <v>12.593</v>
      </c>
      <c r="V35" s="63">
        <f t="shared" ca="1" si="9"/>
        <v>12.228999999999999</v>
      </c>
      <c r="W35" s="63">
        <f t="shared" ca="1" si="9"/>
        <v>11.09</v>
      </c>
    </row>
    <row r="36" spans="1:23" x14ac:dyDescent="0.2">
      <c r="A36" s="45" t="s">
        <v>21</v>
      </c>
      <c r="B36" s="46">
        <f t="shared" ca="1" si="3"/>
        <v>35</v>
      </c>
      <c r="C36" s="1">
        <f>IF(ISERROR(D36),"",IF(D36="","",MAX($C$13:C35)+1))</f>
        <v>23</v>
      </c>
      <c r="D36" t="str">
        <f t="shared" si="4"/>
        <v xml:space="preserve">Hawaiian Elec.                </v>
      </c>
      <c r="E36" s="15"/>
      <c r="F36" s="63">
        <f t="shared" ca="1" si="6"/>
        <v>18.022000000000002</v>
      </c>
      <c r="G36" s="63">
        <f t="shared" si="7"/>
        <v>18.600000000000001</v>
      </c>
      <c r="H36" s="63">
        <f ca="1">IFERROR(VLOOKUP($A36,LASTYR,'2017'!$C$3,FALSE),"N/A")</f>
        <v>20.693000000000001</v>
      </c>
      <c r="I36" s="63">
        <f t="shared" ca="1" si="9"/>
        <v>13.555999999999999</v>
      </c>
      <c r="J36" s="63">
        <f t="shared" ca="1" si="9"/>
        <v>20.402999999999999</v>
      </c>
      <c r="K36" s="63">
        <f t="shared" ca="1" si="9"/>
        <v>15.881</v>
      </c>
      <c r="L36" s="63">
        <f t="shared" ca="1" si="9"/>
        <v>16.213000000000001</v>
      </c>
      <c r="M36" s="63">
        <f t="shared" ca="1" si="9"/>
        <v>15.813000000000001</v>
      </c>
      <c r="N36" s="63">
        <f t="shared" ca="1" si="9"/>
        <v>17.09</v>
      </c>
      <c r="O36" s="63">
        <f t="shared" ca="1" si="9"/>
        <v>18.588000000000001</v>
      </c>
      <c r="P36" s="63">
        <f t="shared" ca="1" si="9"/>
        <v>19.786000000000001</v>
      </c>
      <c r="Q36" s="63">
        <f t="shared" ca="1" si="9"/>
        <v>23.161000000000001</v>
      </c>
      <c r="R36" s="63">
        <f t="shared" ca="1" si="9"/>
        <v>21.574000000000002</v>
      </c>
      <c r="S36" s="63">
        <f t="shared" ca="1" si="9"/>
        <v>20.329000000000001</v>
      </c>
      <c r="T36" s="63">
        <f t="shared" ca="1" si="9"/>
        <v>18.273</v>
      </c>
      <c r="U36" s="63">
        <f t="shared" ca="1" si="9"/>
        <v>19.181000000000001</v>
      </c>
      <c r="V36" s="63">
        <f t="shared" ca="1" si="9"/>
        <v>13.759</v>
      </c>
      <c r="W36" s="63">
        <f t="shared" ca="1" si="9"/>
        <v>13.474</v>
      </c>
    </row>
    <row r="37" spans="1:23" x14ac:dyDescent="0.2">
      <c r="A37" s="45" t="s">
        <v>22</v>
      </c>
      <c r="B37" s="46">
        <f t="shared" ca="1" si="3"/>
        <v>36</v>
      </c>
      <c r="C37" s="1">
        <f>IF(ISERROR(D37),"",IF(D37="","",MAX($C$13:C36)+1))</f>
        <v>24</v>
      </c>
      <c r="D37" t="str">
        <f t="shared" si="4"/>
        <v xml:space="preserve">IDACORP, Inc.                 </v>
      </c>
      <c r="E37" s="15"/>
      <c r="F37" s="63">
        <f t="shared" ca="1" si="6"/>
        <v>16.330823529411767</v>
      </c>
      <c r="G37" s="63">
        <f t="shared" si="7"/>
        <v>22.9</v>
      </c>
      <c r="H37" s="63">
        <f ca="1">IFERROR(VLOOKUP($A37,LASTYR,'2017'!$C$3,FALSE),"N/A")</f>
        <v>20.600999999999999</v>
      </c>
      <c r="I37" s="63">
        <f t="shared" ca="1" si="9"/>
        <v>19.059999999999999</v>
      </c>
      <c r="J37" s="63">
        <f t="shared" ca="1" si="9"/>
        <v>16.218</v>
      </c>
      <c r="K37" s="63">
        <f t="shared" ca="1" si="9"/>
        <v>14.664999999999999</v>
      </c>
      <c r="L37" s="63">
        <f t="shared" ca="1" si="9"/>
        <v>13.45</v>
      </c>
      <c r="M37" s="63">
        <f t="shared" ca="1" si="9"/>
        <v>12.409000000000001</v>
      </c>
      <c r="N37" s="63">
        <f t="shared" ca="1" si="9"/>
        <v>11.535</v>
      </c>
      <c r="O37" s="63">
        <f t="shared" ca="1" si="9"/>
        <v>11.827</v>
      </c>
      <c r="P37" s="63">
        <f t="shared" ca="1" si="9"/>
        <v>10.196999999999999</v>
      </c>
      <c r="Q37" s="63">
        <f t="shared" ca="1" si="9"/>
        <v>13.925000000000001</v>
      </c>
      <c r="R37" s="63">
        <f t="shared" ca="1" si="9"/>
        <v>18.193999999999999</v>
      </c>
      <c r="S37" s="63">
        <f t="shared" ca="1" si="9"/>
        <v>15.07</v>
      </c>
      <c r="T37" s="63">
        <f t="shared" ca="1" si="9"/>
        <v>16.699000000000002</v>
      </c>
      <c r="U37" s="63">
        <f t="shared" ca="1" si="9"/>
        <v>15.488</v>
      </c>
      <c r="V37" s="63">
        <f t="shared" ca="1" si="9"/>
        <v>26.510999999999999</v>
      </c>
      <c r="W37" s="63">
        <f t="shared" ca="1" si="9"/>
        <v>18.875</v>
      </c>
    </row>
    <row r="38" spans="1:23" x14ac:dyDescent="0.2">
      <c r="A38" s="45" t="s">
        <v>25</v>
      </c>
      <c r="B38" s="46">
        <f t="shared" ca="1" si="3"/>
        <v>40</v>
      </c>
      <c r="C38" s="1">
        <f>IF(ISERROR(D38),"",IF(D38="","",MAX($C$13:C37)+1))</f>
        <v>25</v>
      </c>
      <c r="D38" t="str">
        <f t="shared" si="4"/>
        <v xml:space="preserve">MGE Energy                    </v>
      </c>
      <c r="E38" s="15"/>
      <c r="F38" s="63">
        <f t="shared" ca="1" si="6"/>
        <v>18.618411764705883</v>
      </c>
      <c r="G38" s="63">
        <f t="shared" si="7"/>
        <v>25.6</v>
      </c>
      <c r="H38" s="63">
        <f ca="1">IFERROR(VLOOKUP($A38,LASTYR,'2017'!$C$3,FALSE),"N/A")</f>
        <v>29.356999999999999</v>
      </c>
      <c r="I38" s="63">
        <f t="shared" ca="1" si="9"/>
        <v>24.904</v>
      </c>
      <c r="J38" s="63">
        <f t="shared" ca="1" si="9"/>
        <v>20.279</v>
      </c>
      <c r="K38" s="63">
        <f t="shared" ca="1" si="9"/>
        <v>17.190999999999999</v>
      </c>
      <c r="L38" s="63">
        <f t="shared" ca="1" si="9"/>
        <v>17.013999999999999</v>
      </c>
      <c r="M38" s="63">
        <f t="shared" ca="1" si="9"/>
        <v>17.231000000000002</v>
      </c>
      <c r="N38" s="63">
        <f t="shared" ca="1" si="9"/>
        <v>15.823</v>
      </c>
      <c r="O38" s="63">
        <f t="shared" ca="1" si="9"/>
        <v>14.977</v>
      </c>
      <c r="P38" s="63">
        <f t="shared" ca="1" si="9"/>
        <v>15.138999999999999</v>
      </c>
      <c r="Q38" s="63">
        <f t="shared" ca="1" si="9"/>
        <v>14.221</v>
      </c>
      <c r="R38" s="63">
        <f t="shared" ca="1" si="9"/>
        <v>15.007</v>
      </c>
      <c r="S38" s="63">
        <f t="shared" ca="1" si="9"/>
        <v>15.879</v>
      </c>
      <c r="T38" s="63">
        <f t="shared" ca="1" si="9"/>
        <v>22.401</v>
      </c>
      <c r="U38" s="63">
        <f t="shared" ca="1" si="9"/>
        <v>17.983000000000001</v>
      </c>
      <c r="V38" s="63">
        <f t="shared" ca="1" si="9"/>
        <v>17.55</v>
      </c>
      <c r="W38" s="63">
        <f t="shared" ca="1" si="9"/>
        <v>15.957000000000001</v>
      </c>
    </row>
    <row r="39" spans="1:23" x14ac:dyDescent="0.2">
      <c r="A39" s="45" t="s">
        <v>141</v>
      </c>
      <c r="B39" s="46">
        <f t="shared" ca="1" si="3"/>
        <v>43</v>
      </c>
      <c r="C39" s="1">
        <f>IF(ISERROR(D39),"",IF(D39="","",MAX($C$13:C38)+1))</f>
        <v>26</v>
      </c>
      <c r="D39" t="str">
        <f t="shared" si="4"/>
        <v>NextEra Energy, Inc.</v>
      </c>
      <c r="E39" s="15"/>
      <c r="F39" s="63">
        <f t="shared" ca="1" si="6"/>
        <v>16.149764705882351</v>
      </c>
      <c r="G39" s="63">
        <f t="shared" si="7"/>
        <v>21.2</v>
      </c>
      <c r="H39" s="63">
        <f ca="1">IFERROR(VLOOKUP($A39,LASTYR,'2017'!$C$3,FALSE),"N/A")</f>
        <v>21.649000000000001</v>
      </c>
      <c r="I39" s="63">
        <f t="shared" ca="1" si="9"/>
        <v>20.710999999999999</v>
      </c>
      <c r="J39" s="63">
        <f t="shared" ca="1" si="9"/>
        <v>16.893999999999998</v>
      </c>
      <c r="K39" s="63">
        <f t="shared" ca="1" si="9"/>
        <v>17.254000000000001</v>
      </c>
      <c r="L39" s="63">
        <f t="shared" ca="1" si="9"/>
        <v>16.571000000000002</v>
      </c>
      <c r="M39" s="63">
        <f t="shared" ca="1" si="9"/>
        <v>14.433999999999999</v>
      </c>
      <c r="N39" s="63">
        <f t="shared" ca="1" si="9"/>
        <v>11.536</v>
      </c>
      <c r="O39" s="63">
        <f t="shared" ca="1" si="9"/>
        <v>10.827999999999999</v>
      </c>
      <c r="P39" s="63">
        <f t="shared" ca="1" si="9"/>
        <v>13.416</v>
      </c>
      <c r="Q39" s="63">
        <f t="shared" ca="1" si="9"/>
        <v>14.481999999999999</v>
      </c>
      <c r="R39" s="63">
        <f t="shared" ca="1" si="9"/>
        <v>18.896999999999998</v>
      </c>
      <c r="S39" s="63">
        <f t="shared" ca="1" si="9"/>
        <v>13.651999999999999</v>
      </c>
      <c r="T39" s="63">
        <f t="shared" ca="1" si="9"/>
        <v>17.884</v>
      </c>
      <c r="U39" s="63">
        <f t="shared" ca="1" si="9"/>
        <v>13.651999999999999</v>
      </c>
      <c r="V39" s="63">
        <f t="shared" ca="1" si="9"/>
        <v>17.884</v>
      </c>
      <c r="W39" s="63">
        <f t="shared" ca="1" si="9"/>
        <v>13.602</v>
      </c>
    </row>
    <row r="40" spans="1:23" x14ac:dyDescent="0.2">
      <c r="A40" s="45" t="s">
        <v>144</v>
      </c>
      <c r="B40" s="46">
        <f t="shared" ca="1" si="3"/>
        <v>46</v>
      </c>
      <c r="C40" s="1">
        <f>IF(ISERROR(D40),"",IF(D40="","",MAX($C$13:C39)+1))</f>
        <v>27</v>
      </c>
      <c r="D40" t="str">
        <f t="shared" si="4"/>
        <v xml:space="preserve">NorthWestern Corp             </v>
      </c>
      <c r="E40" s="15"/>
      <c r="F40" s="63">
        <f t="shared" ca="1" si="6"/>
        <v>16.78614285714286</v>
      </c>
      <c r="G40" s="63">
        <f t="shared" si="7"/>
        <v>17.100000000000001</v>
      </c>
      <c r="H40" s="63">
        <f ca="1">IFERROR(VLOOKUP($A40,LASTYR,'2017'!$C$3,FALSE),"N/A")</f>
        <v>17.844999999999999</v>
      </c>
      <c r="I40" s="63">
        <f t="shared" ca="1" si="9"/>
        <v>17.186</v>
      </c>
      <c r="J40" s="63">
        <f t="shared" ca="1" si="9"/>
        <v>18.361999999999998</v>
      </c>
      <c r="K40" s="63">
        <f t="shared" ca="1" si="9"/>
        <v>16.234999999999999</v>
      </c>
      <c r="L40" s="63">
        <f t="shared" ca="1" si="9"/>
        <v>16.86</v>
      </c>
      <c r="M40" s="63">
        <f t="shared" ca="1" si="9"/>
        <v>15.717000000000001</v>
      </c>
      <c r="N40" s="63">
        <f t="shared" ca="1" si="9"/>
        <v>12.622999999999999</v>
      </c>
      <c r="O40" s="63">
        <f t="shared" ca="1" si="9"/>
        <v>12.895</v>
      </c>
      <c r="P40" s="63">
        <f t="shared" ca="1" si="9"/>
        <v>11.538</v>
      </c>
      <c r="Q40" s="63">
        <f t="shared" ca="1" si="9"/>
        <v>13.866</v>
      </c>
      <c r="R40" s="63">
        <f t="shared" ca="1" si="9"/>
        <v>21.734999999999999</v>
      </c>
      <c r="S40" s="63">
        <f t="shared" ca="1" si="9"/>
        <v>25.952999999999999</v>
      </c>
      <c r="T40" s="63">
        <f t="shared" ca="1" si="9"/>
        <v>17.091000000000001</v>
      </c>
      <c r="U40" s="63" t="str">
        <f t="shared" ca="1" si="9"/>
        <v>N/A</v>
      </c>
      <c r="V40" s="63" t="str">
        <f t="shared" ca="1" si="9"/>
        <v>N/A</v>
      </c>
      <c r="W40" s="63" t="str">
        <f t="shared" ca="1" si="9"/>
        <v>N/A</v>
      </c>
    </row>
    <row r="41" spans="1:23" x14ac:dyDescent="0.2">
      <c r="A41" s="45" t="s">
        <v>27</v>
      </c>
      <c r="B41" s="46">
        <f t="shared" ca="1" si="3"/>
        <v>47</v>
      </c>
      <c r="C41" s="1">
        <f>IF(ISERROR(D41),"",IF(D41="","",MAX($C$13:C40)+1))</f>
        <v>28</v>
      </c>
      <c r="D41" t="str">
        <f t="shared" si="4"/>
        <v xml:space="preserve">OGE Energy                    </v>
      </c>
      <c r="E41" s="15"/>
      <c r="F41" s="63">
        <f t="shared" ca="1" si="6"/>
        <v>15.170411764705882</v>
      </c>
      <c r="G41" s="63">
        <f t="shared" si="7"/>
        <v>19.7</v>
      </c>
      <c r="H41" s="63">
        <f ca="1">IFERROR(VLOOKUP($A41,LASTYR,'2017'!$C$3,FALSE),"N/A")</f>
        <v>18.323</v>
      </c>
      <c r="I41" s="63">
        <f t="shared" ca="1" si="9"/>
        <v>17.68</v>
      </c>
      <c r="J41" s="63">
        <f t="shared" ca="1" si="9"/>
        <v>17.689</v>
      </c>
      <c r="K41" s="63">
        <f t="shared" ca="1" si="9"/>
        <v>18.265999999999998</v>
      </c>
      <c r="L41" s="63">
        <f t="shared" ca="1" si="9"/>
        <v>17.693000000000001</v>
      </c>
      <c r="M41" s="63">
        <f t="shared" ca="1" si="9"/>
        <v>15.156000000000001</v>
      </c>
      <c r="N41" s="63">
        <f t="shared" ca="1" si="9"/>
        <v>14.366</v>
      </c>
      <c r="O41" s="63">
        <f t="shared" ca="1" si="9"/>
        <v>13.314</v>
      </c>
      <c r="P41" s="63">
        <f t="shared" ca="1" si="9"/>
        <v>10.834</v>
      </c>
      <c r="Q41" s="63">
        <f t="shared" ca="1" si="9"/>
        <v>12.407999999999999</v>
      </c>
      <c r="R41" s="63">
        <f t="shared" ca="1" si="9"/>
        <v>13.750999999999999</v>
      </c>
      <c r="S41" s="63">
        <f t="shared" ca="1" si="9"/>
        <v>13.675000000000001</v>
      </c>
      <c r="T41" s="63">
        <f t="shared" ca="1" si="9"/>
        <v>14.95</v>
      </c>
      <c r="U41" s="63">
        <f t="shared" ca="1" si="9"/>
        <v>14.131</v>
      </c>
      <c r="V41" s="63">
        <f t="shared" ca="1" si="9"/>
        <v>11.837999999999999</v>
      </c>
      <c r="W41" s="63">
        <f t="shared" ca="1" si="9"/>
        <v>14.122999999999999</v>
      </c>
    </row>
    <row r="42" spans="1:23" x14ac:dyDescent="0.2">
      <c r="A42" s="45" t="s">
        <v>28</v>
      </c>
      <c r="B42" s="46">
        <f t="shared" ca="1" si="3"/>
        <v>49</v>
      </c>
      <c r="C42" s="1">
        <f>IF(ISERROR(D42),"",IF(D42="","",MAX($C$13:C41)+1))</f>
        <v>29</v>
      </c>
      <c r="D42" t="str">
        <f t="shared" si="4"/>
        <v xml:space="preserve">Otter Tail Corp.              </v>
      </c>
      <c r="E42" s="15"/>
      <c r="F42" s="63">
        <f t="shared" ca="1" si="6"/>
        <v>24.143470588235292</v>
      </c>
      <c r="G42" s="63">
        <f t="shared" si="7"/>
        <v>21.6</v>
      </c>
      <c r="H42" s="63">
        <f ca="1">IFERROR(VLOOKUP($A42,LASTYR,'2017'!$C$3,FALSE),"N/A")</f>
        <v>22.062999999999999</v>
      </c>
      <c r="I42" s="63">
        <f t="shared" ca="1" si="9"/>
        <v>20.193000000000001</v>
      </c>
      <c r="J42" s="63">
        <f t="shared" ca="1" si="9"/>
        <v>18.199000000000002</v>
      </c>
      <c r="K42" s="63">
        <f t="shared" ca="1" si="9"/>
        <v>18.838000000000001</v>
      </c>
      <c r="L42" s="63">
        <f t="shared" ca="1" si="9"/>
        <v>21.12</v>
      </c>
      <c r="M42" s="63">
        <f t="shared" ca="1" si="9"/>
        <v>21.75</v>
      </c>
      <c r="N42" s="63">
        <f t="shared" ca="1" si="9"/>
        <v>47.481999999999999</v>
      </c>
      <c r="O42" s="63">
        <f t="shared" ca="1" si="9"/>
        <v>55.097000000000001</v>
      </c>
      <c r="P42" s="63">
        <f t="shared" ca="1" si="9"/>
        <v>31.158999999999999</v>
      </c>
      <c r="Q42" s="63">
        <f t="shared" ca="1" si="9"/>
        <v>30.056000000000001</v>
      </c>
      <c r="R42" s="63">
        <f t="shared" ca="1" si="9"/>
        <v>19.02</v>
      </c>
      <c r="S42" s="63">
        <f t="shared" ca="1" si="9"/>
        <v>17.349</v>
      </c>
      <c r="T42" s="63">
        <f t="shared" ca="1" si="9"/>
        <v>15.4</v>
      </c>
      <c r="U42" s="63">
        <f t="shared" ca="1" si="9"/>
        <v>17.335000000000001</v>
      </c>
      <c r="V42" s="63">
        <f t="shared" ca="1" si="9"/>
        <v>17.766999999999999</v>
      </c>
      <c r="W42" s="63">
        <f t="shared" ca="1" si="9"/>
        <v>16.010999999999999</v>
      </c>
    </row>
    <row r="43" spans="1:23" x14ac:dyDescent="0.2">
      <c r="A43" s="45" t="s">
        <v>30</v>
      </c>
      <c r="B43" s="46">
        <f t="shared" ca="1" si="3"/>
        <v>51</v>
      </c>
      <c r="C43" s="1">
        <f>IF(ISERROR(D43),"",IF(D43="","",MAX($C$13:C42)+1))</f>
        <v>30</v>
      </c>
      <c r="D43" t="str">
        <f t="shared" si="4"/>
        <v xml:space="preserve">PG&amp;E Corp.                    </v>
      </c>
      <c r="E43" s="15"/>
      <c r="F43" s="63">
        <f t="shared" ca="1" si="6"/>
        <v>16.792733333333334</v>
      </c>
      <c r="G43" s="63" t="str">
        <f t="shared" si="7"/>
        <v>NMF</v>
      </c>
      <c r="H43" s="63">
        <f ca="1">IFERROR(VLOOKUP($A43,LASTYR,'2017'!$C$3,FALSE),"N/A")</f>
        <v>18.277000000000001</v>
      </c>
      <c r="I43" s="63">
        <f t="shared" ca="1" si="9"/>
        <v>21.126999999999999</v>
      </c>
      <c r="J43" s="63">
        <f t="shared" ca="1" si="9"/>
        <v>26.399000000000001</v>
      </c>
      <c r="K43" s="63">
        <f t="shared" ca="1" si="9"/>
        <v>15.003</v>
      </c>
      <c r="L43" s="63">
        <f t="shared" ca="1" si="9"/>
        <v>23.666</v>
      </c>
      <c r="M43" s="63">
        <f t="shared" ca="1" si="9"/>
        <v>20.702000000000002</v>
      </c>
      <c r="N43" s="63">
        <f t="shared" ca="1" si="9"/>
        <v>15.458</v>
      </c>
      <c r="O43" s="63">
        <f t="shared" ca="1" si="9"/>
        <v>15.803000000000001</v>
      </c>
      <c r="P43" s="63">
        <f t="shared" ca="1" si="9"/>
        <v>13.01</v>
      </c>
      <c r="Q43" s="63">
        <f t="shared" ca="1" si="9"/>
        <v>12.084</v>
      </c>
      <c r="R43" s="63">
        <f t="shared" ca="1" si="9"/>
        <v>16.847000000000001</v>
      </c>
      <c r="S43" s="63">
        <f t="shared" ca="1" si="9"/>
        <v>14.842000000000001</v>
      </c>
      <c r="T43" s="63">
        <f t="shared" ca="1" si="9"/>
        <v>15.366</v>
      </c>
      <c r="U43" s="63">
        <f t="shared" ca="1" si="9"/>
        <v>13.808</v>
      </c>
      <c r="V43" s="63">
        <f t="shared" ca="1" si="9"/>
        <v>9.4990000000000006</v>
      </c>
      <c r="W43" s="63" t="str">
        <f t="shared" ca="1" si="9"/>
        <v>N/A</v>
      </c>
    </row>
    <row r="44" spans="1:23" x14ac:dyDescent="0.2">
      <c r="A44" s="45" t="s">
        <v>31</v>
      </c>
      <c r="B44" s="46">
        <f t="shared" ca="1" si="3"/>
        <v>52</v>
      </c>
      <c r="C44" s="1">
        <f>IF(ISERROR(D44),"",IF(D44="","",MAX($C$13:C43)+1))</f>
        <v>31</v>
      </c>
      <c r="D44" t="str">
        <f t="shared" si="4"/>
        <v xml:space="preserve">Pinnacle West Capital         </v>
      </c>
      <c r="E44" s="15"/>
      <c r="F44" s="63">
        <f t="shared" ca="1" si="6"/>
        <v>15.734470588235293</v>
      </c>
      <c r="G44" s="63">
        <f t="shared" si="7"/>
        <v>18.899999999999999</v>
      </c>
      <c r="H44" s="63">
        <f ca="1">IFERROR(VLOOKUP($A44,LASTYR,'2017'!$C$3,FALSE),"N/A")</f>
        <v>19.280999999999999</v>
      </c>
      <c r="I44" s="63">
        <f t="shared" ca="1" si="9"/>
        <v>18.742999999999999</v>
      </c>
      <c r="J44" s="63">
        <f t="shared" ca="1" si="9"/>
        <v>16.036000000000001</v>
      </c>
      <c r="K44" s="63">
        <f t="shared" ca="1" si="9"/>
        <v>15.885999999999999</v>
      </c>
      <c r="L44" s="63">
        <f t="shared" ca="1" si="9"/>
        <v>15.268000000000001</v>
      </c>
      <c r="M44" s="63">
        <f t="shared" ca="1" si="9"/>
        <v>14.346</v>
      </c>
      <c r="N44" s="63">
        <f t="shared" ca="1" si="9"/>
        <v>14.603999999999999</v>
      </c>
      <c r="O44" s="63">
        <f t="shared" ca="1" si="9"/>
        <v>12.565</v>
      </c>
      <c r="P44" s="63">
        <f t="shared" ca="1" si="9"/>
        <v>13.742000000000001</v>
      </c>
      <c r="Q44" s="63">
        <f t="shared" ca="1" si="9"/>
        <v>16.065999999999999</v>
      </c>
      <c r="R44" s="63">
        <f t="shared" ca="1" si="9"/>
        <v>14.930999999999999</v>
      </c>
      <c r="S44" s="63">
        <f t="shared" ca="1" si="9"/>
        <v>13.691000000000001</v>
      </c>
      <c r="T44" s="63">
        <f t="shared" ca="1" si="9"/>
        <v>19.236000000000001</v>
      </c>
      <c r="U44" s="63">
        <f t="shared" ca="1" si="9"/>
        <v>15.798999999999999</v>
      </c>
      <c r="V44" s="63">
        <f t="shared" ca="1" si="9"/>
        <v>13.961</v>
      </c>
      <c r="W44" s="63">
        <f t="shared" ca="1" si="9"/>
        <v>14.430999999999999</v>
      </c>
    </row>
    <row r="45" spans="1:23" x14ac:dyDescent="0.2">
      <c r="A45" s="45" t="s">
        <v>32</v>
      </c>
      <c r="B45" s="46">
        <f t="shared" ca="1" si="3"/>
        <v>53</v>
      </c>
      <c r="C45" s="1">
        <f>IF(ISERROR(D45),"",IF(D45="","",MAX($C$13:C44)+1))</f>
        <v>32</v>
      </c>
      <c r="D45" t="str">
        <f t="shared" si="4"/>
        <v xml:space="preserve">PNM Resources                 </v>
      </c>
      <c r="E45" s="15"/>
      <c r="F45" s="63">
        <f t="shared" ca="1" si="6"/>
        <v>18.024000000000001</v>
      </c>
      <c r="G45" s="63">
        <f t="shared" si="7"/>
        <v>21.4</v>
      </c>
      <c r="H45" s="63">
        <f ca="1">IFERROR(VLOOKUP($A45,LASTYR,'2017'!$C$3,FALSE),"N/A")</f>
        <v>20.425999999999998</v>
      </c>
      <c r="I45" s="63">
        <f t="shared" ca="1" si="9"/>
        <v>19.832000000000001</v>
      </c>
      <c r="J45" s="63">
        <f t="shared" ca="1" si="9"/>
        <v>16.847000000000001</v>
      </c>
      <c r="K45" s="63">
        <f t="shared" ca="1" si="9"/>
        <v>18.675999999999998</v>
      </c>
      <c r="L45" s="63">
        <f t="shared" ca="1" si="9"/>
        <v>16.131</v>
      </c>
      <c r="M45" s="63">
        <f t="shared" ca="1" si="9"/>
        <v>14.971</v>
      </c>
      <c r="N45" s="63">
        <f t="shared" ca="1" si="9"/>
        <v>14.532</v>
      </c>
      <c r="O45" s="63">
        <f t="shared" ca="1" si="9"/>
        <v>14.045</v>
      </c>
      <c r="P45" s="63">
        <f t="shared" ca="1" si="9"/>
        <v>18.093</v>
      </c>
      <c r="Q45" s="63" t="str">
        <f t="shared" ca="1" si="9"/>
        <v>N/A</v>
      </c>
      <c r="R45" s="63">
        <f t="shared" ca="1" si="9"/>
        <v>35.649000000000001</v>
      </c>
      <c r="S45" s="63">
        <f t="shared" ca="1" si="9"/>
        <v>15.573</v>
      </c>
      <c r="T45" s="63">
        <f t="shared" ca="1" si="9"/>
        <v>17.379000000000001</v>
      </c>
      <c r="U45" s="63">
        <f t="shared" ca="1" si="9"/>
        <v>15.021000000000001</v>
      </c>
      <c r="V45" s="63">
        <f t="shared" ca="1" si="9"/>
        <v>14.73</v>
      </c>
      <c r="W45" s="63">
        <f t="shared" ca="1" si="9"/>
        <v>15.079000000000001</v>
      </c>
    </row>
    <row r="46" spans="1:23" x14ac:dyDescent="0.2">
      <c r="A46" s="45" t="s">
        <v>33</v>
      </c>
      <c r="B46" s="46">
        <f t="shared" ca="1" si="3"/>
        <v>54</v>
      </c>
      <c r="C46" s="1">
        <f>IF(ISERROR(D46),"",IF(D46="","",MAX($C$13:C45)+1))</f>
        <v>33</v>
      </c>
      <c r="D46" t="str">
        <f t="shared" si="4"/>
        <v xml:space="preserve">Portland General              </v>
      </c>
      <c r="E46" s="15"/>
      <c r="F46" s="63">
        <f t="shared" ca="1" si="6"/>
        <v>16.364076923076922</v>
      </c>
      <c r="G46" s="63">
        <f t="shared" si="7"/>
        <v>19.399999999999999</v>
      </c>
      <c r="H46" s="63">
        <f ca="1">IFERROR(VLOOKUP($A46,LASTYR,'2017'!$C$3,FALSE),"N/A")</f>
        <v>20.030999999999999</v>
      </c>
      <c r="I46" s="63">
        <f t="shared" ca="1" si="9"/>
        <v>19.058</v>
      </c>
      <c r="J46" s="63">
        <f t="shared" ca="1" si="9"/>
        <v>17.713999999999999</v>
      </c>
      <c r="K46" s="63">
        <f t="shared" ca="1" si="9"/>
        <v>15.318</v>
      </c>
      <c r="L46" s="63">
        <f t="shared" ca="1" si="9"/>
        <v>16.88</v>
      </c>
      <c r="M46" s="63">
        <f t="shared" ca="1" si="9"/>
        <v>13.978999999999999</v>
      </c>
      <c r="N46" s="63">
        <f t="shared" ca="1" si="9"/>
        <v>12.37</v>
      </c>
      <c r="O46" s="63">
        <f t="shared" ca="1" si="9"/>
        <v>12</v>
      </c>
      <c r="P46" s="63">
        <f t="shared" ca="1" si="9"/>
        <v>14.395</v>
      </c>
      <c r="Q46" s="63">
        <f t="shared" ca="1" si="9"/>
        <v>16.295999999999999</v>
      </c>
      <c r="R46" s="63">
        <f t="shared" ca="1" si="9"/>
        <v>11.942</v>
      </c>
      <c r="S46" s="63">
        <f t="shared" ca="1" si="9"/>
        <v>23.35</v>
      </c>
      <c r="T46" s="63" t="str">
        <f t="shared" ca="1" si="9"/>
        <v>N/A</v>
      </c>
      <c r="U46" s="63" t="str">
        <f t="shared" ca="1" si="9"/>
        <v>N/A</v>
      </c>
      <c r="V46" s="63" t="str">
        <f t="shared" ca="1" si="9"/>
        <v>N/A</v>
      </c>
      <c r="W46" s="63" t="str">
        <f t="shared" ca="1" si="9"/>
        <v>N/A</v>
      </c>
    </row>
    <row r="47" spans="1:23" x14ac:dyDescent="0.2">
      <c r="A47" s="45" t="s">
        <v>34</v>
      </c>
      <c r="B47" s="46">
        <f t="shared" ca="1" si="3"/>
        <v>55</v>
      </c>
      <c r="C47" s="1">
        <f>IF(ISERROR(D47),"",IF(D47="","",MAX($C$13:C46)+1))</f>
        <v>34</v>
      </c>
      <c r="D47" t="str">
        <f t="shared" si="4"/>
        <v xml:space="preserve">PPL Corp.                     </v>
      </c>
      <c r="E47" s="15"/>
      <c r="F47" s="63">
        <f t="shared" ca="1" si="6"/>
        <v>14.224117647058826</v>
      </c>
      <c r="G47" s="63">
        <f t="shared" si="7"/>
        <v>13.2</v>
      </c>
      <c r="H47" s="63">
        <f ca="1">IFERROR(VLOOKUP($A47,LASTYR,'2017'!$C$3,FALSE),"N/A")</f>
        <v>17.649999999999999</v>
      </c>
      <c r="I47" s="63">
        <f t="shared" ca="1" si="9"/>
        <v>12.829000000000001</v>
      </c>
      <c r="J47" s="63">
        <f t="shared" ca="1" si="9"/>
        <v>13.914999999999999</v>
      </c>
      <c r="K47" s="63">
        <f t="shared" ca="1" si="9"/>
        <v>14.076000000000001</v>
      </c>
      <c r="L47" s="63">
        <f t="shared" ca="1" si="9"/>
        <v>12.843999999999999</v>
      </c>
      <c r="M47" s="63">
        <f t="shared" ca="1" si="9"/>
        <v>10.882</v>
      </c>
      <c r="N47" s="63">
        <f t="shared" ca="1" si="9"/>
        <v>10.516</v>
      </c>
      <c r="O47" s="63">
        <f t="shared" ca="1" si="9"/>
        <v>11.93</v>
      </c>
      <c r="P47" s="63">
        <f t="shared" ca="1" si="9"/>
        <v>25.687000000000001</v>
      </c>
      <c r="Q47" s="63">
        <f t="shared" ca="1" si="9"/>
        <v>17.638000000000002</v>
      </c>
      <c r="R47" s="63">
        <f t="shared" ca="1" si="9"/>
        <v>17.262</v>
      </c>
      <c r="S47" s="63">
        <f t="shared" ca="1" si="9"/>
        <v>14.1</v>
      </c>
      <c r="T47" s="63">
        <f t="shared" ca="1" si="9"/>
        <v>15.116</v>
      </c>
      <c r="U47" s="63">
        <f t="shared" ca="1" si="9"/>
        <v>12.513</v>
      </c>
      <c r="V47" s="63">
        <f t="shared" ca="1" si="9"/>
        <v>10.587999999999999</v>
      </c>
      <c r="W47" s="63">
        <f t="shared" ca="1" si="9"/>
        <v>11.064</v>
      </c>
    </row>
    <row r="48" spans="1:23" x14ac:dyDescent="0.2">
      <c r="A48" s="45" t="s">
        <v>35</v>
      </c>
      <c r="B48" s="46">
        <f t="shared" ca="1" si="3"/>
        <v>56</v>
      </c>
      <c r="C48" s="1">
        <f>IF(ISERROR(D48),"",IF(D48="","",MAX($C$13:C47)+1))</f>
        <v>35</v>
      </c>
      <c r="D48" t="str">
        <f>VLOOKUP(A48,LUCurYr,2,FALSE)</f>
        <v xml:space="preserve">Public Serv. Enterprise       </v>
      </c>
      <c r="E48" s="15"/>
      <c r="F48" s="63">
        <f t="shared" ca="1" si="6"/>
        <v>13.566470588235292</v>
      </c>
      <c r="G48" s="63">
        <f t="shared" si="7"/>
        <v>17.3</v>
      </c>
      <c r="H48" s="63">
        <f ca="1">IFERROR(VLOOKUP($A48,LASTYR,'2017'!$C$3,FALSE),"N/A")</f>
        <v>16.305</v>
      </c>
      <c r="I48" s="63">
        <f t="shared" ca="1" si="9"/>
        <v>15.347</v>
      </c>
      <c r="J48" s="63">
        <f t="shared" ca="1" si="9"/>
        <v>12.412000000000001</v>
      </c>
      <c r="K48" s="63">
        <f t="shared" ca="1" si="9"/>
        <v>12.614000000000001</v>
      </c>
      <c r="L48" s="63">
        <f t="shared" ca="1" si="9"/>
        <v>13.5</v>
      </c>
      <c r="M48" s="63">
        <f t="shared" ca="1" si="9"/>
        <v>12.788</v>
      </c>
      <c r="N48" s="63">
        <f t="shared" ca="1" si="9"/>
        <v>10.395</v>
      </c>
      <c r="O48" s="63">
        <f t="shared" ca="1" si="9"/>
        <v>10.369</v>
      </c>
      <c r="P48" s="63">
        <f t="shared" ca="1" si="9"/>
        <v>10.039</v>
      </c>
      <c r="Q48" s="63">
        <f t="shared" ca="1" si="9"/>
        <v>13.646000000000001</v>
      </c>
      <c r="R48" s="63">
        <f t="shared" ca="1" si="9"/>
        <v>16.542999999999999</v>
      </c>
      <c r="S48" s="63">
        <f t="shared" ca="1" si="9"/>
        <v>17.808</v>
      </c>
      <c r="T48" s="63">
        <f t="shared" ca="1" si="9"/>
        <v>16.738</v>
      </c>
      <c r="U48" s="63">
        <f t="shared" ca="1" si="9"/>
        <v>14.255000000000001</v>
      </c>
      <c r="V48" s="63">
        <f t="shared" ca="1" si="9"/>
        <v>10.576000000000001</v>
      </c>
      <c r="W48" s="63">
        <f t="shared" ca="1" si="9"/>
        <v>9.9949999999999992</v>
      </c>
    </row>
    <row r="49" spans="1:23" x14ac:dyDescent="0.2">
      <c r="A49" s="45" t="s">
        <v>36</v>
      </c>
      <c r="B49" s="46">
        <f t="shared" ca="1" si="3"/>
        <v>57</v>
      </c>
      <c r="C49" s="1">
        <f>IF(ISERROR(D49),"",IF(D49="","",MAX($C$13:C48)+1))</f>
        <v>36</v>
      </c>
      <c r="D49" t="str">
        <f t="shared" si="4"/>
        <v xml:space="preserve">SCANA Corp.                   </v>
      </c>
      <c r="E49" s="15"/>
      <c r="F49" s="63">
        <f t="shared" ca="1" si="6"/>
        <v>15.007235294117645</v>
      </c>
      <c r="G49" s="63">
        <f t="shared" si="7"/>
        <v>31.8</v>
      </c>
      <c r="H49" s="63">
        <f ca="1">IFERROR(VLOOKUP($A49,LASTYR,'2017'!$C$3,FALSE),"N/A")</f>
        <v>14.46</v>
      </c>
      <c r="I49" s="63">
        <f t="shared" ref="I49:W55" ca="1" si="10">IFERROR(INDEX(PE_WP,$B49,I$13),"N/A")</f>
        <v>16.795999999999999</v>
      </c>
      <c r="J49" s="63">
        <f t="shared" ca="1" si="10"/>
        <v>14.664999999999999</v>
      </c>
      <c r="K49" s="63">
        <f t="shared" ca="1" si="10"/>
        <v>13.677</v>
      </c>
      <c r="L49" s="63">
        <f t="shared" ca="1" si="10"/>
        <v>14.427</v>
      </c>
      <c r="M49" s="63">
        <f t="shared" ca="1" si="10"/>
        <v>14.798999999999999</v>
      </c>
      <c r="N49" s="63">
        <f t="shared" ca="1" si="10"/>
        <v>13.670999999999999</v>
      </c>
      <c r="O49" s="63">
        <f t="shared" ca="1" si="10"/>
        <v>12.933999999999999</v>
      </c>
      <c r="P49" s="63">
        <f t="shared" ca="1" si="10"/>
        <v>11.625999999999999</v>
      </c>
      <c r="Q49" s="63">
        <f t="shared" ca="1" si="10"/>
        <v>12.667</v>
      </c>
      <c r="R49" s="63">
        <f t="shared" ca="1" si="10"/>
        <v>14.957000000000001</v>
      </c>
      <c r="S49" s="63">
        <f t="shared" ca="1" si="10"/>
        <v>15.42</v>
      </c>
      <c r="T49" s="63">
        <f t="shared" ca="1" si="10"/>
        <v>14.444000000000001</v>
      </c>
      <c r="U49" s="63">
        <f t="shared" ca="1" si="10"/>
        <v>13.568</v>
      </c>
      <c r="V49" s="63">
        <f t="shared" ca="1" si="10"/>
        <v>13.045</v>
      </c>
      <c r="W49" s="63">
        <f t="shared" ca="1" si="10"/>
        <v>12.167</v>
      </c>
    </row>
    <row r="50" spans="1:23" x14ac:dyDescent="0.2">
      <c r="A50" s="45" t="s">
        <v>37</v>
      </c>
      <c r="B50" s="46">
        <f t="shared" ca="1" si="3"/>
        <v>58</v>
      </c>
      <c r="C50" s="1">
        <f>IF(ISERROR(D50),"",IF(D50="","",MAX($C$13:C49)+1))</f>
        <v>37</v>
      </c>
      <c r="D50" t="str">
        <f t="shared" si="4"/>
        <v xml:space="preserve">Sempra Energy                 </v>
      </c>
      <c r="E50" s="15"/>
      <c r="F50" s="63">
        <f t="shared" ca="1" si="6"/>
        <v>14.937000000000001</v>
      </c>
      <c r="G50" s="63">
        <f t="shared" si="7"/>
        <v>19.7</v>
      </c>
      <c r="H50" s="63">
        <f ca="1">IFERROR(VLOOKUP($A50,LASTYR,'2017'!$C$3,FALSE),"N/A")</f>
        <v>24.332999999999998</v>
      </c>
      <c r="I50" s="63">
        <f t="shared" ca="1" si="10"/>
        <v>24.373000000000001</v>
      </c>
      <c r="J50" s="63">
        <f t="shared" ca="1" si="10"/>
        <v>19.725999999999999</v>
      </c>
      <c r="K50" s="63">
        <f t="shared" ca="1" si="10"/>
        <v>21.870999999999999</v>
      </c>
      <c r="L50" s="63">
        <f t="shared" ca="1" si="10"/>
        <v>19.684000000000001</v>
      </c>
      <c r="M50" s="63">
        <f t="shared" ca="1" si="10"/>
        <v>14.888</v>
      </c>
      <c r="N50" s="63">
        <f t="shared" ca="1" si="10"/>
        <v>11.771000000000001</v>
      </c>
      <c r="O50" s="63">
        <f t="shared" ca="1" si="10"/>
        <v>12.595000000000001</v>
      </c>
      <c r="P50" s="63">
        <f t="shared" ca="1" si="10"/>
        <v>10.09</v>
      </c>
      <c r="Q50" s="63">
        <f t="shared" ca="1" si="10"/>
        <v>11.8</v>
      </c>
      <c r="R50" s="63">
        <f t="shared" ca="1" si="10"/>
        <v>14.007</v>
      </c>
      <c r="S50" s="63">
        <f t="shared" ca="1" si="10"/>
        <v>11.500999999999999</v>
      </c>
      <c r="T50" s="63">
        <f t="shared" ca="1" si="10"/>
        <v>11.794</v>
      </c>
      <c r="U50" s="63">
        <f t="shared" ca="1" si="10"/>
        <v>8.6470000000000002</v>
      </c>
      <c r="V50" s="63">
        <f t="shared" ca="1" si="10"/>
        <v>8.9589999999999996</v>
      </c>
      <c r="W50" s="63">
        <f t="shared" ca="1" si="10"/>
        <v>8.19</v>
      </c>
    </row>
    <row r="51" spans="1:23" x14ac:dyDescent="0.2">
      <c r="A51" s="45" t="s">
        <v>38</v>
      </c>
      <c r="B51" s="46">
        <f t="shared" ca="1" si="3"/>
        <v>62</v>
      </c>
      <c r="C51" s="1">
        <f>IF(ISERROR(D51),"",IF(D51="","",MAX($C$13:C50)+1))</f>
        <v>38</v>
      </c>
      <c r="D51" t="str">
        <f t="shared" si="4"/>
        <v xml:space="preserve">Southern Co.                  </v>
      </c>
      <c r="E51" s="15"/>
      <c r="F51" s="63">
        <f t="shared" ca="1" si="6"/>
        <v>15.687411764705882</v>
      </c>
      <c r="G51" s="63">
        <f t="shared" si="7"/>
        <v>15.8</v>
      </c>
      <c r="H51" s="63">
        <f ca="1">IFERROR(VLOOKUP($A51,LASTYR,'2017'!$C$3,FALSE),"N/A")</f>
        <v>15.484</v>
      </c>
      <c r="I51" s="63">
        <f t="shared" ca="1" si="10"/>
        <v>17.757999999999999</v>
      </c>
      <c r="J51" s="63">
        <f t="shared" ca="1" si="10"/>
        <v>15.849</v>
      </c>
      <c r="K51" s="63">
        <f t="shared" ca="1" si="10"/>
        <v>16.044</v>
      </c>
      <c r="L51" s="63">
        <f t="shared" ca="1" si="10"/>
        <v>16.186</v>
      </c>
      <c r="M51" s="63">
        <f t="shared" ca="1" si="10"/>
        <v>16.968</v>
      </c>
      <c r="N51" s="63">
        <f t="shared" ca="1" si="10"/>
        <v>15.847</v>
      </c>
      <c r="O51" s="63">
        <f t="shared" ca="1" si="10"/>
        <v>14.897</v>
      </c>
      <c r="P51" s="63">
        <f t="shared" ca="1" si="10"/>
        <v>13.521000000000001</v>
      </c>
      <c r="Q51" s="63">
        <f t="shared" ca="1" si="10"/>
        <v>16.126999999999999</v>
      </c>
      <c r="R51" s="63">
        <f t="shared" ca="1" si="10"/>
        <v>15.952</v>
      </c>
      <c r="S51" s="63">
        <f t="shared" ca="1" si="10"/>
        <v>16.189</v>
      </c>
      <c r="T51" s="63">
        <f t="shared" ca="1" si="10"/>
        <v>15.917</v>
      </c>
      <c r="U51" s="63">
        <f t="shared" ca="1" si="10"/>
        <v>14.683999999999999</v>
      </c>
      <c r="V51" s="63">
        <f t="shared" ca="1" si="10"/>
        <v>14.831</v>
      </c>
      <c r="W51" s="63">
        <f t="shared" ca="1" si="10"/>
        <v>14.632</v>
      </c>
    </row>
    <row r="52" spans="1:23" x14ac:dyDescent="0.2">
      <c r="A52" s="45" t="s">
        <v>42</v>
      </c>
      <c r="B52" s="46">
        <f t="shared" ca="1" si="3"/>
        <v>70</v>
      </c>
      <c r="C52" s="1">
        <f>IF(ISERROR(D52),"",IF(D52="","",MAX($C$13:C51)+1))</f>
        <v>39</v>
      </c>
      <c r="D52" t="str">
        <f t="shared" si="4"/>
        <v xml:space="preserve">Vectren Corp.                 </v>
      </c>
      <c r="E52" s="15"/>
      <c r="F52" s="63">
        <f t="shared" ca="1" si="6"/>
        <v>17.722823529411766</v>
      </c>
      <c r="G52" s="63">
        <f t="shared" si="7"/>
        <v>28.5</v>
      </c>
      <c r="H52" s="63">
        <f ca="1">IFERROR(VLOOKUP($A52,LASTYR,'2017'!$C$3,FALSE),"N/A")</f>
        <v>23.536000000000001</v>
      </c>
      <c r="I52" s="63">
        <f t="shared" ca="1" si="10"/>
        <v>19.178000000000001</v>
      </c>
      <c r="J52" s="63">
        <f t="shared" ca="1" si="10"/>
        <v>17.922000000000001</v>
      </c>
      <c r="K52" s="63">
        <f t="shared" ca="1" si="10"/>
        <v>19.983000000000001</v>
      </c>
      <c r="L52" s="63">
        <f t="shared" ca="1" si="10"/>
        <v>20.664000000000001</v>
      </c>
      <c r="M52" s="63">
        <f t="shared" ca="1" si="10"/>
        <v>15.018000000000001</v>
      </c>
      <c r="N52" s="63">
        <f t="shared" ca="1" si="10"/>
        <v>15.826000000000001</v>
      </c>
      <c r="O52" s="63">
        <f t="shared" ca="1" si="10"/>
        <v>15.102</v>
      </c>
      <c r="P52" s="63">
        <f t="shared" ca="1" si="10"/>
        <v>12.891</v>
      </c>
      <c r="Q52" s="63">
        <f t="shared" ca="1" si="10"/>
        <v>16.788</v>
      </c>
      <c r="R52" s="63">
        <f t="shared" ca="1" si="10"/>
        <v>15.334</v>
      </c>
      <c r="S52" s="63">
        <f t="shared" ca="1" si="10"/>
        <v>18.917000000000002</v>
      </c>
      <c r="T52" s="63">
        <f t="shared" ca="1" si="10"/>
        <v>15.106</v>
      </c>
      <c r="U52" s="63">
        <f t="shared" ca="1" si="10"/>
        <v>17.57</v>
      </c>
      <c r="V52" s="63">
        <f t="shared" ca="1" si="10"/>
        <v>14.795999999999999</v>
      </c>
      <c r="W52" s="63">
        <f t="shared" ca="1" si="10"/>
        <v>14.157</v>
      </c>
    </row>
    <row r="53" spans="1:23" x14ac:dyDescent="0.2">
      <c r="A53" s="45" t="s">
        <v>44</v>
      </c>
      <c r="B53" s="46">
        <f t="shared" ca="1" si="3"/>
        <v>71</v>
      </c>
      <c r="C53" s="1">
        <f>IF(ISERROR(D53),"",IF(D53="","",MAX($C$13:C52)+1))</f>
        <v>40</v>
      </c>
      <c r="D53" t="str">
        <f t="shared" si="4"/>
        <v>WEC Energy Group</v>
      </c>
      <c r="E53" s="15"/>
      <c r="F53" s="63">
        <f t="shared" ca="1" si="6"/>
        <v>16.284882352941178</v>
      </c>
      <c r="G53" s="63">
        <f t="shared" si="7"/>
        <v>21.9</v>
      </c>
      <c r="H53" s="63">
        <f ca="1">IFERROR(VLOOKUP($A53,LASTYR,'2017'!$C$3,FALSE),"N/A")</f>
        <v>20.012</v>
      </c>
      <c r="I53" s="63">
        <f t="shared" ca="1" si="10"/>
        <v>19.946999999999999</v>
      </c>
      <c r="J53" s="63">
        <f t="shared" ca="1" si="10"/>
        <v>21.334</v>
      </c>
      <c r="K53" s="63">
        <f t="shared" ca="1" si="10"/>
        <v>17.71</v>
      </c>
      <c r="L53" s="63">
        <f t="shared" ca="1" si="10"/>
        <v>16.504000000000001</v>
      </c>
      <c r="M53" s="63">
        <f t="shared" ca="1" si="10"/>
        <v>15.757</v>
      </c>
      <c r="N53" s="63">
        <f t="shared" ca="1" si="10"/>
        <v>14.249000000000001</v>
      </c>
      <c r="O53" s="63">
        <f t="shared" ca="1" si="10"/>
        <v>14.01</v>
      </c>
      <c r="P53" s="63">
        <f t="shared" ca="1" si="10"/>
        <v>13.346</v>
      </c>
      <c r="Q53" s="63">
        <f t="shared" ca="1" si="10"/>
        <v>14.772</v>
      </c>
      <c r="R53" s="63">
        <f t="shared" ca="1" si="10"/>
        <v>16.472000000000001</v>
      </c>
      <c r="S53" s="63">
        <f t="shared" ca="1" si="10"/>
        <v>15.967000000000001</v>
      </c>
      <c r="T53" s="63">
        <f t="shared" ca="1" si="10"/>
        <v>14.462999999999999</v>
      </c>
      <c r="U53" s="63">
        <f t="shared" ca="1" si="10"/>
        <v>17.513999999999999</v>
      </c>
      <c r="V53" s="63">
        <f t="shared" ca="1" si="10"/>
        <v>12.427</v>
      </c>
      <c r="W53" s="63">
        <f t="shared" ca="1" si="10"/>
        <v>10.459</v>
      </c>
    </row>
    <row r="54" spans="1:23" x14ac:dyDescent="0.2">
      <c r="A54" s="45" t="s">
        <v>43</v>
      </c>
      <c r="B54" s="46">
        <f t="shared" ca="1" si="3"/>
        <v>72</v>
      </c>
      <c r="C54" s="1">
        <f>IF(ISERROR(D54),"",IF(D54="","",MAX($C$13:C53)+1))</f>
        <v>41</v>
      </c>
      <c r="D54" s="31" t="str">
        <f t="shared" si="4"/>
        <v xml:space="preserve">Westar Energy                 </v>
      </c>
      <c r="E54" s="203"/>
      <c r="F54" s="63">
        <f t="shared" ca="1" si="6"/>
        <v>15.575937500000002</v>
      </c>
      <c r="G54" s="204" t="str">
        <f t="shared" si="7"/>
        <v>N/A</v>
      </c>
      <c r="H54" s="63">
        <f ca="1">IFERROR(VLOOKUP($A54,LASTYR,'2017'!$C$3,FALSE),"N/A")</f>
        <v>23.4</v>
      </c>
      <c r="I54" s="63">
        <f t="shared" ca="1" si="10"/>
        <v>21.585999999999999</v>
      </c>
      <c r="J54" s="63">
        <f t="shared" ca="1" si="10"/>
        <v>18.454000000000001</v>
      </c>
      <c r="K54" s="63">
        <f t="shared" ca="1" si="10"/>
        <v>15.358000000000001</v>
      </c>
      <c r="L54" s="63">
        <f t="shared" ca="1" si="10"/>
        <v>14.037000000000001</v>
      </c>
      <c r="M54" s="63">
        <f t="shared" ca="1" si="10"/>
        <v>13.43</v>
      </c>
      <c r="N54" s="63">
        <f t="shared" ca="1" si="10"/>
        <v>14.778</v>
      </c>
      <c r="O54" s="63">
        <f t="shared" ca="1" si="10"/>
        <v>12.957000000000001</v>
      </c>
      <c r="P54" s="63">
        <f t="shared" ca="1" si="10"/>
        <v>14.946999999999999</v>
      </c>
      <c r="Q54" s="63">
        <f t="shared" ca="1" si="10"/>
        <v>16.963000000000001</v>
      </c>
      <c r="R54" s="63">
        <f t="shared" ca="1" si="10"/>
        <v>14.103</v>
      </c>
      <c r="S54" s="63">
        <f t="shared" ca="1" si="10"/>
        <v>12.177</v>
      </c>
      <c r="T54" s="63">
        <f t="shared" ca="1" si="10"/>
        <v>14.785</v>
      </c>
      <c r="U54" s="63">
        <f t="shared" ca="1" si="10"/>
        <v>17.436</v>
      </c>
      <c r="V54" s="63">
        <f t="shared" ca="1" si="10"/>
        <v>10.781000000000001</v>
      </c>
      <c r="W54" s="63">
        <f t="shared" ca="1" si="10"/>
        <v>14.023</v>
      </c>
    </row>
    <row r="55" spans="1:23" x14ac:dyDescent="0.2">
      <c r="A55" s="45" t="s">
        <v>45</v>
      </c>
      <c r="B55" s="46">
        <f t="shared" ca="1" si="3"/>
        <v>74</v>
      </c>
      <c r="C55" s="1">
        <f>IF(ISERROR(D55),"",IF(D55="","",MAX($C$13:C54)+1))</f>
        <v>42</v>
      </c>
      <c r="D55" t="str">
        <f t="shared" si="4"/>
        <v xml:space="preserve">Xcel Energy Inc.              </v>
      </c>
      <c r="E55" s="15"/>
      <c r="F55" s="63">
        <f t="shared" ca="1" si="6"/>
        <v>16.918352941176469</v>
      </c>
      <c r="G55" s="63">
        <f t="shared" si="7"/>
        <v>19.5</v>
      </c>
      <c r="H55" s="63">
        <f ca="1">IFERROR(VLOOKUP($A55,LASTYR,'2017'!$C$3,FALSE),"N/A")</f>
        <v>20.196999999999999</v>
      </c>
      <c r="I55" s="63">
        <f t="shared" ca="1" si="10"/>
        <v>18.475000000000001</v>
      </c>
      <c r="J55" s="63">
        <f t="shared" ca="1" si="10"/>
        <v>16.538</v>
      </c>
      <c r="K55" s="63">
        <f t="shared" ca="1" si="10"/>
        <v>15.44</v>
      </c>
      <c r="L55" s="63">
        <f t="shared" ca="1" si="10"/>
        <v>15.039</v>
      </c>
      <c r="M55" s="63">
        <f t="shared" ca="1" si="10"/>
        <v>14.821999999999999</v>
      </c>
      <c r="N55" s="63">
        <f t="shared" ca="1" si="10"/>
        <v>14.242000000000001</v>
      </c>
      <c r="O55" s="63">
        <f t="shared" ca="1" si="10"/>
        <v>14.129</v>
      </c>
      <c r="P55" s="63">
        <f t="shared" ca="1" si="10"/>
        <v>12.664</v>
      </c>
      <c r="Q55" s="63">
        <f t="shared" ca="1" si="10"/>
        <v>13.686</v>
      </c>
      <c r="R55" s="63">
        <f t="shared" ca="1" si="10"/>
        <v>16.652999999999999</v>
      </c>
      <c r="S55" s="63">
        <f t="shared" ca="1" si="10"/>
        <v>14.801</v>
      </c>
      <c r="T55" s="63">
        <f t="shared" ca="1" si="10"/>
        <v>15.362</v>
      </c>
      <c r="U55" s="63">
        <f t="shared" ca="1" si="10"/>
        <v>13.648</v>
      </c>
      <c r="V55" s="63">
        <f t="shared" ca="1" si="10"/>
        <v>11.616</v>
      </c>
      <c r="W55" s="63">
        <f t="shared" ca="1" si="10"/>
        <v>40.799999999999997</v>
      </c>
    </row>
    <row r="56" spans="1:23" hidden="1" x14ac:dyDescent="0.2">
      <c r="A56" s="45"/>
      <c r="B56" s="46" t="str">
        <f t="shared" ca="1" si="3"/>
        <v/>
      </c>
      <c r="C56" s="1" t="str">
        <f>IF(ISERROR(D56),"",IF(D56="","",MAX($C$13:C55)+1))</f>
        <v/>
      </c>
      <c r="D56" t="e">
        <f t="shared" si="4"/>
        <v>#N/A</v>
      </c>
      <c r="E56" s="15"/>
      <c r="F56" s="63" t="str">
        <f t="shared" ca="1" si="6"/>
        <v>N/A</v>
      </c>
      <c r="G56" s="63" t="str">
        <f t="shared" si="7"/>
        <v>N/A</v>
      </c>
      <c r="H56" s="63" t="str">
        <f ca="1">IFERROR(VLOOKUP($A56,LASTYR,'2017'!$C$3,FALSE),"N/A")</f>
        <v>N/A</v>
      </c>
      <c r="I56" s="63"/>
      <c r="J56" s="63" t="str">
        <f t="shared" ref="J56:W59" ca="1" si="11">IFERROR(INDEX(PE_WP,$B56,J$13),"N/A")</f>
        <v>N/A</v>
      </c>
      <c r="K56" s="63" t="str">
        <f t="shared" ca="1" si="11"/>
        <v>N/A</v>
      </c>
      <c r="L56" s="63" t="str">
        <f t="shared" ca="1" si="11"/>
        <v>N/A</v>
      </c>
      <c r="M56" s="63" t="str">
        <f t="shared" ca="1" si="11"/>
        <v>N/A</v>
      </c>
      <c r="N56" s="63" t="str">
        <f t="shared" ca="1" si="11"/>
        <v>N/A</v>
      </c>
      <c r="O56" s="63" t="str">
        <f t="shared" ca="1" si="11"/>
        <v>N/A</v>
      </c>
      <c r="P56" s="63" t="str">
        <f t="shared" ca="1" si="11"/>
        <v>N/A</v>
      </c>
      <c r="Q56" s="63" t="str">
        <f t="shared" ca="1" si="11"/>
        <v>N/A</v>
      </c>
      <c r="R56" s="63" t="str">
        <f t="shared" ca="1" si="11"/>
        <v>N/A</v>
      </c>
      <c r="S56" s="63" t="str">
        <f t="shared" ca="1" si="11"/>
        <v>N/A</v>
      </c>
      <c r="T56" s="63" t="str">
        <f t="shared" ca="1" si="11"/>
        <v>N/A</v>
      </c>
      <c r="U56" s="63" t="str">
        <f t="shared" ca="1" si="11"/>
        <v>N/A</v>
      </c>
      <c r="V56" s="63" t="str">
        <f t="shared" ca="1" si="11"/>
        <v>N/A</v>
      </c>
      <c r="W56" s="63" t="str">
        <f t="shared" ca="1" si="11"/>
        <v>N/A</v>
      </c>
    </row>
    <row r="57" spans="1:23" hidden="1" x14ac:dyDescent="0.2">
      <c r="A57" s="51"/>
      <c r="B57" s="46" t="str">
        <f t="shared" ca="1" si="3"/>
        <v/>
      </c>
      <c r="C57" s="1" t="str">
        <f>IF(ISERROR(D57),"",IF(D57="","",MAX($C$13:C56)+1))</f>
        <v/>
      </c>
      <c r="D57" t="e">
        <f t="shared" si="4"/>
        <v>#N/A</v>
      </c>
      <c r="F57" s="63" t="str">
        <f t="shared" ca="1" si="6"/>
        <v>N/A</v>
      </c>
      <c r="G57" s="63" t="str">
        <f t="shared" si="7"/>
        <v>N/A</v>
      </c>
      <c r="H57" s="63" t="str">
        <f ca="1">IFERROR(VLOOKUP($A57,LASTYR,'2017'!$C$3,FALSE),"N/A")</f>
        <v>N/A</v>
      </c>
      <c r="I57" s="63"/>
      <c r="J57" s="63" t="str">
        <f t="shared" ca="1" si="11"/>
        <v>N/A</v>
      </c>
      <c r="K57" s="63" t="str">
        <f t="shared" ca="1" si="11"/>
        <v>N/A</v>
      </c>
      <c r="L57" s="63" t="str">
        <f t="shared" ca="1" si="11"/>
        <v>N/A</v>
      </c>
      <c r="M57" s="63" t="str">
        <f t="shared" ca="1" si="11"/>
        <v>N/A</v>
      </c>
      <c r="N57" s="63" t="str">
        <f t="shared" ca="1" si="11"/>
        <v>N/A</v>
      </c>
      <c r="O57" s="63" t="str">
        <f t="shared" ca="1" si="11"/>
        <v>N/A</v>
      </c>
      <c r="P57" s="63" t="str">
        <f t="shared" ca="1" si="11"/>
        <v>N/A</v>
      </c>
      <c r="Q57" s="63" t="str">
        <f t="shared" ca="1" si="11"/>
        <v>N/A</v>
      </c>
      <c r="R57" s="63" t="str">
        <f t="shared" ca="1" si="11"/>
        <v>N/A</v>
      </c>
      <c r="S57" s="63" t="str">
        <f t="shared" ca="1" si="11"/>
        <v>N/A</v>
      </c>
      <c r="T57" s="63" t="str">
        <f t="shared" ca="1" si="11"/>
        <v>N/A</v>
      </c>
      <c r="U57" s="63" t="str">
        <f t="shared" ca="1" si="11"/>
        <v>N/A</v>
      </c>
      <c r="V57" s="63" t="str">
        <f t="shared" ca="1" si="11"/>
        <v>N/A</v>
      </c>
      <c r="W57" s="63" t="str">
        <f t="shared" ca="1" si="11"/>
        <v>N/A</v>
      </c>
    </row>
    <row r="58" spans="1:23" hidden="1" x14ac:dyDescent="0.2">
      <c r="A58" s="51"/>
      <c r="B58" s="46" t="str">
        <f t="shared" ca="1" si="3"/>
        <v/>
      </c>
      <c r="C58" s="1" t="str">
        <f>IF(ISERROR(D58),"",IF(D58="","",MAX($C$13:C57)+1))</f>
        <v/>
      </c>
      <c r="D58" t="e">
        <f t="shared" si="4"/>
        <v>#N/A</v>
      </c>
      <c r="F58" s="63" t="str">
        <f t="shared" ca="1" si="6"/>
        <v>N/A</v>
      </c>
      <c r="G58" s="63" t="str">
        <f t="shared" si="7"/>
        <v>N/A</v>
      </c>
      <c r="H58" s="63" t="str">
        <f ca="1">IFERROR(VLOOKUP($A58,LASTYR,'2017'!$C$3,FALSE),"N/A")</f>
        <v>N/A</v>
      </c>
      <c r="I58" s="63"/>
      <c r="J58" s="63" t="str">
        <f t="shared" ca="1" si="11"/>
        <v>N/A</v>
      </c>
      <c r="K58" s="63" t="str">
        <f t="shared" ca="1" si="11"/>
        <v>N/A</v>
      </c>
      <c r="L58" s="63" t="str">
        <f t="shared" ca="1" si="11"/>
        <v>N/A</v>
      </c>
      <c r="M58" s="63" t="str">
        <f t="shared" ca="1" si="11"/>
        <v>N/A</v>
      </c>
      <c r="N58" s="63" t="str">
        <f t="shared" ca="1" si="11"/>
        <v>N/A</v>
      </c>
      <c r="O58" s="63" t="str">
        <f t="shared" ca="1" si="11"/>
        <v>N/A</v>
      </c>
      <c r="P58" s="63" t="str">
        <f t="shared" ca="1" si="11"/>
        <v>N/A</v>
      </c>
      <c r="Q58" s="63" t="str">
        <f t="shared" ca="1" si="11"/>
        <v>N/A</v>
      </c>
      <c r="R58" s="63" t="str">
        <f t="shared" ca="1" si="11"/>
        <v>N/A</v>
      </c>
      <c r="S58" s="63" t="str">
        <f t="shared" ca="1" si="11"/>
        <v>N/A</v>
      </c>
      <c r="T58" s="63" t="str">
        <f t="shared" ca="1" si="11"/>
        <v>N/A</v>
      </c>
      <c r="U58" s="63" t="str">
        <f t="shared" ca="1" si="11"/>
        <v>N/A</v>
      </c>
      <c r="V58" s="63" t="str">
        <f t="shared" ca="1" si="11"/>
        <v>N/A</v>
      </c>
      <c r="W58" s="63" t="str">
        <f t="shared" ca="1" si="11"/>
        <v>N/A</v>
      </c>
    </row>
    <row r="59" spans="1:23" hidden="1" x14ac:dyDescent="0.2">
      <c r="A59" s="51"/>
      <c r="B59" s="46" t="str">
        <f t="shared" ca="1" si="3"/>
        <v/>
      </c>
      <c r="C59" s="1" t="str">
        <f>IF(ISERROR(D59),"",IF(D59="","",MAX($C$13:C58)+1))</f>
        <v/>
      </c>
      <c r="D59" t="e">
        <f t="shared" si="4"/>
        <v>#N/A</v>
      </c>
      <c r="F59" s="63" t="str">
        <f t="shared" ca="1" si="6"/>
        <v>N/A</v>
      </c>
      <c r="G59" s="63" t="str">
        <f t="shared" si="7"/>
        <v>N/A</v>
      </c>
      <c r="H59" s="63" t="str">
        <f ca="1">IFERROR(VLOOKUP($A59,LASTYR,'2017'!$C$3,FALSE),"N/A")</f>
        <v>N/A</v>
      </c>
      <c r="I59" s="63"/>
      <c r="J59" s="63" t="str">
        <f t="shared" ca="1" si="11"/>
        <v>N/A</v>
      </c>
      <c r="K59" s="63" t="str">
        <f t="shared" ca="1" si="11"/>
        <v>N/A</v>
      </c>
      <c r="L59" s="63" t="str">
        <f t="shared" ca="1" si="11"/>
        <v>N/A</v>
      </c>
      <c r="M59" s="63" t="str">
        <f t="shared" ca="1" si="11"/>
        <v>N/A</v>
      </c>
      <c r="N59" s="63" t="str">
        <f t="shared" ca="1" si="11"/>
        <v>N/A</v>
      </c>
      <c r="O59" s="63" t="str">
        <f t="shared" ca="1" si="11"/>
        <v>N/A</v>
      </c>
      <c r="P59" s="63" t="str">
        <f t="shared" ca="1" si="11"/>
        <v>N/A</v>
      </c>
      <c r="Q59" s="63" t="str">
        <f t="shared" ca="1" si="11"/>
        <v>N/A</v>
      </c>
      <c r="R59" s="63" t="str">
        <f t="shared" ca="1" si="11"/>
        <v>N/A</v>
      </c>
      <c r="S59" s="63" t="str">
        <f t="shared" ca="1" si="11"/>
        <v>N/A</v>
      </c>
      <c r="T59" s="63" t="str">
        <f t="shared" ca="1" si="11"/>
        <v>N/A</v>
      </c>
      <c r="U59" s="63" t="str">
        <f t="shared" ca="1" si="11"/>
        <v>N/A</v>
      </c>
      <c r="V59" s="63" t="str">
        <f t="shared" ca="1" si="11"/>
        <v>N/A</v>
      </c>
      <c r="W59" s="63" t="str">
        <f t="shared" ca="1" si="11"/>
        <v>N/A</v>
      </c>
    </row>
    <row r="60" spans="1:23" x14ac:dyDescent="0.2">
      <c r="A60" s="31"/>
      <c r="B60" s="31"/>
      <c r="C60" s="1" t="str">
        <f>IF(ISERROR(D60),"",IF(D60="","",MAX($C$13:C59)+1))</f>
        <v/>
      </c>
      <c r="F60" s="63"/>
      <c r="G60" s="63"/>
      <c r="H60" s="63"/>
      <c r="I60" s="63"/>
      <c r="J60" s="63"/>
      <c r="K60" s="63"/>
      <c r="L60" s="63"/>
      <c r="M60" s="63"/>
      <c r="N60" s="63"/>
      <c r="O60" s="63"/>
      <c r="P60" s="63"/>
      <c r="Q60" s="63"/>
      <c r="R60" s="63"/>
      <c r="S60" s="63"/>
      <c r="T60" s="63"/>
      <c r="U60" s="63"/>
      <c r="V60" s="63"/>
      <c r="W60" s="63"/>
    </row>
    <row r="61" spans="1:23" x14ac:dyDescent="0.2">
      <c r="A61" s="31"/>
      <c r="B61" s="31"/>
      <c r="C61" s="1">
        <f>IF(ISERROR(D61),"",IF(D61="","",MAX($C$13:C60)+1))</f>
        <v>43</v>
      </c>
      <c r="D61" t="s">
        <v>98</v>
      </c>
      <c r="F61" s="63">
        <f ca="1">AVERAGE(G61:W61)</f>
        <v>16.477054160552381</v>
      </c>
      <c r="G61" s="63">
        <f t="shared" ref="G61:S61" si="12">AVERAGE(G14:G60)</f>
        <v>20.235897435897435</v>
      </c>
      <c r="H61" s="63">
        <f t="shared" ca="1" si="12"/>
        <v>19.810424999999999</v>
      </c>
      <c r="I61" s="63">
        <f t="shared" ref="I61" ca="1" si="13">AVERAGE(I14:I60)</f>
        <v>18.972414634146343</v>
      </c>
      <c r="J61" s="63">
        <f t="shared" ca="1" si="12"/>
        <v>18.002951219512195</v>
      </c>
      <c r="K61" s="63">
        <f t="shared" ca="1" si="12"/>
        <v>17.386750000000003</v>
      </c>
      <c r="L61" s="63">
        <f t="shared" ca="1" si="12"/>
        <v>16.382100000000001</v>
      </c>
      <c r="M61" s="63">
        <f t="shared" ca="1" si="12"/>
        <v>15.686099999999996</v>
      </c>
      <c r="N61" s="63">
        <f t="shared" ca="1" si="12"/>
        <v>15.302424999999999</v>
      </c>
      <c r="O61" s="63">
        <f t="shared" ca="1" si="12"/>
        <v>14.277775</v>
      </c>
      <c r="P61" s="63">
        <f t="shared" ca="1" si="12"/>
        <v>13.560874999999999</v>
      </c>
      <c r="Q61" s="63">
        <f t="shared" ca="1" si="12"/>
        <v>15.175815789473685</v>
      </c>
      <c r="R61" s="63">
        <f t="shared" ca="1" si="12"/>
        <v>17.739574999999995</v>
      </c>
      <c r="S61" s="63">
        <f t="shared" ca="1" si="12"/>
        <v>16.471384615384611</v>
      </c>
      <c r="T61" s="63">
        <f t="shared" ref="T61:W61" ca="1" si="14">AVERAGE(T14:T60)</f>
        <v>16.524270270270268</v>
      </c>
      <c r="U61" s="63">
        <f t="shared" ca="1" si="14"/>
        <v>16.567916666666669</v>
      </c>
      <c r="V61" s="63">
        <f t="shared" ca="1" si="14"/>
        <v>13.701911764705885</v>
      </c>
      <c r="W61" s="63">
        <f t="shared" ca="1" si="14"/>
        <v>14.311333333333334</v>
      </c>
    </row>
    <row r="62" spans="1:23" x14ac:dyDescent="0.2">
      <c r="A62" s="31"/>
      <c r="B62" s="31"/>
      <c r="C62" s="1">
        <f>IF(ISERROR(D62),"",IF(D62="","",MAX($C$13:C61)+1))</f>
        <v>44</v>
      </c>
      <c r="D62" t="s">
        <v>257</v>
      </c>
      <c r="F62" s="63">
        <f ca="1">AVERAGE(G62:W62)</f>
        <v>15.814647058823528</v>
      </c>
      <c r="G62" s="63">
        <f>MEDIAN(G14:G60)</f>
        <v>19.7</v>
      </c>
      <c r="H62" s="63">
        <f t="shared" ref="H62:S62" ca="1" si="15">MEDIAN(H14:H60)</f>
        <v>19.969000000000001</v>
      </c>
      <c r="I62" s="63">
        <f t="shared" ref="I62" ca="1" si="16">MEDIAN(I14:I60)</f>
        <v>18.802</v>
      </c>
      <c r="J62" s="63">
        <f t="shared" ca="1" si="15"/>
        <v>17.713999999999999</v>
      </c>
      <c r="K62" s="63">
        <f t="shared" ca="1" si="15"/>
        <v>16.5365</v>
      </c>
      <c r="L62" s="63">
        <f t="shared" ca="1" si="15"/>
        <v>16.268000000000001</v>
      </c>
      <c r="M62" s="63">
        <f t="shared" ca="1" si="15"/>
        <v>15.043500000000002</v>
      </c>
      <c r="N62" s="63">
        <f t="shared" ca="1" si="15"/>
        <v>14.307500000000001</v>
      </c>
      <c r="O62" s="63">
        <f t="shared" ca="1" si="15"/>
        <v>12.9145</v>
      </c>
      <c r="P62" s="63">
        <f t="shared" ca="1" si="15"/>
        <v>12.816500000000001</v>
      </c>
      <c r="Q62" s="63">
        <f t="shared" ca="1" si="15"/>
        <v>14.213000000000001</v>
      </c>
      <c r="R62" s="63">
        <f t="shared" ca="1" si="15"/>
        <v>16.41</v>
      </c>
      <c r="S62" s="63">
        <f t="shared" ca="1" si="15"/>
        <v>15.879</v>
      </c>
      <c r="T62" s="63">
        <f t="shared" ref="T62:W62" ca="1" si="17">MEDIAN(T14:T60)</f>
        <v>15.917</v>
      </c>
      <c r="U62" s="63">
        <f t="shared" ca="1" si="17"/>
        <v>15.2875</v>
      </c>
      <c r="V62" s="63">
        <f t="shared" ca="1" si="17"/>
        <v>13.597000000000001</v>
      </c>
      <c r="W62" s="63">
        <f t="shared" ca="1" si="17"/>
        <v>13.474</v>
      </c>
    </row>
    <row r="63" spans="1:23" x14ac:dyDescent="0.2">
      <c r="A63" s="31"/>
      <c r="B63" s="31"/>
      <c r="C63" s="1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</row>
    <row r="64" spans="1:23" x14ac:dyDescent="0.2">
      <c r="A64" s="31"/>
      <c r="B64" s="31"/>
      <c r="C64" s="1"/>
      <c r="D64" s="18"/>
      <c r="E64" s="91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</row>
    <row r="65" spans="1:23" x14ac:dyDescent="0.2">
      <c r="A65" s="31"/>
      <c r="B65" s="31"/>
      <c r="C65" s="1"/>
      <c r="D65" s="20" t="s">
        <v>107</v>
      </c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</row>
    <row r="66" spans="1:23" ht="16.5" x14ac:dyDescent="0.2">
      <c r="A66" s="31"/>
      <c r="B66" s="31"/>
      <c r="C66" s="1"/>
      <c r="D66" s="79">
        <v>1</v>
      </c>
      <c r="E66" s="21" t="str">
        <f>"The Value Line Investment Survey Investment Analyzer Software, downloaded on "&amp;TEXT('2017'!$A$1,"mmmm d, yyyy.")</f>
        <v>The Value Line Investment Survey Investment Analyzer Software, downloaded on June 21, 2018.</v>
      </c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</row>
    <row r="67" spans="1:23" ht="16.5" x14ac:dyDescent="0.2">
      <c r="A67" s="31"/>
      <c r="B67" s="31"/>
      <c r="C67" s="1"/>
      <c r="D67" s="79">
        <v>2</v>
      </c>
      <c r="E67" s="21" t="str">
        <f>"The Value Line Investment Survey, "&amp;'2018 Data (WP)'!$D$1</f>
        <v>The Value Line Investment Survey, October 26, November 16, and December 14, 2018.</v>
      </c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</row>
    <row r="68" spans="1:23" x14ac:dyDescent="0.2">
      <c r="A68" s="31"/>
      <c r="B68" s="31"/>
      <c r="C68" s="1"/>
    </row>
    <row r="69" spans="1:23" ht="17.25" x14ac:dyDescent="0.25">
      <c r="A69" s="31"/>
      <c r="B69" s="31"/>
      <c r="C69" s="6"/>
      <c r="D69" s="6"/>
      <c r="E69" s="19"/>
      <c r="F69" s="235" t="s">
        <v>109</v>
      </c>
      <c r="G69" s="235"/>
      <c r="H69" s="235"/>
      <c r="I69" s="235"/>
      <c r="J69" s="235"/>
      <c r="K69" s="235"/>
      <c r="L69" s="235"/>
      <c r="M69" s="235"/>
      <c r="N69" s="235"/>
      <c r="O69" s="235"/>
      <c r="P69" s="235"/>
      <c r="Q69" s="235"/>
      <c r="R69" s="235"/>
      <c r="S69" s="235"/>
      <c r="T69" s="235"/>
      <c r="U69" s="235"/>
      <c r="V69" s="235"/>
      <c r="W69" s="235"/>
    </row>
    <row r="70" spans="1:23" ht="15" x14ac:dyDescent="0.25">
      <c r="A70" s="31"/>
      <c r="B70" s="31"/>
      <c r="C70" s="6"/>
      <c r="D70" s="7"/>
      <c r="E70" s="7"/>
      <c r="F70" s="8" t="s">
        <v>425</v>
      </c>
      <c r="G70" s="8"/>
      <c r="H70" s="8"/>
      <c r="I70" s="8"/>
      <c r="J70" s="8"/>
      <c r="K70" s="8"/>
      <c r="L70" s="8"/>
      <c r="M70" s="8"/>
      <c r="N70" s="8"/>
      <c r="O70" s="8"/>
      <c r="P70" s="7"/>
      <c r="Q70" s="7"/>
      <c r="R70" s="7"/>
      <c r="S70" s="7"/>
      <c r="T70" s="7"/>
      <c r="U70" s="7"/>
      <c r="V70" s="7"/>
    </row>
    <row r="71" spans="1:23" ht="17.25" x14ac:dyDescent="0.25">
      <c r="A71" s="31"/>
      <c r="B71" s="31"/>
      <c r="C71" s="9" t="s">
        <v>96</v>
      </c>
      <c r="D71" s="234" t="s">
        <v>97</v>
      </c>
      <c r="E71" s="234"/>
      <c r="F71" s="10" t="s">
        <v>98</v>
      </c>
      <c r="G71" s="10" t="s">
        <v>423</v>
      </c>
      <c r="H71" s="41">
        <v>2017</v>
      </c>
      <c r="I71" s="41">
        <v>2016</v>
      </c>
      <c r="J71" s="41">
        <v>2015</v>
      </c>
      <c r="K71" s="41">
        <v>2014</v>
      </c>
      <c r="L71" s="41">
        <v>2013</v>
      </c>
      <c r="M71" s="41">
        <v>2012</v>
      </c>
      <c r="N71" s="41">
        <v>2011</v>
      </c>
      <c r="O71" s="41">
        <v>2010</v>
      </c>
      <c r="P71" s="41">
        <v>2009</v>
      </c>
      <c r="Q71" s="41">
        <v>2008</v>
      </c>
      <c r="R71" s="41">
        <v>2007</v>
      </c>
      <c r="S71" s="41">
        <v>2006</v>
      </c>
      <c r="T71" s="41">
        <v>2005</v>
      </c>
      <c r="U71" s="41">
        <v>2004</v>
      </c>
      <c r="V71" s="41">
        <v>2003</v>
      </c>
      <c r="W71" s="41">
        <v>2002</v>
      </c>
    </row>
    <row r="72" spans="1:23" ht="15" x14ac:dyDescent="0.25">
      <c r="A72" s="42"/>
      <c r="B72" s="42"/>
      <c r="C72" s="9"/>
      <c r="D72" s="11"/>
      <c r="E72" s="11"/>
      <c r="F72" s="12">
        <v>-1</v>
      </c>
      <c r="G72" s="12">
        <f t="shared" ref="G72:H72" si="18">+F72-1</f>
        <v>-2</v>
      </c>
      <c r="H72" s="12">
        <f t="shared" si="18"/>
        <v>-3</v>
      </c>
      <c r="I72" s="12">
        <f t="shared" ref="I72" si="19">+H72-1</f>
        <v>-4</v>
      </c>
      <c r="J72" s="12">
        <f t="shared" ref="J72" si="20">+I72-1</f>
        <v>-5</v>
      </c>
      <c r="K72" s="12">
        <f t="shared" ref="K72" si="21">+J72-1</f>
        <v>-6</v>
      </c>
      <c r="L72" s="12">
        <f t="shared" ref="L72" si="22">+K72-1</f>
        <v>-7</v>
      </c>
      <c r="M72" s="12">
        <f t="shared" ref="M72" si="23">+L72-1</f>
        <v>-8</v>
      </c>
      <c r="N72" s="12">
        <f t="shared" ref="N72" si="24">+M72-1</f>
        <v>-9</v>
      </c>
      <c r="O72" s="12">
        <f t="shared" ref="O72" si="25">+N72-1</f>
        <v>-10</v>
      </c>
      <c r="P72" s="12">
        <f t="shared" ref="P72" si="26">+O72-1</f>
        <v>-11</v>
      </c>
      <c r="Q72" s="12">
        <f t="shared" ref="Q72" si="27">+P72-1</f>
        <v>-12</v>
      </c>
      <c r="R72" s="12">
        <f t="shared" ref="R72" si="28">+Q72-1</f>
        <v>-13</v>
      </c>
      <c r="S72" s="12">
        <f t="shared" ref="S72" si="29">+R72-1</f>
        <v>-14</v>
      </c>
      <c r="T72" s="12">
        <f t="shared" ref="T72" si="30">+S72-1</f>
        <v>-15</v>
      </c>
      <c r="U72" s="12">
        <f t="shared" ref="U72" si="31">+T72-1</f>
        <v>-16</v>
      </c>
      <c r="V72" s="12">
        <f t="shared" ref="V72" si="32">+U72-1</f>
        <v>-17</v>
      </c>
      <c r="W72" s="12">
        <f t="shared" ref="W72" si="33">+V72-1</f>
        <v>-18</v>
      </c>
    </row>
    <row r="73" spans="1:23" x14ac:dyDescent="0.2">
      <c r="A73" s="43"/>
      <c r="B73" s="44"/>
      <c r="C73" s="6"/>
      <c r="E73" s="22"/>
      <c r="F73" s="193"/>
      <c r="G73" s="193"/>
      <c r="H73" s="134" t="e">
        <f t="shared" ref="H73:S73" ca="1" si="34">MATCH(VALUE(LEFT(H71,4)),OFFSET(MP_CF_WP,-1,0,1,),0)</f>
        <v>#N/A</v>
      </c>
      <c r="I73" s="134">
        <f t="shared" ca="1" si="34"/>
        <v>6</v>
      </c>
      <c r="J73" s="134">
        <f t="shared" ca="1" si="34"/>
        <v>7</v>
      </c>
      <c r="K73" s="134">
        <f t="shared" ca="1" si="34"/>
        <v>8</v>
      </c>
      <c r="L73" s="134">
        <f t="shared" ca="1" si="34"/>
        <v>9</v>
      </c>
      <c r="M73" s="134">
        <f t="shared" ca="1" si="34"/>
        <v>10</v>
      </c>
      <c r="N73" s="134">
        <f t="shared" ca="1" si="34"/>
        <v>11</v>
      </c>
      <c r="O73" s="134">
        <f t="shared" ca="1" si="34"/>
        <v>12</v>
      </c>
      <c r="P73" s="134">
        <f t="shared" ca="1" si="34"/>
        <v>13</v>
      </c>
      <c r="Q73" s="134">
        <f t="shared" ca="1" si="34"/>
        <v>14</v>
      </c>
      <c r="R73" s="134">
        <f t="shared" ca="1" si="34"/>
        <v>15</v>
      </c>
      <c r="S73" s="134">
        <f t="shared" ca="1" si="34"/>
        <v>16</v>
      </c>
      <c r="T73" s="134">
        <f t="shared" ref="T73:W73" ca="1" si="35">MATCH(VALUE(LEFT(T71,4)),OFFSET(MP_CF_WP,-1,0,1,),0)</f>
        <v>17</v>
      </c>
      <c r="U73" s="134">
        <f t="shared" ca="1" si="35"/>
        <v>18</v>
      </c>
      <c r="V73" s="134">
        <f t="shared" ca="1" si="35"/>
        <v>19</v>
      </c>
      <c r="W73" s="134">
        <f t="shared" ca="1" si="35"/>
        <v>20</v>
      </c>
    </row>
    <row r="74" spans="1:23" x14ac:dyDescent="0.2">
      <c r="A74" s="51" t="str">
        <f t="shared" ref="A74:A90" si="36">A14</f>
        <v>ALE</v>
      </c>
      <c r="B74" s="46">
        <f t="shared" ref="B74:B90" ca="1" si="37">IFERROR(MATCH(A74,OFFSET(MP_CF_WP,0,0,,1),0),"")</f>
        <v>2</v>
      </c>
      <c r="C74" s="1">
        <f>IF(ISERROR(D74),"",IF(D74="","",MAX($C$72:C73)+1))</f>
        <v>1</v>
      </c>
      <c r="D74" t="str">
        <f t="shared" ref="D74:D90" si="38">D14</f>
        <v xml:space="preserve">ALLETE                        </v>
      </c>
      <c r="E74" s="22"/>
      <c r="F74" s="63">
        <f ca="1">IFERROR(AVERAGE(G74:W74),"N/A")</f>
        <v>9.45744270853689</v>
      </c>
      <c r="G74" s="63">
        <f t="shared" ref="G74:G119" si="39">IFERROR(IF(VLOOKUP(A74,LUCurYr,17,FALSE)=0,"",VLOOKUP(A74,LUCurYr,17,FALSE)),"N/A")</f>
        <v>10.905109489051094</v>
      </c>
      <c r="H74" s="63">
        <f ca="1">IFERROR(VLOOKUP($A74,LASTYR,'2017'!$L$3,FALSE),"N/A")</f>
        <v>10.947640006070724</v>
      </c>
      <c r="I74" s="63">
        <f t="shared" ref="I74:W89" ca="1" si="40">IFERROR(IF(INDEX(MP_CF_WP,$B74,I$73)=0,"N/A",INDEX(MP_CF_WP,$B74,I$73)),"N/A")</f>
        <v>8.2644441305269112</v>
      </c>
      <c r="J74" s="63">
        <f t="shared" ca="1" si="40"/>
        <v>7.4948453608247423</v>
      </c>
      <c r="K74" s="63">
        <f t="shared" ca="1" si="40"/>
        <v>8.8042290748898679</v>
      </c>
      <c r="L74" s="63">
        <f t="shared" ca="1" si="40"/>
        <v>9.1492984097287184</v>
      </c>
      <c r="M74" s="63">
        <f t="shared" ca="1" si="40"/>
        <v>8.1817092651757175</v>
      </c>
      <c r="N74" s="63">
        <f t="shared" ca="1" si="40"/>
        <v>7.9102198697068395</v>
      </c>
      <c r="O74" s="63">
        <f t="shared" ca="1" si="40"/>
        <v>8.0392922794117645</v>
      </c>
      <c r="P74" s="63">
        <f t="shared" ca="1" si="40"/>
        <v>8.5107812937552509</v>
      </c>
      <c r="Q74" s="63">
        <f t="shared" ca="1" si="40"/>
        <v>9.2917552563193961</v>
      </c>
      <c r="R74" s="63">
        <f t="shared" ca="1" si="40"/>
        <v>10.302330844082373</v>
      </c>
      <c r="S74" s="63">
        <f t="shared" ca="1" si="40"/>
        <v>11.056694813027745</v>
      </c>
      <c r="T74" s="63">
        <f t="shared" ca="1" si="40"/>
        <v>11.543020535482194</v>
      </c>
      <c r="U74" s="63">
        <f t="shared" ca="1" si="40"/>
        <v>11.46027</v>
      </c>
      <c r="V74" s="63" t="str">
        <f t="shared" ca="1" si="40"/>
        <v>N/A</v>
      </c>
      <c r="W74" s="63" t="str">
        <f t="shared" ca="1" si="40"/>
        <v>N/A</v>
      </c>
    </row>
    <row r="75" spans="1:23" x14ac:dyDescent="0.2">
      <c r="A75" s="51" t="str">
        <f t="shared" si="36"/>
        <v>LNT</v>
      </c>
      <c r="B75" s="46">
        <f t="shared" ca="1" si="37"/>
        <v>3</v>
      </c>
      <c r="C75" s="1">
        <f>IF(ISERROR(D75),"",IF(D75="","",MAX($C$72:C74)+1))</f>
        <v>2</v>
      </c>
      <c r="D75" t="str">
        <f t="shared" si="38"/>
        <v xml:space="preserve">Alliant Energy                </v>
      </c>
      <c r="E75" s="22"/>
      <c r="F75" s="63">
        <f t="shared" ref="F75:F119" ca="1" si="41">IFERROR(AVERAGE(G75:W75),"N/A")</f>
        <v>7.6395381651260479</v>
      </c>
      <c r="G75" s="63">
        <f t="shared" si="39"/>
        <v>9.6976744186046524</v>
      </c>
      <c r="H75" s="63">
        <f ca="1">IFERROR(VLOOKUP($A75,LASTYR,'2017'!$L$3,FALSE),"N/A")</f>
        <v>13.212765957446807</v>
      </c>
      <c r="I75" s="63">
        <f t="shared" ca="1" si="40"/>
        <v>10.666956521739131</v>
      </c>
      <c r="J75" s="63">
        <f t="shared" ca="1" si="40"/>
        <v>8.8627394080092863</v>
      </c>
      <c r="K75" s="63">
        <f t="shared" ca="1" si="40"/>
        <v>8.3958151700087189</v>
      </c>
      <c r="L75" s="63">
        <f t="shared" ca="1" si="40"/>
        <v>7.5191502094554163</v>
      </c>
      <c r="M75" s="63">
        <f t="shared" ca="1" si="40"/>
        <v>7.4996607869742204</v>
      </c>
      <c r="N75" s="63">
        <f t="shared" ca="1" si="40"/>
        <v>7.2149600580973132</v>
      </c>
      <c r="O75" s="63">
        <f t="shared" ca="1" si="40"/>
        <v>6.5860215053763431</v>
      </c>
      <c r="P75" s="63">
        <f t="shared" ca="1" si="40"/>
        <v>6.2287208749405609</v>
      </c>
      <c r="Q75" s="63">
        <f t="shared" ca="1" si="40"/>
        <v>7.4890254609306401</v>
      </c>
      <c r="R75" s="63">
        <f t="shared" ca="1" si="40"/>
        <v>7.924579914028917</v>
      </c>
      <c r="S75" s="63">
        <f t="shared" ca="1" si="40"/>
        <v>8.0023094688221708</v>
      </c>
      <c r="T75" s="63">
        <f t="shared" ca="1" si="40"/>
        <v>5.0915080527086376</v>
      </c>
      <c r="U75" s="63">
        <f t="shared" ca="1" si="40"/>
        <v>5.5218499999999997</v>
      </c>
      <c r="V75" s="63">
        <f t="shared" ca="1" si="40"/>
        <v>4.7578800000000001</v>
      </c>
      <c r="W75" s="63">
        <f t="shared" ca="1" si="40"/>
        <v>5.2005309999999998</v>
      </c>
    </row>
    <row r="76" spans="1:23" x14ac:dyDescent="0.2">
      <c r="A76" s="51" t="str">
        <f t="shared" si="36"/>
        <v>AEE</v>
      </c>
      <c r="B76" s="46">
        <f t="shared" ca="1" si="37"/>
        <v>6</v>
      </c>
      <c r="C76" s="1">
        <f>IF(ISERROR(D76),"",IF(D76="","",MAX($C$72:C75)+1))</f>
        <v>3</v>
      </c>
      <c r="D76" t="str">
        <f t="shared" si="38"/>
        <v xml:space="preserve">Ameren Corp.                  </v>
      </c>
      <c r="E76" s="22"/>
      <c r="F76" s="63">
        <f t="shared" ca="1" si="41"/>
        <v>6.9017539637573604</v>
      </c>
      <c r="G76" s="63">
        <f t="shared" si="39"/>
        <v>7.9740259740259747</v>
      </c>
      <c r="H76" s="63">
        <f ca="1">IFERROR(VLOOKUP($A76,LASTYR,'2017'!$L$3,FALSE),"N/A")</f>
        <v>8.3847736625514404</v>
      </c>
      <c r="I76" s="63">
        <f t="shared" ca="1" si="40"/>
        <v>7.4442757364105674</v>
      </c>
      <c r="J76" s="63">
        <f t="shared" ca="1" si="40"/>
        <v>6.8692219114986024</v>
      </c>
      <c r="K76" s="63">
        <f t="shared" ca="1" si="40"/>
        <v>6.9488734835355288</v>
      </c>
      <c r="L76" s="63">
        <f t="shared" ca="1" si="40"/>
        <v>6.6104440632742527</v>
      </c>
      <c r="M76" s="63">
        <f t="shared" ca="1" si="40"/>
        <v>5.4788012940575515</v>
      </c>
      <c r="N76" s="63">
        <f t="shared" ca="1" si="40"/>
        <v>5.0182158665304737</v>
      </c>
      <c r="O76" s="63">
        <f t="shared" ca="1" si="40"/>
        <v>4.2268057531215426</v>
      </c>
      <c r="P76" s="63">
        <f t="shared" ca="1" si="40"/>
        <v>4.2504540201419845</v>
      </c>
      <c r="Q76" s="63">
        <f t="shared" ca="1" si="40"/>
        <v>6.3536263394937107</v>
      </c>
      <c r="R76" s="63">
        <f t="shared" ca="1" si="40"/>
        <v>7.6877587226493196</v>
      </c>
      <c r="S76" s="63">
        <f t="shared" ca="1" si="40"/>
        <v>8.5713098404255312</v>
      </c>
      <c r="T76" s="63">
        <f t="shared" ca="1" si="40"/>
        <v>8.5745657161586362</v>
      </c>
      <c r="U76" s="63">
        <f t="shared" ca="1" si="40"/>
        <v>8.241695</v>
      </c>
      <c r="V76" s="63">
        <f t="shared" ca="1" si="40"/>
        <v>6.7395110000000003</v>
      </c>
      <c r="W76" s="63">
        <f t="shared" ca="1" si="40"/>
        <v>7.9554590000000003</v>
      </c>
    </row>
    <row r="77" spans="1:23" x14ac:dyDescent="0.2">
      <c r="A77" s="51" t="str">
        <f t="shared" si="36"/>
        <v>AEP</v>
      </c>
      <c r="B77" s="46">
        <f t="shared" ca="1" si="37"/>
        <v>7</v>
      </c>
      <c r="C77" s="1">
        <f>IF(ISERROR(D77),"",IF(D77="","",MAX($C$72:C76)+1))</f>
        <v>4</v>
      </c>
      <c r="D77" t="str">
        <f t="shared" si="38"/>
        <v>American Electric Power</v>
      </c>
      <c r="E77" s="22"/>
      <c r="F77" s="63">
        <f t="shared" ca="1" si="41"/>
        <v>6.2634791168407267</v>
      </c>
      <c r="G77" s="63">
        <f t="shared" si="39"/>
        <v>8.2558139534883725</v>
      </c>
      <c r="H77" s="63">
        <f ca="1">IFERROR(VLOOKUP($A77,LASTYR,'2017'!$L$3,FALSE),"N/A")</f>
        <v>8.8058142461615923</v>
      </c>
      <c r="I77" s="63">
        <f t="shared" ca="1" si="40"/>
        <v>7.5706695005313502</v>
      </c>
      <c r="J77" s="63">
        <f t="shared" ca="1" si="40"/>
        <v>7.0949993733550567</v>
      </c>
      <c r="K77" s="63">
        <f t="shared" ca="1" si="40"/>
        <v>7</v>
      </c>
      <c r="L77" s="63">
        <f t="shared" ca="1" si="40"/>
        <v>6.5675406098603597</v>
      </c>
      <c r="M77" s="63">
        <f t="shared" ca="1" si="40"/>
        <v>5.9286127167630065</v>
      </c>
      <c r="N77" s="63">
        <f t="shared" ca="1" si="40"/>
        <v>5.4648403164371517</v>
      </c>
      <c r="O77" s="63">
        <f t="shared" ca="1" si="40"/>
        <v>5.5438652256834073</v>
      </c>
      <c r="P77" s="63">
        <f t="shared" ca="1" si="40"/>
        <v>4.7136529030216741</v>
      </c>
      <c r="Q77" s="63">
        <f t="shared" ca="1" si="40"/>
        <v>5.7125511995318901</v>
      </c>
      <c r="R77" s="63">
        <f t="shared" ca="1" si="40"/>
        <v>6.8440717858193594</v>
      </c>
      <c r="S77" s="63">
        <f t="shared" ca="1" si="40"/>
        <v>5.5355428914217155</v>
      </c>
      <c r="T77" s="63">
        <f t="shared" ca="1" si="40"/>
        <v>6.0654252642174127</v>
      </c>
      <c r="U77" s="63">
        <f t="shared" ca="1" si="40"/>
        <v>5.5033099999999999</v>
      </c>
      <c r="V77" s="63">
        <f t="shared" ca="1" si="40"/>
        <v>4.6854269999999998</v>
      </c>
      <c r="W77" s="63">
        <f t="shared" ca="1" si="40"/>
        <v>5.1870079999999996</v>
      </c>
    </row>
    <row r="78" spans="1:23" x14ac:dyDescent="0.2">
      <c r="A78" s="51" t="str">
        <f t="shared" si="36"/>
        <v>AGR</v>
      </c>
      <c r="B78" s="46">
        <f t="shared" ca="1" si="37"/>
        <v>10</v>
      </c>
      <c r="C78" s="1">
        <f>IF(ISERROR(D78),"",IF(D78="","",MAX($C$72:C77)+1))</f>
        <v>5</v>
      </c>
      <c r="D78" t="str">
        <f t="shared" si="38"/>
        <v>Avangrid, Inc.</v>
      </c>
      <c r="E78" s="22"/>
      <c r="F78" s="63">
        <f t="shared" ca="1" si="41"/>
        <v>9.9483202864358553</v>
      </c>
      <c r="G78" s="63">
        <f t="shared" si="39"/>
        <v>9.7843137254901986</v>
      </c>
      <c r="H78" s="63">
        <f ca="1">IFERROR(VLOOKUP($A78,LASTYR,'2017'!$L$3,FALSE),"N/A")</f>
        <v>10.143461795500112</v>
      </c>
      <c r="I78" s="63">
        <f t="shared" ca="1" si="40"/>
        <v>8.563739974672858</v>
      </c>
      <c r="J78" s="63">
        <f t="shared" ca="1" si="40"/>
        <v>11.301765650080256</v>
      </c>
      <c r="K78" s="63" t="str">
        <f t="shared" ca="1" si="40"/>
        <v>N/A</v>
      </c>
      <c r="L78" s="63" t="str">
        <f t="shared" ca="1" si="40"/>
        <v>N/A</v>
      </c>
      <c r="M78" s="63" t="str">
        <f t="shared" ca="1" si="40"/>
        <v>N/A</v>
      </c>
      <c r="N78" s="63" t="str">
        <f t="shared" ca="1" si="40"/>
        <v>N/A</v>
      </c>
      <c r="O78" s="63" t="str">
        <f t="shared" ca="1" si="40"/>
        <v>N/A</v>
      </c>
      <c r="P78" s="63" t="str">
        <f t="shared" ca="1" si="40"/>
        <v>N/A</v>
      </c>
      <c r="Q78" s="63" t="str">
        <f t="shared" ca="1" si="40"/>
        <v>N/A</v>
      </c>
      <c r="R78" s="63" t="str">
        <f t="shared" ca="1" si="40"/>
        <v>N/A</v>
      </c>
      <c r="S78" s="63" t="str">
        <f t="shared" ca="1" si="40"/>
        <v>N/A</v>
      </c>
      <c r="T78" s="63" t="str">
        <f t="shared" ca="1" si="40"/>
        <v>N/A</v>
      </c>
      <c r="U78" s="63" t="str">
        <f t="shared" ca="1" si="40"/>
        <v>N/A</v>
      </c>
      <c r="V78" s="63" t="str">
        <f t="shared" ca="1" si="40"/>
        <v>N/A</v>
      </c>
      <c r="W78" s="63" t="str">
        <f t="shared" ca="1" si="40"/>
        <v>N/A</v>
      </c>
    </row>
    <row r="79" spans="1:23" x14ac:dyDescent="0.2">
      <c r="A79" s="51" t="str">
        <f t="shared" si="36"/>
        <v>AVA</v>
      </c>
      <c r="B79" s="46">
        <f t="shared" ca="1" si="37"/>
        <v>11</v>
      </c>
      <c r="C79" s="1">
        <f>IF(ISERROR(D79),"",IF(D79="","",MAX($C$72:C78)+1))</f>
        <v>6</v>
      </c>
      <c r="D79" t="str">
        <f t="shared" si="38"/>
        <v xml:space="preserve">Avista Corp.                  </v>
      </c>
      <c r="E79" s="22"/>
      <c r="F79" s="63">
        <f t="shared" ca="1" si="41"/>
        <v>6.6974871083675414</v>
      </c>
      <c r="G79" s="63">
        <f t="shared" si="39"/>
        <v>10.040000000000001</v>
      </c>
      <c r="H79" s="63">
        <f ca="1">IFERROR(VLOOKUP($A79,LASTYR,'2017'!$L$3,FALSE),"N/A")</f>
        <v>9.351251538777186</v>
      </c>
      <c r="I79" s="63">
        <f t="shared" ca="1" si="40"/>
        <v>7.6315391879131251</v>
      </c>
      <c r="J79" s="63">
        <f t="shared" ca="1" si="40"/>
        <v>6.7580743449116394</v>
      </c>
      <c r="K79" s="63">
        <f t="shared" ca="1" si="40"/>
        <v>7.3000459136822773</v>
      </c>
      <c r="L79" s="63">
        <f t="shared" ca="1" si="40"/>
        <v>6.2096330275229361</v>
      </c>
      <c r="M79" s="63">
        <f t="shared" ca="1" si="40"/>
        <v>6.882464198865172</v>
      </c>
      <c r="N79" s="63">
        <f t="shared" ca="1" si="40"/>
        <v>6.404125892620999</v>
      </c>
      <c r="O79" s="63">
        <f t="shared" ca="1" si="40"/>
        <v>5.8034235229155167</v>
      </c>
      <c r="P79" s="63">
        <f t="shared" ca="1" si="40"/>
        <v>4.0559928041376203</v>
      </c>
      <c r="Q79" s="63">
        <f t="shared" ca="1" si="40"/>
        <v>5.1186525892408241</v>
      </c>
      <c r="R79" s="63">
        <f t="shared" ca="1" si="40"/>
        <v>7.5844421699078817</v>
      </c>
      <c r="S79" s="63">
        <f t="shared" ca="1" si="40"/>
        <v>5.2971201123858576</v>
      </c>
      <c r="T79" s="63">
        <f t="shared" ca="1" si="40"/>
        <v>6.582413539367181</v>
      </c>
      <c r="U79" s="63">
        <f t="shared" ca="1" si="40"/>
        <v>7.5796849999999996</v>
      </c>
      <c r="V79" s="63">
        <f t="shared" ca="1" si="40"/>
        <v>5.3602889999999999</v>
      </c>
      <c r="W79" s="63">
        <f t="shared" ca="1" si="40"/>
        <v>5.8981279999999998</v>
      </c>
    </row>
    <row r="80" spans="1:23" x14ac:dyDescent="0.2">
      <c r="A80" s="51" t="str">
        <f t="shared" si="36"/>
        <v>BKH</v>
      </c>
      <c r="B80" s="46">
        <f t="shared" ca="1" si="37"/>
        <v>12</v>
      </c>
      <c r="C80" s="1">
        <f>IF(ISERROR(D80),"",IF(D80="","",MAX($C$72:C79)+1))</f>
        <v>7</v>
      </c>
      <c r="D80" t="str">
        <f t="shared" si="38"/>
        <v xml:space="preserve">Black Hills                   </v>
      </c>
      <c r="E80" s="22"/>
      <c r="F80" s="63">
        <f t="shared" ca="1" si="41"/>
        <v>7.5959897869242505</v>
      </c>
      <c r="G80" s="63">
        <f t="shared" si="39"/>
        <v>8.5522388059701484</v>
      </c>
      <c r="H80" s="63">
        <f ca="1">IFERROR(VLOOKUP($A80,LASTYR,'2017'!$L$3,FALSE),"N/A")</f>
        <v>9.202683813251328</v>
      </c>
      <c r="I80" s="63">
        <f t="shared" ca="1" si="40"/>
        <v>9.3268098647573581</v>
      </c>
      <c r="J80" s="63">
        <f t="shared" ca="1" si="40"/>
        <v>8.0614298323036184</v>
      </c>
      <c r="K80" s="63">
        <f t="shared" ca="1" si="40"/>
        <v>8.8062449959967974</v>
      </c>
      <c r="L80" s="63">
        <f t="shared" ca="1" si="40"/>
        <v>8.0283353010625742</v>
      </c>
      <c r="M80" s="63">
        <f t="shared" ca="1" si="40"/>
        <v>6.0373881932021476</v>
      </c>
      <c r="N80" s="63">
        <f t="shared" ca="1" si="40"/>
        <v>7.8482276585122319</v>
      </c>
      <c r="O80" s="63">
        <f t="shared" ca="1" si="40"/>
        <v>6.1607875307629199</v>
      </c>
      <c r="P80" s="63">
        <f t="shared" ca="1" si="40"/>
        <v>4.2542028450027702</v>
      </c>
      <c r="Q80" s="63">
        <f t="shared" ca="1" si="40"/>
        <v>11.257026752455131</v>
      </c>
      <c r="R80" s="63">
        <f t="shared" ca="1" si="40"/>
        <v>7.6150936258747874</v>
      </c>
      <c r="S80" s="63">
        <f t="shared" ca="1" si="40"/>
        <v>6.9166335847558544</v>
      </c>
      <c r="T80" s="63">
        <f t="shared" ca="1" si="40"/>
        <v>7.5738045738045745</v>
      </c>
      <c r="U80" s="63">
        <f t="shared" ca="1" si="40"/>
        <v>6.6870099999999999</v>
      </c>
      <c r="V80" s="63">
        <f t="shared" ca="1" si="40"/>
        <v>6.8855000000000004</v>
      </c>
      <c r="W80" s="63">
        <f t="shared" ca="1" si="40"/>
        <v>5.9184089999999996</v>
      </c>
    </row>
    <row r="81" spans="1:23" x14ac:dyDescent="0.2">
      <c r="A81" s="51" t="str">
        <f t="shared" si="36"/>
        <v>CNP</v>
      </c>
      <c r="B81" s="46">
        <f t="shared" ca="1" si="37"/>
        <v>14</v>
      </c>
      <c r="C81" s="1">
        <f>IF(ISERROR(D81),"",IF(D81="","",MAX($C$72:C80)+1))</f>
        <v>8</v>
      </c>
      <c r="D81" t="str">
        <f t="shared" si="38"/>
        <v xml:space="preserve">CenterPoint Energy            </v>
      </c>
      <c r="E81" s="22"/>
      <c r="F81" s="63">
        <f t="shared" ca="1" si="41"/>
        <v>4.9922152667293442</v>
      </c>
      <c r="G81" s="63">
        <f t="shared" si="39"/>
        <v>7.4861111111111116</v>
      </c>
      <c r="H81" s="63">
        <f ca="1">IFERROR(VLOOKUP($A81,LASTYR,'2017'!$L$3,FALSE),"N/A")</f>
        <v>6.9695091720376796</v>
      </c>
      <c r="I81" s="63">
        <f t="shared" ca="1" si="40"/>
        <v>5.957041870581838</v>
      </c>
      <c r="J81" s="63">
        <f t="shared" ca="1" si="40"/>
        <v>5.7488235294117649</v>
      </c>
      <c r="K81" s="63">
        <f t="shared" ca="1" si="40"/>
        <v>6.2537003375746556</v>
      </c>
      <c r="L81" s="63">
        <f t="shared" ca="1" si="40"/>
        <v>6.5611064069997171</v>
      </c>
      <c r="M81" s="63">
        <f t="shared" ca="1" si="40"/>
        <v>5.1511179645335385</v>
      </c>
      <c r="N81" s="63">
        <f t="shared" ca="1" si="40"/>
        <v>5.3933566433566442</v>
      </c>
      <c r="O81" s="63">
        <f t="shared" ca="1" si="40"/>
        <v>4.6976744186046515</v>
      </c>
      <c r="P81" s="63">
        <f t="shared" ca="1" si="40"/>
        <v>4.0547432845970759</v>
      </c>
      <c r="Q81" s="63">
        <f t="shared" ca="1" si="40"/>
        <v>4.2873025160912812</v>
      </c>
      <c r="R81" s="63">
        <f t="shared" ca="1" si="40"/>
        <v>5.1730032419687593</v>
      </c>
      <c r="S81" s="63">
        <f t="shared" ca="1" si="40"/>
        <v>3.938834391229082</v>
      </c>
      <c r="T81" s="63">
        <f t="shared" ca="1" si="40"/>
        <v>4.698932646301067</v>
      </c>
      <c r="U81" s="63">
        <f t="shared" ca="1" si="40"/>
        <v>4.2561600000000004</v>
      </c>
      <c r="V81" s="63">
        <f t="shared" ca="1" si="40"/>
        <v>2.080613</v>
      </c>
      <c r="W81" s="63">
        <f t="shared" ca="1" si="40"/>
        <v>2.1596289999999998</v>
      </c>
    </row>
    <row r="82" spans="1:23" x14ac:dyDescent="0.2">
      <c r="A82" s="51" t="str">
        <f t="shared" si="36"/>
        <v>CMS</v>
      </c>
      <c r="B82" s="46">
        <f t="shared" ca="1" si="37"/>
        <v>18</v>
      </c>
      <c r="C82" s="1">
        <f>IF(ISERROR(D82),"",IF(D82="","",MAX($C$72:C81)+1))</f>
        <v>9</v>
      </c>
      <c r="D82" t="str">
        <f t="shared" si="38"/>
        <v xml:space="preserve">CMS Energy Corp.              </v>
      </c>
      <c r="E82" s="22"/>
      <c r="F82" s="63">
        <f t="shared" ca="1" si="41"/>
        <v>5.623273774529518</v>
      </c>
      <c r="G82" s="63">
        <f t="shared" si="39"/>
        <v>8.3008849557522115</v>
      </c>
      <c r="H82" s="63">
        <f ca="1">IFERROR(VLOOKUP($A82,LASTYR,'2017'!$L$3,FALSE),"N/A")</f>
        <v>8.7488178551163234</v>
      </c>
      <c r="I82" s="63">
        <f t="shared" ca="1" si="40"/>
        <v>8.5008200082000815</v>
      </c>
      <c r="J82" s="63">
        <f t="shared" ca="1" si="40"/>
        <v>7.5266710211190944</v>
      </c>
      <c r="K82" s="63">
        <f t="shared" ca="1" si="40"/>
        <v>7.1293225959261006</v>
      </c>
      <c r="L82" s="63">
        <f t="shared" ca="1" si="40"/>
        <v>6.6755358462675529</v>
      </c>
      <c r="M82" s="63">
        <f t="shared" ca="1" si="40"/>
        <v>6.0340225071970686</v>
      </c>
      <c r="N82" s="63">
        <f t="shared" ca="1" si="40"/>
        <v>5.405805038335159</v>
      </c>
      <c r="O82" s="63">
        <f t="shared" ca="1" si="40"/>
        <v>4.4751485683414369</v>
      </c>
      <c r="P82" s="63">
        <f t="shared" ca="1" si="40"/>
        <v>3.6362849725987885</v>
      </c>
      <c r="Q82" s="63">
        <f t="shared" ca="1" si="40"/>
        <v>3.4463641052088705</v>
      </c>
      <c r="R82" s="63">
        <f t="shared" ca="1" si="40"/>
        <v>5.5730045425048669</v>
      </c>
      <c r="S82" s="63">
        <f t="shared" ca="1" si="40"/>
        <v>4.4045919950356813</v>
      </c>
      <c r="T82" s="63">
        <f t="shared" ca="1" si="40"/>
        <v>4.0422863808690588</v>
      </c>
      <c r="U82" s="63">
        <f t="shared" ca="1" si="40"/>
        <v>3.1967210000000001</v>
      </c>
      <c r="V82" s="63">
        <f t="shared" ca="1" si="40"/>
        <v>2.876099</v>
      </c>
      <c r="W82" s="63" t="str">
        <f t="shared" ca="1" si="40"/>
        <v>NMF</v>
      </c>
    </row>
    <row r="83" spans="1:23" x14ac:dyDescent="0.2">
      <c r="A83" s="51" t="str">
        <f t="shared" si="36"/>
        <v>ED</v>
      </c>
      <c r="B83" s="46">
        <f t="shared" ca="1" si="37"/>
        <v>20</v>
      </c>
      <c r="C83" s="1">
        <f>IF(ISERROR(D83),"",IF(D83="","",MAX($C$72:C82)+1))</f>
        <v>10</v>
      </c>
      <c r="D83" t="str">
        <f t="shared" si="38"/>
        <v xml:space="preserve">Consol. Edison                </v>
      </c>
      <c r="E83" s="22"/>
      <c r="F83" s="63">
        <f t="shared" ca="1" si="41"/>
        <v>8.2082809587109562</v>
      </c>
      <c r="G83" s="63">
        <f t="shared" si="39"/>
        <v>9.0173410404624281</v>
      </c>
      <c r="H83" s="63">
        <f ca="1">IFERROR(VLOOKUP($A83,LASTYR,'2017'!$L$3,FALSE),"N/A")</f>
        <v>9.6401902497027336</v>
      </c>
      <c r="I83" s="63">
        <f t="shared" ca="1" si="40"/>
        <v>9.3949270767279636</v>
      </c>
      <c r="J83" s="63">
        <f t="shared" ca="1" si="40"/>
        <v>7.963546922300706</v>
      </c>
      <c r="K83" s="63">
        <f t="shared" ca="1" si="40"/>
        <v>7.8885843497327679</v>
      </c>
      <c r="L83" s="63">
        <f t="shared" ca="1" si="40"/>
        <v>7.7697059218477236</v>
      </c>
      <c r="M83" s="63">
        <f t="shared" ca="1" si="40"/>
        <v>8.3131821998320738</v>
      </c>
      <c r="N83" s="63">
        <f t="shared" ca="1" si="40"/>
        <v>8.1457545028000613</v>
      </c>
      <c r="O83" s="63">
        <f t="shared" ca="1" si="40"/>
        <v>7.3884707766212969</v>
      </c>
      <c r="P83" s="63">
        <f t="shared" ca="1" si="40"/>
        <v>6.7200614124872056</v>
      </c>
      <c r="Q83" s="63">
        <f t="shared" ca="1" si="40"/>
        <v>6.8936205744822976</v>
      </c>
      <c r="R83" s="63">
        <f t="shared" ca="1" si="40"/>
        <v>8.3095980595980592</v>
      </c>
      <c r="S83" s="63">
        <f t="shared" ca="1" si="40"/>
        <v>8.6531540064406141</v>
      </c>
      <c r="T83" s="63">
        <f t="shared" ca="1" si="40"/>
        <v>8.5887602050503133</v>
      </c>
      <c r="U83" s="63">
        <f t="shared" ca="1" si="40"/>
        <v>9.3134920000000001</v>
      </c>
      <c r="V83" s="63">
        <f t="shared" ca="1" si="40"/>
        <v>7.8992769999999997</v>
      </c>
      <c r="W83" s="63">
        <f t="shared" ca="1" si="40"/>
        <v>7.6411100000000003</v>
      </c>
    </row>
    <row r="84" spans="1:23" x14ac:dyDescent="0.2">
      <c r="A84" s="51" t="str">
        <f t="shared" si="36"/>
        <v>D</v>
      </c>
      <c r="B84" s="46">
        <f t="shared" ca="1" si="37"/>
        <v>22</v>
      </c>
      <c r="C84" s="1">
        <f>IF(ISERROR(D84),"",IF(D84="","",MAX($C$72:C83)+1))</f>
        <v>11</v>
      </c>
      <c r="D84" t="str">
        <f t="shared" si="38"/>
        <v xml:space="preserve">Dominion Resources            </v>
      </c>
      <c r="E84" s="22"/>
      <c r="F84" s="63">
        <f t="shared" ca="1" si="41"/>
        <v>9.3415186450464311</v>
      </c>
      <c r="G84" s="63">
        <f t="shared" si="39"/>
        <v>9.8758620689655157</v>
      </c>
      <c r="H84" s="63">
        <f ca="1">IFERROR(VLOOKUP($A84,LASTYR,'2017'!$L$3,FALSE),"N/A")</f>
        <v>11.34826736262143</v>
      </c>
      <c r="I84" s="63">
        <f t="shared" ca="1" si="40"/>
        <v>11.594436541804964</v>
      </c>
      <c r="J84" s="63">
        <f t="shared" ca="1" si="40"/>
        <v>11.837733957219251</v>
      </c>
      <c r="K84" s="63">
        <f t="shared" ca="1" si="40"/>
        <v>12.270753064798599</v>
      </c>
      <c r="L84" s="63">
        <f t="shared" ca="1" si="40"/>
        <v>10.877263581488934</v>
      </c>
      <c r="M84" s="63">
        <f t="shared" ca="1" si="40"/>
        <v>9.9176201372997728</v>
      </c>
      <c r="N84" s="63">
        <f t="shared" ca="1" si="40"/>
        <v>9.4481665014866199</v>
      </c>
      <c r="O84" s="63">
        <f t="shared" ca="1" si="40"/>
        <v>8.1228207639569039</v>
      </c>
      <c r="P84" s="63">
        <f t="shared" ca="1" si="40"/>
        <v>6.9848421926910307</v>
      </c>
      <c r="Q84" s="63">
        <f t="shared" ca="1" si="40"/>
        <v>8.2672192618906646</v>
      </c>
      <c r="R84" s="63">
        <f t="shared" ca="1" si="40"/>
        <v>8.6465262743554412</v>
      </c>
      <c r="S84" s="63">
        <f t="shared" ca="1" si="40"/>
        <v>7.8091649694501024</v>
      </c>
      <c r="T84" s="63">
        <f t="shared" ca="1" si="40"/>
        <v>10.089435287760065</v>
      </c>
      <c r="U84" s="63">
        <f t="shared" ca="1" si="40"/>
        <v>7.6822210000000002</v>
      </c>
      <c r="V84" s="63">
        <f t="shared" ca="1" si="40"/>
        <v>7.50718</v>
      </c>
      <c r="W84" s="63">
        <f t="shared" ca="1" si="40"/>
        <v>6.5263039999999997</v>
      </c>
    </row>
    <row r="85" spans="1:23" x14ac:dyDescent="0.2">
      <c r="A85" s="51" t="str">
        <f t="shared" si="36"/>
        <v>DTE</v>
      </c>
      <c r="B85" s="46">
        <f t="shared" ca="1" si="37"/>
        <v>23</v>
      </c>
      <c r="C85" s="1">
        <f>IF(ISERROR(D85),"",IF(D85="","",MAX($C$72:C84)+1))</f>
        <v>12</v>
      </c>
      <c r="D85" t="str">
        <f t="shared" si="38"/>
        <v xml:space="preserve">DTE Energy                    </v>
      </c>
      <c r="E85" s="22"/>
      <c r="F85" s="63">
        <f t="shared" ca="1" si="41"/>
        <v>6.196286000420713</v>
      </c>
      <c r="G85" s="63">
        <f t="shared" si="39"/>
        <v>8.4763779527559056</v>
      </c>
      <c r="H85" s="63">
        <f ca="1">IFERROR(VLOOKUP($A85,LASTYR,'2017'!$L$3,FALSE),"N/A")</f>
        <v>9.0492652679860708</v>
      </c>
      <c r="I85" s="63">
        <f t="shared" ca="1" si="40"/>
        <v>8.6420754716981136</v>
      </c>
      <c r="J85" s="63">
        <f t="shared" ca="1" si="40"/>
        <v>8.5202881661192933</v>
      </c>
      <c r="K85" s="63">
        <f t="shared" ca="1" si="40"/>
        <v>6.4158090096170071</v>
      </c>
      <c r="L85" s="63">
        <f t="shared" ca="1" si="40"/>
        <v>6.6529382716049383</v>
      </c>
      <c r="M85" s="63">
        <f t="shared" ca="1" si="40"/>
        <v>5.9124961621123733</v>
      </c>
      <c r="N85" s="63">
        <f t="shared" ca="1" si="40"/>
        <v>5.1828350407693913</v>
      </c>
      <c r="O85" s="63">
        <f t="shared" ca="1" si="40"/>
        <v>4.6905930470347652</v>
      </c>
      <c r="P85" s="63">
        <f t="shared" ca="1" si="40"/>
        <v>3.5945859533198341</v>
      </c>
      <c r="Q85" s="63">
        <f t="shared" ca="1" si="40"/>
        <v>4.8969359331476321</v>
      </c>
      <c r="R85" s="63">
        <f t="shared" ca="1" si="40"/>
        <v>5.7259870359457867</v>
      </c>
      <c r="S85" s="63">
        <f t="shared" ca="1" si="40"/>
        <v>5.2138932975216701</v>
      </c>
      <c r="T85" s="63">
        <f t="shared" ca="1" si="40"/>
        <v>5.5403413975193416</v>
      </c>
      <c r="U85" s="63">
        <f t="shared" ca="1" si="40"/>
        <v>6.0036690000000004</v>
      </c>
      <c r="V85" s="63">
        <f t="shared" ca="1" si="40"/>
        <v>5.6177109999999999</v>
      </c>
      <c r="W85" s="63">
        <f t="shared" ca="1" si="40"/>
        <v>5.20106</v>
      </c>
    </row>
    <row r="86" spans="1:23" x14ac:dyDescent="0.2">
      <c r="A86" s="51" t="str">
        <f t="shared" si="36"/>
        <v>DUK</v>
      </c>
      <c r="B86" s="46">
        <f t="shared" ca="1" si="37"/>
        <v>24</v>
      </c>
      <c r="C86" s="1">
        <f>IF(ISERROR(D86),"",IF(D86="","",MAX($C$72:C85)+1))</f>
        <v>13</v>
      </c>
      <c r="D86" t="str">
        <f t="shared" si="38"/>
        <v xml:space="preserve">Duke Energy                   </v>
      </c>
      <c r="E86" s="22"/>
      <c r="F86" s="63">
        <f t="shared" ca="1" si="41"/>
        <v>7.5674969773908956</v>
      </c>
      <c r="G86" s="63">
        <f t="shared" si="39"/>
        <v>7.3069767441860458</v>
      </c>
      <c r="H86" s="63">
        <f ca="1">IFERROR(VLOOKUP($A86,LASTYR,'2017'!$L$3,FALSE),"N/A")</f>
        <v>8.3977828822530718</v>
      </c>
      <c r="I86" s="63">
        <f t="shared" ca="1" si="40"/>
        <v>8.5698913043478271</v>
      </c>
      <c r="J86" s="63">
        <f t="shared" ca="1" si="40"/>
        <v>7.9461702127659573</v>
      </c>
      <c r="K86" s="63">
        <f t="shared" ca="1" si="40"/>
        <v>8.1206366630076836</v>
      </c>
      <c r="L86" s="63">
        <f t="shared" ca="1" si="40"/>
        <v>8.1148632858144438</v>
      </c>
      <c r="M86" s="63">
        <f t="shared" ca="1" si="40"/>
        <v>9.5307443365695796</v>
      </c>
      <c r="N86" s="63">
        <f t="shared" ca="1" si="40"/>
        <v>6.5644009216589865</v>
      </c>
      <c r="O86" s="63">
        <f t="shared" ca="1" si="40"/>
        <v>6.0090737685599809</v>
      </c>
      <c r="P86" s="63">
        <f t="shared" ca="1" si="40"/>
        <v>5.9555408970976256</v>
      </c>
      <c r="Q86" s="63">
        <f t="shared" ca="1" si="40"/>
        <v>7.1315538608198281</v>
      </c>
      <c r="R86" s="63">
        <f t="shared" ca="1" si="40"/>
        <v>7.1623288516097201</v>
      </c>
      <c r="S86" s="63" t="str">
        <f t="shared" ca="1" si="40"/>
        <v>N/A</v>
      </c>
      <c r="T86" s="63" t="str">
        <f t="shared" ca="1" si="40"/>
        <v>N/A</v>
      </c>
      <c r="U86" s="63" t="str">
        <f t="shared" ca="1" si="40"/>
        <v>N/A</v>
      </c>
      <c r="V86" s="63" t="str">
        <f t="shared" ca="1" si="40"/>
        <v>N/A</v>
      </c>
      <c r="W86" s="63" t="str">
        <f t="shared" ca="1" si="40"/>
        <v>N/A</v>
      </c>
    </row>
    <row r="87" spans="1:23" x14ac:dyDescent="0.2">
      <c r="A87" s="51" t="str">
        <f t="shared" si="36"/>
        <v>EIX</v>
      </c>
      <c r="B87" s="46">
        <f t="shared" ca="1" si="37"/>
        <v>25</v>
      </c>
      <c r="C87" s="1">
        <f>IF(ISERROR(D87),"",IF(D87="","",MAX($C$72:C86)+1))</f>
        <v>14</v>
      </c>
      <c r="D87" t="str">
        <f t="shared" si="38"/>
        <v xml:space="preserve">Edison Int'l                  </v>
      </c>
      <c r="E87" s="22"/>
      <c r="F87" s="63">
        <f t="shared" ca="1" si="41"/>
        <v>5.3056924282094222</v>
      </c>
      <c r="G87" s="63">
        <f t="shared" si="39"/>
        <v>5.7155555555555555</v>
      </c>
      <c r="H87" s="63">
        <f ca="1">IFERROR(VLOOKUP($A87,LASTYR,'2017'!$L$3,FALSE),"N/A")</f>
        <v>7.0462333423986943</v>
      </c>
      <c r="I87" s="63">
        <f t="shared" ca="1" si="40"/>
        <v>6.7719163629388071</v>
      </c>
      <c r="J87" s="63">
        <f t="shared" ca="1" si="40"/>
        <v>5.9209661835748788</v>
      </c>
      <c r="K87" s="63">
        <f t="shared" ca="1" si="40"/>
        <v>5.6784242789669381</v>
      </c>
      <c r="L87" s="63">
        <f t="shared" ca="1" si="40"/>
        <v>5.4568602932817996</v>
      </c>
      <c r="M87" s="63">
        <f t="shared" ca="1" si="40"/>
        <v>4.5871416701287906</v>
      </c>
      <c r="N87" s="63">
        <f t="shared" ca="1" si="40"/>
        <v>4.22358803986711</v>
      </c>
      <c r="O87" s="63">
        <f t="shared" ca="1" si="40"/>
        <v>4.1089979793177225</v>
      </c>
      <c r="P87" s="63">
        <f t="shared" ca="1" si="40"/>
        <v>3.9531701192718138</v>
      </c>
      <c r="Q87" s="63">
        <f t="shared" ca="1" si="40"/>
        <v>5.6253092528451267</v>
      </c>
      <c r="R87" s="63">
        <f t="shared" ca="1" si="40"/>
        <v>7.0055292259083721</v>
      </c>
      <c r="S87" s="63">
        <f t="shared" ca="1" si="40"/>
        <v>5.873293809458155</v>
      </c>
      <c r="T87" s="63">
        <f t="shared" ca="1" si="40"/>
        <v>5.6129401660463794</v>
      </c>
      <c r="U87" s="63">
        <f t="shared" ca="1" si="40"/>
        <v>6.8365840000000002</v>
      </c>
      <c r="V87" s="63">
        <f t="shared" ca="1" si="40"/>
        <v>2.8197589999999999</v>
      </c>
      <c r="W87" s="63">
        <f t="shared" ca="1" si="40"/>
        <v>2.960502</v>
      </c>
    </row>
    <row r="88" spans="1:23" x14ac:dyDescent="0.2">
      <c r="A88" s="51" t="str">
        <f t="shared" si="36"/>
        <v>EE</v>
      </c>
      <c r="B88" s="46">
        <f t="shared" ca="1" si="37"/>
        <v>26</v>
      </c>
      <c r="C88" s="1">
        <f>IF(ISERROR(D88),"",IF(D88="","",MAX($C$72:C87)+1))</f>
        <v>15</v>
      </c>
      <c r="D88" t="str">
        <f t="shared" si="38"/>
        <v xml:space="preserve">El Paso Electric              </v>
      </c>
      <c r="E88" s="22"/>
      <c r="F88" s="63">
        <f t="shared" ca="1" si="41"/>
        <v>5.8930044422213914</v>
      </c>
      <c r="G88" s="63">
        <f t="shared" si="39"/>
        <v>8.720930232558139</v>
      </c>
      <c r="H88" s="63">
        <f ca="1">IFERROR(VLOOKUP($A88,LASTYR,'2017'!$L$3,FALSE),"N/A")</f>
        <v>8.5396079701927761</v>
      </c>
      <c r="I88" s="63">
        <f t="shared" ca="1" si="40"/>
        <v>7.4615127175368148</v>
      </c>
      <c r="J88" s="63">
        <f t="shared" ca="1" si="40"/>
        <v>6.4707826086956519</v>
      </c>
      <c r="K88" s="63">
        <f t="shared" ca="1" si="40"/>
        <v>6.3323684658607178</v>
      </c>
      <c r="L88" s="63">
        <f t="shared" ca="1" si="40"/>
        <v>6.1883082373782115</v>
      </c>
      <c r="M88" s="63">
        <f t="shared" ca="1" si="40"/>
        <v>5.77813107224872</v>
      </c>
      <c r="N88" s="63">
        <f t="shared" ca="1" si="40"/>
        <v>5.1629752066115708</v>
      </c>
      <c r="O88" s="63">
        <f t="shared" ca="1" si="40"/>
        <v>4.3062293809431402</v>
      </c>
      <c r="P88" s="63">
        <f t="shared" ca="1" si="40"/>
        <v>3.9808212441603148</v>
      </c>
      <c r="Q88" s="63">
        <f t="shared" ca="1" si="40"/>
        <v>4.9475835537388804</v>
      </c>
      <c r="R88" s="63">
        <f t="shared" ca="1" si="40"/>
        <v>6.4357050452781364</v>
      </c>
      <c r="S88" s="63">
        <f t="shared" ca="1" si="40"/>
        <v>6.2486187845303869</v>
      </c>
      <c r="T88" s="63">
        <f t="shared" ca="1" si="40"/>
        <v>6.6677609980302037</v>
      </c>
      <c r="U88" s="63">
        <f t="shared" ca="1" si="40"/>
        <v>4.6549300000000002</v>
      </c>
      <c r="V88" s="63">
        <f t="shared" ca="1" si="40"/>
        <v>3.8985989999999999</v>
      </c>
      <c r="W88" s="63">
        <f t="shared" ca="1" si="40"/>
        <v>4.3862110000000003</v>
      </c>
    </row>
    <row r="89" spans="1:23" x14ac:dyDescent="0.2">
      <c r="A89" s="51" t="str">
        <f t="shared" si="36"/>
        <v>ETR</v>
      </c>
      <c r="B89" s="46">
        <f t="shared" ca="1" si="37"/>
        <v>28</v>
      </c>
      <c r="C89" s="1">
        <f>IF(ISERROR(D89),"",IF(D89="","",MAX($C$72:C88)+1))</f>
        <v>16</v>
      </c>
      <c r="D89" t="str">
        <f t="shared" si="38"/>
        <v xml:space="preserve">Entergy Corp.                 </v>
      </c>
      <c r="E89" s="22"/>
      <c r="F89" s="63">
        <f t="shared" ca="1" si="41"/>
        <v>5.7115798438820651</v>
      </c>
      <c r="G89" s="63">
        <f t="shared" si="39"/>
        <v>4.9783950617283956</v>
      </c>
      <c r="H89" s="63">
        <f ca="1">IFERROR(VLOOKUP($A89,LASTYR,'2017'!$L$3,FALSE),"N/A")</f>
        <v>4.6631547440885965</v>
      </c>
      <c r="I89" s="63">
        <f t="shared" ca="1" si="40"/>
        <v>4.0131916257209994</v>
      </c>
      <c r="J89" s="63">
        <f t="shared" ca="1" si="40"/>
        <v>4.1113181972212809</v>
      </c>
      <c r="K89" s="63">
        <f t="shared" ca="1" si="40"/>
        <v>4.2062683865127859</v>
      </c>
      <c r="L89" s="63">
        <f t="shared" ca="1" si="40"/>
        <v>4.0342238089375853</v>
      </c>
      <c r="M89" s="63">
        <f t="shared" ca="1" si="40"/>
        <v>4.2285499718380377</v>
      </c>
      <c r="N89" s="63">
        <f t="shared" ca="1" si="40"/>
        <v>3.9024070271503537</v>
      </c>
      <c r="O89" s="63">
        <f t="shared" ca="1" si="40"/>
        <v>4.6604172966434838</v>
      </c>
      <c r="P89" s="63">
        <f t="shared" ca="1" si="40"/>
        <v>5.6803883202889818</v>
      </c>
      <c r="Q89" s="63">
        <f t="shared" ca="1" si="40"/>
        <v>7.963460046547711</v>
      </c>
      <c r="R89" s="63">
        <f t="shared" ca="1" si="40"/>
        <v>9.2136890555744984</v>
      </c>
      <c r="S89" s="63">
        <f t="shared" ca="1" si="40"/>
        <v>7.1561769381838589</v>
      </c>
      <c r="T89" s="63">
        <f t="shared" ca="1" si="40"/>
        <v>8.756049865558543</v>
      </c>
      <c r="U89" s="63">
        <f t="shared" ca="1" si="40"/>
        <v>7.1220420000000004</v>
      </c>
      <c r="V89" s="63">
        <f t="shared" ca="1" si="40"/>
        <v>6.8374600000000001</v>
      </c>
      <c r="W89" s="63">
        <f t="shared" ca="1" si="40"/>
        <v>5.5696649999999996</v>
      </c>
    </row>
    <row r="90" spans="1:23" x14ac:dyDescent="0.2">
      <c r="A90" s="51" t="str">
        <f t="shared" si="36"/>
        <v>ES</v>
      </c>
      <c r="B90" s="46">
        <f t="shared" ca="1" si="37"/>
        <v>29</v>
      </c>
      <c r="C90" s="1">
        <f>IF(ISERROR(D90),"",IF(D90="","",MAX($C$72:C89)+1))</f>
        <v>17</v>
      </c>
      <c r="D90" t="str">
        <f t="shared" si="38"/>
        <v xml:space="preserve">Eversource Energy    </v>
      </c>
      <c r="E90" s="22"/>
      <c r="F90" s="63">
        <f t="shared" ca="1" si="41"/>
        <v>6.6414360206610015</v>
      </c>
      <c r="G90" s="63">
        <f t="shared" si="39"/>
        <v>8.9469696969696972</v>
      </c>
      <c r="H90" s="63">
        <f ca="1">IFERROR(VLOOKUP($A90,LASTYR,'2017'!$L$3,FALSE),"N/A")</f>
        <v>10.358829568788501</v>
      </c>
      <c r="I90" s="63">
        <f t="shared" ref="I90:S109" ca="1" si="42">IFERROR(IF(INDEX(MP_CF_WP,$B90,I$73)=0,"N/A",INDEX(MP_CF_WP,$B90,I$73)),"N/A")</f>
        <v>10.136863319897397</v>
      </c>
      <c r="J90" s="63">
        <f t="shared" ca="1" si="42"/>
        <v>10.12006479044341</v>
      </c>
      <c r="K90" s="63">
        <f t="shared" ca="1" si="42"/>
        <v>10.143264589732338</v>
      </c>
      <c r="L90" s="63">
        <f t="shared" ca="1" si="42"/>
        <v>8.0810344827586214</v>
      </c>
      <c r="M90" s="63">
        <f t="shared" ca="1" si="42"/>
        <v>9.3024293505205762</v>
      </c>
      <c r="N90" s="63">
        <f t="shared" ca="1" si="42"/>
        <v>6.9887202625102534</v>
      </c>
      <c r="O90" s="63">
        <f t="shared" ca="1" si="42"/>
        <v>4.9663495419309376</v>
      </c>
      <c r="P90" s="63">
        <f t="shared" ca="1" si="42"/>
        <v>4.6065739060294417</v>
      </c>
      <c r="Q90" s="63">
        <f t="shared" ca="1" si="42"/>
        <v>4.1233165666071718</v>
      </c>
      <c r="R90" s="63">
        <f t="shared" ca="1" si="42"/>
        <v>6.1838174273858924</v>
      </c>
      <c r="S90" s="63">
        <f t="shared" ca="1" si="42"/>
        <v>6.0159934941718625</v>
      </c>
      <c r="T90" s="63">
        <f t="shared" ref="T90:W106" ca="1" si="43">IFERROR(IF(INDEX(MP_CF_WP,$B90,T$73)=0,"N/A",INDEX(MP_CF_WP,$B90,T$73)),"N/A")</f>
        <v>3.5481033534909288</v>
      </c>
      <c r="U90" s="63">
        <f t="shared" ca="1" si="43"/>
        <v>3.782826</v>
      </c>
      <c r="V90" s="63">
        <f t="shared" ca="1" si="43"/>
        <v>2.852541</v>
      </c>
      <c r="W90" s="63">
        <f t="shared" ca="1" si="43"/>
        <v>2.746715</v>
      </c>
    </row>
    <row r="91" spans="1:23" x14ac:dyDescent="0.2">
      <c r="A91" s="51" t="s">
        <v>487</v>
      </c>
      <c r="B91" s="46" t="str">
        <f t="shared" ref="B91:B92" ca="1" si="44">IFERROR(MATCH(A91,OFFSET(MP_CF_WP,0,0,,1),0),"")</f>
        <v/>
      </c>
      <c r="C91" s="1">
        <f>IF(ISERROR(D91),"",IF(D91="","",MAX($C$72:C90)+1))</f>
        <v>18</v>
      </c>
      <c r="D91" t="s">
        <v>488</v>
      </c>
      <c r="E91" s="22"/>
      <c r="F91" s="63">
        <f t="shared" ref="F91" ca="1" si="45">IFERROR(AVERAGE(G91:W91),"N/A")</f>
        <v>11.914893617021276</v>
      </c>
      <c r="G91" s="63">
        <f t="shared" ref="G91" si="46">IFERROR(IF(VLOOKUP(A91,LUCurYr,17,FALSE)=0,"",VLOOKUP(A91,LUCurYr,17,FALSE)),"N/A")</f>
        <v>11.914893617021276</v>
      </c>
      <c r="H91" s="63" t="str">
        <f ca="1">IFERROR(VLOOKUP($A91,LASTYR,'2017'!$L$3,FALSE),"N/A")</f>
        <v>N/A</v>
      </c>
      <c r="I91" s="63" t="str">
        <f t="shared" ca="1" si="42"/>
        <v>N/A</v>
      </c>
      <c r="J91" s="63" t="str">
        <f t="shared" ca="1" si="42"/>
        <v>N/A</v>
      </c>
      <c r="K91" s="63" t="str">
        <f t="shared" ca="1" si="42"/>
        <v>N/A</v>
      </c>
      <c r="L91" s="63" t="str">
        <f t="shared" ca="1" si="42"/>
        <v>N/A</v>
      </c>
      <c r="M91" s="63" t="str">
        <f t="shared" ca="1" si="42"/>
        <v>N/A</v>
      </c>
      <c r="N91" s="63" t="str">
        <f t="shared" ca="1" si="42"/>
        <v>N/A</v>
      </c>
      <c r="O91" s="63" t="str">
        <f t="shared" ca="1" si="42"/>
        <v>N/A</v>
      </c>
      <c r="P91" s="63" t="str">
        <f t="shared" ca="1" si="42"/>
        <v>N/A</v>
      </c>
      <c r="Q91" s="63" t="str">
        <f t="shared" ca="1" si="42"/>
        <v>N/A</v>
      </c>
      <c r="R91" s="63" t="str">
        <f t="shared" ca="1" si="42"/>
        <v>N/A</v>
      </c>
      <c r="S91" s="63" t="str">
        <f t="shared" ca="1" si="42"/>
        <v>N/A</v>
      </c>
      <c r="T91" s="63" t="str">
        <f t="shared" ca="1" si="43"/>
        <v>N/A</v>
      </c>
      <c r="U91" s="63" t="str">
        <f t="shared" ca="1" si="43"/>
        <v>N/A</v>
      </c>
      <c r="V91" s="63" t="str">
        <f t="shared" ca="1" si="43"/>
        <v>N/A</v>
      </c>
      <c r="W91" s="63" t="str">
        <f t="shared" ca="1" si="43"/>
        <v>N/A</v>
      </c>
    </row>
    <row r="92" spans="1:23" x14ac:dyDescent="0.2">
      <c r="A92" s="51" t="str">
        <f t="shared" ref="A92:A119" si="47">A32</f>
        <v>EXC</v>
      </c>
      <c r="B92" s="46">
        <f t="shared" ca="1" si="44"/>
        <v>30</v>
      </c>
      <c r="C92" s="1">
        <f>IF(ISERROR(D92),"",IF(D92="","",MAX($C$72:C91)+1))</f>
        <v>19</v>
      </c>
      <c r="D92" t="str">
        <f t="shared" ref="D92:D119" si="48">D32</f>
        <v xml:space="preserve">Exelon Corp.                  </v>
      </c>
      <c r="E92" s="22"/>
      <c r="F92" s="63">
        <f t="shared" ca="1" si="41"/>
        <v>6.105630465881509</v>
      </c>
      <c r="G92" s="63">
        <f t="shared" si="39"/>
        <v>4.5593220338983054</v>
      </c>
      <c r="H92" s="63">
        <f ca="1">IFERROR(VLOOKUP($A92,LASTYR,'2017'!$L$3,FALSE),"N/A")</f>
        <v>4.4541218637992834</v>
      </c>
      <c r="I92" s="63">
        <f t="shared" ca="1" si="42"/>
        <v>4.8002855103497497</v>
      </c>
      <c r="J92" s="63">
        <f t="shared" ca="1" si="42"/>
        <v>4.6968092927510661</v>
      </c>
      <c r="K92" s="63">
        <f t="shared" ca="1" si="42"/>
        <v>5.0912668382019071</v>
      </c>
      <c r="L92" s="63">
        <f t="shared" ca="1" si="42"/>
        <v>4.6141263940520449</v>
      </c>
      <c r="M92" s="63">
        <f t="shared" ca="1" si="42"/>
        <v>5.5449591280653951</v>
      </c>
      <c r="N92" s="63">
        <f t="shared" ca="1" si="42"/>
        <v>5.858446226154272</v>
      </c>
      <c r="O92" s="63">
        <f t="shared" ca="1" si="42"/>
        <v>5.1031373963216735</v>
      </c>
      <c r="P92" s="63">
        <f t="shared" ca="1" si="42"/>
        <v>5.9759912695525648</v>
      </c>
      <c r="Q92" s="63">
        <f t="shared" ca="1" si="42"/>
        <v>9.6510805500982322</v>
      </c>
      <c r="R92" s="63">
        <f t="shared" ca="1" si="42"/>
        <v>9.8861066235864303</v>
      </c>
      <c r="S92" s="63">
        <f t="shared" ca="1" si="42"/>
        <v>8.615040953090098</v>
      </c>
      <c r="T92" s="63">
        <f t="shared" ca="1" si="43"/>
        <v>7.9709208400646201</v>
      </c>
      <c r="U92" s="63">
        <f t="shared" ca="1" si="43"/>
        <v>6.2868700000000004</v>
      </c>
      <c r="V92" s="63">
        <f t="shared" ca="1" si="43"/>
        <v>5.7122630000000001</v>
      </c>
      <c r="W92" s="63">
        <f t="shared" ca="1" si="43"/>
        <v>4.9749699999999999</v>
      </c>
    </row>
    <row r="93" spans="1:23" x14ac:dyDescent="0.2">
      <c r="A93" s="51" t="str">
        <f t="shared" si="47"/>
        <v>FE</v>
      </c>
      <c r="B93" s="46">
        <f t="shared" ref="B93:B119" ca="1" si="49">IFERROR(MATCH(A93,OFFSET(MP_CF_WP,0,0,,1),0),"")</f>
        <v>31</v>
      </c>
      <c r="C93" s="1">
        <f>IF(ISERROR(D93),"",IF(D93="","",MAX($C$72:C92)+1))</f>
        <v>20</v>
      </c>
      <c r="D93" t="str">
        <f t="shared" si="48"/>
        <v xml:space="preserve">FirstEnergy Corp.             </v>
      </c>
      <c r="E93" s="22"/>
      <c r="F93" s="63">
        <f t="shared" ca="1" si="41"/>
        <v>6.3493581480426915</v>
      </c>
      <c r="G93" s="63">
        <f t="shared" si="39"/>
        <v>8.7564102564102555</v>
      </c>
      <c r="H93" s="63">
        <f ca="1">IFERROR(VLOOKUP($A93,LASTYR,'2017'!$L$3,FALSE),"N/A")</f>
        <v>4.7616572389542879</v>
      </c>
      <c r="I93" s="63">
        <f t="shared" ca="1" si="42"/>
        <v>5.1169805542795892</v>
      </c>
      <c r="J93" s="63">
        <f t="shared" ca="1" si="42"/>
        <v>5.3809072230124864</v>
      </c>
      <c r="K93" s="63">
        <f t="shared" ca="1" si="42"/>
        <v>7.4331868131868131</v>
      </c>
      <c r="L93" s="63">
        <f t="shared" ca="1" si="42"/>
        <v>6.1523325928276735</v>
      </c>
      <c r="M93" s="63">
        <f t="shared" ca="1" si="42"/>
        <v>7.4218698381235546</v>
      </c>
      <c r="N93" s="63">
        <f t="shared" ca="1" si="42"/>
        <v>7.3257918552036196</v>
      </c>
      <c r="O93" s="63">
        <f t="shared" ca="1" si="42"/>
        <v>4.4901799364930026</v>
      </c>
      <c r="P93" s="63">
        <f t="shared" ca="1" si="42"/>
        <v>4.9147533530347811</v>
      </c>
      <c r="Q93" s="63">
        <f t="shared" ca="1" si="42"/>
        <v>7.5785864395531464</v>
      </c>
      <c r="R93" s="63">
        <f t="shared" ca="1" si="42"/>
        <v>7.8850395588587867</v>
      </c>
      <c r="S93" s="63">
        <f t="shared" ca="1" si="42"/>
        <v>7.5272122974657245</v>
      </c>
      <c r="T93" s="63">
        <f t="shared" ca="1" si="43"/>
        <v>6.0413135593220346</v>
      </c>
      <c r="U93" s="63">
        <f t="shared" ca="1" si="43"/>
        <v>5.149756</v>
      </c>
      <c r="V93" s="63">
        <f t="shared" ca="1" si="43"/>
        <v>6.8987049999999996</v>
      </c>
      <c r="W93" s="63">
        <f t="shared" ca="1" si="43"/>
        <v>5.104406</v>
      </c>
    </row>
    <row r="94" spans="1:23" x14ac:dyDescent="0.2">
      <c r="A94" s="51" t="str">
        <f t="shared" si="47"/>
        <v>FTS.TO</v>
      </c>
      <c r="B94" s="46">
        <f t="shared" ca="1" si="49"/>
        <v>32</v>
      </c>
      <c r="C94" s="1">
        <f>IF(ISERROR(D94),"",IF(D94="","",MAX($C$72:C93)+1))</f>
        <v>21</v>
      </c>
      <c r="D94" t="str">
        <f t="shared" si="48"/>
        <v>Fortis Inc.</v>
      </c>
      <c r="E94" s="22"/>
      <c r="F94" s="63">
        <f t="shared" ca="1" si="41"/>
        <v>8.1845218133787832</v>
      </c>
      <c r="G94" s="63">
        <f t="shared" si="39"/>
        <v>7.9541284403669712</v>
      </c>
      <c r="H94" s="63">
        <f ca="1">IFERROR(VLOOKUP($A94,LASTYR,'2017'!$L$3,FALSE),"N/A")</f>
        <v>8.2302595251242412</v>
      </c>
      <c r="I94" s="63">
        <f t="shared" ca="1" si="42"/>
        <v>10.455569782330347</v>
      </c>
      <c r="J94" s="63">
        <f t="shared" ca="1" si="42"/>
        <v>7.2851937092443411</v>
      </c>
      <c r="K94" s="63">
        <f t="shared" ca="1" si="42"/>
        <v>9.2506210322936795</v>
      </c>
      <c r="L94" s="63">
        <f t="shared" ca="1" si="42"/>
        <v>7.9295980511571251</v>
      </c>
      <c r="M94" s="63">
        <f t="shared" ca="1" si="42"/>
        <v>8.0921277114306598</v>
      </c>
      <c r="N94" s="63">
        <f t="shared" ca="1" si="42"/>
        <v>8.3779144248014337</v>
      </c>
      <c r="O94" s="63">
        <f t="shared" ca="1" si="42"/>
        <v>7.4047678795483058</v>
      </c>
      <c r="P94" s="63">
        <f t="shared" ca="1" si="42"/>
        <v>6.7606019151846795</v>
      </c>
      <c r="Q94" s="63">
        <f t="shared" ca="1" si="42"/>
        <v>7.5814550641940093</v>
      </c>
      <c r="R94" s="63">
        <f t="shared" ca="1" si="42"/>
        <v>9.183935200809989</v>
      </c>
      <c r="S94" s="63">
        <f t="shared" ca="1" si="42"/>
        <v>7.8926108374384238</v>
      </c>
      <c r="T94" s="63" t="str">
        <f t="shared" ca="1" si="43"/>
        <v>N/A</v>
      </c>
      <c r="U94" s="63" t="str">
        <f t="shared" ca="1" si="43"/>
        <v>N/A</v>
      </c>
      <c r="V94" s="63" t="str">
        <f t="shared" ca="1" si="43"/>
        <v>N/A</v>
      </c>
      <c r="W94" s="63" t="str">
        <f t="shared" ca="1" si="43"/>
        <v>N/A</v>
      </c>
    </row>
    <row r="95" spans="1:23" x14ac:dyDescent="0.2">
      <c r="A95" s="51" t="str">
        <f t="shared" si="47"/>
        <v>GXP</v>
      </c>
      <c r="B95" s="46">
        <f t="shared" ca="1" si="49"/>
        <v>34</v>
      </c>
      <c r="C95" s="1">
        <f>IF(ISERROR(D95),"",IF(D95="","",MAX($C$72:C94)+1))</f>
        <v>22</v>
      </c>
      <c r="D95" t="str">
        <f t="shared" si="48"/>
        <v xml:space="preserve">Great Plains Energy             </v>
      </c>
      <c r="E95" s="22"/>
      <c r="F95" s="63">
        <f t="shared" ca="1" si="41"/>
        <v>6.8909699841154586</v>
      </c>
      <c r="G95" s="63" t="str">
        <f t="shared" si="39"/>
        <v>N/A</v>
      </c>
      <c r="H95" s="63">
        <f ca="1">IFERROR(VLOOKUP($A95,LASTYR,'2017'!$L$3,FALSE),"N/A")</f>
        <v>14.61904761904762</v>
      </c>
      <c r="I95" s="63">
        <f t="shared" ca="1" si="42"/>
        <v>8.628614008941879</v>
      </c>
      <c r="J95" s="63">
        <f t="shared" ca="1" si="42"/>
        <v>6.66273229532898</v>
      </c>
      <c r="K95" s="63">
        <f t="shared" ca="1" si="42"/>
        <v>6.4499875280618602</v>
      </c>
      <c r="L95" s="63">
        <f t="shared" ca="1" si="42"/>
        <v>5.7326016462958336</v>
      </c>
      <c r="M95" s="63">
        <f t="shared" ca="1" si="42"/>
        <v>6.087373004354137</v>
      </c>
      <c r="N95" s="63">
        <f t="shared" ca="1" si="42"/>
        <v>5.7353276353276357</v>
      </c>
      <c r="O95" s="63">
        <f t="shared" ca="1" si="42"/>
        <v>4.491504854368932</v>
      </c>
      <c r="P95" s="63">
        <f t="shared" ca="1" si="42"/>
        <v>5.0578866768759569</v>
      </c>
      <c r="Q95" s="63">
        <f t="shared" ca="1" si="42"/>
        <v>7.7057872615583571</v>
      </c>
      <c r="R95" s="63">
        <f t="shared" ca="1" si="42"/>
        <v>7.132783018867924</v>
      </c>
      <c r="S95" s="63">
        <f t="shared" ca="1" si="42"/>
        <v>7.6797927461139892</v>
      </c>
      <c r="T95" s="63">
        <f t="shared" ca="1" si="43"/>
        <v>6.6982834507042259</v>
      </c>
      <c r="U95" s="63">
        <f t="shared" ca="1" si="43"/>
        <v>6.5216839999999996</v>
      </c>
      <c r="V95" s="63">
        <f t="shared" ca="1" si="43"/>
        <v>5.9151930000000004</v>
      </c>
      <c r="W95" s="63">
        <f t="shared" ca="1" si="43"/>
        <v>5.1369210000000001</v>
      </c>
    </row>
    <row r="96" spans="1:23" x14ac:dyDescent="0.2">
      <c r="A96" s="51" t="str">
        <f t="shared" si="47"/>
        <v>HE</v>
      </c>
      <c r="B96" s="46">
        <f t="shared" ca="1" si="49"/>
        <v>35</v>
      </c>
      <c r="C96" s="1">
        <f>IF(ISERROR(D96),"",IF(D96="","",MAX($C$72:C95)+1))</f>
        <v>23</v>
      </c>
      <c r="D96" t="str">
        <f t="shared" si="48"/>
        <v xml:space="preserve">Hawaiian Elec.                </v>
      </c>
      <c r="E96" s="22"/>
      <c r="F96" s="63">
        <f t="shared" ca="1" si="41"/>
        <v>7.9605148815432525</v>
      </c>
      <c r="G96" s="63">
        <f t="shared" si="39"/>
        <v>8.5124999999999993</v>
      </c>
      <c r="H96" s="63">
        <f ca="1">IFERROR(VLOOKUP($A96,LASTYR,'2017'!$L$3,FALSE),"N/A")</f>
        <v>9.2144990496877544</v>
      </c>
      <c r="I96" s="63">
        <f t="shared" ca="1" si="42"/>
        <v>7.441035474592522</v>
      </c>
      <c r="J96" s="63">
        <f t="shared" ca="1" si="42"/>
        <v>9.2515114873035067</v>
      </c>
      <c r="K96" s="63">
        <f t="shared" ca="1" si="42"/>
        <v>7.6423122065727709</v>
      </c>
      <c r="L96" s="63">
        <f t="shared" ca="1" si="42"/>
        <v>8.1517690875232773</v>
      </c>
      <c r="M96" s="63">
        <f t="shared" ca="1" si="42"/>
        <v>8.0463132236441197</v>
      </c>
      <c r="N96" s="63">
        <f t="shared" ca="1" si="42"/>
        <v>7.731385485391141</v>
      </c>
      <c r="O96" s="63">
        <f t="shared" ca="1" si="42"/>
        <v>7.8093750000000002</v>
      </c>
      <c r="P96" s="63">
        <f t="shared" ca="1" si="42"/>
        <v>6.9490544191431871</v>
      </c>
      <c r="Q96" s="63">
        <f t="shared" ca="1" si="42"/>
        <v>9.104335047759001</v>
      </c>
      <c r="R96" s="63">
        <f t="shared" ca="1" si="42"/>
        <v>7.945255474452555</v>
      </c>
      <c r="S96" s="63">
        <f t="shared" ca="1" si="42"/>
        <v>8.473205891570041</v>
      </c>
      <c r="T96" s="63">
        <f t="shared" ca="1" si="43"/>
        <v>8.290553138595401</v>
      </c>
      <c r="U96" s="63">
        <f t="shared" ca="1" si="43"/>
        <v>8.4448039999999995</v>
      </c>
      <c r="V96" s="63">
        <f t="shared" ca="1" si="43"/>
        <v>6.1214690000000003</v>
      </c>
      <c r="W96" s="63">
        <f t="shared" ca="1" si="43"/>
        <v>6.1993749999999999</v>
      </c>
    </row>
    <row r="97" spans="1:23" x14ac:dyDescent="0.2">
      <c r="A97" s="51" t="str">
        <f t="shared" si="47"/>
        <v>IDA</v>
      </c>
      <c r="B97" s="46">
        <f t="shared" ca="1" si="49"/>
        <v>36</v>
      </c>
      <c r="C97" s="1">
        <f>IF(ISERROR(D97),"",IF(D97="","",MAX($C$72:C96)+1))</f>
        <v>24</v>
      </c>
      <c r="D97" t="str">
        <f t="shared" si="48"/>
        <v xml:space="preserve">IDACORP, Inc.                 </v>
      </c>
      <c r="E97" s="22"/>
      <c r="F97" s="63">
        <f t="shared" ca="1" si="41"/>
        <v>8.1145462993542754</v>
      </c>
      <c r="G97" s="63">
        <f t="shared" si="39"/>
        <v>11.634615384615385</v>
      </c>
      <c r="H97" s="63">
        <f ca="1">IFERROR(VLOOKUP($A97,LASTYR,'2017'!$L$3,FALSE),"N/A")</f>
        <v>11.557702558635395</v>
      </c>
      <c r="I97" s="63">
        <f t="shared" ca="1" si="42"/>
        <v>10.952019833746537</v>
      </c>
      <c r="J97" s="63">
        <f t="shared" ca="1" si="42"/>
        <v>9.3677611940298515</v>
      </c>
      <c r="K97" s="63">
        <f t="shared" ca="1" si="42"/>
        <v>8.5856143552311437</v>
      </c>
      <c r="L97" s="63">
        <f t="shared" ca="1" si="42"/>
        <v>7.7771247021445591</v>
      </c>
      <c r="M97" s="63">
        <f t="shared" ca="1" si="42"/>
        <v>7.0498988536749829</v>
      </c>
      <c r="N97" s="63">
        <f t="shared" ca="1" si="42"/>
        <v>6.6411925976696367</v>
      </c>
      <c r="O97" s="63">
        <f t="shared" ca="1" si="42"/>
        <v>6.5214953271028042</v>
      </c>
      <c r="P97" s="63">
        <f t="shared" ca="1" si="42"/>
        <v>5.3067218608318543</v>
      </c>
      <c r="Q97" s="63">
        <f t="shared" ca="1" si="42"/>
        <v>7.104376316405336</v>
      </c>
      <c r="R97" s="63">
        <f t="shared" ca="1" si="42"/>
        <v>8.2275711159737419</v>
      </c>
      <c r="S97" s="63">
        <f t="shared" ca="1" si="42"/>
        <v>7.7289393278044525</v>
      </c>
      <c r="T97" s="63">
        <f t="shared" ca="1" si="43"/>
        <v>7.5475206611570247</v>
      </c>
      <c r="U97" s="63">
        <f t="shared" ca="1" si="43"/>
        <v>7.1459450000000002</v>
      </c>
      <c r="V97" s="63">
        <f t="shared" ca="1" si="43"/>
        <v>7.2654870000000003</v>
      </c>
      <c r="W97" s="63">
        <f t="shared" ca="1" si="43"/>
        <v>7.5333009999999998</v>
      </c>
    </row>
    <row r="98" spans="1:23" x14ac:dyDescent="0.2">
      <c r="A98" s="51" t="str">
        <f t="shared" si="47"/>
        <v>MGEE</v>
      </c>
      <c r="B98" s="46">
        <f t="shared" ca="1" si="49"/>
        <v>40</v>
      </c>
      <c r="C98" s="1">
        <f>IF(ISERROR(D98),"",IF(D98="","",MAX($C$72:C97)+1))</f>
        <v>25</v>
      </c>
      <c r="D98" t="str">
        <f t="shared" si="48"/>
        <v xml:space="preserve">MGE Energy                    </v>
      </c>
      <c r="E98" s="22"/>
      <c r="F98" s="63">
        <f t="shared" ca="1" si="41"/>
        <v>11.10349133658363</v>
      </c>
      <c r="G98" s="63">
        <f t="shared" si="39"/>
        <v>14.899999999999999</v>
      </c>
      <c r="H98" s="63">
        <f ca="1">IFERROR(VLOOKUP($A98,LASTYR,'2017'!$L$3,FALSE),"N/A")</f>
        <v>17.333870101986044</v>
      </c>
      <c r="I98" s="63">
        <f t="shared" ca="1" si="42"/>
        <v>15.659071243149697</v>
      </c>
      <c r="J98" s="63">
        <f t="shared" ca="1" si="42"/>
        <v>12.529994001199759</v>
      </c>
      <c r="K98" s="63">
        <f t="shared" ca="1" si="42"/>
        <v>11.424520194786595</v>
      </c>
      <c r="L98" s="63">
        <f t="shared" ca="1" si="42"/>
        <v>11.201158183480645</v>
      </c>
      <c r="M98" s="63">
        <f t="shared" ca="1" si="42"/>
        <v>10.772773109243698</v>
      </c>
      <c r="N98" s="63">
        <f t="shared" ca="1" si="42"/>
        <v>9.4788972089857033</v>
      </c>
      <c r="O98" s="63">
        <f t="shared" ca="1" si="42"/>
        <v>9.0492932221819498</v>
      </c>
      <c r="P98" s="63">
        <f t="shared" ca="1" si="42"/>
        <v>8.3960843373493983</v>
      </c>
      <c r="Q98" s="63">
        <f t="shared" ca="1" si="42"/>
        <v>8.4240388204553955</v>
      </c>
      <c r="R98" s="63">
        <f t="shared" ca="1" si="42"/>
        <v>9.2263307598537185</v>
      </c>
      <c r="S98" s="63">
        <f t="shared" ca="1" si="42"/>
        <v>9.3011945392491473</v>
      </c>
      <c r="T98" s="63">
        <f t="shared" ca="1" si="43"/>
        <v>11.727</v>
      </c>
      <c r="U98" s="63">
        <f t="shared" ca="1" si="43"/>
        <v>11.044409999999999</v>
      </c>
      <c r="V98" s="63">
        <f t="shared" ca="1" si="43"/>
        <v>10.19708</v>
      </c>
      <c r="W98" s="63">
        <f t="shared" ca="1" si="43"/>
        <v>8.0936369999999993</v>
      </c>
    </row>
    <row r="99" spans="1:23" x14ac:dyDescent="0.2">
      <c r="A99" s="51" t="str">
        <f t="shared" si="47"/>
        <v>NEE</v>
      </c>
      <c r="B99" s="46">
        <f t="shared" ca="1" si="49"/>
        <v>43</v>
      </c>
      <c r="C99" s="1">
        <f>IF(ISERROR(D99),"",IF(D99="","",MAX($C$72:C98)+1))</f>
        <v>26</v>
      </c>
      <c r="D99" t="str">
        <f t="shared" si="48"/>
        <v>NextEra Energy, Inc.</v>
      </c>
      <c r="E99" s="22"/>
      <c r="F99" s="63">
        <f t="shared" ca="1" si="41"/>
        <v>7.5365334863166238</v>
      </c>
      <c r="G99" s="63">
        <f t="shared" si="39"/>
        <v>10.729999999999999</v>
      </c>
      <c r="H99" s="63">
        <f ca="1">IFERROR(VLOOKUP($A99,LASTYR,'2017'!$L$3,FALSE),"N/A")</f>
        <v>11.621985464155928</v>
      </c>
      <c r="I99" s="63">
        <f t="shared" ca="1" si="42"/>
        <v>9.229915188897456</v>
      </c>
      <c r="J99" s="63">
        <f t="shared" ca="1" si="42"/>
        <v>7.9253754451153426</v>
      </c>
      <c r="K99" s="63">
        <f t="shared" ca="1" si="42"/>
        <v>7.9842174847132705</v>
      </c>
      <c r="L99" s="63">
        <f t="shared" ca="1" si="42"/>
        <v>7.5967160212604412</v>
      </c>
      <c r="M99" s="63">
        <f t="shared" ca="1" si="42"/>
        <v>7.5773658761224949</v>
      </c>
      <c r="N99" s="63">
        <f t="shared" ca="1" si="42"/>
        <v>5.9845011301259277</v>
      </c>
      <c r="O99" s="63">
        <f t="shared" ca="1" si="42"/>
        <v>5.33489242282507</v>
      </c>
      <c r="P99" s="63">
        <f t="shared" ca="1" si="42"/>
        <v>6.0868571428571423</v>
      </c>
      <c r="Q99" s="63">
        <f t="shared" ca="1" si="42"/>
        <v>7.3440069773236978</v>
      </c>
      <c r="R99" s="63">
        <f t="shared" ca="1" si="42"/>
        <v>9.0182428488032684</v>
      </c>
      <c r="S99" s="63">
        <f t="shared" ca="1" si="42"/>
        <v>6.5145516324420152</v>
      </c>
      <c r="T99" s="63">
        <f t="shared" ca="1" si="43"/>
        <v>6.7148405890920859</v>
      </c>
      <c r="U99" s="63">
        <f t="shared" ca="1" si="43"/>
        <v>6.7148405890920859</v>
      </c>
      <c r="V99" s="63">
        <f t="shared" ca="1" si="43"/>
        <v>5.9742903053026248</v>
      </c>
      <c r="W99" s="63">
        <f t="shared" ca="1" si="43"/>
        <v>5.7684701492537309</v>
      </c>
    </row>
    <row r="100" spans="1:23" x14ac:dyDescent="0.2">
      <c r="A100" s="51" t="str">
        <f t="shared" si="47"/>
        <v>NWE</v>
      </c>
      <c r="B100" s="46">
        <f t="shared" ca="1" si="49"/>
        <v>46</v>
      </c>
      <c r="C100" s="1">
        <f>IF(ISERROR(D100),"",IF(D100="","",MAX($C$72:C99)+1))</f>
        <v>27</v>
      </c>
      <c r="D100" t="str">
        <f t="shared" si="48"/>
        <v xml:space="preserve">NorthWestern Corp             </v>
      </c>
      <c r="E100" s="22"/>
      <c r="F100" s="63">
        <f t="shared" ca="1" si="41"/>
        <v>7.5689330547547344</v>
      </c>
      <c r="G100" s="63">
        <f t="shared" si="39"/>
        <v>8.0142857142857142</v>
      </c>
      <c r="H100" s="63">
        <f ca="1">IFERROR(VLOOKUP($A100,LASTYR,'2017'!$L$3,FALSE),"N/A")</f>
        <v>8.8209264466479205</v>
      </c>
      <c r="I100" s="63">
        <f t="shared" ca="1" si="42"/>
        <v>8.647914502003859</v>
      </c>
      <c r="J100" s="63">
        <f t="shared" ca="1" si="42"/>
        <v>8.9886900742741389</v>
      </c>
      <c r="K100" s="63">
        <f t="shared" ca="1" si="42"/>
        <v>9.0096510764662217</v>
      </c>
      <c r="L100" s="63">
        <f t="shared" ca="1" si="42"/>
        <v>7.607300073367572</v>
      </c>
      <c r="M100" s="63">
        <f t="shared" ca="1" si="42"/>
        <v>6.8546893091470471</v>
      </c>
      <c r="N100" s="63">
        <f t="shared" ca="1" si="42"/>
        <v>5.8909795240730487</v>
      </c>
      <c r="O100" s="63">
        <f t="shared" ca="1" si="42"/>
        <v>5.7926112510495376</v>
      </c>
      <c r="P100" s="63">
        <f t="shared" ca="1" si="42"/>
        <v>5.0469900389779117</v>
      </c>
      <c r="Q100" s="63">
        <f t="shared" ca="1" si="42"/>
        <v>5.5741539859186924</v>
      </c>
      <c r="R100" s="63">
        <f t="shared" ca="1" si="42"/>
        <v>8.4497840172786169</v>
      </c>
      <c r="S100" s="63">
        <f t="shared" ca="1" si="42"/>
        <v>9.3943078198397334</v>
      </c>
      <c r="T100" s="63">
        <f t="shared" ca="1" si="43"/>
        <v>7.3119839879909936</v>
      </c>
      <c r="U100" s="63">
        <f t="shared" ca="1" si="43"/>
        <v>8.1297280000000001</v>
      </c>
      <c r="V100" s="63" t="str">
        <f t="shared" ca="1" si="43"/>
        <v>N/A</v>
      </c>
      <c r="W100" s="63" t="str">
        <f t="shared" ca="1" si="43"/>
        <v>N/A</v>
      </c>
    </row>
    <row r="101" spans="1:23" x14ac:dyDescent="0.2">
      <c r="A101" s="51" t="str">
        <f t="shared" si="47"/>
        <v>OGE</v>
      </c>
      <c r="B101" s="46">
        <f t="shared" ca="1" si="49"/>
        <v>47</v>
      </c>
      <c r="C101" s="1">
        <f>IF(ISERROR(D101),"",IF(D101="","",MAX($C$72:C100)+1))</f>
        <v>28</v>
      </c>
      <c r="D101" t="str">
        <f t="shared" si="48"/>
        <v xml:space="preserve">OGE Energy                    </v>
      </c>
      <c r="E101" s="22"/>
      <c r="F101" s="63">
        <f t="shared" ca="1" si="41"/>
        <v>7.7611864122936423</v>
      </c>
      <c r="G101" s="63">
        <f t="shared" si="39"/>
        <v>9.4729729729729719</v>
      </c>
      <c r="H101" s="63">
        <f ca="1">IFERROR(VLOOKUP($A101,LASTYR,'2017'!$L$3,FALSE),"N/A")</f>
        <v>10.520334928229666</v>
      </c>
      <c r="I101" s="63">
        <f t="shared" ca="1" si="42"/>
        <v>9.0299184043517666</v>
      </c>
      <c r="J101" s="63">
        <f t="shared" ca="1" si="42"/>
        <v>9.2496905940594054</v>
      </c>
      <c r="K101" s="63">
        <f t="shared" ca="1" si="42"/>
        <v>10.649587750294463</v>
      </c>
      <c r="L101" s="63">
        <f t="shared" ca="1" si="42"/>
        <v>9.9288400347121772</v>
      </c>
      <c r="M101" s="63">
        <f t="shared" ca="1" si="42"/>
        <v>7.3460601137286758</v>
      </c>
      <c r="N101" s="63">
        <f t="shared" ca="1" si="42"/>
        <v>7.4802293993359488</v>
      </c>
      <c r="O101" s="63">
        <f t="shared" ca="1" si="42"/>
        <v>6.6104284290933242</v>
      </c>
      <c r="P101" s="63">
        <f t="shared" ca="1" si="42"/>
        <v>5.3664804469273744</v>
      </c>
      <c r="Q101" s="63">
        <f t="shared" ca="1" si="42"/>
        <v>6.4339858392336531</v>
      </c>
      <c r="R101" s="63">
        <f t="shared" ca="1" si="42"/>
        <v>7.5818713450292394</v>
      </c>
      <c r="S101" s="63">
        <f t="shared" ca="1" si="42"/>
        <v>7.498657117278424</v>
      </c>
      <c r="T101" s="63">
        <f t="shared" ca="1" si="43"/>
        <v>7.0365226337448563</v>
      </c>
      <c r="U101" s="63">
        <f t="shared" ca="1" si="43"/>
        <v>6.7290000000000001</v>
      </c>
      <c r="V101" s="63">
        <f t="shared" ca="1" si="43"/>
        <v>5.6171150000000001</v>
      </c>
      <c r="W101" s="63">
        <f t="shared" ca="1" si="43"/>
        <v>5.3884740000000004</v>
      </c>
    </row>
    <row r="102" spans="1:23" x14ac:dyDescent="0.2">
      <c r="A102" s="51" t="str">
        <f t="shared" si="47"/>
        <v>OTTR</v>
      </c>
      <c r="B102" s="46">
        <f t="shared" ca="1" si="49"/>
        <v>49</v>
      </c>
      <c r="C102" s="1">
        <f>IF(ISERROR(D102),"",IF(D102="","",MAX($C$72:C101)+1))</f>
        <v>29</v>
      </c>
      <c r="D102" t="str">
        <f t="shared" si="48"/>
        <v xml:space="preserve">Otter Tail Corp.              </v>
      </c>
      <c r="E102" s="22"/>
      <c r="F102" s="63">
        <f t="shared" ca="1" si="41"/>
        <v>9.1925980147412147</v>
      </c>
      <c r="G102" s="63">
        <f t="shared" si="39"/>
        <v>10.69879518072289</v>
      </c>
      <c r="H102" s="63">
        <f ca="1">IFERROR(VLOOKUP($A102,LASTYR,'2017'!$L$3,FALSE),"N/A")</f>
        <v>11.088084301540125</v>
      </c>
      <c r="I102" s="63">
        <f t="shared" ca="1" si="42"/>
        <v>9.3839674702294502</v>
      </c>
      <c r="J102" s="63">
        <f t="shared" ca="1" si="42"/>
        <v>9.0356460852959906</v>
      </c>
      <c r="K102" s="63">
        <f t="shared" ca="1" si="42"/>
        <v>9.4525736484299134</v>
      </c>
      <c r="L102" s="63">
        <f t="shared" ca="1" si="42"/>
        <v>9.5807947019867559</v>
      </c>
      <c r="M102" s="63">
        <f t="shared" ca="1" si="42"/>
        <v>8.430047988187523</v>
      </c>
      <c r="N102" s="63">
        <f t="shared" ca="1" si="42"/>
        <v>9.03849407783418</v>
      </c>
      <c r="O102" s="63">
        <f t="shared" ca="1" si="42"/>
        <v>8.0651001540832059</v>
      </c>
      <c r="P102" s="63">
        <f t="shared" ca="1" si="42"/>
        <v>8.0097755249818974</v>
      </c>
      <c r="Q102" s="63">
        <f t="shared" ca="1" si="42"/>
        <v>11.65457132692992</v>
      </c>
      <c r="R102" s="63">
        <f t="shared" ca="1" si="42"/>
        <v>9.5285674078243723</v>
      </c>
      <c r="S102" s="63">
        <f t="shared" ca="1" si="42"/>
        <v>8.6563330380868013</v>
      </c>
      <c r="T102" s="63">
        <f t="shared" ca="1" si="43"/>
        <v>8.1753653444676395</v>
      </c>
      <c r="U102" s="63">
        <f t="shared" ca="1" si="43"/>
        <v>9.0128249999999994</v>
      </c>
      <c r="V102" s="63">
        <f t="shared" ca="1" si="43"/>
        <v>8.1296970000000002</v>
      </c>
      <c r="W102" s="63">
        <f t="shared" ca="1" si="43"/>
        <v>8.3335279999999994</v>
      </c>
    </row>
    <row r="103" spans="1:23" x14ac:dyDescent="0.2">
      <c r="A103" s="51" t="str">
        <f t="shared" si="47"/>
        <v>PCG</v>
      </c>
      <c r="B103" s="46">
        <f t="shared" ca="1" si="49"/>
        <v>51</v>
      </c>
      <c r="C103" s="1">
        <f>IF(ISERROR(D103),"",IF(D103="","",MAX($C$72:C102)+1))</f>
        <v>30</v>
      </c>
      <c r="D103" t="str">
        <f t="shared" si="48"/>
        <v xml:space="preserve">PG&amp;E Corp.                    </v>
      </c>
      <c r="E103" s="22"/>
      <c r="F103" s="63">
        <f t="shared" ca="1" si="41"/>
        <v>6.2849054276278036</v>
      </c>
      <c r="G103" s="63">
        <f t="shared" si="39"/>
        <v>6.7874015748031491</v>
      </c>
      <c r="H103" s="63">
        <f ca="1">IFERROR(VLOOKUP($A103,LASTYR,'2017'!$L$3,FALSE),"N/A")</f>
        <v>7.085622507753655</v>
      </c>
      <c r="I103" s="63">
        <f t="shared" ca="1" si="42"/>
        <v>7.2637589600291577</v>
      </c>
      <c r="J103" s="63">
        <f t="shared" ca="1" si="42"/>
        <v>7.2443743139407237</v>
      </c>
      <c r="K103" s="63">
        <f t="shared" ca="1" si="42"/>
        <v>5.6468634686346855</v>
      </c>
      <c r="L103" s="63">
        <f t="shared" ca="1" si="42"/>
        <v>6.8407834465329325</v>
      </c>
      <c r="M103" s="63">
        <f t="shared" ca="1" si="42"/>
        <v>5.8574357572443958</v>
      </c>
      <c r="N103" s="63">
        <f t="shared" ca="1" si="42"/>
        <v>5.3151515151515145</v>
      </c>
      <c r="O103" s="63">
        <f t="shared" ca="1" si="42"/>
        <v>5.4195549069682594</v>
      </c>
      <c r="P103" s="63">
        <f t="shared" ca="1" si="42"/>
        <v>4.7112465638819163</v>
      </c>
      <c r="Q103" s="63">
        <f t="shared" ca="1" si="42"/>
        <v>4.6108543666311173</v>
      </c>
      <c r="R103" s="63">
        <f t="shared" ca="1" si="42"/>
        <v>5.8399002493765586</v>
      </c>
      <c r="S103" s="63">
        <f t="shared" ca="1" si="42"/>
        <v>5.2815884476534292</v>
      </c>
      <c r="T103" s="63">
        <f t="shared" ca="1" si="43"/>
        <v>5.069493191071178</v>
      </c>
      <c r="U103" s="63">
        <f t="shared" ca="1" si="43"/>
        <v>5.1284159999999996</v>
      </c>
      <c r="V103" s="63">
        <f t="shared" ca="1" si="43"/>
        <v>4.0549770000000001</v>
      </c>
      <c r="W103" s="63">
        <f t="shared" ca="1" si="43"/>
        <v>14.685969999999999</v>
      </c>
    </row>
    <row r="104" spans="1:23" x14ac:dyDescent="0.2">
      <c r="A104" s="51" t="str">
        <f t="shared" si="47"/>
        <v>PNW</v>
      </c>
      <c r="B104" s="46">
        <f t="shared" ca="1" si="49"/>
        <v>52</v>
      </c>
      <c r="C104" s="1">
        <f>IF(ISERROR(D104),"",IF(D104="","",MAX($C$72:C103)+1))</f>
        <v>31</v>
      </c>
      <c r="D104" t="str">
        <f t="shared" si="48"/>
        <v xml:space="preserve">Pinnacle West Capital         </v>
      </c>
      <c r="E104" s="22"/>
      <c r="F104" s="63">
        <f t="shared" ca="1" si="41"/>
        <v>6.1055587395940671</v>
      </c>
      <c r="G104" s="63">
        <f t="shared" si="39"/>
        <v>7.95</v>
      </c>
      <c r="H104" s="63">
        <f ca="1">IFERROR(VLOOKUP($A104,LASTYR,'2017'!$L$3,FALSE),"N/A")</f>
        <v>8.7281831187410592</v>
      </c>
      <c r="I104" s="63">
        <f t="shared" ca="1" si="42"/>
        <v>7.8861312313591814</v>
      </c>
      <c r="J104" s="63">
        <f t="shared" ca="1" si="42"/>
        <v>6.9145308546914537</v>
      </c>
      <c r="K104" s="63">
        <f t="shared" ca="1" si="42"/>
        <v>7.033391046252782</v>
      </c>
      <c r="L104" s="63">
        <f t="shared" ca="1" si="42"/>
        <v>6.8530782438067206</v>
      </c>
      <c r="M104" s="63">
        <f t="shared" ca="1" si="42"/>
        <v>6.3436512950094759</v>
      </c>
      <c r="N104" s="63">
        <f t="shared" ca="1" si="42"/>
        <v>5.8035619351408823</v>
      </c>
      <c r="O104" s="63">
        <f t="shared" ca="1" si="42"/>
        <v>5.6503139144400638</v>
      </c>
      <c r="P104" s="63">
        <f t="shared" ca="1" si="42"/>
        <v>3.8445159692993318</v>
      </c>
      <c r="Q104" s="63">
        <f t="shared" ca="1" si="42"/>
        <v>4.1873616916646181</v>
      </c>
      <c r="R104" s="63">
        <f t="shared" ca="1" si="42"/>
        <v>4.7558377273216399</v>
      </c>
      <c r="S104" s="63">
        <f t="shared" ca="1" si="42"/>
        <v>4.4759694719471952</v>
      </c>
      <c r="T104" s="63">
        <f t="shared" ca="1" si="43"/>
        <v>7.479257073424753</v>
      </c>
      <c r="U104" s="63">
        <f t="shared" ca="1" si="43"/>
        <v>5.8802649999999996</v>
      </c>
      <c r="V104" s="63">
        <f t="shared" ca="1" si="43"/>
        <v>4.8030030000000004</v>
      </c>
      <c r="W104" s="63">
        <f t="shared" ca="1" si="43"/>
        <v>5.2054470000000004</v>
      </c>
    </row>
    <row r="105" spans="1:23" x14ac:dyDescent="0.2">
      <c r="A105" s="51" t="str">
        <f t="shared" si="47"/>
        <v>PNM</v>
      </c>
      <c r="B105" s="46">
        <f t="shared" ca="1" si="49"/>
        <v>53</v>
      </c>
      <c r="C105" s="1">
        <f>IF(ISERROR(D105),"",IF(D105="","",MAX($C$72:C104)+1))</f>
        <v>32</v>
      </c>
      <c r="D105" t="str">
        <f t="shared" si="48"/>
        <v xml:space="preserve">PNM Resources                 </v>
      </c>
      <c r="E105" s="22"/>
      <c r="F105" s="63">
        <f t="shared" ca="1" si="41"/>
        <v>6.69215894147586</v>
      </c>
      <c r="G105" s="63">
        <f t="shared" si="39"/>
        <v>6.981308411214953</v>
      </c>
      <c r="H105" s="63">
        <f ca="1">IFERROR(VLOOKUP($A105,LASTYR,'2017'!$L$3,FALSE),"N/A")</f>
        <v>7.4008303453481785</v>
      </c>
      <c r="I105" s="63">
        <f t="shared" ca="1" si="42"/>
        <v>7.6435412286848878</v>
      </c>
      <c r="J105" s="63">
        <f t="shared" ca="1" si="42"/>
        <v>6.9454499748617398</v>
      </c>
      <c r="K105" s="63">
        <f t="shared" ca="1" si="42"/>
        <v>7.4806629834254137</v>
      </c>
      <c r="L105" s="63">
        <f t="shared" ca="1" si="42"/>
        <v>6.4745231995445494</v>
      </c>
      <c r="M105" s="63">
        <f t="shared" ca="1" si="42"/>
        <v>5.8023668639053252</v>
      </c>
      <c r="N105" s="63">
        <f t="shared" ca="1" si="42"/>
        <v>4.9386406544996859</v>
      </c>
      <c r="O105" s="63">
        <f t="shared" ca="1" si="42"/>
        <v>4.5815523059617549</v>
      </c>
      <c r="P105" s="63">
        <f t="shared" ca="1" si="42"/>
        <v>4.5271786022433131</v>
      </c>
      <c r="Q105" s="63">
        <f t="shared" ca="1" si="42"/>
        <v>7.1007972665148058</v>
      </c>
      <c r="R105" s="63">
        <f t="shared" ca="1" si="42"/>
        <v>10.670736510437179</v>
      </c>
      <c r="S105" s="63">
        <f t="shared" ca="1" si="42"/>
        <v>7.4967814161768827</v>
      </c>
      <c r="T105" s="63">
        <f t="shared" ca="1" si="43"/>
        <v>7.6200112422709383</v>
      </c>
      <c r="U105" s="63">
        <f t="shared" ca="1" si="43"/>
        <v>6.8385860000000003</v>
      </c>
      <c r="V105" s="63">
        <f t="shared" ca="1" si="43"/>
        <v>5.5484400000000003</v>
      </c>
      <c r="W105" s="63">
        <f t="shared" ca="1" si="43"/>
        <v>5.7152950000000002</v>
      </c>
    </row>
    <row r="106" spans="1:23" x14ac:dyDescent="0.2">
      <c r="A106" s="51" t="str">
        <f t="shared" si="47"/>
        <v>POR</v>
      </c>
      <c r="B106" s="46">
        <f t="shared" ca="1" si="49"/>
        <v>54</v>
      </c>
      <c r="C106" s="1">
        <f>IF(ISERROR(D106),"",IF(D106="","",MAX($C$72:C105)+1))</f>
        <v>33</v>
      </c>
      <c r="D106" t="str">
        <f t="shared" si="48"/>
        <v xml:space="preserve">Portland General              </v>
      </c>
      <c r="E106" s="22"/>
      <c r="F106" s="63">
        <f t="shared" ca="1" si="41"/>
        <v>5.6991125430374616</v>
      </c>
      <c r="G106" s="63">
        <f t="shared" si="39"/>
        <v>6.661538461538461</v>
      </c>
      <c r="H106" s="63">
        <f ca="1">IFERROR(VLOOKUP($A106,LASTYR,'2017'!$L$3,FALSE),"N/A")</f>
        <v>7.4455445544554459</v>
      </c>
      <c r="I106" s="63">
        <f t="shared" ca="1" si="42"/>
        <v>7.1232047066966606</v>
      </c>
      <c r="J106" s="63">
        <f t="shared" ca="1" si="42"/>
        <v>6.7269173492181684</v>
      </c>
      <c r="K106" s="63">
        <f t="shared" ca="1" si="42"/>
        <v>5.4877567789646671</v>
      </c>
      <c r="L106" s="63">
        <f t="shared" ca="1" si="42"/>
        <v>6.0602434077079108</v>
      </c>
      <c r="M106" s="63">
        <f t="shared" ca="1" si="42"/>
        <v>5.0777000777000785</v>
      </c>
      <c r="N106" s="63">
        <f t="shared" ca="1" si="42"/>
        <v>4.8601652226475922</v>
      </c>
      <c r="O106" s="63">
        <f t="shared" ca="1" si="42"/>
        <v>4.1327800829875523</v>
      </c>
      <c r="P106" s="63">
        <f t="shared" ca="1" si="42"/>
        <v>4.6343081838289502</v>
      </c>
      <c r="Q106" s="63">
        <f t="shared" ca="1" si="42"/>
        <v>4.8050487908358077</v>
      </c>
      <c r="R106" s="63">
        <f t="shared" ca="1" si="42"/>
        <v>5.3364019946298429</v>
      </c>
      <c r="S106" s="63">
        <f t="shared" ca="1" si="42"/>
        <v>5.7368534482758626</v>
      </c>
      <c r="T106" s="63" t="str">
        <f t="shared" ca="1" si="43"/>
        <v>N/A</v>
      </c>
      <c r="U106" s="63" t="str">
        <f t="shared" ca="1" si="43"/>
        <v>N/A</v>
      </c>
      <c r="V106" s="63" t="str">
        <f t="shared" ca="1" si="43"/>
        <v>N/A</v>
      </c>
      <c r="W106" s="63" t="str">
        <f t="shared" ca="1" si="43"/>
        <v>N/A</v>
      </c>
    </row>
    <row r="107" spans="1:23" x14ac:dyDescent="0.2">
      <c r="A107" s="51" t="str">
        <f t="shared" si="47"/>
        <v>PPL</v>
      </c>
      <c r="B107" s="46">
        <f t="shared" ca="1" si="49"/>
        <v>55</v>
      </c>
      <c r="C107" s="1">
        <f>IF(ISERROR(D107),"",IF(D107="","",MAX($C$72:C106)+1))</f>
        <v>34</v>
      </c>
      <c r="D107" t="str">
        <f t="shared" si="48"/>
        <v xml:space="preserve">PPL Corp.                     </v>
      </c>
      <c r="E107" s="22"/>
      <c r="F107" s="63">
        <f t="shared" ca="1" si="41"/>
        <v>7.4530058218115682</v>
      </c>
      <c r="G107" s="63">
        <f t="shared" si="39"/>
        <v>7.0365853658536599</v>
      </c>
      <c r="H107" s="63">
        <f ca="1">IFERROR(VLOOKUP($A107,LASTYR,'2017'!$L$3,FALSE),"N/A")</f>
        <v>10.111593809394515</v>
      </c>
      <c r="I107" s="63">
        <f t="shared" ca="1" si="42"/>
        <v>8.3669939223936414</v>
      </c>
      <c r="J107" s="63">
        <f t="shared" ca="1" si="42"/>
        <v>8.7315329626687834</v>
      </c>
      <c r="K107" s="63">
        <f t="shared" ca="1" si="42"/>
        <v>7.3180428134556577</v>
      </c>
      <c r="L107" s="63">
        <f t="shared" ca="1" si="42"/>
        <v>6.58935115326579</v>
      </c>
      <c r="M107" s="63">
        <f t="shared" ca="1" si="42"/>
        <v>5.8655514250309793</v>
      </c>
      <c r="N107" s="63">
        <f t="shared" ca="1" si="42"/>
        <v>5.9795206971677564</v>
      </c>
      <c r="O107" s="63">
        <f t="shared" ca="1" si="42"/>
        <v>7.4642076502732237</v>
      </c>
      <c r="P107" s="63">
        <f t="shared" ca="1" si="42"/>
        <v>8.821645021645022</v>
      </c>
      <c r="Q107" s="63">
        <f t="shared" ca="1" si="42"/>
        <v>9.1652173913043473</v>
      </c>
      <c r="R107" s="63">
        <f t="shared" ca="1" si="42"/>
        <v>8.9002156439913733</v>
      </c>
      <c r="S107" s="63">
        <f t="shared" ca="1" si="42"/>
        <v>7.5813571260859351</v>
      </c>
      <c r="T107" s="63">
        <f t="shared" ref="T107:W108" ca="1" si="50">IFERROR(IF(INDEX(MP_CF_WP,$B107,T$73)=0,"N/A",INDEX(MP_CF_WP,$B107,T$73)),"N/A")</f>
        <v>7.5679269882659712</v>
      </c>
      <c r="U107" s="63">
        <f t="shared" ca="1" si="50"/>
        <v>6.493322</v>
      </c>
      <c r="V107" s="63">
        <f t="shared" ca="1" si="50"/>
        <v>5.4071610000000003</v>
      </c>
      <c r="W107" s="63">
        <f t="shared" ca="1" si="50"/>
        <v>5.3008740000000003</v>
      </c>
    </row>
    <row r="108" spans="1:23" x14ac:dyDescent="0.2">
      <c r="A108" s="51" t="str">
        <f t="shared" si="47"/>
        <v>PEG</v>
      </c>
      <c r="B108" s="46">
        <f t="shared" ca="1" si="49"/>
        <v>56</v>
      </c>
      <c r="C108" s="1">
        <f>IF(ISERROR(D108),"",IF(D108="","",MAX($C$72:C107)+1))</f>
        <v>35</v>
      </c>
      <c r="D108" t="str">
        <f t="shared" si="48"/>
        <v xml:space="preserve">Public Serv. Enterprise       </v>
      </c>
      <c r="E108" s="22"/>
      <c r="F108" s="63">
        <f t="shared" ca="1" si="41"/>
        <v>7.4100753056861999</v>
      </c>
      <c r="G108" s="63">
        <f t="shared" si="39"/>
        <v>9.026315789473685</v>
      </c>
      <c r="H108" s="63">
        <f ca="1">IFERROR(VLOOKUP($A108,LASTYR,'2017'!$L$3,FALSE),"N/A")</f>
        <v>8.6703752592871961</v>
      </c>
      <c r="I108" s="63">
        <f t="shared" ca="1" si="42"/>
        <v>8.5649773220272145</v>
      </c>
      <c r="J108" s="63">
        <f t="shared" ca="1" si="42"/>
        <v>6.6634130470148039</v>
      </c>
      <c r="K108" s="63">
        <f t="shared" ca="1" si="42"/>
        <v>6.4780144280316048</v>
      </c>
      <c r="L108" s="63">
        <f t="shared" ca="1" si="42"/>
        <v>6.4036786060019368</v>
      </c>
      <c r="M108" s="63">
        <f t="shared" ca="1" si="42"/>
        <v>6.4006153846153842</v>
      </c>
      <c r="N108" s="63">
        <f t="shared" ca="1" si="42"/>
        <v>6.0311567164179101</v>
      </c>
      <c r="O108" s="63">
        <f t="shared" ca="1" si="42"/>
        <v>6.0390817681654339</v>
      </c>
      <c r="P108" s="63">
        <f t="shared" ca="1" si="42"/>
        <v>6.2038523274478337</v>
      </c>
      <c r="Q108" s="63">
        <f t="shared" ca="1" si="42"/>
        <v>8.4593843522873033</v>
      </c>
      <c r="R108" s="63">
        <f t="shared" ca="1" si="42"/>
        <v>9.8315741165672321</v>
      </c>
      <c r="S108" s="63">
        <f t="shared" ca="1" si="42"/>
        <v>8.4095213718965969</v>
      </c>
      <c r="T108" s="63">
        <f t="shared" ca="1" si="50"/>
        <v>8.5944997074312468</v>
      </c>
      <c r="U108" s="63">
        <f t="shared" ca="1" si="50"/>
        <v>7.1653440000000002</v>
      </c>
      <c r="V108" s="63">
        <f t="shared" ca="1" si="50"/>
        <v>6.7910959999999996</v>
      </c>
      <c r="W108" s="63">
        <f t="shared" ca="1" si="50"/>
        <v>6.2383800000000003</v>
      </c>
    </row>
    <row r="109" spans="1:23" x14ac:dyDescent="0.2">
      <c r="A109" s="51" t="str">
        <f t="shared" si="47"/>
        <v>SCG</v>
      </c>
      <c r="B109" s="46">
        <f t="shared" ca="1" si="49"/>
        <v>57</v>
      </c>
      <c r="C109" s="1">
        <f>IF(ISERROR(D109),"",IF(D109="","",MAX($C$72:C108)+1))</f>
        <v>36</v>
      </c>
      <c r="D109" t="str">
        <f t="shared" si="48"/>
        <v xml:space="preserve">SCANA Corp.                   </v>
      </c>
      <c r="E109" s="22"/>
      <c r="F109" s="63">
        <f t="shared" ca="1" si="41"/>
        <v>7.1548383069309009</v>
      </c>
      <c r="G109" s="63">
        <f t="shared" si="39"/>
        <v>8.1372549019607856</v>
      </c>
      <c r="H109" s="63">
        <f ca="1">IFERROR(VLOOKUP($A109,LASTYR,'2017'!$L$3,FALSE),"N/A")</f>
        <v>8.2625850340136058</v>
      </c>
      <c r="I109" s="63">
        <f t="shared" ca="1" si="42"/>
        <v>9.5910775566231976</v>
      </c>
      <c r="J109" s="63">
        <f t="shared" ca="1" si="42"/>
        <v>8.3345763723150359</v>
      </c>
      <c r="K109" s="63">
        <f t="shared" ca="1" si="42"/>
        <v>7.5013024602026048</v>
      </c>
      <c r="L109" s="63">
        <f t="shared" ca="1" si="42"/>
        <v>7.4871402327005505</v>
      </c>
      <c r="M109" s="63">
        <f t="shared" ref="M109:W109" ca="1" si="51">IFERROR(IF(INDEX(MP_CF_WP,$B109,M$73)=0,"N/A",INDEX(MP_CF_WP,$B109,M$73)),"N/A")</f>
        <v>7.3960019038553071</v>
      </c>
      <c r="N109" s="63">
        <f t="shared" ca="1" si="51"/>
        <v>6.7523698652918673</v>
      </c>
      <c r="O109" s="63">
        <f t="shared" ca="1" si="51"/>
        <v>6.5238659444820577</v>
      </c>
      <c r="P109" s="63">
        <f t="shared" ca="1" si="51"/>
        <v>5.8802129547471162</v>
      </c>
      <c r="Q109" s="63">
        <f t="shared" ca="1" si="51"/>
        <v>6.3791396381017416</v>
      </c>
      <c r="R109" s="63">
        <f t="shared" ca="1" si="51"/>
        <v>7.1470177886292294</v>
      </c>
      <c r="S109" s="63">
        <f t="shared" ca="1" si="51"/>
        <v>7.0274502903396092</v>
      </c>
      <c r="T109" s="63">
        <f t="shared" ca="1" si="51"/>
        <v>5.4041722745625842</v>
      </c>
      <c r="U109" s="63">
        <f t="shared" ca="1" si="51"/>
        <v>6.8624739999999997</v>
      </c>
      <c r="V109" s="63">
        <f t="shared" ca="1" si="51"/>
        <v>6.5898159999999999</v>
      </c>
      <c r="W109" s="63">
        <f t="shared" ca="1" si="51"/>
        <v>6.3557940000000004</v>
      </c>
    </row>
    <row r="110" spans="1:23" x14ac:dyDescent="0.2">
      <c r="A110" s="51" t="str">
        <f t="shared" si="47"/>
        <v>SRE</v>
      </c>
      <c r="B110" s="46">
        <f t="shared" ca="1" si="49"/>
        <v>58</v>
      </c>
      <c r="C110" s="1">
        <f>IF(ISERROR(D110),"",IF(D110="","",MAX($C$72:C109)+1))</f>
        <v>37</v>
      </c>
      <c r="D110" t="str">
        <f t="shared" si="48"/>
        <v xml:space="preserve">Sempra Energy                 </v>
      </c>
      <c r="E110" s="22"/>
      <c r="F110" s="63">
        <f t="shared" ca="1" si="41"/>
        <v>7.7597995676589617</v>
      </c>
      <c r="G110" s="63">
        <f t="shared" si="39"/>
        <v>10.397260273972602</v>
      </c>
      <c r="H110" s="63">
        <f ca="1">IFERROR(VLOOKUP($A110,LASTYR,'2017'!$L$3,FALSE),"N/A")</f>
        <v>10.653522458628842</v>
      </c>
      <c r="I110" s="63">
        <f t="shared" ref="I110:W119" ca="1" si="52">IFERROR(IF(INDEX(MP_CF_WP,$B110,I$73)=0,"N/A",INDEX(MP_CF_WP,$B110,I$73)),"N/A")</f>
        <v>10.880185302168879</v>
      </c>
      <c r="J110" s="63">
        <f t="shared" ca="1" si="52"/>
        <v>9.9947684557256355</v>
      </c>
      <c r="K110" s="63">
        <f t="shared" ca="1" si="52"/>
        <v>10.766000425260472</v>
      </c>
      <c r="L110" s="63">
        <f t="shared" ca="1" si="52"/>
        <v>9.3668245376635095</v>
      </c>
      <c r="M110" s="63">
        <f t="shared" ca="1" si="52"/>
        <v>7.2571716718960122</v>
      </c>
      <c r="N110" s="63">
        <f t="shared" ca="1" si="52"/>
        <v>6.1345458785123004</v>
      </c>
      <c r="O110" s="63">
        <f t="shared" ca="1" si="52"/>
        <v>6.5281072717895814</v>
      </c>
      <c r="P110" s="63">
        <f t="shared" ca="1" si="52"/>
        <v>6.0718871962734484</v>
      </c>
      <c r="Q110" s="63">
        <f t="shared" ca="1" si="52"/>
        <v>7.0656934306569346</v>
      </c>
      <c r="R110" s="63">
        <f t="shared" ca="1" si="52"/>
        <v>8.6065195442088562</v>
      </c>
      <c r="S110" s="63">
        <f t="shared" ca="1" si="52"/>
        <v>7.222090261282661</v>
      </c>
      <c r="T110" s="63">
        <f t="shared" ca="1" si="52"/>
        <v>6.9599329421626148</v>
      </c>
      <c r="U110" s="63">
        <f t="shared" ca="1" si="52"/>
        <v>5.163653</v>
      </c>
      <c r="V110" s="63">
        <f t="shared" ca="1" si="52"/>
        <v>4.8501799999999999</v>
      </c>
      <c r="W110" s="63">
        <f t="shared" ca="1" si="52"/>
        <v>3.9982500000000001</v>
      </c>
    </row>
    <row r="111" spans="1:23" x14ac:dyDescent="0.2">
      <c r="A111" s="51" t="str">
        <f t="shared" si="47"/>
        <v>SO</v>
      </c>
      <c r="B111" s="46">
        <f t="shared" ca="1" si="49"/>
        <v>62</v>
      </c>
      <c r="C111" s="1">
        <f>IF(ISERROR(D111),"",IF(D111="","",MAX($C$72:C110)+1))</f>
        <v>38</v>
      </c>
      <c r="D111" t="str">
        <f t="shared" si="48"/>
        <v xml:space="preserve">Southern Co.                  </v>
      </c>
      <c r="E111" s="22"/>
      <c r="F111" s="63">
        <f t="shared" ca="1" si="41"/>
        <v>8.1380163887685146</v>
      </c>
      <c r="G111" s="63">
        <f t="shared" si="39"/>
        <v>7.1718749999999991</v>
      </c>
      <c r="H111" s="63">
        <f ca="1">IFERROR(VLOOKUP($A111,LASTYR,'2017'!$L$3,FALSE),"N/A")</f>
        <v>7.4877975293763184</v>
      </c>
      <c r="I111" s="63">
        <f t="shared" ca="1" si="52"/>
        <v>8.832337434094903</v>
      </c>
      <c r="J111" s="63">
        <f t="shared" ca="1" si="52"/>
        <v>8.2270151709011152</v>
      </c>
      <c r="K111" s="63">
        <f t="shared" ca="1" si="52"/>
        <v>8.4186398939193037</v>
      </c>
      <c r="L111" s="63">
        <f t="shared" ca="1" si="52"/>
        <v>8.2988985947588301</v>
      </c>
      <c r="M111" s="63">
        <f t="shared" ca="1" si="52"/>
        <v>8.7459459459459463</v>
      </c>
      <c r="N111" s="63">
        <f t="shared" ca="1" si="52"/>
        <v>8.2234432234432226</v>
      </c>
      <c r="O111" s="63">
        <f t="shared" ca="1" si="52"/>
        <v>7.7901617549302014</v>
      </c>
      <c r="P111" s="63">
        <f t="shared" ca="1" si="52"/>
        <v>7.0776173285198549</v>
      </c>
      <c r="Q111" s="63">
        <f t="shared" ca="1" si="52"/>
        <v>8.1835814163283711</v>
      </c>
      <c r="R111" s="63">
        <f t="shared" ca="1" si="52"/>
        <v>8.6184834123222753</v>
      </c>
      <c r="S111" s="63">
        <f t="shared" ca="1" si="52"/>
        <v>8.4714677298778973</v>
      </c>
      <c r="T111" s="63">
        <f t="shared" ca="1" si="52"/>
        <v>8.4108161746464916</v>
      </c>
      <c r="U111" s="63">
        <f t="shared" ca="1" si="52"/>
        <v>8.2763340000000003</v>
      </c>
      <c r="V111" s="63">
        <f t="shared" ca="1" si="52"/>
        <v>8.2793989999999997</v>
      </c>
      <c r="W111" s="63">
        <f t="shared" ca="1" si="52"/>
        <v>7.832465</v>
      </c>
    </row>
    <row r="112" spans="1:23" x14ac:dyDescent="0.2">
      <c r="A112" s="51" t="str">
        <f t="shared" si="47"/>
        <v>VVC</v>
      </c>
      <c r="B112" s="46">
        <f t="shared" ca="1" si="49"/>
        <v>70</v>
      </c>
      <c r="C112" s="1">
        <f>IF(ISERROR(D112),"",IF(D112="","",MAX($C$72:C111)+1))</f>
        <v>39</v>
      </c>
      <c r="D112" t="str">
        <f t="shared" si="48"/>
        <v xml:space="preserve">Vectren Corp.                 </v>
      </c>
      <c r="E112" s="22"/>
      <c r="F112" s="63">
        <f t="shared" ca="1" si="41"/>
        <v>7.3044419692207541</v>
      </c>
      <c r="G112" s="63">
        <f t="shared" si="39"/>
        <v>10.92436974789916</v>
      </c>
      <c r="H112" s="63">
        <f ca="1">IFERROR(VLOOKUP($A112,LASTYR,'2017'!$L$3,FALSE),"N/A")</f>
        <v>10.31939291736931</v>
      </c>
      <c r="I112" s="63">
        <f t="shared" ca="1" si="52"/>
        <v>8.5962383547196346</v>
      </c>
      <c r="J112" s="63">
        <f t="shared" ca="1" si="52"/>
        <v>7.8192771084337362</v>
      </c>
      <c r="K112" s="63">
        <f t="shared" ca="1" si="52"/>
        <v>7.5717501406865502</v>
      </c>
      <c r="L112" s="63">
        <f t="shared" ca="1" si="52"/>
        <v>6.8210379797176373</v>
      </c>
      <c r="M112" s="63">
        <f t="shared" ca="1" si="52"/>
        <v>5.7899443561208273</v>
      </c>
      <c r="N112" s="63">
        <f t="shared" ca="1" si="52"/>
        <v>5.8104838709677429</v>
      </c>
      <c r="O112" s="63">
        <f t="shared" ca="1" si="52"/>
        <v>5.5771222697590632</v>
      </c>
      <c r="P112" s="63">
        <f t="shared" ca="1" si="52"/>
        <v>5.2428993410588509</v>
      </c>
      <c r="Q112" s="63">
        <f t="shared" ca="1" si="52"/>
        <v>6.9016393442622945</v>
      </c>
      <c r="R112" s="63">
        <f t="shared" ca="1" si="52"/>
        <v>6.5349324639031217</v>
      </c>
      <c r="S112" s="63">
        <f t="shared" ca="1" si="52"/>
        <v>7.3743909041689228</v>
      </c>
      <c r="T112" s="63">
        <f t="shared" ca="1" si="52"/>
        <v>7.0612086776859506</v>
      </c>
      <c r="U112" s="63">
        <f t="shared" ca="1" si="52"/>
        <v>7.6323040000000004</v>
      </c>
      <c r="V112" s="63">
        <f t="shared" ca="1" si="52"/>
        <v>7.2745040000000003</v>
      </c>
      <c r="W112" s="63">
        <f t="shared" ca="1" si="52"/>
        <v>6.9240180000000002</v>
      </c>
    </row>
    <row r="113" spans="1:23" x14ac:dyDescent="0.2">
      <c r="A113" s="51" t="str">
        <f t="shared" si="47"/>
        <v>WEC</v>
      </c>
      <c r="B113" s="46">
        <f t="shared" ca="1" si="49"/>
        <v>71</v>
      </c>
      <c r="C113" s="1">
        <f>IF(ISERROR(D113),"",IF(D113="","",MAX($C$72:C112)+1))</f>
        <v>40</v>
      </c>
      <c r="D113" t="str">
        <f t="shared" si="48"/>
        <v>WEC Energy Group</v>
      </c>
      <c r="E113" s="22"/>
      <c r="F113" s="63">
        <f t="shared" ca="1" si="41"/>
        <v>8.4081904044684634</v>
      </c>
      <c r="G113" s="63">
        <f t="shared" si="39"/>
        <v>10.96694214876033</v>
      </c>
      <c r="H113" s="63">
        <f ca="1">IFERROR(VLOOKUP($A113,LASTYR,'2017'!$L$3,FALSE),"N/A")</f>
        <v>11.043760984182775</v>
      </c>
      <c r="I113" s="63">
        <f t="shared" ca="1" si="52"/>
        <v>10.951956965312558</v>
      </c>
      <c r="J113" s="63">
        <f t="shared" ca="1" si="52"/>
        <v>12.896150865409455</v>
      </c>
      <c r="K113" s="63">
        <f t="shared" ca="1" si="52"/>
        <v>10.266114592658909</v>
      </c>
      <c r="L113" s="63">
        <f t="shared" ca="1" si="52"/>
        <v>9.5760517799352769</v>
      </c>
      <c r="M113" s="63">
        <f t="shared" ca="1" si="52"/>
        <v>9.2385229540918168</v>
      </c>
      <c r="N113" s="63">
        <f t="shared" ca="1" si="52"/>
        <v>8.4315960912052113</v>
      </c>
      <c r="O113" s="63">
        <f t="shared" ca="1" si="52"/>
        <v>8.1465778316172006</v>
      </c>
      <c r="P113" s="63">
        <f t="shared" ca="1" si="52"/>
        <v>6.8706563706563699</v>
      </c>
      <c r="Q113" s="63">
        <f t="shared" ca="1" si="52"/>
        <v>7.5732656514382404</v>
      </c>
      <c r="R113" s="63">
        <f t="shared" ca="1" si="52"/>
        <v>7.8410995641971173</v>
      </c>
      <c r="S113" s="63">
        <f t="shared" ca="1" si="52"/>
        <v>7.2726017943409245</v>
      </c>
      <c r="T113" s="63">
        <f t="shared" ca="1" si="52"/>
        <v>6.4014522821576767</v>
      </c>
      <c r="U113" s="63">
        <f t="shared" ca="1" si="52"/>
        <v>6.2742060000000004</v>
      </c>
      <c r="V113" s="63">
        <f t="shared" ca="1" si="52"/>
        <v>4.9149459999999996</v>
      </c>
      <c r="W113" s="63">
        <f t="shared" ca="1" si="52"/>
        <v>4.2733350000000003</v>
      </c>
    </row>
    <row r="114" spans="1:23" x14ac:dyDescent="0.2">
      <c r="A114" s="51" t="str">
        <f t="shared" si="47"/>
        <v>WR</v>
      </c>
      <c r="B114" s="46">
        <f t="shared" ca="1" si="49"/>
        <v>72</v>
      </c>
      <c r="C114" s="1">
        <f>IF(ISERROR(D114),"",IF(D114="","",MAX($C$72:C113)+1))</f>
        <v>41</v>
      </c>
      <c r="D114" t="str">
        <f t="shared" si="48"/>
        <v xml:space="preserve">Westar Energy                 </v>
      </c>
      <c r="E114" s="22"/>
      <c r="F114" s="63">
        <f t="shared" ca="1" si="41"/>
        <v>6.9143518980145302</v>
      </c>
      <c r="G114" s="63" t="str">
        <f t="shared" si="39"/>
        <v>N/A</v>
      </c>
      <c r="H114" s="63">
        <f ca="1">IFERROR(VLOOKUP($A114,LASTYR,'2017'!$L$3,FALSE),"N/A")</f>
        <v>10.86734693877551</v>
      </c>
      <c r="I114" s="63">
        <f t="shared" ca="1" si="52"/>
        <v>10.855546357615895</v>
      </c>
      <c r="J114" s="63">
        <f t="shared" ca="1" si="52"/>
        <v>9.0473844710297922</v>
      </c>
      <c r="K114" s="63">
        <f t="shared" ca="1" si="52"/>
        <v>7.92512077294686</v>
      </c>
      <c r="L114" s="63">
        <f t="shared" ca="1" si="52"/>
        <v>7.2319564230594651</v>
      </c>
      <c r="M114" s="63">
        <f t="shared" ca="1" si="52"/>
        <v>6.7148837209302323</v>
      </c>
      <c r="N114" s="63">
        <f t="shared" ca="1" si="52"/>
        <v>6.6716267339218156</v>
      </c>
      <c r="O114" s="63">
        <f t="shared" ca="1" si="52"/>
        <v>5.5069657615112151</v>
      </c>
      <c r="P114" s="63">
        <f t="shared" ca="1" si="52"/>
        <v>5.3247982187586977</v>
      </c>
      <c r="Q114" s="63">
        <f t="shared" ca="1" si="52"/>
        <v>7.0880382775119619</v>
      </c>
      <c r="R114" s="63">
        <f t="shared" ca="1" si="52"/>
        <v>6.875993640699523</v>
      </c>
      <c r="S114" s="63">
        <f t="shared" ca="1" si="52"/>
        <v>5.8074581430745811</v>
      </c>
      <c r="T114" s="63">
        <f t="shared" ca="1" si="52"/>
        <v>6.9972519083969464</v>
      </c>
      <c r="U114" s="63">
        <f t="shared" ca="1" si="52"/>
        <v>6.538462</v>
      </c>
      <c r="V114" s="63">
        <f t="shared" ca="1" si="52"/>
        <v>4.2357319999999996</v>
      </c>
      <c r="W114" s="63">
        <f t="shared" ca="1" si="52"/>
        <v>2.941065</v>
      </c>
    </row>
    <row r="115" spans="1:23" x14ac:dyDescent="0.2">
      <c r="A115" s="51" t="str">
        <f t="shared" si="47"/>
        <v>XEL</v>
      </c>
      <c r="B115" s="46">
        <f t="shared" ca="1" si="49"/>
        <v>74</v>
      </c>
      <c r="C115" s="1">
        <f>IF(ISERROR(D115),"",IF(D115="","",MAX($C$72:C114)+1))</f>
        <v>42</v>
      </c>
      <c r="D115" t="str">
        <f t="shared" si="48"/>
        <v xml:space="preserve">Xcel Energy Inc.              </v>
      </c>
      <c r="E115" s="22"/>
      <c r="F115" s="63">
        <f t="shared" ca="1" si="41"/>
        <v>6.4575834298158092</v>
      </c>
      <c r="G115" s="63">
        <f t="shared" si="39"/>
        <v>7.7948717948717956</v>
      </c>
      <c r="H115" s="63">
        <f ca="1">IFERROR(VLOOKUP($A115,LASTYR,'2017'!$L$3,FALSE),"N/A")</f>
        <v>8.5000914913083268</v>
      </c>
      <c r="I115" s="63">
        <f t="shared" ca="1" si="52"/>
        <v>8.0961729129486422</v>
      </c>
      <c r="J115" s="63">
        <f t="shared" ca="1" si="52"/>
        <v>7.6210226025894219</v>
      </c>
      <c r="K115" s="63">
        <f t="shared" ca="1" si="52"/>
        <v>7.314819136522754</v>
      </c>
      <c r="L115" s="63">
        <f t="shared" ca="1" si="52"/>
        <v>7.0043891733723482</v>
      </c>
      <c r="M115" s="63">
        <f t="shared" ca="1" si="52"/>
        <v>6.8532866783304174</v>
      </c>
      <c r="N115" s="63">
        <f t="shared" ca="1" si="52"/>
        <v>6.4721268163804488</v>
      </c>
      <c r="O115" s="63">
        <f t="shared" ca="1" si="52"/>
        <v>6.2759111617312078</v>
      </c>
      <c r="P115" s="63">
        <f t="shared" ca="1" si="52"/>
        <v>5.4270923209663504</v>
      </c>
      <c r="Q115" s="63">
        <f t="shared" ca="1" si="52"/>
        <v>5.7058823529411766</v>
      </c>
      <c r="R115" s="63">
        <f t="shared" ca="1" si="52"/>
        <v>6.5089751013317887</v>
      </c>
      <c r="S115" s="63">
        <f t="shared" ca="1" si="52"/>
        <v>5.5397837538120314</v>
      </c>
      <c r="T115" s="63">
        <f t="shared" ca="1" si="52"/>
        <v>5.6238560097620498</v>
      </c>
      <c r="U115" s="63">
        <f t="shared" ca="1" si="52"/>
        <v>5.3087289999999996</v>
      </c>
      <c r="V115" s="63">
        <f t="shared" ca="1" si="52"/>
        <v>4.2676220000000002</v>
      </c>
      <c r="W115" s="63">
        <f t="shared" ca="1" si="52"/>
        <v>5.4642860000000004</v>
      </c>
    </row>
    <row r="116" spans="1:23" hidden="1" x14ac:dyDescent="0.2">
      <c r="A116" s="51">
        <f t="shared" si="47"/>
        <v>0</v>
      </c>
      <c r="B116" s="46" t="str">
        <f t="shared" ca="1" si="49"/>
        <v/>
      </c>
      <c r="C116" s="1" t="str">
        <f>IF(ISERROR(D116),"",IF(D116="","",MAX($C$72:C115)+1))</f>
        <v/>
      </c>
      <c r="D116" t="e">
        <f t="shared" si="48"/>
        <v>#N/A</v>
      </c>
      <c r="E116" s="22"/>
      <c r="F116" s="63" t="str">
        <f t="shared" ca="1" si="41"/>
        <v>N/A</v>
      </c>
      <c r="G116" s="63" t="str">
        <f t="shared" si="39"/>
        <v>N/A</v>
      </c>
      <c r="H116" s="63" t="str">
        <f ca="1">IFERROR(VLOOKUP($A116,LASTYR,'2017'!$L$3,FALSE),"N/A")</f>
        <v>N/A</v>
      </c>
      <c r="I116" s="63"/>
      <c r="J116" s="63" t="str">
        <f t="shared" ca="1" si="52"/>
        <v>N/A</v>
      </c>
      <c r="K116" s="63" t="str">
        <f t="shared" ca="1" si="52"/>
        <v>N/A</v>
      </c>
      <c r="L116" s="63" t="str">
        <f t="shared" ca="1" si="52"/>
        <v>N/A</v>
      </c>
      <c r="M116" s="63" t="str">
        <f t="shared" ca="1" si="52"/>
        <v>N/A</v>
      </c>
      <c r="N116" s="63" t="str">
        <f t="shared" ca="1" si="52"/>
        <v>N/A</v>
      </c>
      <c r="O116" s="63" t="str">
        <f t="shared" ca="1" si="52"/>
        <v>N/A</v>
      </c>
      <c r="P116" s="63" t="str">
        <f t="shared" ca="1" si="52"/>
        <v>N/A</v>
      </c>
      <c r="Q116" s="63" t="str">
        <f t="shared" ca="1" si="52"/>
        <v>N/A</v>
      </c>
      <c r="R116" s="63" t="str">
        <f t="shared" ca="1" si="52"/>
        <v>N/A</v>
      </c>
      <c r="S116" s="63" t="str">
        <f t="shared" ca="1" si="52"/>
        <v>N/A</v>
      </c>
      <c r="T116" s="63" t="str">
        <f t="shared" ca="1" si="52"/>
        <v>N/A</v>
      </c>
      <c r="U116" s="63" t="str">
        <f t="shared" ca="1" si="52"/>
        <v>N/A</v>
      </c>
      <c r="V116" s="63" t="str">
        <f t="shared" ca="1" si="52"/>
        <v>N/A</v>
      </c>
      <c r="W116" s="63" t="str">
        <f t="shared" ca="1" si="52"/>
        <v>N/A</v>
      </c>
    </row>
    <row r="117" spans="1:23" hidden="1" x14ac:dyDescent="0.2">
      <c r="A117" s="51">
        <f t="shared" si="47"/>
        <v>0</v>
      </c>
      <c r="B117" s="46" t="str">
        <f t="shared" ca="1" si="49"/>
        <v/>
      </c>
      <c r="C117" s="1" t="str">
        <f>IF(ISERROR(D117),"",IF(D117="","",MAX($C$72:C116)+1))</f>
        <v/>
      </c>
      <c r="D117" t="e">
        <f t="shared" si="48"/>
        <v>#N/A</v>
      </c>
      <c r="F117" s="63" t="str">
        <f t="shared" ca="1" si="41"/>
        <v>N/A</v>
      </c>
      <c r="G117" s="63" t="str">
        <f t="shared" si="39"/>
        <v>N/A</v>
      </c>
      <c r="H117" s="63" t="str">
        <f ca="1">IFERROR(VLOOKUP($A117,LASTYR,'2017'!$L$3,FALSE),"N/A")</f>
        <v>N/A</v>
      </c>
      <c r="I117" s="63"/>
      <c r="J117" s="63" t="str">
        <f t="shared" ca="1" si="52"/>
        <v>N/A</v>
      </c>
      <c r="K117" s="63" t="str">
        <f t="shared" ca="1" si="52"/>
        <v>N/A</v>
      </c>
      <c r="L117" s="63" t="str">
        <f t="shared" ca="1" si="52"/>
        <v>N/A</v>
      </c>
      <c r="M117" s="63" t="str">
        <f t="shared" ca="1" si="52"/>
        <v>N/A</v>
      </c>
      <c r="N117" s="63" t="str">
        <f t="shared" ca="1" si="52"/>
        <v>N/A</v>
      </c>
      <c r="O117" s="63" t="str">
        <f t="shared" ca="1" si="52"/>
        <v>N/A</v>
      </c>
      <c r="P117" s="63" t="str">
        <f t="shared" ca="1" si="52"/>
        <v>N/A</v>
      </c>
      <c r="Q117" s="63" t="str">
        <f t="shared" ca="1" si="52"/>
        <v>N/A</v>
      </c>
      <c r="R117" s="63" t="str">
        <f t="shared" ca="1" si="52"/>
        <v>N/A</v>
      </c>
      <c r="S117" s="63" t="str">
        <f t="shared" ca="1" si="52"/>
        <v>N/A</v>
      </c>
      <c r="T117" s="63" t="str">
        <f t="shared" ca="1" si="52"/>
        <v>N/A</v>
      </c>
      <c r="U117" s="63" t="str">
        <f t="shared" ca="1" si="52"/>
        <v>N/A</v>
      </c>
      <c r="V117" s="63" t="str">
        <f t="shared" ca="1" si="52"/>
        <v>N/A</v>
      </c>
      <c r="W117" s="63" t="str">
        <f t="shared" ca="1" si="52"/>
        <v>N/A</v>
      </c>
    </row>
    <row r="118" spans="1:23" hidden="1" x14ac:dyDescent="0.2">
      <c r="A118" s="51">
        <f t="shared" si="47"/>
        <v>0</v>
      </c>
      <c r="B118" s="46" t="str">
        <f t="shared" ca="1" si="49"/>
        <v/>
      </c>
      <c r="C118" s="1" t="str">
        <f>IF(ISERROR(D118),"",IF(D118="","",MAX($C$72:C117)+1))</f>
        <v/>
      </c>
      <c r="D118" t="e">
        <f t="shared" si="48"/>
        <v>#N/A</v>
      </c>
      <c r="F118" s="63" t="str">
        <f t="shared" ca="1" si="41"/>
        <v>N/A</v>
      </c>
      <c r="G118" s="63" t="str">
        <f t="shared" si="39"/>
        <v>N/A</v>
      </c>
      <c r="H118" s="63" t="str">
        <f ca="1">IFERROR(VLOOKUP($A118,LASTYR,'2017'!$L$3,FALSE),"N/A")</f>
        <v>N/A</v>
      </c>
      <c r="I118" s="63"/>
      <c r="J118" s="63" t="str">
        <f t="shared" ca="1" si="52"/>
        <v>N/A</v>
      </c>
      <c r="K118" s="63" t="str">
        <f t="shared" ca="1" si="52"/>
        <v>N/A</v>
      </c>
      <c r="L118" s="63" t="str">
        <f t="shared" ca="1" si="52"/>
        <v>N/A</v>
      </c>
      <c r="M118" s="63" t="str">
        <f t="shared" ca="1" si="52"/>
        <v>N/A</v>
      </c>
      <c r="N118" s="63" t="str">
        <f t="shared" ca="1" si="52"/>
        <v>N/A</v>
      </c>
      <c r="O118" s="63" t="str">
        <f t="shared" ca="1" si="52"/>
        <v>N/A</v>
      </c>
      <c r="P118" s="63" t="str">
        <f t="shared" ca="1" si="52"/>
        <v>N/A</v>
      </c>
      <c r="Q118" s="63" t="str">
        <f t="shared" ca="1" si="52"/>
        <v>N/A</v>
      </c>
      <c r="R118" s="63" t="str">
        <f t="shared" ca="1" si="52"/>
        <v>N/A</v>
      </c>
      <c r="S118" s="63" t="str">
        <f t="shared" ca="1" si="52"/>
        <v>N/A</v>
      </c>
      <c r="T118" s="63" t="str">
        <f t="shared" ca="1" si="52"/>
        <v>N/A</v>
      </c>
      <c r="U118" s="63" t="str">
        <f t="shared" ca="1" si="52"/>
        <v>N/A</v>
      </c>
      <c r="V118" s="63" t="str">
        <f t="shared" ca="1" si="52"/>
        <v>N/A</v>
      </c>
      <c r="W118" s="63" t="str">
        <f t="shared" ca="1" si="52"/>
        <v>N/A</v>
      </c>
    </row>
    <row r="119" spans="1:23" hidden="1" x14ac:dyDescent="0.2">
      <c r="A119" s="51">
        <f t="shared" si="47"/>
        <v>0</v>
      </c>
      <c r="B119" s="46" t="str">
        <f t="shared" ca="1" si="49"/>
        <v/>
      </c>
      <c r="C119" s="1" t="str">
        <f>IF(ISERROR(D119),"",IF(D119="","",MAX($C$72:C118)+1))</f>
        <v/>
      </c>
      <c r="D119" t="e">
        <f t="shared" si="48"/>
        <v>#N/A</v>
      </c>
      <c r="F119" s="63" t="str">
        <f t="shared" ca="1" si="41"/>
        <v>N/A</v>
      </c>
      <c r="G119" s="63" t="str">
        <f t="shared" si="39"/>
        <v>N/A</v>
      </c>
      <c r="H119" s="63" t="str">
        <f ca="1">IFERROR(VLOOKUP($A119,LASTYR,'2017'!$L$3,FALSE),"N/A")</f>
        <v>N/A</v>
      </c>
      <c r="I119" s="63"/>
      <c r="J119" s="63" t="str">
        <f t="shared" ca="1" si="52"/>
        <v>N/A</v>
      </c>
      <c r="K119" s="63" t="str">
        <f t="shared" ca="1" si="52"/>
        <v>N/A</v>
      </c>
      <c r="L119" s="63" t="str">
        <f t="shared" ca="1" si="52"/>
        <v>N/A</v>
      </c>
      <c r="M119" s="63" t="str">
        <f t="shared" ca="1" si="52"/>
        <v>N/A</v>
      </c>
      <c r="N119" s="63" t="str">
        <f t="shared" ca="1" si="52"/>
        <v>N/A</v>
      </c>
      <c r="O119" s="63" t="str">
        <f t="shared" ca="1" si="52"/>
        <v>N/A</v>
      </c>
      <c r="P119" s="63" t="str">
        <f t="shared" ca="1" si="52"/>
        <v>N/A</v>
      </c>
      <c r="Q119" s="63" t="str">
        <f t="shared" ca="1" si="52"/>
        <v>N/A</v>
      </c>
      <c r="R119" s="63" t="str">
        <f t="shared" ca="1" si="52"/>
        <v>N/A</v>
      </c>
      <c r="S119" s="63" t="str">
        <f t="shared" ca="1" si="52"/>
        <v>N/A</v>
      </c>
      <c r="T119" s="63" t="str">
        <f t="shared" ca="1" si="52"/>
        <v>N/A</v>
      </c>
      <c r="U119" s="63" t="str">
        <f t="shared" ca="1" si="52"/>
        <v>N/A</v>
      </c>
      <c r="V119" s="63" t="str">
        <f t="shared" ca="1" si="52"/>
        <v>N/A</v>
      </c>
      <c r="W119" s="63" t="str">
        <f t="shared" ca="1" si="52"/>
        <v>N/A</v>
      </c>
    </row>
    <row r="120" spans="1:23" x14ac:dyDescent="0.2">
      <c r="A120" s="31"/>
      <c r="B120" s="31"/>
      <c r="C120" s="1" t="str">
        <f>IF(ISERROR(D120),"",IF(D120="","",MAX($C$72:C119)+1))</f>
        <v/>
      </c>
      <c r="F120" s="63"/>
      <c r="G120" s="63"/>
      <c r="H120" s="63"/>
      <c r="I120" s="63"/>
      <c r="J120" s="63"/>
      <c r="K120" s="63"/>
      <c r="L120" s="63"/>
      <c r="M120" s="63"/>
      <c r="N120" s="63"/>
      <c r="O120" s="63"/>
      <c r="P120" s="63"/>
      <c r="Q120" s="63"/>
      <c r="R120" s="63"/>
      <c r="S120" s="63"/>
      <c r="T120" s="63"/>
      <c r="U120" s="63"/>
      <c r="V120" s="63"/>
      <c r="W120" s="63"/>
    </row>
    <row r="121" spans="1:23" x14ac:dyDescent="0.2">
      <c r="A121" s="31"/>
      <c r="B121" s="31"/>
      <c r="C121" s="1">
        <f>IF(ISERROR(D121),"",IF(D121="","",MAX($C$72:C120)+1))</f>
        <v>43</v>
      </c>
      <c r="D121" t="s">
        <v>98</v>
      </c>
      <c r="F121" s="63">
        <f ca="1">AVERAGE(G121:W121)</f>
        <v>7.2017667076949445</v>
      </c>
      <c r="G121" s="63">
        <f t="shared" ref="G121:S121" si="53">AVERAGE(G74:G120)</f>
        <v>8.775455696432946</v>
      </c>
      <c r="H121" s="63">
        <f t="shared" ca="1" si="53"/>
        <v>9.3563215971070282</v>
      </c>
      <c r="I121" s="63">
        <f t="shared" ref="I121" ca="1" si="54">AVERAGE(I74:I120)</f>
        <v>8.6465494010622752</v>
      </c>
      <c r="J121" s="63">
        <f t="shared" ca="1" si="53"/>
        <v>8.0524430834212009</v>
      </c>
      <c r="K121" s="63">
        <f t="shared" ca="1" si="53"/>
        <v>7.846908956226093</v>
      </c>
      <c r="L121" s="63">
        <f t="shared" ca="1" si="53"/>
        <v>7.3944140006039829</v>
      </c>
      <c r="M121" s="63">
        <f t="shared" ca="1" si="53"/>
        <v>6.9832657004429191</v>
      </c>
      <c r="N121" s="63">
        <f t="shared" ca="1" si="53"/>
        <v>6.531153690802542</v>
      </c>
      <c r="O121" s="63">
        <f t="shared" ca="1" si="53"/>
        <v>6.0023739964227634</v>
      </c>
      <c r="P121" s="63">
        <f t="shared" ca="1" si="53"/>
        <v>5.5922481107146451</v>
      </c>
      <c r="Q121" s="63">
        <f t="shared" ca="1" si="53"/>
        <v>6.9546896217314798</v>
      </c>
      <c r="R121" s="63">
        <f t="shared" ca="1" si="53"/>
        <v>7.7230160237861654</v>
      </c>
      <c r="S121" s="63">
        <f t="shared" ca="1" si="53"/>
        <v>7.1198075065685043</v>
      </c>
      <c r="T121" s="63">
        <f t="shared" ref="T121:W121" ca="1" si="55">AVERAGE(T74:T120)</f>
        <v>7.1264738016038347</v>
      </c>
      <c r="U121" s="63">
        <f t="shared" ca="1" si="55"/>
        <v>6.7725519618673538</v>
      </c>
      <c r="V121" s="63">
        <f t="shared" ca="1" si="55"/>
        <v>5.7047434658657901</v>
      </c>
      <c r="W121" s="63">
        <f t="shared" ca="1" si="55"/>
        <v>5.8476174161545211</v>
      </c>
    </row>
    <row r="122" spans="1:23" x14ac:dyDescent="0.2">
      <c r="A122" s="31"/>
      <c r="B122" s="31"/>
      <c r="C122" s="1">
        <f>IF(ISERROR(D122),"",IF(D122="","",MAX($C$72:C121)+1))</f>
        <v>44</v>
      </c>
      <c r="D122" t="s">
        <v>257</v>
      </c>
      <c r="F122" s="63">
        <f ca="1">AVERAGE(G122:W122)</f>
        <v>7.0657569800393061</v>
      </c>
      <c r="G122" s="63">
        <f>MEDIAN(G74:G120)</f>
        <v>8.5323694029850738</v>
      </c>
      <c r="H122" s="63">
        <f t="shared" ref="H122:S122" ca="1" si="56">MEDIAN(H74:H120)</f>
        <v>9.0492652679860708</v>
      </c>
      <c r="I122" s="63">
        <f t="shared" ref="I122" ca="1" si="57">MEDIAN(I74:I120)</f>
        <v>8.5698913043478271</v>
      </c>
      <c r="J122" s="63">
        <f t="shared" ca="1" si="56"/>
        <v>7.9253754451153426</v>
      </c>
      <c r="K122" s="63">
        <f t="shared" ca="1" si="56"/>
        <v>7.5365263004445779</v>
      </c>
      <c r="L122" s="63">
        <f t="shared" ca="1" si="56"/>
        <v>7.1181727982159071</v>
      </c>
      <c r="M122" s="63">
        <f t="shared" ca="1" si="56"/>
        <v>6.8539879937387322</v>
      </c>
      <c r="N122" s="63">
        <f t="shared" ca="1" si="56"/>
        <v>6.2693358855666492</v>
      </c>
      <c r="O122" s="63">
        <f t="shared" ca="1" si="56"/>
        <v>5.7980173869825276</v>
      </c>
      <c r="P122" s="63">
        <f t="shared" ca="1" si="56"/>
        <v>5.3456393328430361</v>
      </c>
      <c r="Q122" s="63">
        <f t="shared" ca="1" si="56"/>
        <v>7.0944177720133839</v>
      </c>
      <c r="R122" s="63">
        <f t="shared" ca="1" si="56"/>
        <v>7.764429143423218</v>
      </c>
      <c r="S122" s="63">
        <f t="shared" ca="1" si="56"/>
        <v>7.3743909041689228</v>
      </c>
      <c r="T122" s="63">
        <f t="shared" ref="T122:W122" ca="1" si="58">MEDIAN(T74:T120)</f>
        <v>7.0365226337448563</v>
      </c>
      <c r="U122" s="63">
        <f t="shared" ca="1" si="58"/>
        <v>6.7148405890920859</v>
      </c>
      <c r="V122" s="63">
        <f t="shared" ca="1" si="58"/>
        <v>5.6177109999999999</v>
      </c>
      <c r="W122" s="63">
        <f t="shared" ca="1" si="58"/>
        <v>5.5169755</v>
      </c>
    </row>
    <row r="123" spans="1:23" x14ac:dyDescent="0.2">
      <c r="A123" s="31"/>
      <c r="B123" s="31"/>
      <c r="C123" s="1"/>
    </row>
    <row r="124" spans="1:23" x14ac:dyDescent="0.2">
      <c r="A124" s="31"/>
      <c r="B124" s="31"/>
      <c r="D124" s="18"/>
      <c r="E124" s="91"/>
    </row>
    <row r="125" spans="1:23" x14ac:dyDescent="0.2">
      <c r="A125" s="31"/>
      <c r="B125" s="31"/>
      <c r="D125" s="20" t="s">
        <v>107</v>
      </c>
    </row>
    <row r="126" spans="1:23" ht="16.5" x14ac:dyDescent="0.2">
      <c r="A126" s="31"/>
      <c r="B126" s="31"/>
      <c r="D126" s="79">
        <v>1</v>
      </c>
      <c r="E126" s="21" t="str">
        <f>"The Value Line Investment Survey Investment Analyzer Software, downloaded on "&amp;TEXT('2017'!$A$1,"mmmm d, yyyy.")</f>
        <v>The Value Line Investment Survey Investment Analyzer Software, downloaded on June 21, 2018.</v>
      </c>
    </row>
    <row r="127" spans="1:23" ht="16.5" x14ac:dyDescent="0.2">
      <c r="A127" s="31"/>
      <c r="B127" s="31"/>
      <c r="D127" s="79">
        <v>2</v>
      </c>
      <c r="E127" s="21" t="str">
        <f>"The Value Line Investment Survey, "&amp;'2018 Data (WP)'!$D$1</f>
        <v>The Value Line Investment Survey, October 26, November 16, and December 14, 2018.</v>
      </c>
    </row>
    <row r="128" spans="1:23" x14ac:dyDescent="0.2">
      <c r="A128" s="31"/>
      <c r="B128" s="31"/>
      <c r="D128" s="20" t="s">
        <v>108</v>
      </c>
    </row>
    <row r="129" spans="1:23" ht="16.5" x14ac:dyDescent="0.2">
      <c r="A129" s="31"/>
      <c r="B129" s="31"/>
      <c r="D129" s="93" t="s">
        <v>355</v>
      </c>
      <c r="E129" t="s">
        <v>427</v>
      </c>
    </row>
    <row r="130" spans="1:23" x14ac:dyDescent="0.2">
      <c r="D130" s="23"/>
      <c r="E130" s="23" t="str">
        <f>"published in The Value Line Investment Survey, "&amp;'2018 Data (WP)'!$D$1</f>
        <v>published in The Value Line Investment Survey, October 26, November 16, and December 14, 2018.</v>
      </c>
    </row>
    <row r="131" spans="1:23" x14ac:dyDescent="0.2">
      <c r="A131" s="31"/>
      <c r="B131" s="31"/>
      <c r="C131" s="1"/>
    </row>
    <row r="132" spans="1:23" ht="17.25" x14ac:dyDescent="0.25">
      <c r="A132" s="31"/>
      <c r="B132" s="31"/>
      <c r="C132" s="6"/>
      <c r="D132" s="6"/>
      <c r="E132" s="19"/>
      <c r="F132" s="235" t="s">
        <v>259</v>
      </c>
      <c r="G132" s="235"/>
      <c r="H132" s="235"/>
      <c r="I132" s="235"/>
      <c r="J132" s="235"/>
      <c r="K132" s="235"/>
      <c r="L132" s="235"/>
      <c r="M132" s="235"/>
      <c r="N132" s="235"/>
      <c r="O132" s="235"/>
      <c r="P132" s="235"/>
      <c r="Q132" s="235"/>
      <c r="R132" s="235"/>
      <c r="S132" s="235"/>
      <c r="T132" s="235"/>
      <c r="U132" s="235"/>
      <c r="V132" s="235"/>
      <c r="W132" s="235"/>
    </row>
    <row r="133" spans="1:23" ht="15" x14ac:dyDescent="0.25">
      <c r="A133" s="31"/>
      <c r="B133" s="31"/>
      <c r="C133" s="6"/>
      <c r="D133" s="7"/>
      <c r="E133" s="7"/>
      <c r="F133" s="8" t="s">
        <v>426</v>
      </c>
      <c r="G133" s="8"/>
      <c r="H133" s="8"/>
      <c r="I133" s="8"/>
      <c r="J133" s="8"/>
      <c r="K133" s="8"/>
      <c r="L133" s="8"/>
      <c r="M133" s="8"/>
      <c r="N133" s="8"/>
      <c r="O133" s="8"/>
      <c r="P133" s="7"/>
      <c r="Q133" s="7"/>
      <c r="R133" s="7"/>
      <c r="S133" s="7"/>
      <c r="T133" s="7"/>
      <c r="U133" s="7"/>
      <c r="V133" s="7"/>
    </row>
    <row r="134" spans="1:23" ht="17.25" x14ac:dyDescent="0.25">
      <c r="A134" s="31"/>
      <c r="B134" s="31"/>
      <c r="C134" s="9" t="s">
        <v>96</v>
      </c>
      <c r="D134" s="234" t="s">
        <v>97</v>
      </c>
      <c r="E134" s="234"/>
      <c r="F134" s="10" t="s">
        <v>98</v>
      </c>
      <c r="G134" s="10" t="s">
        <v>424</v>
      </c>
      <c r="H134" s="41">
        <v>2017</v>
      </c>
      <c r="I134" s="41">
        <v>2016</v>
      </c>
      <c r="J134" s="41">
        <v>2015</v>
      </c>
      <c r="K134" s="41">
        <v>2014</v>
      </c>
      <c r="L134" s="41">
        <v>2013</v>
      </c>
      <c r="M134" s="41">
        <v>2012</v>
      </c>
      <c r="N134" s="41">
        <v>2011</v>
      </c>
      <c r="O134" s="41">
        <v>2010</v>
      </c>
      <c r="P134" s="41">
        <v>2009</v>
      </c>
      <c r="Q134" s="41">
        <v>2008</v>
      </c>
      <c r="R134" s="41">
        <v>2007</v>
      </c>
      <c r="S134" s="41">
        <v>2006</v>
      </c>
      <c r="T134" s="41">
        <v>2005</v>
      </c>
      <c r="U134" s="41"/>
      <c r="V134" s="41"/>
      <c r="W134" s="41"/>
    </row>
    <row r="135" spans="1:23" ht="15" x14ac:dyDescent="0.25">
      <c r="A135" s="42"/>
      <c r="B135" s="42"/>
      <c r="C135" s="9"/>
      <c r="D135" s="11"/>
      <c r="E135" s="11"/>
      <c r="F135" s="12">
        <v>-1</v>
      </c>
      <c r="G135" s="12">
        <f t="shared" ref="G135:H135" si="59">+F135-1</f>
        <v>-2</v>
      </c>
      <c r="H135" s="12">
        <f t="shared" si="59"/>
        <v>-3</v>
      </c>
      <c r="I135" s="12">
        <f t="shared" ref="I135" si="60">+H135-1</f>
        <v>-4</v>
      </c>
      <c r="J135" s="12">
        <f t="shared" ref="J135" si="61">+I135-1</f>
        <v>-5</v>
      </c>
      <c r="K135" s="12">
        <f t="shared" ref="K135" si="62">+J135-1</f>
        <v>-6</v>
      </c>
      <c r="L135" s="12">
        <f t="shared" ref="L135" si="63">+K135-1</f>
        <v>-7</v>
      </c>
      <c r="M135" s="12">
        <f t="shared" ref="M135" si="64">+L135-1</f>
        <v>-8</v>
      </c>
      <c r="N135" s="12">
        <f t="shared" ref="N135" si="65">+M135-1</f>
        <v>-9</v>
      </c>
      <c r="O135" s="12">
        <f t="shared" ref="O135" si="66">+N135-1</f>
        <v>-10</v>
      </c>
      <c r="P135" s="12">
        <f t="shared" ref="P135" si="67">+O135-1</f>
        <v>-11</v>
      </c>
      <c r="Q135" s="12">
        <f t="shared" ref="Q135" si="68">+P135-1</f>
        <v>-12</v>
      </c>
      <c r="R135" s="12">
        <f t="shared" ref="R135" si="69">+Q135-1</f>
        <v>-13</v>
      </c>
      <c r="S135" s="12">
        <f t="shared" ref="S135" si="70">+R135-1</f>
        <v>-14</v>
      </c>
      <c r="T135" s="12">
        <f t="shared" ref="T135" si="71">+S135-1</f>
        <v>-15</v>
      </c>
      <c r="U135" s="12"/>
      <c r="V135" s="12"/>
      <c r="W135" s="12"/>
    </row>
    <row r="136" spans="1:23" x14ac:dyDescent="0.2">
      <c r="A136" s="43"/>
      <c r="B136" s="44"/>
      <c r="C136" s="6"/>
      <c r="E136" s="22"/>
      <c r="F136" s="193"/>
      <c r="G136" s="134" t="e">
        <f t="shared" ref="G136:S136" ca="1" si="72">MATCH(VALUE(LEFT(G134,4)),OFFSET(MP_BV_WP,-1,0,1,),0)</f>
        <v>#N/A</v>
      </c>
      <c r="H136" s="134" t="e">
        <f t="shared" ca="1" si="72"/>
        <v>#N/A</v>
      </c>
      <c r="I136" s="134">
        <f t="shared" ca="1" si="72"/>
        <v>6</v>
      </c>
      <c r="J136" s="134">
        <f t="shared" ca="1" si="72"/>
        <v>7</v>
      </c>
      <c r="K136" s="134">
        <f t="shared" ca="1" si="72"/>
        <v>8</v>
      </c>
      <c r="L136" s="134">
        <f t="shared" ca="1" si="72"/>
        <v>9</v>
      </c>
      <c r="M136" s="134">
        <f t="shared" ca="1" si="72"/>
        <v>10</v>
      </c>
      <c r="N136" s="134">
        <f t="shared" ca="1" si="72"/>
        <v>11</v>
      </c>
      <c r="O136" s="134">
        <f t="shared" ca="1" si="72"/>
        <v>12</v>
      </c>
      <c r="P136" s="134">
        <f t="shared" ca="1" si="72"/>
        <v>13</v>
      </c>
      <c r="Q136" s="134">
        <f t="shared" ca="1" si="72"/>
        <v>14</v>
      </c>
      <c r="R136" s="134">
        <f t="shared" ca="1" si="72"/>
        <v>15</v>
      </c>
      <c r="S136" s="134">
        <f t="shared" ca="1" si="72"/>
        <v>16</v>
      </c>
      <c r="T136" s="134">
        <f t="shared" ref="T136" ca="1" si="73">MATCH(VALUE(LEFT(T134,4)),OFFSET(MP_BV_WP,-1,0,1,),0)</f>
        <v>17</v>
      </c>
      <c r="U136" s="52"/>
      <c r="V136" s="52"/>
      <c r="W136" s="52"/>
    </row>
    <row r="137" spans="1:23" x14ac:dyDescent="0.2">
      <c r="A137" s="51" t="str">
        <f t="shared" ref="A137:A153" si="74">A14</f>
        <v>ALE</v>
      </c>
      <c r="B137" s="46">
        <f t="shared" ref="B137:B153" ca="1" si="75">MATCH(A137,OFFSET(MP_BV_WP,0,0,,1),0)</f>
        <v>2</v>
      </c>
      <c r="C137" s="1">
        <f>IF(ISERROR(D137),"",IF(D137="","",MAX($C$135:C136)+1))</f>
        <v>1</v>
      </c>
      <c r="D137" t="str">
        <f t="shared" ref="D137:D153" si="76">D14</f>
        <v xml:space="preserve">ALLETE                        </v>
      </c>
      <c r="E137" s="22"/>
      <c r="F137" s="63">
        <f ca="1">AVERAGE(G137:T137)</f>
        <v>1.5922129935356062</v>
      </c>
      <c r="G137" s="63">
        <f t="shared" ref="G137:G182" si="77">IFERROR(IF(VLOOKUP(A137,LUCurYr,18,FALSE)=0,"",VLOOKUP(A137,LUCurYr,18,FALSE)),"N/A")</f>
        <v>1.7935174069627848</v>
      </c>
      <c r="H137" s="63">
        <f ca="1">IFERROR(VLOOKUP($A137,LASTYR,'2017'!$M$3,FALSE),"N/A")</f>
        <v>1.782230567771903</v>
      </c>
      <c r="I137" s="63">
        <f t="shared" ref="I137:T152" ca="1" si="78">IFERROR(IF(INDEX(MP_BV_WP,$B137,I$136)=0,"N/A",INDEX(MP_BV_WP,$B137,I$136)),"N/A")</f>
        <v>1.5329228350582995</v>
      </c>
      <c r="J137" s="63">
        <f t="shared" ca="1" si="78"/>
        <v>1.3727711688381754</v>
      </c>
      <c r="K137" s="63">
        <f t="shared" ca="1" si="78"/>
        <v>1.4249778969283859</v>
      </c>
      <c r="L137" s="63">
        <f t="shared" ca="1" si="78"/>
        <v>1.5076301754169621</v>
      </c>
      <c r="M137" s="63">
        <f t="shared" ca="1" si="78"/>
        <v>1.3442031362771472</v>
      </c>
      <c r="N137" s="63">
        <f t="shared" ca="1" si="78"/>
        <v>1.3500225843438378</v>
      </c>
      <c r="O137" s="63">
        <f t="shared" ca="1" si="78"/>
        <v>1.2833143821296262</v>
      </c>
      <c r="P137" s="63">
        <f t="shared" ca="1" si="78"/>
        <v>1.1509505415435886</v>
      </c>
      <c r="Q137" s="63">
        <f t="shared" ca="1" si="78"/>
        <v>1.5502739348074575</v>
      </c>
      <c r="R137" s="63">
        <f t="shared" ca="1" si="78"/>
        <v>1.8882621318954793</v>
      </c>
      <c r="S137" s="63">
        <f t="shared" ca="1" si="78"/>
        <v>2.092598511483494</v>
      </c>
      <c r="T137" s="63">
        <f t="shared" ca="1" si="78"/>
        <v>2.2173066360413438</v>
      </c>
      <c r="U137" s="17"/>
      <c r="V137" s="17"/>
      <c r="W137" s="17"/>
    </row>
    <row r="138" spans="1:23" x14ac:dyDescent="0.2">
      <c r="A138" s="51" t="str">
        <f t="shared" si="74"/>
        <v>LNT</v>
      </c>
      <c r="B138" s="46">
        <f t="shared" ca="1" si="75"/>
        <v>3</v>
      </c>
      <c r="C138" s="1">
        <f>IF(ISERROR(D138),"",IF(D138="","",MAX($C$135:C137)+1))</f>
        <v>2</v>
      </c>
      <c r="D138" t="str">
        <f t="shared" si="76"/>
        <v xml:space="preserve">Alliant Energy                </v>
      </c>
      <c r="E138" s="22"/>
      <c r="F138" s="63">
        <f t="shared" ref="F138:F182" ca="1" si="79">AVERAGE(G138:T138)</f>
        <v>1.6627444905025917</v>
      </c>
      <c r="G138" s="63">
        <f t="shared" si="77"/>
        <v>2.0643564356435644</v>
      </c>
      <c r="H138" s="63">
        <f ca="1">IFERROR(VLOOKUP($A138,LASTYR,'2017'!$M$3,FALSE),"N/A")</f>
        <v>2.3811073026201126</v>
      </c>
      <c r="I138" s="63">
        <f t="shared" ca="1" si="78"/>
        <v>2.1694865295053942</v>
      </c>
      <c r="J138" s="63">
        <f t="shared" ca="1" si="78"/>
        <v>1.8608944674628323</v>
      </c>
      <c r="K138" s="63">
        <f t="shared" ca="1" si="78"/>
        <v>1.8585949562532167</v>
      </c>
      <c r="L138" s="63">
        <f t="shared" ca="1" si="78"/>
        <v>1.6991683007640814</v>
      </c>
      <c r="M138" s="63">
        <f t="shared" ca="1" si="78"/>
        <v>1.5654605961906112</v>
      </c>
      <c r="N138" s="63">
        <f t="shared" ca="1" si="78"/>
        <v>1.4642593957258658</v>
      </c>
      <c r="O138" s="63">
        <f t="shared" ca="1" si="78"/>
        <v>1.3144784241588103</v>
      </c>
      <c r="P138" s="63">
        <f t="shared" ca="1" si="78"/>
        <v>1.0448273111589694</v>
      </c>
      <c r="Q138" s="63">
        <f t="shared" ca="1" si="78"/>
        <v>1.3346894069785635</v>
      </c>
      <c r="R138" s="63">
        <f t="shared" ca="1" si="78"/>
        <v>1.6693282844912742</v>
      </c>
      <c r="S138" s="63">
        <f t="shared" ca="1" si="78"/>
        <v>1.5176068675543097</v>
      </c>
      <c r="T138" s="63">
        <f t="shared" ca="1" si="78"/>
        <v>1.3341645885286784</v>
      </c>
      <c r="U138" s="17"/>
      <c r="V138" s="17"/>
      <c r="W138" s="17"/>
    </row>
    <row r="139" spans="1:23" x14ac:dyDescent="0.2">
      <c r="A139" s="51" t="str">
        <f t="shared" si="74"/>
        <v>AEE</v>
      </c>
      <c r="B139" s="46">
        <f t="shared" ca="1" si="75"/>
        <v>6</v>
      </c>
      <c r="C139" s="1">
        <f>IF(ISERROR(D139),"",IF(D139="","",MAX($C$135:C138)+1))</f>
        <v>3</v>
      </c>
      <c r="D139" t="str">
        <f t="shared" si="76"/>
        <v xml:space="preserve">Ameren Corp.                  </v>
      </c>
      <c r="E139" s="22"/>
      <c r="F139" s="63">
        <f t="shared" ca="1" si="79"/>
        <v>1.4002222128084019</v>
      </c>
      <c r="G139" s="63">
        <f t="shared" si="77"/>
        <v>1.9616613418530353</v>
      </c>
      <c r="H139" s="63">
        <f ca="1">IFERROR(VLOOKUP($A139,LASTYR,'2017'!$M$3,FALSE),"N/A")</f>
        <v>1.9268440961902187</v>
      </c>
      <c r="I139" s="63">
        <f t="shared" ca="1" si="78"/>
        <v>1.6747967479674797</v>
      </c>
      <c r="J139" s="63">
        <f t="shared" ca="1" si="78"/>
        <v>1.4586928424214904</v>
      </c>
      <c r="K139" s="63">
        <f t="shared" ca="1" si="78"/>
        <v>1.4491994072360572</v>
      </c>
      <c r="L139" s="63">
        <f t="shared" ca="1" si="78"/>
        <v>1.2860109005969376</v>
      </c>
      <c r="M139" s="63">
        <f t="shared" ca="1" si="78"/>
        <v>1.180071148274471</v>
      </c>
      <c r="N139" s="63">
        <f t="shared" ca="1" si="78"/>
        <v>0.90303902947123327</v>
      </c>
      <c r="O139" s="63">
        <f t="shared" ca="1" si="78"/>
        <v>0.83169025034986777</v>
      </c>
      <c r="P139" s="63">
        <f t="shared" ca="1" si="78"/>
        <v>0.77828834003446301</v>
      </c>
      <c r="Q139" s="63">
        <f t="shared" ca="1" si="78"/>
        <v>1.2473626440636625</v>
      </c>
      <c r="R139" s="63">
        <f t="shared" ca="1" si="78"/>
        <v>1.6041955884621317</v>
      </c>
      <c r="S139" s="63">
        <f t="shared" ca="1" si="78"/>
        <v>1.61828395681647</v>
      </c>
      <c r="T139" s="63">
        <f t="shared" ca="1" si="78"/>
        <v>1.6829746855801089</v>
      </c>
      <c r="U139" s="17"/>
      <c r="V139" s="17"/>
      <c r="W139" s="17"/>
    </row>
    <row r="140" spans="1:23" x14ac:dyDescent="0.2">
      <c r="A140" s="51" t="str">
        <f t="shared" si="74"/>
        <v>AEP</v>
      </c>
      <c r="B140" s="46">
        <f t="shared" ca="1" si="75"/>
        <v>7</v>
      </c>
      <c r="C140" s="1">
        <f>IF(ISERROR(D140),"",IF(D140="","",MAX($C$135:C139)+1))</f>
        <v>4</v>
      </c>
      <c r="D140" t="str">
        <f t="shared" si="76"/>
        <v>American Electric Power</v>
      </c>
      <c r="E140" s="22"/>
      <c r="F140" s="63">
        <f t="shared" ca="1" si="79"/>
        <v>1.5237250673999316</v>
      </c>
      <c r="G140" s="63">
        <f t="shared" si="77"/>
        <v>1.8369987063389392</v>
      </c>
      <c r="H140" s="63">
        <f ca="1">IFERROR(VLOOKUP($A140,LASTYR,'2017'!$M$3,FALSE),"N/A")</f>
        <v>1.8825602668962549</v>
      </c>
      <c r="I140" s="63">
        <f t="shared" ca="1" si="78"/>
        <v>1.8122102882984736</v>
      </c>
      <c r="J140" s="63">
        <f t="shared" ca="1" si="78"/>
        <v>1.5537532592287633</v>
      </c>
      <c r="K140" s="63">
        <f t="shared" ca="1" si="78"/>
        <v>1.5428596368715082</v>
      </c>
      <c r="L140" s="63">
        <f t="shared" ca="1" si="78"/>
        <v>1.3977134885977682</v>
      </c>
      <c r="M140" s="63">
        <f t="shared" ca="1" si="78"/>
        <v>1.3076849520288147</v>
      </c>
      <c r="N140" s="63">
        <f t="shared" ca="1" si="78"/>
        <v>1.2297422034680556</v>
      </c>
      <c r="O140" s="63">
        <f t="shared" ca="1" si="78"/>
        <v>1.2311873499929407</v>
      </c>
      <c r="P140" s="63">
        <f t="shared" ca="1" si="78"/>
        <v>1.0840064032598413</v>
      </c>
      <c r="Q140" s="63">
        <f t="shared" ca="1" si="78"/>
        <v>1.4829681388372007</v>
      </c>
      <c r="R140" s="63">
        <f t="shared" ca="1" si="78"/>
        <v>1.8483969647610348</v>
      </c>
      <c r="S140" s="63">
        <f t="shared" ca="1" si="78"/>
        <v>1.5556538964049396</v>
      </c>
      <c r="T140" s="63">
        <f t="shared" ca="1" si="78"/>
        <v>1.5664153886145047</v>
      </c>
      <c r="U140" s="17"/>
      <c r="V140" s="17"/>
      <c r="W140" s="17"/>
    </row>
    <row r="141" spans="1:23" x14ac:dyDescent="0.2">
      <c r="A141" s="51" t="str">
        <f t="shared" si="74"/>
        <v>AGR</v>
      </c>
      <c r="B141" s="46">
        <f t="shared" ca="1" si="75"/>
        <v>10</v>
      </c>
      <c r="C141" s="1">
        <f>IF(ISERROR(D141),"",IF(D141="","",MAX($C$135:C140)+1))</f>
        <v>5</v>
      </c>
      <c r="D141" t="str">
        <f t="shared" si="76"/>
        <v>Avangrid, Inc.</v>
      </c>
      <c r="E141" s="22"/>
      <c r="F141" s="63">
        <f t="shared" ca="1" si="79"/>
        <v>0.87463993482909752</v>
      </c>
      <c r="G141" s="63">
        <f t="shared" si="77"/>
        <v>1.0131979695431472</v>
      </c>
      <c r="H141" s="63">
        <f ca="1">IFERROR(VLOOKUP($A141,LASTYR,'2017'!$M$3,FALSE),"N/A")</f>
        <v>0.93322675848499748</v>
      </c>
      <c r="I141" s="63">
        <f t="shared" ca="1" si="78"/>
        <v>0.82978853940856478</v>
      </c>
      <c r="J141" s="63">
        <f t="shared" ca="1" si="78"/>
        <v>0.72234647187968071</v>
      </c>
      <c r="K141" s="63" t="str">
        <f t="shared" ca="1" si="78"/>
        <v>N/A</v>
      </c>
      <c r="L141" s="63" t="str">
        <f t="shared" ca="1" si="78"/>
        <v>N/A</v>
      </c>
      <c r="M141" s="63" t="str">
        <f t="shared" ca="1" si="78"/>
        <v>N/A</v>
      </c>
      <c r="N141" s="63" t="str">
        <f t="shared" ca="1" si="78"/>
        <v>N/A</v>
      </c>
      <c r="O141" s="63" t="str">
        <f t="shared" ca="1" si="78"/>
        <v>N/A</v>
      </c>
      <c r="P141" s="63" t="str">
        <f t="shared" ca="1" si="78"/>
        <v>N/A</v>
      </c>
      <c r="Q141" s="63" t="str">
        <f t="shared" ca="1" si="78"/>
        <v>N/A</v>
      </c>
      <c r="R141" s="63" t="str">
        <f t="shared" ca="1" si="78"/>
        <v>N/A</v>
      </c>
      <c r="S141" s="63" t="str">
        <f t="shared" ca="1" si="78"/>
        <v>N/A</v>
      </c>
      <c r="T141" s="63" t="str">
        <f t="shared" ca="1" si="78"/>
        <v>N/A</v>
      </c>
      <c r="U141" s="17"/>
      <c r="V141" s="17"/>
      <c r="W141" s="17"/>
    </row>
    <row r="142" spans="1:23" x14ac:dyDescent="0.2">
      <c r="A142" s="51" t="str">
        <f t="shared" si="74"/>
        <v>AVA</v>
      </c>
      <c r="B142" s="46">
        <f t="shared" ca="1" si="75"/>
        <v>11</v>
      </c>
      <c r="C142" s="1">
        <f>IF(ISERROR(D142),"",IF(D142="","",MAX($C$135:C141)+1))</f>
        <v>6</v>
      </c>
      <c r="D142" t="str">
        <f t="shared" si="76"/>
        <v xml:space="preserve">Avista Corp.                  </v>
      </c>
      <c r="E142" s="22"/>
      <c r="F142" s="63">
        <f t="shared" ca="1" si="79"/>
        <v>1.3081388364864381</v>
      </c>
      <c r="G142" s="63">
        <f t="shared" si="77"/>
        <v>1.838827838827839</v>
      </c>
      <c r="H142" s="63">
        <f ca="1">IFERROR(VLOOKUP($A142,LASTYR,'2017'!$M$3,FALSE),"N/A")</f>
        <v>1.7256550053006212</v>
      </c>
      <c r="I142" s="63">
        <f t="shared" ca="1" si="78"/>
        <v>1.5731916218951958</v>
      </c>
      <c r="J142" s="63">
        <f t="shared" ca="1" si="78"/>
        <v>1.3561878362954509</v>
      </c>
      <c r="K142" s="63">
        <f t="shared" ca="1" si="78"/>
        <v>1.3340185426018374</v>
      </c>
      <c r="L142" s="63">
        <f t="shared" ca="1" si="78"/>
        <v>1.2528459046737623</v>
      </c>
      <c r="M142" s="63">
        <f t="shared" ca="1" si="78"/>
        <v>1.2096689936838108</v>
      </c>
      <c r="N142" s="63">
        <f t="shared" ca="1" si="78"/>
        <v>1.1931017491993101</v>
      </c>
      <c r="O142" s="63">
        <f t="shared" ca="1" si="78"/>
        <v>1.0665178344918564</v>
      </c>
      <c r="P142" s="63">
        <f t="shared" ca="1" si="78"/>
        <v>0.94084815606906258</v>
      </c>
      <c r="Q142" s="63">
        <f t="shared" ca="1" si="78"/>
        <v>1.1129208570179274</v>
      </c>
      <c r="R142" s="63">
        <f t="shared" ca="1" si="78"/>
        <v>1.2869051754081278</v>
      </c>
      <c r="S142" s="63">
        <f t="shared" ca="1" si="78"/>
        <v>1.2958359585314163</v>
      </c>
      <c r="T142" s="63">
        <f t="shared" ca="1" si="78"/>
        <v>1.1274182368139138</v>
      </c>
      <c r="U142" s="17"/>
      <c r="V142" s="17"/>
      <c r="W142" s="17"/>
    </row>
    <row r="143" spans="1:23" x14ac:dyDescent="0.2">
      <c r="A143" s="51" t="str">
        <f t="shared" si="74"/>
        <v>BKH</v>
      </c>
      <c r="B143" s="46">
        <f t="shared" ca="1" si="75"/>
        <v>12</v>
      </c>
      <c r="C143" s="1">
        <f>IF(ISERROR(D143),"",IF(D143="","",MAX($C$135:C142)+1))</f>
        <v>7</v>
      </c>
      <c r="D143" t="str">
        <f t="shared" si="76"/>
        <v xml:space="preserve">Black Hills                   </v>
      </c>
      <c r="E143" s="22"/>
      <c r="F143" s="63">
        <f t="shared" ca="1" si="79"/>
        <v>1.4823656138619916</v>
      </c>
      <c r="G143" s="63">
        <f t="shared" si="77"/>
        <v>1.6027972027972026</v>
      </c>
      <c r="H143" s="63">
        <f ca="1">IFERROR(VLOOKUP($A143,LASTYR,'2017'!$M$3,FALSE),"N/A")</f>
        <v>2.0625959459882828</v>
      </c>
      <c r="I143" s="63">
        <f t="shared" ca="1" si="78"/>
        <v>1.9380103811948293</v>
      </c>
      <c r="J143" s="63">
        <f t="shared" ca="1" si="78"/>
        <v>1.5948314999126942</v>
      </c>
      <c r="K143" s="63">
        <f t="shared" ca="1" si="78"/>
        <v>1.7853780475927667</v>
      </c>
      <c r="L143" s="63">
        <f t="shared" ca="1" si="78"/>
        <v>1.6197087246495168</v>
      </c>
      <c r="M143" s="63">
        <f t="shared" ca="1" si="78"/>
        <v>1.2104659086833327</v>
      </c>
      <c r="N143" s="63">
        <f t="shared" ca="1" si="78"/>
        <v>1.1419439198024117</v>
      </c>
      <c r="O143" s="63">
        <f t="shared" ca="1" si="78"/>
        <v>1.0721296263249938</v>
      </c>
      <c r="P143" s="63">
        <f t="shared" ca="1" si="78"/>
        <v>0.82718488451452998</v>
      </c>
      <c r="Q143" s="63">
        <f t="shared" ca="1" si="78"/>
        <v>1.2225368688168878</v>
      </c>
      <c r="R143" s="63">
        <f t="shared" ca="1" si="78"/>
        <v>1.5690179267342168</v>
      </c>
      <c r="S143" s="63">
        <f t="shared" ca="1" si="78"/>
        <v>1.4717857746240919</v>
      </c>
      <c r="T143" s="63">
        <f t="shared" ca="1" si="78"/>
        <v>1.6347318824321293</v>
      </c>
      <c r="U143" s="17"/>
      <c r="V143" s="17"/>
      <c r="W143" s="17"/>
    </row>
    <row r="144" spans="1:23" x14ac:dyDescent="0.2">
      <c r="A144" s="51" t="str">
        <f t="shared" si="74"/>
        <v>CNP</v>
      </c>
      <c r="B144" s="46">
        <f t="shared" ca="1" si="75"/>
        <v>14</v>
      </c>
      <c r="C144" s="1">
        <f>IF(ISERROR(D144),"",IF(D144="","",MAX($C$135:C143)+1))</f>
        <v>8</v>
      </c>
      <c r="D144" t="str">
        <f t="shared" si="76"/>
        <v xml:space="preserve">CenterPoint Energy            </v>
      </c>
      <c r="E144" s="22"/>
      <c r="F144" s="63">
        <f t="shared" ca="1" si="79"/>
        <v>2.3872517543617353</v>
      </c>
      <c r="G144" s="63">
        <f t="shared" si="77"/>
        <v>2.0891472868217056</v>
      </c>
      <c r="H144" s="63">
        <f ca="1">IFERROR(VLOOKUP($A144,LASTYR,'2017'!$M$3,FALSE),"N/A")</f>
        <v>2.5850496506068406</v>
      </c>
      <c r="I144" s="63">
        <f t="shared" ca="1" si="78"/>
        <v>2.7271595718197656</v>
      </c>
      <c r="J144" s="63">
        <f t="shared" ca="1" si="78"/>
        <v>2.4283761958007206</v>
      </c>
      <c r="K144" s="63">
        <f t="shared" ca="1" si="78"/>
        <v>2.2717668144514667</v>
      </c>
      <c r="L144" s="63">
        <f t="shared" ca="1" si="78"/>
        <v>2.3036369041720346</v>
      </c>
      <c r="M144" s="63">
        <f t="shared" ca="1" si="78"/>
        <v>1.9919499105545617</v>
      </c>
      <c r="N144" s="63">
        <f t="shared" ca="1" si="78"/>
        <v>1.8678102926337035</v>
      </c>
      <c r="O144" s="63">
        <f t="shared" ca="1" si="78"/>
        <v>1.9583001328021248</v>
      </c>
      <c r="P144" s="63">
        <f t="shared" ca="1" si="78"/>
        <v>1.7703384798099764</v>
      </c>
      <c r="Q144" s="63">
        <f t="shared" ca="1" si="78"/>
        <v>2.4896364254162417</v>
      </c>
      <c r="R144" s="63">
        <f t="shared" ca="1" si="78"/>
        <v>3.1292565519700482</v>
      </c>
      <c r="S144" s="63">
        <f t="shared" ca="1" si="78"/>
        <v>2.7518645434388227</v>
      </c>
      <c r="T144" s="63">
        <f t="shared" ca="1" si="78"/>
        <v>3.0572318007662833</v>
      </c>
      <c r="U144" s="17"/>
      <c r="V144" s="17"/>
      <c r="W144" s="17"/>
    </row>
    <row r="145" spans="1:23" x14ac:dyDescent="0.2">
      <c r="A145" s="51" t="str">
        <f t="shared" si="74"/>
        <v>CMS</v>
      </c>
      <c r="B145" s="46">
        <f t="shared" ca="1" si="75"/>
        <v>18</v>
      </c>
      <c r="C145" s="1">
        <f>IF(ISERROR(D145),"",IF(D145="","",MAX($C$135:C144)+1))</f>
        <v>9</v>
      </c>
      <c r="D145" t="str">
        <f t="shared" si="76"/>
        <v xml:space="preserve">CMS Energy Corp.              </v>
      </c>
      <c r="E145" s="22"/>
      <c r="F145" s="63">
        <f t="shared" ca="1" si="79"/>
        <v>1.9374358174082416</v>
      </c>
      <c r="G145" s="63">
        <f t="shared" si="77"/>
        <v>2.7669616519174043</v>
      </c>
      <c r="H145" s="63">
        <f ca="1">IFERROR(VLOOKUP($A145,LASTYR,'2017'!$M$3,FALSE),"N/A")</f>
        <v>2.9334728564180619</v>
      </c>
      <c r="I145" s="63">
        <f t="shared" ca="1" si="78"/>
        <v>2.7223608193277311</v>
      </c>
      <c r="J145" s="63">
        <f t="shared" ca="1" si="78"/>
        <v>2.4331362612612613</v>
      </c>
      <c r="K145" s="63">
        <f t="shared" ca="1" si="78"/>
        <v>2.2570485902819435</v>
      </c>
      <c r="L145" s="63">
        <f t="shared" ca="1" si="78"/>
        <v>2.0875192604006161</v>
      </c>
      <c r="M145" s="63">
        <f t="shared" ca="1" si="78"/>
        <v>1.9063998677029934</v>
      </c>
      <c r="N145" s="63">
        <f t="shared" ca="1" si="78"/>
        <v>1.656624989510783</v>
      </c>
      <c r="O145" s="63">
        <f t="shared" ca="1" si="78"/>
        <v>1.4805183199285077</v>
      </c>
      <c r="P145" s="63">
        <f t="shared" ca="1" si="78"/>
        <v>1.1041338237870031</v>
      </c>
      <c r="Q145" s="63">
        <f t="shared" ca="1" si="78"/>
        <v>1.2286265857694429</v>
      </c>
      <c r="R145" s="63">
        <f t="shared" ca="1" si="78"/>
        <v>1.8154529119543386</v>
      </c>
      <c r="S145" s="63">
        <f t="shared" ca="1" si="78"/>
        <v>1.4156362185879536</v>
      </c>
      <c r="T145" s="63">
        <f t="shared" ca="1" si="78"/>
        <v>1.3162092868673441</v>
      </c>
      <c r="U145" s="17"/>
      <c r="V145" s="17"/>
      <c r="W145" s="17"/>
    </row>
    <row r="146" spans="1:23" x14ac:dyDescent="0.2">
      <c r="A146" s="51" t="str">
        <f t="shared" si="74"/>
        <v>ED</v>
      </c>
      <c r="B146" s="46">
        <f t="shared" ca="1" si="75"/>
        <v>20</v>
      </c>
      <c r="C146" s="1">
        <f>IF(ISERROR(D146),"",IF(D146="","",MAX($C$135:C145)+1))</f>
        <v>10</v>
      </c>
      <c r="D146" t="str">
        <f t="shared" si="76"/>
        <v xml:space="preserve">Consol. Edison                </v>
      </c>
      <c r="E146" s="22"/>
      <c r="F146" s="63">
        <f t="shared" ca="1" si="79"/>
        <v>1.402306094008376</v>
      </c>
      <c r="G146" s="63">
        <f t="shared" si="77"/>
        <v>1.5145631067961165</v>
      </c>
      <c r="H146" s="63">
        <f ca="1">IFERROR(VLOOKUP($A146,LASTYR,'2017'!$M$3,FALSE),"N/A")</f>
        <v>1.6301196340605209</v>
      </c>
      <c r="I146" s="63">
        <f t="shared" ca="1" si="78"/>
        <v>1.5802171548027901</v>
      </c>
      <c r="J146" s="63">
        <f t="shared" ca="1" si="78"/>
        <v>1.4172989718493243</v>
      </c>
      <c r="K146" s="63">
        <f t="shared" ca="1" si="78"/>
        <v>1.3405449464368888</v>
      </c>
      <c r="L146" s="63">
        <f t="shared" ca="1" si="78"/>
        <v>1.3839033723989476</v>
      </c>
      <c r="M146" s="63">
        <f t="shared" ca="1" si="78"/>
        <v>1.4658737600552729</v>
      </c>
      <c r="N146" s="63">
        <f t="shared" ca="1" si="78"/>
        <v>1.3783486144547459</v>
      </c>
      <c r="O146" s="63">
        <f t="shared" ca="1" si="78"/>
        <v>1.2164777221196941</v>
      </c>
      <c r="P146" s="63">
        <f t="shared" ca="1" si="78"/>
        <v>1.0805332309295883</v>
      </c>
      <c r="Q146" s="63">
        <f t="shared" ca="1" si="78"/>
        <v>1.1650860852384985</v>
      </c>
      <c r="R146" s="63">
        <f t="shared" ca="1" si="78"/>
        <v>1.4720704683567614</v>
      </c>
      <c r="S146" s="63">
        <f t="shared" ca="1" si="78"/>
        <v>1.4693299880986845</v>
      </c>
      <c r="T146" s="63">
        <f t="shared" ca="1" si="78"/>
        <v>1.5179182605194284</v>
      </c>
      <c r="U146" s="17"/>
      <c r="V146" s="17"/>
      <c r="W146" s="17"/>
    </row>
    <row r="147" spans="1:23" x14ac:dyDescent="0.2">
      <c r="A147" s="51" t="str">
        <f t="shared" si="74"/>
        <v>D</v>
      </c>
      <c r="B147" s="46">
        <f t="shared" ca="1" si="75"/>
        <v>22</v>
      </c>
      <c r="C147" s="1">
        <f>IF(ISERROR(D147),"",IF(D147="","",MAX($C$135:C146)+1))</f>
        <v>11</v>
      </c>
      <c r="D147" t="str">
        <f t="shared" si="76"/>
        <v xml:space="preserve">Dominion Resources            </v>
      </c>
      <c r="E147" s="22"/>
      <c r="F147" s="63">
        <f t="shared" ca="1" si="79"/>
        <v>2.6508863772204156</v>
      </c>
      <c r="G147" s="63">
        <f t="shared" si="77"/>
        <v>2.4562607204116635</v>
      </c>
      <c r="H147" s="63">
        <f ca="1">IFERROR(VLOOKUP($A147,LASTYR,'2017'!$M$3,FALSE),"N/A")</f>
        <v>2.9432181401120596</v>
      </c>
      <c r="I147" s="63">
        <f t="shared" ca="1" si="78"/>
        <v>3.1532840440165066</v>
      </c>
      <c r="J147" s="63">
        <f t="shared" ca="1" si="78"/>
        <v>3.3353893963650063</v>
      </c>
      <c r="K147" s="63">
        <f t="shared" ca="1" si="78"/>
        <v>3.5490831729308074</v>
      </c>
      <c r="L147" s="63">
        <f t="shared" ca="1" si="78"/>
        <v>2.9701813096248939</v>
      </c>
      <c r="M147" s="63">
        <f t="shared" ca="1" si="78"/>
        <v>2.8351504579153946</v>
      </c>
      <c r="N147" s="63">
        <f t="shared" ca="1" si="78"/>
        <v>2.3725051017868695</v>
      </c>
      <c r="O147" s="63">
        <f t="shared" ca="1" si="78"/>
        <v>2.0075038729666925</v>
      </c>
      <c r="P147" s="63">
        <f t="shared" ca="1" si="78"/>
        <v>1.8027331189710611</v>
      </c>
      <c r="Q147" s="63">
        <f t="shared" ca="1" si="78"/>
        <v>2.4243301116962788</v>
      </c>
      <c r="R147" s="63">
        <f t="shared" ca="1" si="78"/>
        <v>2.6941190899613665</v>
      </c>
      <c r="S147" s="63">
        <f t="shared" ca="1" si="78"/>
        <v>2.0725945945945949</v>
      </c>
      <c r="T147" s="63">
        <f t="shared" ca="1" si="78"/>
        <v>2.4960561497326204</v>
      </c>
      <c r="U147" s="17"/>
      <c r="V147" s="17"/>
      <c r="W147" s="17"/>
    </row>
    <row r="148" spans="1:23" x14ac:dyDescent="0.2">
      <c r="A148" s="51" t="str">
        <f t="shared" si="74"/>
        <v>DTE</v>
      </c>
      <c r="B148" s="46">
        <f t="shared" ca="1" si="75"/>
        <v>23</v>
      </c>
      <c r="C148" s="1">
        <f>IF(ISERROR(D148),"",IF(D148="","",MAX($C$135:C147)+1))</f>
        <v>12</v>
      </c>
      <c r="D148" t="str">
        <f t="shared" si="76"/>
        <v xml:space="preserve">DTE Energy                    </v>
      </c>
      <c r="E148" s="22"/>
      <c r="F148" s="63">
        <f t="shared" ca="1" si="79"/>
        <v>1.4462569971162746</v>
      </c>
      <c r="G148" s="63">
        <f t="shared" si="77"/>
        <v>1.9154804270462633</v>
      </c>
      <c r="H148" s="63">
        <f ca="1">IFERROR(VLOOKUP($A148,LASTYR,'2017'!$M$3,FALSE),"N/A")</f>
        <v>2.0091843470061295</v>
      </c>
      <c r="I148" s="63">
        <f t="shared" ca="1" si="78"/>
        <v>1.8241303092455046</v>
      </c>
      <c r="J148" s="63">
        <f t="shared" ca="1" si="78"/>
        <v>1.6454160443562411</v>
      </c>
      <c r="K148" s="63">
        <f t="shared" ca="1" si="78"/>
        <v>1.6164980445502464</v>
      </c>
      <c r="L148" s="63">
        <f t="shared" ca="1" si="78"/>
        <v>1.5059804601041831</v>
      </c>
      <c r="M148" s="63">
        <f t="shared" ca="1" si="78"/>
        <v>1.3504523247387736</v>
      </c>
      <c r="N148" s="63">
        <f t="shared" ca="1" si="78"/>
        <v>1.1971844589863088</v>
      </c>
      <c r="O148" s="63">
        <f t="shared" ca="1" si="78"/>
        <v>1.1562444864524262</v>
      </c>
      <c r="P148" s="63">
        <f t="shared" ca="1" si="78"/>
        <v>0.88860786173464013</v>
      </c>
      <c r="Q148" s="63">
        <f t="shared" ca="1" si="78"/>
        <v>1.0994969408565602</v>
      </c>
      <c r="R148" s="63">
        <f t="shared" ca="1" si="78"/>
        <v>1.3549655576317037</v>
      </c>
      <c r="S148" s="63">
        <f t="shared" ca="1" si="78"/>
        <v>1.2934068263726946</v>
      </c>
      <c r="T148" s="63">
        <f t="shared" ca="1" si="78"/>
        <v>1.3905498705461719</v>
      </c>
      <c r="U148" s="17"/>
      <c r="V148" s="17"/>
      <c r="W148" s="17"/>
    </row>
    <row r="149" spans="1:23" x14ac:dyDescent="0.2">
      <c r="A149" s="51" t="str">
        <f t="shared" si="74"/>
        <v>DUK</v>
      </c>
      <c r="B149" s="46">
        <f t="shared" ca="1" si="75"/>
        <v>24</v>
      </c>
      <c r="C149" s="1">
        <f>IF(ISERROR(D149),"",IF(D149="","",MAX($C$135:C148)+1))</f>
        <v>13</v>
      </c>
      <c r="D149" t="str">
        <f t="shared" si="76"/>
        <v xml:space="preserve">Duke Energy                   </v>
      </c>
      <c r="E149" s="22"/>
      <c r="F149" s="63">
        <f t="shared" ca="1" si="79"/>
        <v>1.1800588088251722</v>
      </c>
      <c r="G149" s="63">
        <f t="shared" si="77"/>
        <v>1.2972749793559042</v>
      </c>
      <c r="H149" s="63">
        <f ca="1">IFERROR(VLOOKUP($A149,LASTYR,'2017'!$M$3,FALSE),"N/A")</f>
        <v>1.4102168480721822</v>
      </c>
      <c r="I149" s="63">
        <f t="shared" ca="1" si="78"/>
        <v>1.3450075913952815</v>
      </c>
      <c r="J149" s="63">
        <f t="shared" ca="1" si="78"/>
        <v>1.2935593924804738</v>
      </c>
      <c r="K149" s="63">
        <f t="shared" ca="1" si="78"/>
        <v>1.2795814235060106</v>
      </c>
      <c r="L149" s="63">
        <f t="shared" ca="1" si="78"/>
        <v>1.1862967834509148</v>
      </c>
      <c r="M149" s="63">
        <f t="shared" ca="1" si="78"/>
        <v>1.1162221762800635</v>
      </c>
      <c r="N149" s="63">
        <f t="shared" ca="1" si="78"/>
        <v>1.1141767696519358</v>
      </c>
      <c r="O149" s="63">
        <f t="shared" ca="1" si="78"/>
        <v>1.0029108073556889</v>
      </c>
      <c r="P149" s="63">
        <f t="shared" ca="1" si="78"/>
        <v>0.90554039958276511</v>
      </c>
      <c r="Q149" s="63">
        <f t="shared" ca="1" si="78"/>
        <v>1.0578123421876577</v>
      </c>
      <c r="R149" s="63">
        <f t="shared" ca="1" si="78"/>
        <v>1.1521061925831861</v>
      </c>
      <c r="S149" s="63" t="str">
        <f t="shared" ca="1" si="78"/>
        <v>N/A</v>
      </c>
      <c r="T149" s="63" t="str">
        <f t="shared" ca="1" si="78"/>
        <v>N/A</v>
      </c>
      <c r="U149" s="17"/>
      <c r="V149" s="17"/>
      <c r="W149" s="17"/>
    </row>
    <row r="150" spans="1:23" x14ac:dyDescent="0.2">
      <c r="A150" s="51" t="str">
        <f t="shared" si="74"/>
        <v>EIX</v>
      </c>
      <c r="B150" s="46">
        <f t="shared" ca="1" si="75"/>
        <v>25</v>
      </c>
      <c r="C150" s="1">
        <f>IF(ISERROR(D150),"",IF(D150="","",MAX($C$135:C149)+1))</f>
        <v>14</v>
      </c>
      <c r="D150" t="str">
        <f t="shared" si="76"/>
        <v xml:space="preserve">Edison Int'l                  </v>
      </c>
      <c r="E150" s="22"/>
      <c r="F150" s="63">
        <f t="shared" ca="1" si="79"/>
        <v>1.6461802923600322</v>
      </c>
      <c r="G150" s="63">
        <f t="shared" si="77"/>
        <v>1.7378378378378379</v>
      </c>
      <c r="H150" s="63">
        <f ca="1">IFERROR(VLOOKUP($A150,LASTYR,'2017'!$M$3,FALSE),"N/A")</f>
        <v>2.1698724212054383</v>
      </c>
      <c r="I150" s="63">
        <f t="shared" ca="1" si="78"/>
        <v>1.9175968929085525</v>
      </c>
      <c r="J150" s="63">
        <f t="shared" ca="1" si="78"/>
        <v>1.756384167836978</v>
      </c>
      <c r="K150" s="63">
        <f t="shared" ca="1" si="78"/>
        <v>1.6797764499539225</v>
      </c>
      <c r="L150" s="63">
        <f t="shared" ca="1" si="78"/>
        <v>1.5737984394465936</v>
      </c>
      <c r="M150" s="63">
        <f t="shared" ca="1" si="78"/>
        <v>1.5256140108466612</v>
      </c>
      <c r="N150" s="63">
        <f t="shared" ca="1" si="78"/>
        <v>1.2358316321570915</v>
      </c>
      <c r="O150" s="63">
        <f t="shared" ca="1" si="78"/>
        <v>1.065563158868134</v>
      </c>
      <c r="P150" s="63">
        <f t="shared" ca="1" si="78"/>
        <v>1.0424433040887271</v>
      </c>
      <c r="Q150" s="63">
        <f t="shared" ca="1" si="78"/>
        <v>1.5568298527901403</v>
      </c>
      <c r="R150" s="63">
        <f t="shared" ca="1" si="78"/>
        <v>2.0532469035768028</v>
      </c>
      <c r="S150" s="63">
        <f t="shared" ca="1" si="78"/>
        <v>1.8003888254934277</v>
      </c>
      <c r="T150" s="63">
        <f t="shared" ca="1" si="78"/>
        <v>1.9313401960301435</v>
      </c>
      <c r="U150" s="17"/>
      <c r="V150" s="17"/>
      <c r="W150" s="17"/>
    </row>
    <row r="151" spans="1:23" x14ac:dyDescent="0.2">
      <c r="A151" s="51" t="str">
        <f t="shared" si="74"/>
        <v>EE</v>
      </c>
      <c r="B151" s="46">
        <f t="shared" ca="1" si="75"/>
        <v>26</v>
      </c>
      <c r="C151" s="1">
        <f>IF(ISERROR(D151),"",IF(D151="","",MAX($C$135:C150)+1))</f>
        <v>15</v>
      </c>
      <c r="D151" t="str">
        <f t="shared" si="76"/>
        <v xml:space="preserve">El Paso Electric              </v>
      </c>
      <c r="E151" s="22"/>
      <c r="F151" s="63">
        <f t="shared" ca="1" si="79"/>
        <v>1.55925274541147</v>
      </c>
      <c r="G151" s="63">
        <f t="shared" si="77"/>
        <v>1.9197952218430034</v>
      </c>
      <c r="H151" s="63">
        <f ca="1">IFERROR(VLOOKUP($A151,LASTYR,'2017'!$M$3,FALSE),"N/A")</f>
        <v>1.873112319226806</v>
      </c>
      <c r="I151" s="63">
        <f t="shared" ca="1" si="78"/>
        <v>1.6815627710525325</v>
      </c>
      <c r="J151" s="63">
        <f t="shared" ca="1" si="78"/>
        <v>1.4802864531529738</v>
      </c>
      <c r="K151" s="63">
        <f t="shared" ca="1" si="78"/>
        <v>1.5248677682561811</v>
      </c>
      <c r="L151" s="63">
        <f t="shared" ca="1" si="78"/>
        <v>1.490315699658703</v>
      </c>
      <c r="M151" s="63">
        <f t="shared" ca="1" si="78"/>
        <v>1.590411824767832</v>
      </c>
      <c r="N151" s="63">
        <f t="shared" ca="1" si="78"/>
        <v>1.641753390097761</v>
      </c>
      <c r="O151" s="63">
        <f t="shared" ca="1" si="78"/>
        <v>1.165686068501786</v>
      </c>
      <c r="P151" s="63">
        <f t="shared" ca="1" si="78"/>
        <v>0.9839552692354443</v>
      </c>
      <c r="Q151" s="63">
        <f t="shared" ca="1" si="78"/>
        <v>1.330380810758389</v>
      </c>
      <c r="R151" s="63">
        <f t="shared" ca="1" si="78"/>
        <v>1.6851161845403428</v>
      </c>
      <c r="S151" s="63">
        <f t="shared" ca="1" si="78"/>
        <v>1.7050702213758631</v>
      </c>
      <c r="T151" s="63">
        <f t="shared" ca="1" si="78"/>
        <v>1.7572244332929572</v>
      </c>
      <c r="U151" s="17"/>
      <c r="V151" s="17"/>
      <c r="W151" s="17"/>
    </row>
    <row r="152" spans="1:23" x14ac:dyDescent="0.2">
      <c r="A152" s="51" t="str">
        <f t="shared" si="74"/>
        <v>ETR</v>
      </c>
      <c r="B152" s="46">
        <f t="shared" ca="1" si="75"/>
        <v>28</v>
      </c>
      <c r="C152" s="1">
        <f>IF(ISERROR(D152),"",IF(D152="","",MAX($C$135:C151)+1))</f>
        <v>16</v>
      </c>
      <c r="D152" t="str">
        <f t="shared" si="76"/>
        <v xml:space="preserve">Entergy Corp.                 </v>
      </c>
      <c r="E152" s="22"/>
      <c r="F152" s="63">
        <f t="shared" ca="1" si="79"/>
        <v>1.7166697867691887</v>
      </c>
      <c r="G152" s="63">
        <f t="shared" si="77"/>
        <v>1.7362755651237891</v>
      </c>
      <c r="H152" s="63">
        <f ca="1">IFERROR(VLOOKUP($A152,LASTYR,'2017'!$M$3,FALSE),"N/A")</f>
        <v>1.7593730237600504</v>
      </c>
      <c r="I152" s="63">
        <f t="shared" ca="1" si="78"/>
        <v>1.6655141077642575</v>
      </c>
      <c r="J152" s="63">
        <f t="shared" ca="1" si="78"/>
        <v>1.4028444238885356</v>
      </c>
      <c r="K152" s="63">
        <f t="shared" ca="1" si="78"/>
        <v>1.3316258910341368</v>
      </c>
      <c r="L152" s="63">
        <f t="shared" ca="1" si="78"/>
        <v>1.2136587533795045</v>
      </c>
      <c r="M152" s="63">
        <f t="shared" ca="1" si="78"/>
        <v>1.3062928951184145</v>
      </c>
      <c r="N152" s="63">
        <f t="shared" ca="1" si="78"/>
        <v>1.3464202778761758</v>
      </c>
      <c r="O152" s="63">
        <f t="shared" ca="1" si="78"/>
        <v>1.6211894894073591</v>
      </c>
      <c r="P152" s="63">
        <f t="shared" ca="1" si="78"/>
        <v>1.6572840048303874</v>
      </c>
      <c r="Q152" s="63">
        <f t="shared" ca="1" si="78"/>
        <v>2.4398992179886383</v>
      </c>
      <c r="R152" s="63">
        <f t="shared" ca="1" si="78"/>
        <v>2.6549835437441667</v>
      </c>
      <c r="S152" s="63">
        <f t="shared" ca="1" si="78"/>
        <v>1.8917428924598267</v>
      </c>
      <c r="T152" s="63">
        <f t="shared" ca="1" si="78"/>
        <v>2.0062729283934018</v>
      </c>
      <c r="U152" s="17"/>
      <c r="V152" s="17"/>
      <c r="W152" s="17"/>
    </row>
    <row r="153" spans="1:23" x14ac:dyDescent="0.2">
      <c r="A153" s="51" t="str">
        <f t="shared" si="74"/>
        <v>ES</v>
      </c>
      <c r="B153" s="46">
        <f t="shared" ca="1" si="75"/>
        <v>29</v>
      </c>
      <c r="C153" s="1">
        <f>IF(ISERROR(D153),"",IF(D153="","",MAX($C$135:C152)+1))</f>
        <v>17</v>
      </c>
      <c r="D153" t="str">
        <f t="shared" si="76"/>
        <v xml:space="preserve">Eversource Energy    </v>
      </c>
      <c r="E153" s="22"/>
      <c r="F153" s="63">
        <f t="shared" ca="1" si="79"/>
        <v>1.4120071838650834</v>
      </c>
      <c r="G153" s="63">
        <f t="shared" si="77"/>
        <v>1.6289655172413793</v>
      </c>
      <c r="H153" s="63">
        <f ca="1">IFERROR(VLOOKUP($A153,LASTYR,'2017'!$M$3,FALSE),"N/A")</f>
        <v>1.7303701586394169</v>
      </c>
      <c r="I153" s="63">
        <f t="shared" ref="I153:T177" ca="1" si="80">IFERROR(IF(INDEX(MP_BV_WP,$B153,I$136)=0,"N/A",INDEX(MP_BV_WP,$B153,I$136)),"N/A")</f>
        <v>1.6367482176138213</v>
      </c>
      <c r="J153" s="63">
        <f t="shared" ref="J153:T177" ca="1" si="81">IFERROR(IF(INDEX(MP_BV_WP,$B153,J$136)=0,"N/A",INDEX(MP_BV_WP,$B153,J$136)),"N/A")</f>
        <v>1.5314826730398012</v>
      </c>
      <c r="K153" s="63">
        <f t="shared" ca="1" si="81"/>
        <v>1.4689267331765901</v>
      </c>
      <c r="L153" s="63">
        <f t="shared" ca="1" si="81"/>
        <v>1.3836843141113953</v>
      </c>
      <c r="M153" s="63">
        <f t="shared" ca="1" si="81"/>
        <v>1.275873793009656</v>
      </c>
      <c r="N153" s="63">
        <f t="shared" ca="1" si="81"/>
        <v>1.5045033112582782</v>
      </c>
      <c r="O153" s="63">
        <f t="shared" ca="1" si="81"/>
        <v>1.3051067179036067</v>
      </c>
      <c r="P153" s="63">
        <f t="shared" ca="1" si="81"/>
        <v>1.1212879791881412</v>
      </c>
      <c r="Q153" s="63">
        <f t="shared" ca="1" si="81"/>
        <v>1.3111134041894539</v>
      </c>
      <c r="R153" s="63">
        <f t="shared" ca="1" si="81"/>
        <v>1.5980055758095646</v>
      </c>
      <c r="S153" s="63">
        <f t="shared" ca="1" si="81"/>
        <v>1.2232265887670175</v>
      </c>
      <c r="T153" s="63">
        <f t="shared" ca="1" si="81"/>
        <v>1.0488055901630464</v>
      </c>
      <c r="U153" s="17"/>
      <c r="V153" s="17"/>
      <c r="W153" s="17"/>
    </row>
    <row r="154" spans="1:23" x14ac:dyDescent="0.2">
      <c r="A154" s="51" t="s">
        <v>487</v>
      </c>
      <c r="B154" s="46" t="e">
        <f t="shared" ref="B154:B155" ca="1" si="82">MATCH(A154,OFFSET(MP_BV_WP,0,0,,1),0)</f>
        <v>#N/A</v>
      </c>
      <c r="C154" s="1">
        <f>IF(ISERROR(D154),"",IF(D154="","",MAX($C$135:C153)+1))</f>
        <v>18</v>
      </c>
      <c r="D154" t="s">
        <v>488</v>
      </c>
      <c r="E154" s="22"/>
      <c r="F154" s="63">
        <f t="shared" ref="F154" ca="1" si="83">AVERAGE(G154:T154)</f>
        <v>1.6045845272206305</v>
      </c>
      <c r="G154" s="63">
        <f t="shared" ref="G154" si="84">IFERROR(IF(VLOOKUP(A154,LUCurYr,18,FALSE)=0,"",VLOOKUP(A154,LUCurYr,18,FALSE)),"N/A")</f>
        <v>1.6045845272206305</v>
      </c>
      <c r="H154" s="63" t="str">
        <f ca="1">IFERROR(VLOOKUP($A154,LASTYR,'2017'!$M$3,FALSE),"N/A")</f>
        <v>N/A</v>
      </c>
      <c r="I154" s="63" t="str">
        <f t="shared" ca="1" si="80"/>
        <v>N/A</v>
      </c>
      <c r="J154" s="63" t="str">
        <f t="shared" ca="1" si="80"/>
        <v>N/A</v>
      </c>
      <c r="K154" s="63" t="str">
        <f t="shared" ca="1" si="80"/>
        <v>N/A</v>
      </c>
      <c r="L154" s="63" t="str">
        <f t="shared" ca="1" si="80"/>
        <v>N/A</v>
      </c>
      <c r="M154" s="63" t="str">
        <f t="shared" ca="1" si="80"/>
        <v>N/A</v>
      </c>
      <c r="N154" s="63" t="str">
        <f t="shared" ca="1" si="80"/>
        <v>N/A</v>
      </c>
      <c r="O154" s="63" t="str">
        <f t="shared" ca="1" si="80"/>
        <v>N/A</v>
      </c>
      <c r="P154" s="63" t="str">
        <f t="shared" ca="1" si="80"/>
        <v>N/A</v>
      </c>
      <c r="Q154" s="63" t="str">
        <f t="shared" ca="1" si="80"/>
        <v>N/A</v>
      </c>
      <c r="R154" s="63" t="str">
        <f t="shared" ca="1" si="80"/>
        <v>N/A</v>
      </c>
      <c r="S154" s="63" t="str">
        <f t="shared" ca="1" si="80"/>
        <v>N/A</v>
      </c>
      <c r="T154" s="63" t="str">
        <f t="shared" ca="1" si="80"/>
        <v>N/A</v>
      </c>
      <c r="U154" s="17"/>
      <c r="V154" s="17"/>
      <c r="W154" s="17"/>
    </row>
    <row r="155" spans="1:23" x14ac:dyDescent="0.2">
      <c r="A155" s="51" t="str">
        <f t="shared" ref="A155:A182" si="85">A32</f>
        <v>EXC</v>
      </c>
      <c r="B155" s="46">
        <f t="shared" ca="1" si="82"/>
        <v>30</v>
      </c>
      <c r="C155" s="1">
        <f>IF(ISERROR(D155),"",IF(D155="","",MAX($C$135:C154)+1))</f>
        <v>19</v>
      </c>
      <c r="D155" t="str">
        <f t="shared" ref="D155:D182" si="86">D32</f>
        <v xml:space="preserve">Exelon Corp.                  </v>
      </c>
      <c r="E155" s="22"/>
      <c r="F155" s="63">
        <f t="shared" ca="1" si="79"/>
        <v>2.2839512583267134</v>
      </c>
      <c r="G155" s="63">
        <f t="shared" si="77"/>
        <v>1.2550544323483672</v>
      </c>
      <c r="H155" s="63">
        <f ca="1">IFERROR(VLOOKUP($A155,LASTYR,'2017'!$M$3,FALSE),"N/A")</f>
        <v>1.2028845223114897</v>
      </c>
      <c r="I155" s="63">
        <f t="shared" ca="1" si="80"/>
        <v>1.2026036264797395</v>
      </c>
      <c r="J155" s="63">
        <f t="shared" ca="1" si="81"/>
        <v>1.1392752692774093</v>
      </c>
      <c r="K155" s="63">
        <f t="shared" ca="1" si="81"/>
        <v>1.2793519187616476</v>
      </c>
      <c r="L155" s="63">
        <f t="shared" ca="1" si="81"/>
        <v>1.1702368381354655</v>
      </c>
      <c r="M155" s="63">
        <f t="shared" ca="1" si="81"/>
        <v>1.460992342054882</v>
      </c>
      <c r="N155" s="63">
        <f t="shared" ca="1" si="81"/>
        <v>1.9543463223426334</v>
      </c>
      <c r="O155" s="63">
        <f t="shared" ca="1" si="81"/>
        <v>2.0720909800859042</v>
      </c>
      <c r="P155" s="63">
        <f t="shared" ca="1" si="81"/>
        <v>2.5723680776658489</v>
      </c>
      <c r="Q155" s="63">
        <f t="shared" ca="1" si="81"/>
        <v>4.389991063449509</v>
      </c>
      <c r="R155" s="63">
        <f t="shared" ca="1" si="81"/>
        <v>4.7874046548014864</v>
      </c>
      <c r="S155" s="63">
        <f t="shared" ca="1" si="81"/>
        <v>3.8856797420741538</v>
      </c>
      <c r="T155" s="63">
        <f t="shared" ca="1" si="81"/>
        <v>3.6030378267854535</v>
      </c>
      <c r="U155" s="17"/>
      <c r="V155" s="17"/>
      <c r="W155" s="17"/>
    </row>
    <row r="156" spans="1:23" x14ac:dyDescent="0.2">
      <c r="A156" s="51" t="str">
        <f t="shared" si="85"/>
        <v>FE</v>
      </c>
      <c r="B156" s="46">
        <f t="shared" ref="B156:B182" ca="1" si="87">MATCH(A156,OFFSET(MP_BV_WP,0,0,,1),0)</f>
        <v>31</v>
      </c>
      <c r="C156" s="1">
        <f>IF(ISERROR(D156),"",IF(D156="","",MAX($C$135:C155)+1))</f>
        <v>20</v>
      </c>
      <c r="D156" t="str">
        <f t="shared" si="86"/>
        <v xml:space="preserve">FirstEnergy Corp.             </v>
      </c>
      <c r="E156" s="22"/>
      <c r="F156" s="63">
        <f t="shared" ca="1" si="79"/>
        <v>1.8846374665906858</v>
      </c>
      <c r="G156" s="63">
        <f t="shared" si="77"/>
        <v>2.9188034188034186</v>
      </c>
      <c r="H156" s="63">
        <f ca="1">IFERROR(VLOOKUP($A156,LASTYR,'2017'!$M$3,FALSE),"N/A")</f>
        <v>3.5336963921034719</v>
      </c>
      <c r="I156" s="63">
        <f t="shared" ca="1" si="80"/>
        <v>2.3686299525125802</v>
      </c>
      <c r="J156" s="63">
        <f t="shared" ca="1" si="81"/>
        <v>1.1609548167092925</v>
      </c>
      <c r="K156" s="63">
        <f t="shared" ca="1" si="81"/>
        <v>1.1467078049772834</v>
      </c>
      <c r="L156" s="63">
        <f t="shared" ca="1" si="81"/>
        <v>1.2788442509400355</v>
      </c>
      <c r="M156" s="63">
        <f t="shared" ca="1" si="81"/>
        <v>1.4362154387086463</v>
      </c>
      <c r="N156" s="63">
        <f t="shared" ca="1" si="81"/>
        <v>1.3256282673049065</v>
      </c>
      <c r="O156" s="63">
        <f t="shared" ca="1" si="81"/>
        <v>1.3620148401826484</v>
      </c>
      <c r="P156" s="63">
        <f t="shared" ca="1" si="81"/>
        <v>1.5400505752039035</v>
      </c>
      <c r="Q156" s="63">
        <f t="shared" ca="1" si="81"/>
        <v>2.5216399234506111</v>
      </c>
      <c r="R156" s="63">
        <f t="shared" ca="1" si="81"/>
        <v>2.2335902747122143</v>
      </c>
      <c r="S156" s="63">
        <f t="shared" ca="1" si="81"/>
        <v>1.9202967673555909</v>
      </c>
      <c r="T156" s="63">
        <f t="shared" ca="1" si="81"/>
        <v>1.6378518093049972</v>
      </c>
      <c r="U156" s="17"/>
      <c r="V156" s="17"/>
      <c r="W156" s="17"/>
    </row>
    <row r="157" spans="1:23" x14ac:dyDescent="0.2">
      <c r="A157" s="51" t="str">
        <f t="shared" si="85"/>
        <v>FTS.TO</v>
      </c>
      <c r="B157" s="46">
        <f t="shared" ca="1" si="87"/>
        <v>32</v>
      </c>
      <c r="C157" s="1">
        <f>IF(ISERROR(D157),"",IF(D157="","",MAX($C$135:C156)+1))</f>
        <v>21</v>
      </c>
      <c r="D157" t="str">
        <f t="shared" si="86"/>
        <v>Fortis Inc.</v>
      </c>
      <c r="E157" s="22"/>
      <c r="F157" s="63">
        <f t="shared" ca="1" si="79"/>
        <v>1.4792243743874367</v>
      </c>
      <c r="G157" s="63">
        <f t="shared" si="77"/>
        <v>1.2940298507462684</v>
      </c>
      <c r="H157" s="63">
        <f ca="1">IFERROR(VLOOKUP($A157,LASTYR,'2017'!$M$3,FALSE),"N/A")</f>
        <v>1.4072826839554353</v>
      </c>
      <c r="I157" s="63">
        <f t="shared" ca="1" si="80"/>
        <v>1.2634689772551448</v>
      </c>
      <c r="J157" s="63">
        <f t="shared" ca="1" si="81"/>
        <v>1.3269405435617969</v>
      </c>
      <c r="K157" s="63">
        <f t="shared" ca="1" si="81"/>
        <v>1.3462542679252862</v>
      </c>
      <c r="L157" s="63">
        <f t="shared" ca="1" si="81"/>
        <v>1.4540784418833201</v>
      </c>
      <c r="M157" s="63">
        <f t="shared" ca="1" si="81"/>
        <v>1.5932626325639425</v>
      </c>
      <c r="N157" s="63">
        <f t="shared" ca="1" si="81"/>
        <v>1.5925871809857781</v>
      </c>
      <c r="O157" s="63">
        <f t="shared" ca="1" si="81"/>
        <v>1.5570682285895203</v>
      </c>
      <c r="P157" s="63">
        <f t="shared" ca="1" si="81"/>
        <v>1.3307124777855568</v>
      </c>
      <c r="Q157" s="63">
        <f t="shared" ca="1" si="81"/>
        <v>1.4760317724823642</v>
      </c>
      <c r="R157" s="63">
        <f t="shared" ca="1" si="81"/>
        <v>1.627122697919158</v>
      </c>
      <c r="S157" s="63">
        <f t="shared" ca="1" si="81"/>
        <v>1.9610771113831089</v>
      </c>
      <c r="T157" s="63" t="str">
        <f t="shared" ca="1" si="81"/>
        <v>N/A</v>
      </c>
      <c r="U157" s="17"/>
      <c r="V157" s="17"/>
      <c r="W157" s="17"/>
    </row>
    <row r="158" spans="1:23" x14ac:dyDescent="0.2">
      <c r="A158" s="51" t="str">
        <f t="shared" si="85"/>
        <v>GXP</v>
      </c>
      <c r="B158" s="46">
        <f t="shared" ca="1" si="87"/>
        <v>34</v>
      </c>
      <c r="C158" s="1">
        <f>IF(ISERROR(D158),"",IF(D158="","",MAX($C$135:C157)+1))</f>
        <v>22</v>
      </c>
      <c r="D158" t="str">
        <f t="shared" si="86"/>
        <v xml:space="preserve">Great Plains Energy             </v>
      </c>
      <c r="E158" s="22"/>
      <c r="F158" s="63">
        <f t="shared" ca="1" si="79"/>
        <v>1.2097662238612388</v>
      </c>
      <c r="G158" s="63" t="str">
        <f t="shared" si="77"/>
        <v>N/A</v>
      </c>
      <c r="H158" s="63">
        <f ca="1">IFERROR(VLOOKUP($A158,LASTYR,'2017'!$M$3,FALSE),"N/A")</f>
        <v>1.3336229365768899</v>
      </c>
      <c r="I158" s="63">
        <f t="shared" ca="1" si="80"/>
        <v>1.170555173668675</v>
      </c>
      <c r="J158" s="63">
        <f t="shared" ca="1" si="81"/>
        <v>1.120349647396647</v>
      </c>
      <c r="K158" s="63">
        <f t="shared" ca="1" si="81"/>
        <v>1.1115983148482504</v>
      </c>
      <c r="L158" s="63">
        <f t="shared" ca="1" si="81"/>
        <v>1.0177582923696913</v>
      </c>
      <c r="M158" s="63">
        <f t="shared" ca="1" si="81"/>
        <v>0.96396230751551371</v>
      </c>
      <c r="N158" s="63">
        <f t="shared" ca="1" si="81"/>
        <v>0.9259463686122994</v>
      </c>
      <c r="O158" s="63">
        <f t="shared" ca="1" si="81"/>
        <v>0.87020926404890664</v>
      </c>
      <c r="P158" s="63">
        <f t="shared" ca="1" si="81"/>
        <v>0.80083410115901266</v>
      </c>
      <c r="Q158" s="63">
        <f t="shared" ca="1" si="81"/>
        <v>1.1143631943145689</v>
      </c>
      <c r="R158" s="63">
        <f t="shared" ca="1" si="81"/>
        <v>1.6633483665163349</v>
      </c>
      <c r="S158" s="63">
        <f t="shared" ca="1" si="81"/>
        <v>1.7749835339201243</v>
      </c>
      <c r="T158" s="63">
        <f t="shared" ca="1" si="81"/>
        <v>1.8594294092491905</v>
      </c>
      <c r="U158" s="17"/>
      <c r="V158" s="17"/>
      <c r="W158" s="17"/>
    </row>
    <row r="159" spans="1:23" x14ac:dyDescent="0.2">
      <c r="A159" s="51" t="str">
        <f t="shared" si="85"/>
        <v>HE</v>
      </c>
      <c r="B159" s="46">
        <f t="shared" ca="1" si="87"/>
        <v>35</v>
      </c>
      <c r="C159" s="1">
        <f>IF(ISERROR(D159),"",IF(D159="","",MAX($C$135:C158)+1))</f>
        <v>23</v>
      </c>
      <c r="D159" t="str">
        <f t="shared" si="86"/>
        <v xml:space="preserve">Hawaiian Elec.                </v>
      </c>
      <c r="E159" s="22"/>
      <c r="F159" s="63">
        <f t="shared" ca="1" si="79"/>
        <v>1.6116837455296964</v>
      </c>
      <c r="G159" s="63">
        <f t="shared" si="77"/>
        <v>1.7110552763819096</v>
      </c>
      <c r="H159" s="63">
        <f ca="1">IFERROR(VLOOKUP($A159,LASTYR,'2017'!$M$3,FALSE),"N/A")</f>
        <v>1.7602178423236512</v>
      </c>
      <c r="I159" s="63">
        <f t="shared" ca="1" si="80"/>
        <v>1.6309761479457814</v>
      </c>
      <c r="J159" s="63">
        <f t="shared" ca="1" si="81"/>
        <v>1.7060987847028655</v>
      </c>
      <c r="K159" s="63">
        <f t="shared" ca="1" si="81"/>
        <v>1.4911828695751745</v>
      </c>
      <c r="L159" s="63">
        <f t="shared" ca="1" si="81"/>
        <v>1.5399272983114447</v>
      </c>
      <c r="M159" s="63">
        <f t="shared" ca="1" si="81"/>
        <v>1.6225116736298846</v>
      </c>
      <c r="N159" s="63">
        <f t="shared" ca="1" si="81"/>
        <v>1.5427872860635699</v>
      </c>
      <c r="O159" s="63">
        <f t="shared" ca="1" si="81"/>
        <v>1.4354735767168751</v>
      </c>
      <c r="P159" s="63">
        <f t="shared" ca="1" si="81"/>
        <v>1.1554999358233859</v>
      </c>
      <c r="Q159" s="63">
        <f t="shared" ca="1" si="81"/>
        <v>1.6144625407166124</v>
      </c>
      <c r="R159" s="63">
        <f t="shared" ca="1" si="81"/>
        <v>1.5664944070124942</v>
      </c>
      <c r="S159" s="63">
        <f t="shared" ca="1" si="81"/>
        <v>2.0110078095946449</v>
      </c>
      <c r="T159" s="63">
        <f t="shared" ca="1" si="81"/>
        <v>1.7758769886174532</v>
      </c>
      <c r="U159" s="17"/>
      <c r="V159" s="17"/>
      <c r="W159" s="17"/>
    </row>
    <row r="160" spans="1:23" x14ac:dyDescent="0.2">
      <c r="A160" s="51" t="str">
        <f t="shared" si="85"/>
        <v>IDA</v>
      </c>
      <c r="B160" s="46">
        <f t="shared" ca="1" si="87"/>
        <v>36</v>
      </c>
      <c r="C160" s="1">
        <f>IF(ISERROR(D160),"",IF(D160="","",MAX($C$135:C159)+1))</f>
        <v>24</v>
      </c>
      <c r="D160" t="str">
        <f t="shared" si="86"/>
        <v xml:space="preserve">IDACORP, Inc.                 </v>
      </c>
      <c r="E160" s="22"/>
      <c r="F160" s="63">
        <f t="shared" ca="1" si="79"/>
        <v>1.3801194478302146</v>
      </c>
      <c r="G160" s="63">
        <f t="shared" si="77"/>
        <v>1.9495166487647693</v>
      </c>
      <c r="H160" s="63">
        <f ca="1">IFERROR(VLOOKUP($A160,LASTYR,'2017'!$M$3,FALSE),"N/A")</f>
        <v>1.9422883120954919</v>
      </c>
      <c r="I160" s="63">
        <f t="shared" ca="1" si="80"/>
        <v>1.7571304897166524</v>
      </c>
      <c r="J160" s="63">
        <f t="shared" ca="1" si="81"/>
        <v>1.535360454022848</v>
      </c>
      <c r="K160" s="63">
        <f t="shared" ca="1" si="81"/>
        <v>1.4531065012611315</v>
      </c>
      <c r="L160" s="63">
        <f t="shared" ca="1" si="81"/>
        <v>1.3288366538190111</v>
      </c>
      <c r="M160" s="63">
        <f t="shared" ca="1" si="81"/>
        <v>1.1926422358477116</v>
      </c>
      <c r="N160" s="63">
        <f t="shared" ca="1" si="81"/>
        <v>1.1679373210788007</v>
      </c>
      <c r="O160" s="63">
        <f t="shared" ca="1" si="81"/>
        <v>1.1250846473831866</v>
      </c>
      <c r="P160" s="63">
        <f t="shared" ca="1" si="81"/>
        <v>0.92277370261191471</v>
      </c>
      <c r="Q160" s="63">
        <f t="shared" ca="1" si="81"/>
        <v>1.093591267696963</v>
      </c>
      <c r="R160" s="63">
        <f t="shared" ca="1" si="81"/>
        <v>1.2630636010749479</v>
      </c>
      <c r="S160" s="63">
        <f t="shared" ca="1" si="81"/>
        <v>1.3744469455872081</v>
      </c>
      <c r="T160" s="63">
        <f t="shared" ca="1" si="81"/>
        <v>1.2158934886623673</v>
      </c>
      <c r="U160" s="17"/>
      <c r="V160" s="17"/>
      <c r="W160" s="17"/>
    </row>
    <row r="161" spans="1:23" x14ac:dyDescent="0.2">
      <c r="A161" s="51" t="str">
        <f t="shared" si="85"/>
        <v>MGEE</v>
      </c>
      <c r="B161" s="46">
        <f t="shared" ca="1" si="87"/>
        <v>40</v>
      </c>
      <c r="C161" s="1">
        <f>IF(ISERROR(D161),"",IF(D161="","",MAX($C$135:C160)+1))</f>
        <v>25</v>
      </c>
      <c r="D161" t="str">
        <f t="shared" si="86"/>
        <v xml:space="preserve">MGE Energy                    </v>
      </c>
      <c r="E161" s="22"/>
      <c r="F161" s="63">
        <f t="shared" ca="1" si="79"/>
        <v>2.0296025604835939</v>
      </c>
      <c r="G161" s="63">
        <f t="shared" si="77"/>
        <v>2.5307855626326963</v>
      </c>
      <c r="H161" s="63">
        <f ca="1">IFERROR(VLOOKUP($A161,LASTYR,'2017'!$M$3,FALSE),"N/A")</f>
        <v>2.8772664498596696</v>
      </c>
      <c r="I161" s="63">
        <f t="shared" ca="1" si="80"/>
        <v>2.5993488461170164</v>
      </c>
      <c r="J161" s="63">
        <f t="shared" ca="1" si="81"/>
        <v>2.0975597509540069</v>
      </c>
      <c r="K161" s="63">
        <f t="shared" ca="1" si="81"/>
        <v>2.0968980021030497</v>
      </c>
      <c r="L161" s="63">
        <f t="shared" ca="1" si="81"/>
        <v>2.0632719514933751</v>
      </c>
      <c r="M161" s="63">
        <f t="shared" ca="1" si="81"/>
        <v>1.9177237912876974</v>
      </c>
      <c r="N161" s="63">
        <f t="shared" ca="1" si="81"/>
        <v>1.7526117054751416</v>
      </c>
      <c r="O161" s="63">
        <f t="shared" ca="1" si="81"/>
        <v>1.6486397253037506</v>
      </c>
      <c r="P161" s="63">
        <f t="shared" ca="1" si="81"/>
        <v>1.5408001105506806</v>
      </c>
      <c r="Q161" s="63">
        <f t="shared" ca="1" si="81"/>
        <v>1.621497341572065</v>
      </c>
      <c r="R161" s="63">
        <f t="shared" ca="1" si="81"/>
        <v>1.7479599692070824</v>
      </c>
      <c r="S161" s="63">
        <f t="shared" ca="1" si="81"/>
        <v>1.8276469108894291</v>
      </c>
      <c r="T161" s="63">
        <f t="shared" ca="1" si="81"/>
        <v>2.09242572932465</v>
      </c>
      <c r="U161" s="17"/>
      <c r="V161" s="17"/>
      <c r="W161" s="17"/>
    </row>
    <row r="162" spans="1:23" x14ac:dyDescent="0.2">
      <c r="A162" s="51" t="str">
        <f t="shared" si="85"/>
        <v>NEE</v>
      </c>
      <c r="B162" s="46">
        <f t="shared" ca="1" si="87"/>
        <v>43</v>
      </c>
      <c r="C162" s="1">
        <f>IF(ISERROR(D162),"",IF(D162="","",MAX($C$135:C161)+1))</f>
        <v>26</v>
      </c>
      <c r="D162" t="str">
        <f t="shared" si="86"/>
        <v>NextEra Energy, Inc.</v>
      </c>
      <c r="E162" s="22"/>
      <c r="F162" s="63">
        <f t="shared" ca="1" si="79"/>
        <v>1.9842379589441408</v>
      </c>
      <c r="G162" s="63">
        <f t="shared" si="77"/>
        <v>2.3445010924981786</v>
      </c>
      <c r="H162" s="63">
        <f ca="1">IFERROR(VLOOKUP($A162,LASTYR,'2017'!$M$3,FALSE),"N/A")</f>
        <v>2.3496243112372683</v>
      </c>
      <c r="I162" s="63">
        <f t="shared" ca="1" si="80"/>
        <v>2.3016669550671973</v>
      </c>
      <c r="J162" s="63">
        <f t="shared" ca="1" si="81"/>
        <v>2.0907958420977391</v>
      </c>
      <c r="K162" s="63">
        <f t="shared" ca="1" si="81"/>
        <v>2.1492759748203838</v>
      </c>
      <c r="L162" s="63">
        <f t="shared" ca="1" si="81"/>
        <v>1.9299992766029275</v>
      </c>
      <c r="M162" s="63">
        <f t="shared" ca="1" si="81"/>
        <v>1.7367796073464217</v>
      </c>
      <c r="N162" s="63">
        <f t="shared" ca="1" si="81"/>
        <v>1.5478967734751259</v>
      </c>
      <c r="O162" s="63">
        <f t="shared" ca="1" si="81"/>
        <v>1.4938009313154832</v>
      </c>
      <c r="P162" s="63">
        <f t="shared" ca="1" si="81"/>
        <v>1.6988835725677829</v>
      </c>
      <c r="Q162" s="63">
        <f t="shared" ca="1" si="81"/>
        <v>2.0633970454386334</v>
      </c>
      <c r="R162" s="63">
        <f t="shared" ca="1" si="81"/>
        <v>2.3447294528344842</v>
      </c>
      <c r="S162" s="63">
        <f t="shared" ca="1" si="81"/>
        <v>1.8003184453335512</v>
      </c>
      <c r="T162" s="63">
        <f t="shared" ca="1" si="81"/>
        <v>1.9276621445827913</v>
      </c>
      <c r="U162" s="17"/>
      <c r="V162" s="17"/>
      <c r="W162" s="17"/>
    </row>
    <row r="163" spans="1:23" x14ac:dyDescent="0.2">
      <c r="A163" s="51" t="str">
        <f t="shared" si="85"/>
        <v>NWE</v>
      </c>
      <c r="B163" s="46">
        <f t="shared" ca="1" si="87"/>
        <v>46</v>
      </c>
      <c r="C163" s="1">
        <f>IF(ISERROR(D163),"",IF(D163="","",MAX($C$135:C162)+1))</f>
        <v>27</v>
      </c>
      <c r="D163" t="str">
        <f t="shared" si="86"/>
        <v xml:space="preserve">NorthWestern Corp             </v>
      </c>
      <c r="E163" s="22"/>
      <c r="F163" s="63">
        <f t="shared" ca="1" si="79"/>
        <v>1.4455889667512349</v>
      </c>
      <c r="G163" s="63">
        <f t="shared" si="77"/>
        <v>1.4685863874345548</v>
      </c>
      <c r="H163" s="63">
        <f ca="1">IFERROR(VLOOKUP($A163,LASTYR,'2017'!$M$3,FALSE),"N/A")</f>
        <v>1.63582720386431</v>
      </c>
      <c r="I163" s="63">
        <f t="shared" ca="1" si="80"/>
        <v>1.6798627530130903</v>
      </c>
      <c r="J163" s="63">
        <f t="shared" ca="1" si="81"/>
        <v>1.6030164368715756</v>
      </c>
      <c r="K163" s="63">
        <f t="shared" ca="1" si="81"/>
        <v>1.5411282897869774</v>
      </c>
      <c r="L163" s="63">
        <f t="shared" ca="1" si="81"/>
        <v>1.5591519115822714</v>
      </c>
      <c r="M163" s="63">
        <f t="shared" ca="1" si="81"/>
        <v>1.4155176536223799</v>
      </c>
      <c r="N163" s="63">
        <f t="shared" ca="1" si="81"/>
        <v>1.3485494700392719</v>
      </c>
      <c r="O163" s="63">
        <f t="shared" ca="1" si="81"/>
        <v>1.218743099412622</v>
      </c>
      <c r="P163" s="63">
        <f t="shared" ca="1" si="81"/>
        <v>1.0661939615736504</v>
      </c>
      <c r="Q163" s="63">
        <f t="shared" ca="1" si="81"/>
        <v>1.1549103571596631</v>
      </c>
      <c r="R163" s="63">
        <f t="shared" ca="1" si="81"/>
        <v>1.4819830484397936</v>
      </c>
      <c r="S163" s="63">
        <f t="shared" ca="1" si="81"/>
        <v>1.6463125272383903</v>
      </c>
      <c r="T163" s="63">
        <f t="shared" ca="1" si="81"/>
        <v>1.418462434478742</v>
      </c>
      <c r="U163" s="17"/>
      <c r="V163" s="17"/>
      <c r="W163" s="17"/>
    </row>
    <row r="164" spans="1:23" x14ac:dyDescent="0.2">
      <c r="A164" s="51" t="str">
        <f t="shared" si="85"/>
        <v>OGE</v>
      </c>
      <c r="B164" s="46">
        <f t="shared" ca="1" si="87"/>
        <v>47</v>
      </c>
      <c r="C164" s="1">
        <f>IF(ISERROR(D164),"",IF(D164="","",MAX($C$135:C163)+1))</f>
        <v>28</v>
      </c>
      <c r="D164" t="str">
        <f t="shared" si="86"/>
        <v xml:space="preserve">OGE Energy                    </v>
      </c>
      <c r="E164" s="22"/>
      <c r="F164" s="63">
        <f t="shared" ca="1" si="79"/>
        <v>1.8345343034440711</v>
      </c>
      <c r="G164" s="63">
        <f t="shared" si="77"/>
        <v>1.7524999999999999</v>
      </c>
      <c r="H164" s="63">
        <f ca="1">IFERROR(VLOOKUP($A164,LASTYR,'2017'!$M$3,FALSE),"N/A")</f>
        <v>1.8243103090645094</v>
      </c>
      <c r="I164" s="63">
        <f t="shared" ca="1" si="80"/>
        <v>1.7326761380110176</v>
      </c>
      <c r="J164" s="63">
        <f t="shared" ca="1" si="81"/>
        <v>1.7949564695286699</v>
      </c>
      <c r="K164" s="63">
        <f t="shared" ca="1" si="81"/>
        <v>2.2227275520865342</v>
      </c>
      <c r="L164" s="63">
        <f t="shared" ca="1" si="81"/>
        <v>2.2433986928104575</v>
      </c>
      <c r="M164" s="63">
        <f t="shared" ca="1" si="81"/>
        <v>1.9372322193658955</v>
      </c>
      <c r="N164" s="63">
        <f t="shared" ca="1" si="81"/>
        <v>1.8968235744355149</v>
      </c>
      <c r="O164" s="63">
        <f t="shared" ca="1" si="81"/>
        <v>1.6968456947996589</v>
      </c>
      <c r="P164" s="63">
        <f t="shared" ca="1" si="81"/>
        <v>1.3696768060836504</v>
      </c>
      <c r="Q164" s="63">
        <f t="shared" ca="1" si="81"/>
        <v>1.523020802523908</v>
      </c>
      <c r="R164" s="63">
        <f t="shared" ca="1" si="81"/>
        <v>1.9826324412889134</v>
      </c>
      <c r="S164" s="63">
        <f t="shared" ca="1" si="81"/>
        <v>1.9051518253155919</v>
      </c>
      <c r="T164" s="63">
        <f t="shared" ca="1" si="81"/>
        <v>1.8015277229026736</v>
      </c>
      <c r="U164" s="17"/>
      <c r="V164" s="17"/>
      <c r="W164" s="17"/>
    </row>
    <row r="165" spans="1:23" x14ac:dyDescent="0.2">
      <c r="A165" s="51" t="str">
        <f t="shared" si="85"/>
        <v>OTTR</v>
      </c>
      <c r="B165" s="46">
        <f t="shared" ca="1" si="87"/>
        <v>49</v>
      </c>
      <c r="C165" s="1">
        <f>IF(ISERROR(D165),"",IF(D165="","",MAX($C$135:C164)+1))</f>
        <v>29</v>
      </c>
      <c r="D165" t="str">
        <f t="shared" si="86"/>
        <v xml:space="preserve">Otter Tail Corp.              </v>
      </c>
      <c r="E165" s="22"/>
      <c r="F165" s="63">
        <f t="shared" ca="1" si="79"/>
        <v>1.7619806096439887</v>
      </c>
      <c r="G165" s="63">
        <f t="shared" si="77"/>
        <v>2.3679999999999999</v>
      </c>
      <c r="H165" s="63">
        <f ca="1">IFERROR(VLOOKUP($A165,LASTYR,'2017'!$M$3,FALSE),"N/A")</f>
        <v>2.3293977408185276</v>
      </c>
      <c r="I165" s="63">
        <f t="shared" ca="1" si="80"/>
        <v>1.8971814445096886</v>
      </c>
      <c r="J165" s="63">
        <f t="shared" ca="1" si="81"/>
        <v>1.77637342009761</v>
      </c>
      <c r="K165" s="63">
        <f t="shared" ca="1" si="81"/>
        <v>1.8973942426408474</v>
      </c>
      <c r="L165" s="63">
        <f t="shared" ca="1" si="81"/>
        <v>1.9622923024754155</v>
      </c>
      <c r="M165" s="63">
        <f t="shared" ca="1" si="81"/>
        <v>1.5823863636363635</v>
      </c>
      <c r="N165" s="63">
        <f t="shared" ca="1" si="81"/>
        <v>1.349864173352707</v>
      </c>
      <c r="O165" s="63">
        <f t="shared" ca="1" si="81"/>
        <v>1.1919726729291205</v>
      </c>
      <c r="P165" s="63">
        <f t="shared" ca="1" si="81"/>
        <v>1.1776949693904712</v>
      </c>
      <c r="Q165" s="63">
        <f t="shared" ca="1" si="81"/>
        <v>1.7117404253095776</v>
      </c>
      <c r="R165" s="63">
        <f t="shared" ca="1" si="81"/>
        <v>1.9289499173836249</v>
      </c>
      <c r="S165" s="63">
        <f t="shared" ca="1" si="81"/>
        <v>1.7591048179036417</v>
      </c>
      <c r="T165" s="63">
        <f t="shared" ca="1" si="81"/>
        <v>1.7353760445682451</v>
      </c>
      <c r="U165" s="17"/>
      <c r="V165" s="17"/>
      <c r="W165" s="17"/>
    </row>
    <row r="166" spans="1:23" x14ac:dyDescent="0.2">
      <c r="A166" s="51" t="str">
        <f t="shared" si="85"/>
        <v>PCG</v>
      </c>
      <c r="B166" s="46">
        <f t="shared" ca="1" si="87"/>
        <v>51</v>
      </c>
      <c r="C166" s="1">
        <f>IF(ISERROR(D166),"",IF(D166="","",MAX($C$135:C165)+1))</f>
        <v>30</v>
      </c>
      <c r="D166" t="str">
        <f t="shared" si="86"/>
        <v xml:space="preserve">PG&amp;E Corp.                    </v>
      </c>
      <c r="E166" s="22"/>
      <c r="F166" s="63">
        <f t="shared" ca="1" si="79"/>
        <v>1.558990850023289</v>
      </c>
      <c r="G166" s="63">
        <f t="shared" si="77"/>
        <v>1.1357048748353094</v>
      </c>
      <c r="H166" s="63">
        <f ca="1">IFERROR(VLOOKUP($A166,LASTYR,'2017'!$M$3,FALSE),"N/A")</f>
        <v>1.713241201992608</v>
      </c>
      <c r="I166" s="63">
        <f t="shared" ca="1" si="80"/>
        <v>1.6893083182640143</v>
      </c>
      <c r="J166" s="63">
        <f t="shared" ca="1" si="81"/>
        <v>1.5671881029416128</v>
      </c>
      <c r="K166" s="63">
        <f t="shared" ca="1" si="81"/>
        <v>1.3873980054397097</v>
      </c>
      <c r="L166" s="63">
        <f t="shared" ca="1" si="81"/>
        <v>1.3790040119722347</v>
      </c>
      <c r="M166" s="63">
        <f t="shared" ca="1" si="81"/>
        <v>1.4117743954668249</v>
      </c>
      <c r="N166" s="63">
        <f t="shared" ca="1" si="81"/>
        <v>1.4640070861581438</v>
      </c>
      <c r="O166" s="63">
        <f t="shared" ca="1" si="81"/>
        <v>1.5611644363483499</v>
      </c>
      <c r="P166" s="63">
        <f t="shared" ca="1" si="81"/>
        <v>1.4137794993185566</v>
      </c>
      <c r="Q166" s="63">
        <f t="shared" ca="1" si="81"/>
        <v>1.4982480458973471</v>
      </c>
      <c r="R166" s="63">
        <f t="shared" ca="1" si="81"/>
        <v>1.9369727047146401</v>
      </c>
      <c r="S166" s="63">
        <f t="shared" ca="1" si="81"/>
        <v>1.8257342782011854</v>
      </c>
      <c r="T166" s="63">
        <f t="shared" ca="1" si="81"/>
        <v>1.84234693877551</v>
      </c>
      <c r="U166" s="17"/>
      <c r="V166" s="17"/>
      <c r="W166" s="17"/>
    </row>
    <row r="167" spans="1:23" x14ac:dyDescent="0.2">
      <c r="A167" s="51" t="str">
        <f t="shared" si="85"/>
        <v>PNW</v>
      </c>
      <c r="B167" s="46">
        <f t="shared" ca="1" si="87"/>
        <v>52</v>
      </c>
      <c r="C167" s="1">
        <f>IF(ISERROR(D167),"",IF(D167="","",MAX($C$135:C166)+1))</f>
        <v>31</v>
      </c>
      <c r="D167" t="str">
        <f t="shared" si="86"/>
        <v xml:space="preserve">Pinnacle West Capital         </v>
      </c>
      <c r="E167" s="22"/>
      <c r="F167" s="63">
        <f t="shared" ca="1" si="79"/>
        <v>1.3756307075640744</v>
      </c>
      <c r="G167" s="63">
        <f t="shared" si="77"/>
        <v>1.7189189189189189</v>
      </c>
      <c r="H167" s="63">
        <f ca="1">IFERROR(VLOOKUP($A167,LASTYR,'2017'!$M$3,FALSE),"N/A")</f>
        <v>1.9064773894022589</v>
      </c>
      <c r="I167" s="63">
        <f t="shared" ca="1" si="80"/>
        <v>1.7159578166647349</v>
      </c>
      <c r="J167" s="63">
        <f t="shared" ca="1" si="81"/>
        <v>1.5218865000968429</v>
      </c>
      <c r="K167" s="63">
        <f t="shared" ca="1" si="81"/>
        <v>1.4398339198460719</v>
      </c>
      <c r="L167" s="63">
        <f t="shared" ca="1" si="81"/>
        <v>1.4678609892563503</v>
      </c>
      <c r="M167" s="63">
        <f t="shared" ca="1" si="81"/>
        <v>1.3869782602690532</v>
      </c>
      <c r="N167" s="63">
        <f t="shared" ca="1" si="81"/>
        <v>1.2481705922707522</v>
      </c>
      <c r="O167" s="63">
        <f t="shared" ca="1" si="81"/>
        <v>1.142776990314198</v>
      </c>
      <c r="P167" s="63">
        <f t="shared" ca="1" si="81"/>
        <v>0.94995717606753949</v>
      </c>
      <c r="Q167" s="63">
        <f t="shared" ca="1" si="81"/>
        <v>0.99718936643635092</v>
      </c>
      <c r="R167" s="63">
        <f t="shared" ca="1" si="81"/>
        <v>1.2575330772513869</v>
      </c>
      <c r="S167" s="63">
        <f t="shared" ca="1" si="81"/>
        <v>1.2588542422044959</v>
      </c>
      <c r="T167" s="63">
        <f t="shared" ca="1" si="81"/>
        <v>1.2464346668980879</v>
      </c>
      <c r="U167" s="17"/>
      <c r="V167" s="17"/>
      <c r="W167" s="17"/>
    </row>
    <row r="168" spans="1:23" x14ac:dyDescent="0.2">
      <c r="A168" s="51" t="str">
        <f t="shared" si="85"/>
        <v>PNM</v>
      </c>
      <c r="B168" s="46">
        <f t="shared" ca="1" si="87"/>
        <v>53</v>
      </c>
      <c r="C168" s="1">
        <f>IF(ISERROR(D168),"",IF(D168="","",MAX($C$135:C167)+1))</f>
        <v>32</v>
      </c>
      <c r="D168" t="str">
        <f t="shared" si="86"/>
        <v xml:space="preserve">PNM Resources                 </v>
      </c>
      <c r="E168" s="22"/>
      <c r="F168" s="63">
        <f t="shared" ca="1" si="79"/>
        <v>1.1646379199993901</v>
      </c>
      <c r="G168" s="63">
        <f t="shared" si="77"/>
        <v>1.6977272727272725</v>
      </c>
      <c r="H168" s="63">
        <f ca="1">IFERROR(VLOOKUP($A168,LASTYR,'2017'!$M$3,FALSE),"N/A")</f>
        <v>1.8426443640464218</v>
      </c>
      <c r="I168" s="63">
        <f t="shared" ca="1" si="80"/>
        <v>1.5552281368821295</v>
      </c>
      <c r="J168" s="63">
        <f t="shared" ca="1" si="81"/>
        <v>1.3299157641395911</v>
      </c>
      <c r="K168" s="63">
        <f t="shared" ca="1" si="81"/>
        <v>1.2094144968960743</v>
      </c>
      <c r="L168" s="63">
        <f t="shared" ca="1" si="81"/>
        <v>1.0900508003450591</v>
      </c>
      <c r="M168" s="63">
        <f t="shared" ca="1" si="81"/>
        <v>0.97839860314292826</v>
      </c>
      <c r="N168" s="63">
        <f t="shared" ca="1" si="81"/>
        <v>0.80011215334420882</v>
      </c>
      <c r="O168" s="63">
        <f t="shared" ca="1" si="81"/>
        <v>0.69437972381655955</v>
      </c>
      <c r="P168" s="63">
        <f t="shared" ca="1" si="81"/>
        <v>0.55520871911539071</v>
      </c>
      <c r="Q168" s="63">
        <f t="shared" ca="1" si="81"/>
        <v>0.65997988673053509</v>
      </c>
      <c r="R168" s="63">
        <f t="shared" ca="1" si="81"/>
        <v>1.2297113289760349</v>
      </c>
      <c r="S168" s="63">
        <f t="shared" ca="1" si="81"/>
        <v>1.2124751041100852</v>
      </c>
      <c r="T168" s="63">
        <f t="shared" ca="1" si="81"/>
        <v>1.4496845257191742</v>
      </c>
      <c r="U168" s="17"/>
      <c r="V168" s="17"/>
      <c r="W168" s="17"/>
    </row>
    <row r="169" spans="1:23" x14ac:dyDescent="0.2">
      <c r="A169" s="51" t="str">
        <f t="shared" si="85"/>
        <v>POR</v>
      </c>
      <c r="B169" s="46">
        <f t="shared" ca="1" si="87"/>
        <v>54</v>
      </c>
      <c r="C169" s="1">
        <f>IF(ISERROR(D169),"",IF(D169="","",MAX($C$135:C168)+1))</f>
        <v>33</v>
      </c>
      <c r="D169" t="str">
        <f t="shared" si="86"/>
        <v xml:space="preserve">Portland General              </v>
      </c>
      <c r="E169" s="22"/>
      <c r="F169" s="63">
        <f t="shared" ca="1" si="79"/>
        <v>1.2846354589031048</v>
      </c>
      <c r="G169" s="63">
        <f t="shared" si="77"/>
        <v>1.5491949910554561</v>
      </c>
      <c r="H169" s="63">
        <f ca="1">IFERROR(VLOOKUP($A169,LASTYR,'2017'!$M$3,FALSE),"N/A")</f>
        <v>1.6920069344546493</v>
      </c>
      <c r="I169" s="63">
        <f t="shared" ca="1" si="80"/>
        <v>1.5620612453990057</v>
      </c>
      <c r="J169" s="63">
        <f t="shared" ca="1" si="81"/>
        <v>1.4210381439244986</v>
      </c>
      <c r="K169" s="63">
        <f t="shared" ca="1" si="81"/>
        <v>1.3669968888161126</v>
      </c>
      <c r="L169" s="63">
        <f t="shared" ca="1" si="81"/>
        <v>1.2825499034127494</v>
      </c>
      <c r="M169" s="63">
        <f t="shared" ca="1" si="81"/>
        <v>1.1429820725841713</v>
      </c>
      <c r="N169" s="63">
        <f t="shared" ca="1" si="81"/>
        <v>1.0930801649521911</v>
      </c>
      <c r="O169" s="63">
        <f t="shared" ca="1" si="81"/>
        <v>0.94242323887022761</v>
      </c>
      <c r="P169" s="63">
        <f t="shared" ca="1" si="81"/>
        <v>0.91976392547068575</v>
      </c>
      <c r="Q169" s="63">
        <f t="shared" ca="1" si="81"/>
        <v>1.0468157870413162</v>
      </c>
      <c r="R169" s="63">
        <f t="shared" ca="1" si="81"/>
        <v>1.3220564477810512</v>
      </c>
      <c r="S169" s="63">
        <f t="shared" ca="1" si="81"/>
        <v>1.3592912219782465</v>
      </c>
      <c r="T169" s="63" t="str">
        <f t="shared" ref="T169:T177" ca="1" si="88">IFERROR(IF(INDEX(MP_BV_WP,$B169,T$136)=0,"N/A",INDEX(MP_BV_WP,$B169,T$136)),"N/A")</f>
        <v>N/A</v>
      </c>
      <c r="U169" s="17"/>
      <c r="V169" s="17"/>
      <c r="W169" s="17"/>
    </row>
    <row r="170" spans="1:23" x14ac:dyDescent="0.2">
      <c r="A170" s="51" t="str">
        <f t="shared" si="85"/>
        <v>PPL</v>
      </c>
      <c r="B170" s="46">
        <f t="shared" ca="1" si="87"/>
        <v>55</v>
      </c>
      <c r="C170" s="1">
        <f>IF(ISERROR(D170),"",IF(D170="","",MAX($C$135:C169)+1))</f>
        <v>34</v>
      </c>
      <c r="D170" t="str">
        <f t="shared" si="86"/>
        <v xml:space="preserve">PPL Corp.                     </v>
      </c>
      <c r="E170" s="22"/>
      <c r="F170" s="63">
        <f t="shared" ca="1" si="79"/>
        <v>2.1367974408378081</v>
      </c>
      <c r="G170" s="63">
        <f t="shared" si="77"/>
        <v>1.7223880597014927</v>
      </c>
      <c r="H170" s="63">
        <f ca="1">IFERROR(VLOOKUP($A170,LASTYR,'2017'!$M$3,FALSE),"N/A")</f>
        <v>2.3997035891487855</v>
      </c>
      <c r="I170" s="63">
        <f t="shared" ca="1" si="80"/>
        <v>2.457872691066401</v>
      </c>
      <c r="J170" s="63">
        <f t="shared" ca="1" si="81"/>
        <v>2.2404211956521736</v>
      </c>
      <c r="K170" s="63">
        <f t="shared" ca="1" si="81"/>
        <v>1.6368788781941663</v>
      </c>
      <c r="L170" s="63">
        <f t="shared" ca="1" si="81"/>
        <v>1.5456338170602215</v>
      </c>
      <c r="M170" s="63">
        <f t="shared" ca="1" si="81"/>
        <v>1.5770448109278694</v>
      </c>
      <c r="N170" s="63">
        <f t="shared" ca="1" si="81"/>
        <v>1.4661324786324788</v>
      </c>
      <c r="O170" s="63">
        <f t="shared" ca="1" si="81"/>
        <v>1.6085138954309937</v>
      </c>
      <c r="P170" s="63">
        <f t="shared" ca="1" si="81"/>
        <v>2.097796994029236</v>
      </c>
      <c r="Q170" s="63">
        <f t="shared" ca="1" si="81"/>
        <v>3.1882839014313116</v>
      </c>
      <c r="R170" s="63">
        <f t="shared" ca="1" si="81"/>
        <v>3.0500503862949278</v>
      </c>
      <c r="S170" s="63">
        <f t="shared" ca="1" si="81"/>
        <v>2.4271968728858151</v>
      </c>
      <c r="T170" s="63">
        <f t="shared" ca="1" si="88"/>
        <v>2.4972466012734471</v>
      </c>
      <c r="U170" s="17"/>
      <c r="V170" s="17"/>
      <c r="W170" s="17"/>
    </row>
    <row r="171" spans="1:23" x14ac:dyDescent="0.2">
      <c r="A171" s="51" t="str">
        <f t="shared" si="85"/>
        <v>PEG</v>
      </c>
      <c r="B171" s="46">
        <f t="shared" ca="1" si="87"/>
        <v>56</v>
      </c>
      <c r="C171" s="1">
        <f>IF(ISERROR(D171),"",IF(D171="","",MAX($C$135:C170)+1))</f>
        <v>35</v>
      </c>
      <c r="D171" t="str">
        <f t="shared" si="86"/>
        <v xml:space="preserve">Public Serv. Enterprise       </v>
      </c>
      <c r="E171" s="22"/>
      <c r="F171" s="63">
        <f t="shared" ca="1" si="79"/>
        <v>1.9082729628810353</v>
      </c>
      <c r="G171" s="63">
        <f t="shared" si="77"/>
        <v>1.7958115183246075</v>
      </c>
      <c r="H171" s="63">
        <f ca="1">IFERROR(VLOOKUP($A171,LASTYR,'2017'!$M$3,FALSE),"N/A")</f>
        <v>1.6768417213712616</v>
      </c>
      <c r="I171" s="63">
        <f t="shared" ca="1" si="80"/>
        <v>1.6700503710539469</v>
      </c>
      <c r="J171" s="63">
        <f t="shared" ca="1" si="81"/>
        <v>1.5839746316562897</v>
      </c>
      <c r="K171" s="63">
        <f t="shared" ca="1" si="81"/>
        <v>1.5656523724521567</v>
      </c>
      <c r="L171" s="63">
        <f t="shared" ca="1" si="81"/>
        <v>1.4413648842986013</v>
      </c>
      <c r="M171" s="63">
        <f t="shared" ca="1" si="81"/>
        <v>1.4643108545684922</v>
      </c>
      <c r="N171" s="63">
        <f t="shared" ca="1" si="81"/>
        <v>1.5925415045076112</v>
      </c>
      <c r="O171" s="63">
        <f t="shared" ca="1" si="81"/>
        <v>1.6719365512894584</v>
      </c>
      <c r="P171" s="63">
        <f t="shared" ca="1" si="81"/>
        <v>1.7802855826807924</v>
      </c>
      <c r="Q171" s="63">
        <f t="shared" ca="1" si="81"/>
        <v>2.5768704825161164</v>
      </c>
      <c r="R171" s="63">
        <f t="shared" ca="1" si="81"/>
        <v>2.9851598968856683</v>
      </c>
      <c r="S171" s="63">
        <f t="shared" ca="1" si="81"/>
        <v>2.4605706582790385</v>
      </c>
      <c r="T171" s="63">
        <f t="shared" ca="1" si="88"/>
        <v>2.4504504504504507</v>
      </c>
      <c r="U171" s="17"/>
      <c r="V171" s="17"/>
      <c r="W171" s="17"/>
    </row>
    <row r="172" spans="1:23" x14ac:dyDescent="0.2">
      <c r="A172" s="51" t="str">
        <f t="shared" si="85"/>
        <v>SCG</v>
      </c>
      <c r="B172" s="46">
        <f t="shared" ca="1" si="87"/>
        <v>57</v>
      </c>
      <c r="C172" s="1">
        <f>IF(ISERROR(D172),"",IF(D172="","",MAX($C$135:C171)+1))</f>
        <v>36</v>
      </c>
      <c r="D172" t="str">
        <f t="shared" si="86"/>
        <v xml:space="preserve">SCANA Corp.                   </v>
      </c>
      <c r="E172" s="22"/>
      <c r="F172" s="63">
        <f t="shared" ca="1" si="79"/>
        <v>1.4794072688261957</v>
      </c>
      <c r="G172" s="63">
        <f t="shared" si="77"/>
        <v>1.1051930758988018</v>
      </c>
      <c r="H172" s="63">
        <f ca="1">IFERROR(VLOOKUP($A172,LASTYR,'2017'!$M$3,FALSE),"N/A")</f>
        <v>1.6526069445956242</v>
      </c>
      <c r="I172" s="63">
        <f t="shared" ca="1" si="80"/>
        <v>1.7440281556548434</v>
      </c>
      <c r="J172" s="63">
        <f t="shared" ca="1" si="81"/>
        <v>1.4669204515620897</v>
      </c>
      <c r="K172" s="63">
        <f t="shared" ca="1" si="81"/>
        <v>1.4832174435573868</v>
      </c>
      <c r="L172" s="63">
        <f t="shared" ca="1" si="81"/>
        <v>1.4785053509885724</v>
      </c>
      <c r="M172" s="63">
        <f t="shared" ca="1" si="81"/>
        <v>1.4814567642291925</v>
      </c>
      <c r="N172" s="63">
        <f t="shared" ca="1" si="81"/>
        <v>1.3559763550746415</v>
      </c>
      <c r="O172" s="63">
        <f t="shared" ca="1" si="81"/>
        <v>1.3268727623244285</v>
      </c>
      <c r="P172" s="63">
        <f t="shared" ca="1" si="81"/>
        <v>1.1991965545944772</v>
      </c>
      <c r="Q172" s="63">
        <f t="shared" ca="1" si="81"/>
        <v>1.4454415348315475</v>
      </c>
      <c r="R172" s="63">
        <f t="shared" ca="1" si="81"/>
        <v>1.6152057386094909</v>
      </c>
      <c r="S172" s="63">
        <f t="shared" ca="1" si="81"/>
        <v>1.6370977659356425</v>
      </c>
      <c r="T172" s="63">
        <f t="shared" ca="1" si="88"/>
        <v>1.7199828657100023</v>
      </c>
      <c r="U172" s="17"/>
      <c r="V172" s="17"/>
      <c r="W172" s="17"/>
    </row>
    <row r="173" spans="1:23" x14ac:dyDescent="0.2">
      <c r="A173" s="51" t="str">
        <f t="shared" si="85"/>
        <v>SRE</v>
      </c>
      <c r="B173" s="46">
        <f t="shared" ca="1" si="87"/>
        <v>58</v>
      </c>
      <c r="C173" s="1">
        <f>IF(ISERROR(D173),"",IF(D173="","",MAX($C$135:C172)+1))</f>
        <v>37</v>
      </c>
      <c r="D173" t="str">
        <f t="shared" si="86"/>
        <v xml:space="preserve">Sempra Energy                 </v>
      </c>
      <c r="E173" s="22"/>
      <c r="F173" s="63">
        <f t="shared" ca="1" si="79"/>
        <v>1.7813825433050374</v>
      </c>
      <c r="G173" s="63">
        <f t="shared" si="77"/>
        <v>2.1142061281337048</v>
      </c>
      <c r="H173" s="63">
        <f ca="1">IFERROR(VLOOKUP($A173,LASTYR,'2017'!$M$3,FALSE),"N/A")</f>
        <v>2.2350712216799589</v>
      </c>
      <c r="I173" s="63">
        <f t="shared" ca="1" si="80"/>
        <v>1.9960596461407711</v>
      </c>
      <c r="J173" s="63">
        <f t="shared" ca="1" si="81"/>
        <v>2.1691757779646759</v>
      </c>
      <c r="K173" s="63">
        <f t="shared" ca="1" si="81"/>
        <v>2.2024184954000741</v>
      </c>
      <c r="L173" s="63">
        <f t="shared" ca="1" si="81"/>
        <v>1.8446591161447923</v>
      </c>
      <c r="M173" s="63">
        <f t="shared" ca="1" si="81"/>
        <v>1.5266011361761309</v>
      </c>
      <c r="N173" s="63">
        <f t="shared" ca="1" si="81"/>
        <v>1.2832231787917958</v>
      </c>
      <c r="O173" s="63">
        <f t="shared" ca="1" si="81"/>
        <v>1.3486402258743306</v>
      </c>
      <c r="P173" s="63">
        <f t="shared" ca="1" si="81"/>
        <v>1.3199682522305547</v>
      </c>
      <c r="Q173" s="63">
        <f t="shared" ca="1" si="81"/>
        <v>1.596042868920033</v>
      </c>
      <c r="R173" s="63">
        <f t="shared" ca="1" si="81"/>
        <v>1.8722623156573579</v>
      </c>
      <c r="S173" s="63">
        <f t="shared" ca="1" si="81"/>
        <v>1.6976549413735345</v>
      </c>
      <c r="T173" s="63">
        <f t="shared" ca="1" si="88"/>
        <v>1.7333723017828064</v>
      </c>
      <c r="U173" s="17"/>
      <c r="V173" s="17"/>
      <c r="W173" s="17"/>
    </row>
    <row r="174" spans="1:23" x14ac:dyDescent="0.2">
      <c r="A174" s="51" t="str">
        <f t="shared" si="85"/>
        <v>SO</v>
      </c>
      <c r="B174" s="46">
        <f t="shared" ca="1" si="87"/>
        <v>62</v>
      </c>
      <c r="C174" s="1">
        <f>IF(ISERROR(D174),"",IF(D174="","",MAX($C$135:C173)+1))</f>
        <v>38</v>
      </c>
      <c r="D174" t="str">
        <f t="shared" si="86"/>
        <v xml:space="preserve">Southern Co.                  </v>
      </c>
      <c r="E174" s="22"/>
      <c r="F174" s="63">
        <f t="shared" ca="1" si="79"/>
        <v>2.0475756979460127</v>
      </c>
      <c r="G174" s="63">
        <f t="shared" si="77"/>
        <v>1.8850102669404516</v>
      </c>
      <c r="H174" s="63">
        <f ca="1">IFERROR(VLOOKUP($A174,LASTYR,'2017'!$M$3,FALSE),"N/A")</f>
        <v>2.0722951844903066</v>
      </c>
      <c r="I174" s="63">
        <f t="shared" ca="1" si="80"/>
        <v>2.0104008320665652</v>
      </c>
      <c r="J174" s="63">
        <f t="shared" ca="1" si="81"/>
        <v>1.9928274152129639</v>
      </c>
      <c r="K174" s="63">
        <f t="shared" ca="1" si="81"/>
        <v>2.0222970513287222</v>
      </c>
      <c r="L174" s="63">
        <f t="shared" ca="1" si="81"/>
        <v>2.03957623559061</v>
      </c>
      <c r="M174" s="63">
        <f t="shared" ca="1" si="81"/>
        <v>2.148636471425184</v>
      </c>
      <c r="N174" s="63">
        <f t="shared" ca="1" si="81"/>
        <v>1.9888768579584601</v>
      </c>
      <c r="O174" s="63">
        <f t="shared" ca="1" si="81"/>
        <v>1.8299500312304808</v>
      </c>
      <c r="P174" s="63">
        <f t="shared" ca="1" si="81"/>
        <v>1.7280740414279416</v>
      </c>
      <c r="Q174" s="63">
        <f t="shared" ca="1" si="81"/>
        <v>2.1242243297037819</v>
      </c>
      <c r="R174" s="63">
        <f t="shared" ca="1" si="81"/>
        <v>2.2409118915588415</v>
      </c>
      <c r="S174" s="63">
        <f t="shared" ca="1" si="81"/>
        <v>2.2311478637527076</v>
      </c>
      <c r="T174" s="63">
        <f t="shared" ca="1" si="88"/>
        <v>2.3518312985571588</v>
      </c>
      <c r="U174" s="17"/>
      <c r="V174" s="17"/>
      <c r="W174" s="17"/>
    </row>
    <row r="175" spans="1:23" x14ac:dyDescent="0.2">
      <c r="A175" s="51" t="str">
        <f t="shared" si="85"/>
        <v>VVC</v>
      </c>
      <c r="B175" s="46">
        <f t="shared" ca="1" si="87"/>
        <v>70</v>
      </c>
      <c r="C175" s="1">
        <f>IF(ISERROR(D175),"",IF(D175="","",MAX($C$135:C174)+1))</f>
        <v>39</v>
      </c>
      <c r="D175" t="str">
        <f t="shared" si="86"/>
        <v xml:space="preserve">Vectren Corp.                 </v>
      </c>
      <c r="E175" s="22"/>
      <c r="F175" s="63">
        <f t="shared" ca="1" si="79"/>
        <v>1.904936895517475</v>
      </c>
      <c r="G175" s="63">
        <f t="shared" si="77"/>
        <v>2.8199566160520608</v>
      </c>
      <c r="H175" s="63">
        <f ca="1">IFERROR(VLOOKUP($A175,LASTYR,'2017'!$M$3,FALSE),"N/A")</f>
        <v>2.746465598491989</v>
      </c>
      <c r="I175" s="63">
        <f t="shared" ca="1" si="80"/>
        <v>2.2929482370592651</v>
      </c>
      <c r="J175" s="63">
        <f t="shared" ca="1" si="81"/>
        <v>2.1063139260424864</v>
      </c>
      <c r="K175" s="63">
        <f t="shared" ca="1" si="81"/>
        <v>2.0753213367609256</v>
      </c>
      <c r="L175" s="63">
        <f t="shared" ca="1" si="81"/>
        <v>1.8185336372793297</v>
      </c>
      <c r="M175" s="63">
        <f t="shared" ca="1" si="81"/>
        <v>1.5692664009479695</v>
      </c>
      <c r="N175" s="63">
        <f t="shared" ca="1" si="81"/>
        <v>1.5300659438918076</v>
      </c>
      <c r="O175" s="63">
        <f t="shared" ca="1" si="81"/>
        <v>1.4063138769021124</v>
      </c>
      <c r="P175" s="63">
        <f t="shared" ca="1" si="81"/>
        <v>1.3393313211051776</v>
      </c>
      <c r="Q175" s="63">
        <f t="shared" ca="1" si="81"/>
        <v>1.6404891793057967</v>
      </c>
      <c r="R175" s="63">
        <f t="shared" ca="1" si="81"/>
        <v>1.7367704400569413</v>
      </c>
      <c r="S175" s="63">
        <f t="shared" ca="1" si="81"/>
        <v>1.7654569021386908</v>
      </c>
      <c r="T175" s="63">
        <f t="shared" ca="1" si="88"/>
        <v>1.8218831212101021</v>
      </c>
      <c r="U175" s="17"/>
      <c r="V175" s="17"/>
      <c r="W175" s="17"/>
    </row>
    <row r="176" spans="1:23" x14ac:dyDescent="0.2">
      <c r="A176" s="51" t="str">
        <f t="shared" si="85"/>
        <v>WEC</v>
      </c>
      <c r="B176" s="46">
        <f t="shared" ca="1" si="87"/>
        <v>71</v>
      </c>
      <c r="C176" s="1">
        <f>IF(ISERROR(D176),"",IF(D176="","",MAX($C$135:C175)+1))</f>
        <v>40</v>
      </c>
      <c r="D176" t="str">
        <f t="shared" si="86"/>
        <v>WEC Energy Group</v>
      </c>
      <c r="E176" s="22"/>
      <c r="F176" s="63">
        <f t="shared" ca="1" si="79"/>
        <v>1.8761951532534973</v>
      </c>
      <c r="G176" s="63">
        <f t="shared" si="77"/>
        <v>2.1437802907915993</v>
      </c>
      <c r="H176" s="63">
        <f ca="1">IFERROR(VLOOKUP($A176,LASTYR,'2017'!$M$3,FALSE),"N/A")</f>
        <v>2.0959607751575997</v>
      </c>
      <c r="I176" s="63">
        <f t="shared" ca="1" si="80"/>
        <v>2.0868059237267169</v>
      </c>
      <c r="J176" s="63">
        <f t="shared" ca="1" si="81"/>
        <v>1.8208710242194339</v>
      </c>
      <c r="K176" s="63">
        <f t="shared" ca="1" si="81"/>
        <v>2.3404939279518318</v>
      </c>
      <c r="L176" s="63">
        <f t="shared" ca="1" si="81"/>
        <v>2.2113916617733413</v>
      </c>
      <c r="M176" s="63">
        <f t="shared" ca="1" si="81"/>
        <v>2.0509582364019057</v>
      </c>
      <c r="N176" s="63">
        <f t="shared" ca="1" si="81"/>
        <v>1.8064553649316661</v>
      </c>
      <c r="O176" s="63">
        <f t="shared" ca="1" si="81"/>
        <v>1.6539596655189375</v>
      </c>
      <c r="P176" s="63">
        <f t="shared" ca="1" si="81"/>
        <v>1.3998033431661749</v>
      </c>
      <c r="Q176" s="63">
        <f t="shared" ca="1" si="81"/>
        <v>1.5682550805886477</v>
      </c>
      <c r="R176" s="63">
        <f t="shared" ca="1" si="81"/>
        <v>1.7651498000150934</v>
      </c>
      <c r="S176" s="63">
        <f t="shared" ca="1" si="81"/>
        <v>1.7066968985342943</v>
      </c>
      <c r="T176" s="63">
        <f t="shared" ca="1" si="88"/>
        <v>1.6161501527717155</v>
      </c>
      <c r="U176" s="17"/>
      <c r="V176" s="17"/>
      <c r="W176" s="17"/>
    </row>
    <row r="177" spans="1:23" x14ac:dyDescent="0.2">
      <c r="A177" s="51" t="str">
        <f t="shared" si="85"/>
        <v>WR</v>
      </c>
      <c r="B177" s="46">
        <f t="shared" ca="1" si="87"/>
        <v>72</v>
      </c>
      <c r="C177" s="1">
        <f>IF(ISERROR(D177),"",IF(D177="","",MAX($C$135:C176)+1))</f>
        <v>41</v>
      </c>
      <c r="D177" t="str">
        <f t="shared" si="86"/>
        <v xml:space="preserve">Westar Energy                 </v>
      </c>
      <c r="E177" s="22"/>
      <c r="F177" s="63">
        <f t="shared" ca="1" si="79"/>
        <v>1.3699139672426195</v>
      </c>
      <c r="G177" s="63" t="str">
        <f t="shared" si="77"/>
        <v>N/A</v>
      </c>
      <c r="H177" s="63">
        <f ca="1">IFERROR(VLOOKUP($A177,LASTYR,'2017'!$M$3,FALSE),"N/A")</f>
        <v>1.9363636363636363</v>
      </c>
      <c r="I177" s="63">
        <f t="shared" ca="1" si="80"/>
        <v>1.9542490965314256</v>
      </c>
      <c r="J177" s="63">
        <f t="shared" ca="1" si="81"/>
        <v>1.4909350960609224</v>
      </c>
      <c r="K177" s="63">
        <f t="shared" ca="1" si="81"/>
        <v>1.4424860111910471</v>
      </c>
      <c r="L177" s="63">
        <f t="shared" ca="1" si="81"/>
        <v>1.3343942376146405</v>
      </c>
      <c r="M177" s="63">
        <f t="shared" ca="1" si="81"/>
        <v>1.2612038088582163</v>
      </c>
      <c r="N177" s="63">
        <f t="shared" ca="1" si="81"/>
        <v>1.200717171258681</v>
      </c>
      <c r="O177" s="63">
        <f t="shared" ca="1" si="81"/>
        <v>1.0974542374476495</v>
      </c>
      <c r="P177" s="63">
        <f t="shared" ca="1" si="81"/>
        <v>0.92936947440007789</v>
      </c>
      <c r="Q177" s="63">
        <f t="shared" ca="1" si="81"/>
        <v>1.1009215219976218</v>
      </c>
      <c r="R177" s="63">
        <f t="shared" ca="1" si="81"/>
        <v>1.3558702126547886</v>
      </c>
      <c r="S177" s="63">
        <f t="shared" ca="1" si="81"/>
        <v>1.2996309963099633</v>
      </c>
      <c r="T177" s="63">
        <f t="shared" ca="1" si="88"/>
        <v>1.4052860734653831</v>
      </c>
      <c r="U177" s="17"/>
      <c r="V177" s="17"/>
      <c r="W177" s="17"/>
    </row>
    <row r="178" spans="1:23" x14ac:dyDescent="0.2">
      <c r="A178" s="51" t="str">
        <f t="shared" si="85"/>
        <v>XEL</v>
      </c>
      <c r="B178" s="46">
        <f t="shared" ca="1" si="87"/>
        <v>74</v>
      </c>
      <c r="C178" s="1">
        <f>IF(ISERROR(D178),"",IF(D178="","",MAX($C$135:C177)+1))</f>
        <v>42</v>
      </c>
      <c r="D178" t="str">
        <f t="shared" si="86"/>
        <v xml:space="preserve">Xcel Energy Inc.              </v>
      </c>
      <c r="E178" s="22"/>
      <c r="F178" s="63">
        <f t="shared" ca="1" si="79"/>
        <v>1.5416320339332363</v>
      </c>
      <c r="G178" s="63">
        <f t="shared" si="77"/>
        <v>1.9119496855345912</v>
      </c>
      <c r="H178" s="63">
        <f ca="1">IFERROR(VLOOKUP($A178,LASTYR,'2017'!$M$3,FALSE),"N/A")</f>
        <v>2.0590868794326243</v>
      </c>
      <c r="I178" s="63">
        <f t="shared" ref="I178:T182" ca="1" si="89">IFERROR(IF(INDEX(MP_BV_WP,$B178,I$136)=0,"N/A",INDEX(MP_BV_WP,$B178,I$136)),"N/A")</f>
        <v>1.8790960972017672</v>
      </c>
      <c r="J178" s="63">
        <f t="shared" ca="1" si="89"/>
        <v>1.6627088619715611</v>
      </c>
      <c r="K178" s="63">
        <f t="shared" ca="1" si="89"/>
        <v>1.5519136505421598</v>
      </c>
      <c r="L178" s="63">
        <f t="shared" ca="1" si="89"/>
        <v>1.4953149401353463</v>
      </c>
      <c r="M178" s="63">
        <f t="shared" ca="1" si="89"/>
        <v>1.5077532167601453</v>
      </c>
      <c r="N178" s="63">
        <f t="shared" ca="1" si="89"/>
        <v>1.4050473186119874</v>
      </c>
      <c r="O178" s="63">
        <f t="shared" ca="1" si="89"/>
        <v>1.3151739363923862</v>
      </c>
      <c r="P178" s="63">
        <f t="shared" ca="1" si="89"/>
        <v>1.1853759658269991</v>
      </c>
      <c r="Q178" s="63">
        <f t="shared" ca="1" si="89"/>
        <v>1.3020982666492897</v>
      </c>
      <c r="R178" s="63">
        <f t="shared" ca="1" si="89"/>
        <v>1.529908132017693</v>
      </c>
      <c r="S178" s="63">
        <f t="shared" ca="1" si="89"/>
        <v>1.3991037669794146</v>
      </c>
      <c r="T178" s="63">
        <f t="shared" ca="1" si="89"/>
        <v>1.3783177570093457</v>
      </c>
      <c r="U178" s="17"/>
      <c r="V178" s="17"/>
      <c r="W178" s="17"/>
    </row>
    <row r="179" spans="1:23" hidden="1" x14ac:dyDescent="0.2">
      <c r="A179" s="51">
        <f t="shared" si="85"/>
        <v>0</v>
      </c>
      <c r="B179" s="46" t="e">
        <f t="shared" ca="1" si="87"/>
        <v>#N/A</v>
      </c>
      <c r="C179" s="1" t="str">
        <f>IF(ISERROR(D179),"",IF(D179="","",MAX($C$135:C178)+1))</f>
        <v/>
      </c>
      <c r="D179" t="e">
        <f t="shared" si="86"/>
        <v>#N/A</v>
      </c>
      <c r="E179" s="22"/>
      <c r="F179" s="63" t="e">
        <f t="shared" ca="1" si="79"/>
        <v>#DIV/0!</v>
      </c>
      <c r="G179" s="63" t="str">
        <f t="shared" si="77"/>
        <v>N/A</v>
      </c>
      <c r="H179" s="63" t="str">
        <f ca="1">IFERROR(VLOOKUP($A179,LASTYR,'2017'!$M$3,FALSE),"N/A")</f>
        <v>N/A</v>
      </c>
      <c r="I179" s="63" t="str">
        <f t="shared" ca="1" si="89"/>
        <v>N/A</v>
      </c>
      <c r="J179" s="63" t="str">
        <f t="shared" ca="1" si="89"/>
        <v>N/A</v>
      </c>
      <c r="K179" s="63" t="str">
        <f t="shared" ca="1" si="89"/>
        <v>N/A</v>
      </c>
      <c r="L179" s="63" t="str">
        <f t="shared" ca="1" si="89"/>
        <v>N/A</v>
      </c>
      <c r="M179" s="63" t="str">
        <f t="shared" ca="1" si="89"/>
        <v>N/A</v>
      </c>
      <c r="N179" s="63" t="str">
        <f t="shared" ca="1" si="89"/>
        <v>N/A</v>
      </c>
      <c r="O179" s="63" t="str">
        <f t="shared" ca="1" si="89"/>
        <v>N/A</v>
      </c>
      <c r="P179" s="63" t="str">
        <f t="shared" ca="1" si="89"/>
        <v>N/A</v>
      </c>
      <c r="Q179" s="63" t="str">
        <f t="shared" ca="1" si="89"/>
        <v>N/A</v>
      </c>
      <c r="R179" s="63" t="str">
        <f t="shared" ca="1" si="89"/>
        <v>N/A</v>
      </c>
      <c r="S179" s="63" t="str">
        <f t="shared" ca="1" si="89"/>
        <v>N/A</v>
      </c>
      <c r="T179" s="63" t="str">
        <f t="shared" ca="1" si="89"/>
        <v>N/A</v>
      </c>
      <c r="U179" s="17"/>
      <c r="V179" s="17"/>
      <c r="W179" s="17"/>
    </row>
    <row r="180" spans="1:23" hidden="1" x14ac:dyDescent="0.2">
      <c r="A180" s="51">
        <f t="shared" si="85"/>
        <v>0</v>
      </c>
      <c r="B180" s="46" t="e">
        <f t="shared" ca="1" si="87"/>
        <v>#N/A</v>
      </c>
      <c r="C180" s="1" t="str">
        <f>IF(ISERROR(D180),"",IF(D180="","",MAX($C$135:C179)+1))</f>
        <v/>
      </c>
      <c r="D180" t="e">
        <f t="shared" si="86"/>
        <v>#N/A</v>
      </c>
      <c r="F180" s="63" t="e">
        <f t="shared" ca="1" si="79"/>
        <v>#DIV/0!</v>
      </c>
      <c r="G180" s="63" t="str">
        <f t="shared" si="77"/>
        <v>N/A</v>
      </c>
      <c r="H180" s="63" t="str">
        <f ca="1">IFERROR(VLOOKUP($A180,LASTYR,'2017'!$M$3,FALSE),"N/A")</f>
        <v>N/A</v>
      </c>
      <c r="I180" s="63" t="str">
        <f t="shared" ca="1" si="89"/>
        <v>N/A</v>
      </c>
      <c r="J180" s="63" t="str">
        <f t="shared" ca="1" si="89"/>
        <v>N/A</v>
      </c>
      <c r="K180" s="63" t="str">
        <f t="shared" ca="1" si="89"/>
        <v>N/A</v>
      </c>
      <c r="L180" s="63" t="str">
        <f t="shared" ca="1" si="89"/>
        <v>N/A</v>
      </c>
      <c r="M180" s="63" t="str">
        <f t="shared" ca="1" si="89"/>
        <v>N/A</v>
      </c>
      <c r="N180" s="63" t="str">
        <f t="shared" ca="1" si="89"/>
        <v>N/A</v>
      </c>
      <c r="O180" s="63" t="str">
        <f t="shared" ca="1" si="89"/>
        <v>N/A</v>
      </c>
      <c r="P180" s="63" t="str">
        <f t="shared" ca="1" si="89"/>
        <v>N/A</v>
      </c>
      <c r="Q180" s="63" t="str">
        <f t="shared" ca="1" si="89"/>
        <v>N/A</v>
      </c>
      <c r="R180" s="63" t="str">
        <f t="shared" ca="1" si="89"/>
        <v>N/A</v>
      </c>
      <c r="S180" s="63" t="str">
        <f t="shared" ca="1" si="89"/>
        <v>N/A</v>
      </c>
      <c r="T180" s="63" t="str">
        <f t="shared" ca="1" si="89"/>
        <v>N/A</v>
      </c>
      <c r="U180" s="17"/>
      <c r="V180" s="17"/>
      <c r="W180" s="17"/>
    </row>
    <row r="181" spans="1:23" hidden="1" x14ac:dyDescent="0.2">
      <c r="A181" s="51">
        <f t="shared" si="85"/>
        <v>0</v>
      </c>
      <c r="B181" s="46" t="e">
        <f t="shared" ca="1" si="87"/>
        <v>#N/A</v>
      </c>
      <c r="C181" s="1" t="str">
        <f>IF(ISERROR(D181),"",IF(D181="","",MAX($C$135:C180)+1))</f>
        <v/>
      </c>
      <c r="D181" t="e">
        <f t="shared" si="86"/>
        <v>#N/A</v>
      </c>
      <c r="F181" s="63" t="e">
        <f t="shared" ca="1" si="79"/>
        <v>#DIV/0!</v>
      </c>
      <c r="G181" s="63" t="str">
        <f t="shared" si="77"/>
        <v>N/A</v>
      </c>
      <c r="H181" s="63" t="str">
        <f ca="1">IFERROR(VLOOKUP($A181,LASTYR,'2017'!$M$3,FALSE),"N/A")</f>
        <v>N/A</v>
      </c>
      <c r="I181" s="63" t="str">
        <f t="shared" ca="1" si="89"/>
        <v>N/A</v>
      </c>
      <c r="J181" s="63" t="str">
        <f t="shared" ca="1" si="89"/>
        <v>N/A</v>
      </c>
      <c r="K181" s="63" t="str">
        <f t="shared" ca="1" si="89"/>
        <v>N/A</v>
      </c>
      <c r="L181" s="63" t="str">
        <f t="shared" ca="1" si="89"/>
        <v>N/A</v>
      </c>
      <c r="M181" s="63" t="str">
        <f t="shared" ca="1" si="89"/>
        <v>N/A</v>
      </c>
      <c r="N181" s="63" t="str">
        <f t="shared" ca="1" si="89"/>
        <v>N/A</v>
      </c>
      <c r="O181" s="63" t="str">
        <f t="shared" ca="1" si="89"/>
        <v>N/A</v>
      </c>
      <c r="P181" s="63" t="str">
        <f t="shared" ca="1" si="89"/>
        <v>N/A</v>
      </c>
      <c r="Q181" s="63" t="str">
        <f t="shared" ca="1" si="89"/>
        <v>N/A</v>
      </c>
      <c r="R181" s="63" t="str">
        <f t="shared" ca="1" si="89"/>
        <v>N/A</v>
      </c>
      <c r="S181" s="63" t="str">
        <f t="shared" ca="1" si="89"/>
        <v>N/A</v>
      </c>
      <c r="T181" s="63" t="str">
        <f t="shared" ca="1" si="89"/>
        <v>N/A</v>
      </c>
      <c r="U181" s="17"/>
      <c r="V181" s="17"/>
      <c r="W181" s="17"/>
    </row>
    <row r="182" spans="1:23" hidden="1" x14ac:dyDescent="0.2">
      <c r="A182" s="51">
        <f t="shared" si="85"/>
        <v>0</v>
      </c>
      <c r="B182" s="46" t="e">
        <f t="shared" ca="1" si="87"/>
        <v>#N/A</v>
      </c>
      <c r="C182" s="1" t="str">
        <f>IF(ISERROR(D182),"",IF(D182="","",MAX($C$135:C181)+1))</f>
        <v/>
      </c>
      <c r="D182" t="e">
        <f t="shared" si="86"/>
        <v>#N/A</v>
      </c>
      <c r="F182" s="63" t="e">
        <f t="shared" ca="1" si="79"/>
        <v>#DIV/0!</v>
      </c>
      <c r="G182" s="63" t="str">
        <f t="shared" si="77"/>
        <v>N/A</v>
      </c>
      <c r="H182" s="63" t="str">
        <f ca="1">IFERROR(VLOOKUP($A182,LASTYR,'2017'!$M$3,FALSE),"N/A")</f>
        <v>N/A</v>
      </c>
      <c r="I182" s="63" t="str">
        <f t="shared" ca="1" si="89"/>
        <v>N/A</v>
      </c>
      <c r="J182" s="63" t="str">
        <f t="shared" ca="1" si="89"/>
        <v>N/A</v>
      </c>
      <c r="K182" s="63" t="str">
        <f t="shared" ca="1" si="89"/>
        <v>N/A</v>
      </c>
      <c r="L182" s="63" t="str">
        <f t="shared" ca="1" si="89"/>
        <v>N/A</v>
      </c>
      <c r="M182" s="63" t="str">
        <f t="shared" ca="1" si="89"/>
        <v>N/A</v>
      </c>
      <c r="N182" s="63" t="str">
        <f t="shared" ca="1" si="89"/>
        <v>N/A</v>
      </c>
      <c r="O182" s="63" t="str">
        <f t="shared" ca="1" si="89"/>
        <v>N/A</v>
      </c>
      <c r="P182" s="63" t="str">
        <f t="shared" ca="1" si="89"/>
        <v>N/A</v>
      </c>
      <c r="Q182" s="63" t="str">
        <f t="shared" ca="1" si="89"/>
        <v>N/A</v>
      </c>
      <c r="R182" s="63" t="str">
        <f t="shared" ca="1" si="89"/>
        <v>N/A</v>
      </c>
      <c r="S182" s="63" t="str">
        <f t="shared" ca="1" si="89"/>
        <v>N/A</v>
      </c>
      <c r="T182" s="63" t="str">
        <f t="shared" ca="1" si="89"/>
        <v>N/A</v>
      </c>
      <c r="U182" s="17"/>
      <c r="V182" s="17"/>
      <c r="W182" s="17"/>
    </row>
    <row r="183" spans="1:23" x14ac:dyDescent="0.2">
      <c r="A183" s="31"/>
      <c r="B183" s="31"/>
      <c r="C183" s="1" t="str">
        <f>IF(ISERROR(D183),"",IF(D183="","",MAX($C$135:C182)+1))</f>
        <v/>
      </c>
      <c r="F183" s="63"/>
      <c r="G183" s="63"/>
      <c r="H183" s="63"/>
      <c r="I183" s="63"/>
      <c r="J183" s="63"/>
      <c r="K183" s="63"/>
      <c r="L183" s="63"/>
      <c r="M183" s="63"/>
      <c r="N183" s="63"/>
      <c r="O183" s="63"/>
      <c r="P183" s="63"/>
      <c r="Q183" s="63"/>
      <c r="R183" s="63"/>
      <c r="S183" s="63"/>
      <c r="T183" s="63"/>
      <c r="U183" s="17"/>
      <c r="V183" s="17"/>
    </row>
    <row r="184" spans="1:23" x14ac:dyDescent="0.2">
      <c r="A184" s="31"/>
      <c r="B184" s="31"/>
      <c r="C184" s="1">
        <f>IF(ISERROR(D184),"",IF(D184="","",MAX($C$135:C183)+1))</f>
        <v>43</v>
      </c>
      <c r="D184" t="s">
        <v>98</v>
      </c>
      <c r="F184" s="63">
        <f ca="1">AVERAGE(G184:T184)</f>
        <v>1.6644010722670151</v>
      </c>
      <c r="G184" s="63">
        <f t="shared" ref="G184:S184" si="90">AVERAGE(G137:G183)</f>
        <v>1.8492794528026664</v>
      </c>
      <c r="H184" s="63">
        <f t="shared" ca="1" si="90"/>
        <v>1.9991071582243496</v>
      </c>
      <c r="I184" s="63">
        <f t="shared" ref="I184" ca="1" si="91">AVERAGE(I137:I183)</f>
        <v>1.8537111096410521</v>
      </c>
      <c r="J184" s="63">
        <f t="shared" ca="1" si="90"/>
        <v>1.6675490207984394</v>
      </c>
      <c r="K184" s="63">
        <f t="shared" ca="1" si="90"/>
        <v>1.6793674134806242</v>
      </c>
      <c r="L184" s="63">
        <f t="shared" ca="1" si="90"/>
        <v>1.595967207193552</v>
      </c>
      <c r="M184" s="63">
        <f t="shared" ca="1" si="90"/>
        <v>1.5137096763366307</v>
      </c>
      <c r="N184" s="63">
        <f t="shared" ca="1" si="90"/>
        <v>1.4309163083493632</v>
      </c>
      <c r="O184" s="63">
        <f t="shared" ca="1" si="90"/>
        <v>1.3512580469070472</v>
      </c>
      <c r="P184" s="63">
        <f t="shared" ca="1" si="90"/>
        <v>1.2544090562146915</v>
      </c>
      <c r="Q184" s="63">
        <f t="shared" ca="1" si="90"/>
        <v>1.6270867403394296</v>
      </c>
      <c r="R184" s="63">
        <f t="shared" ca="1" si="90"/>
        <v>1.9000067563886252</v>
      </c>
      <c r="S184" s="63">
        <f t="shared" ca="1" si="90"/>
        <v>1.7774862465097983</v>
      </c>
      <c r="T184" s="63">
        <f t="shared" ref="T184" ca="1" si="92">AVERAGE(T137:T183)</f>
        <v>1.8017608185519411</v>
      </c>
      <c r="U184" s="17"/>
      <c r="V184" s="17"/>
      <c r="W184" s="17"/>
    </row>
    <row r="185" spans="1:23" x14ac:dyDescent="0.2">
      <c r="A185" s="31"/>
      <c r="B185" s="31"/>
      <c r="C185" s="1">
        <f>IF(ISERROR(D185),"",IF(D185="","",MAX($C$135:C184)+1))</f>
        <v>44</v>
      </c>
      <c r="D185" t="s">
        <v>257</v>
      </c>
      <c r="F185" s="63">
        <f ca="1">AVERAGE(G185:T185)</f>
        <v>1.5692135813480146</v>
      </c>
      <c r="G185" s="63">
        <f>MEDIAN(G137:G183)</f>
        <v>1.7946644626436963</v>
      </c>
      <c r="H185" s="63">
        <f t="shared" ref="H185:S185" ca="1" si="93">MEDIAN(H137:H183)</f>
        <v>1.9064773894022589</v>
      </c>
      <c r="I185" s="63">
        <f t="shared" ref="I185" ca="1" si="94">MEDIAN(I137:I183)</f>
        <v>1.7440281556548434</v>
      </c>
      <c r="J185" s="63">
        <f t="shared" ca="1" si="93"/>
        <v>1.5671881029416128</v>
      </c>
      <c r="K185" s="63">
        <f t="shared" ca="1" si="93"/>
        <v>1.5329980290215792</v>
      </c>
      <c r="L185" s="63">
        <f t="shared" ca="1" si="93"/>
        <v>1.4928153198970247</v>
      </c>
      <c r="M185" s="63">
        <f t="shared" ca="1" si="93"/>
        <v>1.4650923073118824</v>
      </c>
      <c r="N185" s="63">
        <f t="shared" ca="1" si="93"/>
        <v>1.3671624847646937</v>
      </c>
      <c r="O185" s="63">
        <f t="shared" ca="1" si="93"/>
        <v>1.3148261802755983</v>
      </c>
      <c r="P185" s="63">
        <f t="shared" ca="1" si="93"/>
        <v>1.1532252386834871</v>
      </c>
      <c r="Q185" s="63">
        <f t="shared" ca="1" si="93"/>
        <v>1.4794999556597825</v>
      </c>
      <c r="R185" s="63">
        <f t="shared" ca="1" si="93"/>
        <v>1.7109433122986419</v>
      </c>
      <c r="S185" s="63">
        <f t="shared" ca="1" si="93"/>
        <v>1.7066968985342943</v>
      </c>
      <c r="T185" s="63">
        <f t="shared" ref="T185" ca="1" si="95">MEDIAN(T137:T183)</f>
        <v>1.7333723017828064</v>
      </c>
      <c r="U185" s="17"/>
      <c r="V185" s="17"/>
      <c r="W185" s="17"/>
    </row>
    <row r="186" spans="1:23" x14ac:dyDescent="0.2">
      <c r="A186" s="31"/>
      <c r="B186" s="31"/>
      <c r="C186" s="1"/>
    </row>
    <row r="187" spans="1:23" x14ac:dyDescent="0.2">
      <c r="A187" s="31"/>
      <c r="B187" s="31"/>
      <c r="D187" s="18"/>
      <c r="E187" s="91"/>
    </row>
    <row r="188" spans="1:23" x14ac:dyDescent="0.2">
      <c r="A188" s="31"/>
      <c r="B188" s="31"/>
      <c r="D188" s="20" t="s">
        <v>107</v>
      </c>
    </row>
    <row r="189" spans="1:23" ht="16.5" x14ac:dyDescent="0.2">
      <c r="A189" s="31"/>
      <c r="B189" s="31"/>
      <c r="D189" s="79">
        <v>1</v>
      </c>
      <c r="E189" s="21" t="str">
        <f>"The Value Line Investment Survey Investment Analyzer Software, downloaded on "&amp;TEXT('2017'!$A$1,"mmmm d, yyyy.")</f>
        <v>The Value Line Investment Survey Investment Analyzer Software, downloaded on June 21, 2018.</v>
      </c>
    </row>
    <row r="190" spans="1:23" ht="16.5" x14ac:dyDescent="0.2">
      <c r="A190" s="31"/>
      <c r="B190" s="31"/>
      <c r="D190" s="79">
        <v>2</v>
      </c>
      <c r="E190" s="21" t="str">
        <f>"The Value Line Investment Survey, "&amp;'2018 Data (WP)'!$D$1</f>
        <v>The Value Line Investment Survey, October 26, November 16, and December 14, 2018.</v>
      </c>
    </row>
    <row r="191" spans="1:23" x14ac:dyDescent="0.2">
      <c r="A191" s="31"/>
      <c r="B191" s="31"/>
      <c r="D191" s="20" t="s">
        <v>329</v>
      </c>
    </row>
    <row r="192" spans="1:23" ht="16.5" x14ac:dyDescent="0.2">
      <c r="A192" s="31"/>
      <c r="B192" s="31"/>
      <c r="D192" s="93" t="s">
        <v>356</v>
      </c>
      <c r="E192" t="s">
        <v>428</v>
      </c>
    </row>
    <row r="193" spans="4:5" x14ac:dyDescent="0.2">
      <c r="D193" s="23"/>
      <c r="E193" s="23" t="str">
        <f>"published in The Value Line Investment Survey, "&amp;'2018 Data (WP)'!$D$1</f>
        <v>published in The Value Line Investment Survey, October 26, November 16, and December 14, 2018.</v>
      </c>
    </row>
  </sheetData>
  <mergeCells count="10">
    <mergeCell ref="D71:E71"/>
    <mergeCell ref="F132:W132"/>
    <mergeCell ref="D134:E134"/>
    <mergeCell ref="C1:W1"/>
    <mergeCell ref="C5:W5"/>
    <mergeCell ref="C6:W6"/>
    <mergeCell ref="F9:W9"/>
    <mergeCell ref="D11:E11"/>
    <mergeCell ref="F69:W69"/>
    <mergeCell ref="C2:W2"/>
  </mergeCells>
  <printOptions horizontalCentered="1"/>
  <pageMargins left="0.7" right="0.7" top="1" bottom="0.75" header="0.55000000000000004" footer="0.51"/>
  <pageSetup scale="49" fitToHeight="3" orientation="landscape" useFirstPageNumber="1" r:id="rId1"/>
  <headerFooter>
    <oddHeader>&amp;R&amp;20 Exhibit CCW-1
Page &amp;P of 7</oddHeader>
  </headerFooter>
  <rowBreaks count="2" manualBreakCount="2">
    <brk id="67" min="2" max="22" man="1"/>
    <brk id="130" min="2" max="22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pageSetUpPr fitToPage="1"/>
  </sheetPr>
  <dimension ref="A1:X72"/>
  <sheetViews>
    <sheetView zoomScale="80" zoomScaleNormal="80" workbookViewId="0">
      <selection activeCell="O78" sqref="O78"/>
    </sheetView>
  </sheetViews>
  <sheetFormatPr defaultRowHeight="14.25" x14ac:dyDescent="0.2"/>
  <cols>
    <col min="1" max="2" width="8" customWidth="1"/>
    <col min="3" max="3" width="11" customWidth="1"/>
    <col min="4" max="4" width="4.75" bestFit="1" customWidth="1"/>
    <col min="5" max="5" width="2.125" customWidth="1"/>
    <col min="6" max="6" width="18.75" customWidth="1"/>
    <col min="7" max="9" width="9" customWidth="1"/>
    <col min="10" max="10" width="3.625" customWidth="1"/>
    <col min="11" max="11" width="9" customWidth="1"/>
    <col min="12" max="12" width="11" customWidth="1"/>
    <col min="13" max="20" width="9" customWidth="1"/>
    <col min="21" max="21" width="9" hidden="1" customWidth="1"/>
    <col min="22" max="24" width="0" hidden="1" customWidth="1"/>
  </cols>
  <sheetData>
    <row r="1" spans="1:24" ht="27.75" x14ac:dyDescent="0.4">
      <c r="C1" s="236" t="str">
        <f>GasU</f>
        <v>Enter Utility Name</v>
      </c>
      <c r="D1" s="236"/>
      <c r="E1" s="236"/>
      <c r="F1" s="236"/>
      <c r="G1" s="236"/>
      <c r="H1" s="236"/>
      <c r="I1" s="236"/>
      <c r="J1" s="236"/>
      <c r="K1" s="236"/>
      <c r="L1" s="236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</row>
    <row r="2" spans="1:24" x14ac:dyDescent="0.2">
      <c r="D2" s="4"/>
      <c r="E2" s="5"/>
      <c r="F2" s="6"/>
      <c r="G2" s="6"/>
      <c r="H2" s="6"/>
      <c r="I2" s="6"/>
      <c r="J2" s="6"/>
      <c r="K2" s="6"/>
      <c r="L2" s="6"/>
      <c r="M2" s="6"/>
      <c r="N2" s="6"/>
      <c r="O2" s="6"/>
      <c r="P2" s="7"/>
      <c r="Q2" s="7"/>
      <c r="R2" s="7"/>
      <c r="S2" s="7"/>
      <c r="T2" s="7"/>
      <c r="U2" s="7"/>
      <c r="V2" s="7"/>
      <c r="W2" s="7"/>
    </row>
    <row r="3" spans="1:24" x14ac:dyDescent="0.2">
      <c r="D3" s="4"/>
      <c r="E3" s="5"/>
      <c r="F3" s="6"/>
      <c r="G3" s="6"/>
      <c r="H3" s="6"/>
      <c r="I3" s="6"/>
      <c r="J3" s="6"/>
      <c r="K3" s="6"/>
      <c r="L3" s="6"/>
      <c r="M3" s="6"/>
      <c r="N3" s="6"/>
      <c r="O3" s="6"/>
      <c r="P3" s="7"/>
      <c r="Q3" s="7"/>
      <c r="R3" s="7"/>
      <c r="S3" s="7"/>
      <c r="T3" s="7"/>
      <c r="U3" s="7"/>
      <c r="V3" s="7"/>
      <c r="W3" s="7"/>
    </row>
    <row r="4" spans="1:24" ht="20.25" x14ac:dyDescent="0.3">
      <c r="D4" s="237" t="s">
        <v>273</v>
      </c>
      <c r="E4" s="237"/>
      <c r="F4" s="237"/>
      <c r="G4" s="237"/>
      <c r="H4" s="237"/>
      <c r="I4" s="237"/>
      <c r="J4" s="237"/>
      <c r="K4" s="237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</row>
    <row r="5" spans="1:24" ht="18" x14ac:dyDescent="0.25">
      <c r="D5" s="238" t="s">
        <v>274</v>
      </c>
      <c r="E5" s="238"/>
      <c r="F5" s="238"/>
      <c r="G5" s="238"/>
      <c r="H5" s="238"/>
      <c r="I5" s="238"/>
      <c r="J5" s="238"/>
      <c r="K5" s="238"/>
      <c r="L5" s="123"/>
      <c r="M5" s="123"/>
      <c r="N5" s="123"/>
      <c r="O5" s="123"/>
      <c r="P5" s="123"/>
      <c r="Q5" s="123"/>
      <c r="R5" s="123"/>
      <c r="S5" s="123"/>
      <c r="T5" s="123"/>
      <c r="U5" s="123"/>
      <c r="V5" s="123"/>
      <c r="W5" s="123"/>
      <c r="X5" s="123"/>
    </row>
    <row r="6" spans="1:24" x14ac:dyDescent="0.2">
      <c r="D6" s="6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4" x14ac:dyDescent="0.2">
      <c r="D7" s="6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4" ht="15" x14ac:dyDescent="0.25">
      <c r="A8" s="31"/>
      <c r="B8" s="31"/>
      <c r="C8" s="31"/>
      <c r="E8" s="126"/>
      <c r="F8" s="126"/>
      <c r="G8" s="126"/>
      <c r="H8" s="126"/>
      <c r="I8" s="126"/>
      <c r="J8" s="126"/>
      <c r="K8" s="126"/>
    </row>
    <row r="9" spans="1:24" ht="15" x14ac:dyDescent="0.25">
      <c r="A9" s="31"/>
      <c r="B9" s="31"/>
      <c r="C9" s="31"/>
      <c r="D9" s="6"/>
      <c r="E9" s="6"/>
      <c r="F9" s="19"/>
      <c r="G9" s="240" t="s">
        <v>377</v>
      </c>
      <c r="H9" s="240"/>
      <c r="I9" s="240"/>
      <c r="J9" s="240"/>
      <c r="K9" s="240"/>
      <c r="L9" s="118"/>
      <c r="M9" s="118"/>
      <c r="N9" s="118"/>
      <c r="O9" s="118"/>
      <c r="P9" s="118"/>
      <c r="Q9" s="118"/>
      <c r="R9" s="118"/>
      <c r="S9" s="118"/>
      <c r="T9" s="118"/>
      <c r="U9" s="118"/>
      <c r="V9" s="118"/>
      <c r="W9" s="118"/>
      <c r="X9" s="118"/>
    </row>
    <row r="10" spans="1:24" ht="15" x14ac:dyDescent="0.25">
      <c r="A10" s="31"/>
      <c r="B10" s="31"/>
      <c r="C10" s="31"/>
      <c r="D10" s="6"/>
      <c r="E10" s="7"/>
      <c r="F10" s="7"/>
      <c r="G10" s="8"/>
      <c r="H10" s="8"/>
      <c r="I10" s="8"/>
      <c r="J10" s="8"/>
      <c r="K10" s="8" t="s">
        <v>372</v>
      </c>
      <c r="L10" s="8"/>
      <c r="M10" s="8"/>
      <c r="N10" s="8"/>
      <c r="O10" s="8"/>
      <c r="P10" s="8"/>
      <c r="Q10" s="7"/>
      <c r="R10" s="7"/>
      <c r="S10" s="7"/>
      <c r="T10" s="7"/>
      <c r="U10" s="7"/>
      <c r="V10" s="7"/>
      <c r="W10" s="7"/>
    </row>
    <row r="11" spans="1:24" ht="15" x14ac:dyDescent="0.25">
      <c r="A11" s="31"/>
      <c r="B11" s="31"/>
      <c r="C11" s="31"/>
      <c r="D11" s="9" t="s">
        <v>96</v>
      </c>
      <c r="E11" s="234" t="s">
        <v>97</v>
      </c>
      <c r="F11" s="234"/>
      <c r="G11" s="10" t="s">
        <v>374</v>
      </c>
      <c r="H11" s="41">
        <v>2018</v>
      </c>
      <c r="I11" s="41">
        <v>2019</v>
      </c>
      <c r="J11" s="41"/>
      <c r="K11" s="41" t="s">
        <v>373</v>
      </c>
      <c r="L11" s="41"/>
      <c r="M11" s="41"/>
      <c r="N11" s="41"/>
      <c r="O11" s="41"/>
      <c r="P11" s="41"/>
      <c r="Q11" s="41"/>
      <c r="R11" s="41"/>
      <c r="S11" s="41"/>
      <c r="T11" s="41"/>
      <c r="U11" s="41">
        <v>2005</v>
      </c>
      <c r="V11" s="41"/>
      <c r="W11" s="41"/>
      <c r="X11" s="41"/>
    </row>
    <row r="12" spans="1:24" ht="15" x14ac:dyDescent="0.25">
      <c r="A12" s="42"/>
      <c r="B12" s="42"/>
      <c r="C12" s="42"/>
      <c r="D12" s="9"/>
      <c r="E12" s="11"/>
      <c r="F12" s="11"/>
      <c r="G12" s="12">
        <f>0-1</f>
        <v>-1</v>
      </c>
      <c r="H12" s="12">
        <f t="shared" ref="H12:U12" si="0">+G12-1</f>
        <v>-2</v>
      </c>
      <c r="I12" s="12">
        <f t="shared" si="0"/>
        <v>-3</v>
      </c>
      <c r="J12" s="12"/>
      <c r="K12" s="12">
        <f>+I12-1</f>
        <v>-4</v>
      </c>
      <c r="L12" s="12"/>
      <c r="M12" s="12"/>
      <c r="N12" s="12"/>
      <c r="O12" s="12"/>
      <c r="P12" s="12"/>
      <c r="Q12" s="12"/>
      <c r="R12" s="12"/>
      <c r="S12" s="12"/>
      <c r="T12" s="12"/>
      <c r="U12" s="12">
        <f t="shared" si="0"/>
        <v>-1</v>
      </c>
      <c r="V12" s="12"/>
      <c r="W12" s="12"/>
      <c r="X12" s="12"/>
    </row>
    <row r="13" spans="1:24" x14ac:dyDescent="0.2">
      <c r="A13" s="43"/>
      <c r="B13" s="44"/>
      <c r="C13" s="44"/>
      <c r="D13" s="6"/>
      <c r="F13" s="22"/>
      <c r="G13" s="3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 t="e">
        <f t="shared" ref="U13:X13" ca="1" si="1">MATCH(VALUE(LEFT(U11,4)),OFFSET(CF_CAP_WP,-1,0,1,),0)</f>
        <v>#N/A</v>
      </c>
      <c r="V13" s="16" t="e">
        <f t="shared" ca="1" si="1"/>
        <v>#VALUE!</v>
      </c>
      <c r="W13" s="16" t="e">
        <f t="shared" ca="1" si="1"/>
        <v>#VALUE!</v>
      </c>
      <c r="X13" s="16" t="e">
        <f t="shared" ca="1" si="1"/>
        <v>#VALUE!</v>
      </c>
    </row>
    <row r="14" spans="1:24" x14ac:dyDescent="0.2">
      <c r="A14" s="45" t="s">
        <v>175</v>
      </c>
      <c r="B14" s="46">
        <f t="shared" ref="B14:B58" si="2">MATCH(A14,CapCashTic,0)</f>
        <v>14</v>
      </c>
      <c r="C14" s="46"/>
      <c r="D14" s="1">
        <f>IF(ISERROR(E14),"",IF(E14="","",MAX($D$12:D13)+1))</f>
        <v>1</v>
      </c>
      <c r="E14" t="s">
        <v>174</v>
      </c>
      <c r="F14" s="22"/>
      <c r="G14" s="124">
        <f t="shared" ref="G14:G58" si="3">IFERROR(INDEX(CapCash,$B14,7)/INDEX(CapCash,$B14,3),"N/A")</f>
        <v>0.61752356069795655</v>
      </c>
      <c r="H14" s="124">
        <f t="shared" ref="H14:H58" si="4">IFERROR(VLOOKUP($A14,LUCurYr,21,0),"N/A")</f>
        <v>0.54166666666666674</v>
      </c>
      <c r="I14" s="124">
        <f t="shared" ref="I14:I58" si="5">IFERROR(VLOOKUP($A14,LUCurYr,23,0),"N/A")</f>
        <v>0.52559726962457343</v>
      </c>
      <c r="J14" s="124"/>
      <c r="K14" s="124">
        <f t="shared" ref="K14:K58" si="6">IFERROR(VLOOKUP($A14,LUCurYr,24,0),"N/A")</f>
        <v>0.60563380281690138</v>
      </c>
      <c r="L14" s="63"/>
      <c r="M14" s="63"/>
      <c r="N14" s="63"/>
      <c r="O14" s="63"/>
      <c r="P14" s="63"/>
      <c r="Q14" s="63"/>
      <c r="R14" s="63"/>
      <c r="S14" s="63"/>
      <c r="T14" s="63"/>
      <c r="U14" s="63"/>
      <c r="V14" s="17"/>
      <c r="W14" s="17"/>
      <c r="X14" s="17"/>
    </row>
    <row r="15" spans="1:24" x14ac:dyDescent="0.2">
      <c r="A15" s="45" t="s">
        <v>178</v>
      </c>
      <c r="B15" s="46">
        <f t="shared" si="2"/>
        <v>20</v>
      </c>
      <c r="C15" s="46"/>
      <c r="D15" s="1">
        <f>IF(ISERROR(E15),"",IF(E15="","",MAX($D$12:D14)+1))</f>
        <v>2</v>
      </c>
      <c r="E15" t="s">
        <v>215</v>
      </c>
      <c r="F15" s="22"/>
      <c r="G15" s="124">
        <f t="shared" si="3"/>
        <v>0.50498741493427801</v>
      </c>
      <c r="H15" s="124">
        <f t="shared" si="4"/>
        <v>0.47843137254901957</v>
      </c>
      <c r="I15" s="124">
        <f t="shared" si="5"/>
        <v>0.59722222222222221</v>
      </c>
      <c r="J15" s="124"/>
      <c r="K15" s="124">
        <f t="shared" si="6"/>
        <v>0.69915254237288127</v>
      </c>
      <c r="L15" s="63"/>
      <c r="M15" s="63"/>
      <c r="N15" s="63"/>
      <c r="O15" s="63"/>
      <c r="P15" s="63"/>
      <c r="Q15" s="63"/>
      <c r="R15" s="63"/>
      <c r="S15" s="63"/>
      <c r="T15" s="63"/>
      <c r="U15" s="63"/>
      <c r="V15" s="17"/>
      <c r="W15" s="17"/>
      <c r="X15" s="17"/>
    </row>
    <row r="16" spans="1:24" x14ac:dyDescent="0.2">
      <c r="A16" s="45" t="s">
        <v>190</v>
      </c>
      <c r="B16" s="46">
        <f t="shared" si="2"/>
        <v>39</v>
      </c>
      <c r="C16" s="46"/>
      <c r="D16" s="1">
        <f>IF(ISERROR(E16),"",IF(E16="","",MAX($D$12:D15)+1))</f>
        <v>3</v>
      </c>
      <c r="E16" t="s">
        <v>189</v>
      </c>
      <c r="F16" s="22"/>
      <c r="G16" s="124">
        <f t="shared" si="3"/>
        <v>0.70481452249408039</v>
      </c>
      <c r="H16" s="124">
        <f t="shared" si="4"/>
        <v>1.6590909090909089</v>
      </c>
      <c r="I16" s="124">
        <f t="shared" si="5"/>
        <v>1.6888888888888889</v>
      </c>
      <c r="J16" s="124"/>
      <c r="K16" s="124">
        <f t="shared" si="6"/>
        <v>1.7872340425531914</v>
      </c>
      <c r="L16" s="63"/>
      <c r="M16" s="63"/>
      <c r="N16" s="63"/>
      <c r="O16" s="63"/>
      <c r="P16" s="63"/>
      <c r="Q16" s="63"/>
      <c r="R16" s="63"/>
      <c r="S16" s="63"/>
      <c r="T16" s="63"/>
      <c r="U16" s="63"/>
      <c r="V16" s="17"/>
      <c r="W16" s="17"/>
      <c r="X16" s="17"/>
    </row>
    <row r="17" spans="1:24" x14ac:dyDescent="0.2">
      <c r="A17" s="45" t="s">
        <v>26</v>
      </c>
      <c r="B17" s="46">
        <f t="shared" si="2"/>
        <v>41</v>
      </c>
      <c r="C17" s="46"/>
      <c r="D17" s="1">
        <f>IF(ISERROR(E17),"",IF(E17="","",MAX($D$12:D16)+1))</f>
        <v>4</v>
      </c>
      <c r="E17" t="s">
        <v>142</v>
      </c>
      <c r="F17" s="22"/>
      <c r="G17" s="124">
        <f t="shared" si="3"/>
        <v>0.41216216216216212</v>
      </c>
      <c r="H17" s="124">
        <f t="shared" si="4"/>
        <v>0.58585858585858586</v>
      </c>
      <c r="I17" s="124">
        <f t="shared" si="5"/>
        <v>0.57692307692307687</v>
      </c>
      <c r="J17" s="124"/>
      <c r="K17" s="124">
        <f t="shared" si="6"/>
        <v>0.60526315789473684</v>
      </c>
      <c r="L17" s="63"/>
      <c r="M17" s="63"/>
      <c r="N17" s="63"/>
      <c r="O17" s="63"/>
      <c r="P17" s="63"/>
      <c r="Q17" s="63"/>
      <c r="R17" s="63"/>
      <c r="S17" s="63"/>
      <c r="T17" s="63"/>
      <c r="U17" s="63"/>
      <c r="V17" s="17"/>
      <c r="W17" s="17"/>
      <c r="X17" s="17"/>
    </row>
    <row r="18" spans="1:24" x14ac:dyDescent="0.2">
      <c r="A18" s="45" t="s">
        <v>192</v>
      </c>
      <c r="B18" s="46">
        <f t="shared" si="2"/>
        <v>42</v>
      </c>
      <c r="C18" s="46"/>
      <c r="D18" s="1">
        <f>IF(ISERROR(E18),"",IF(E18="","",MAX($D$12:D17)+1))</f>
        <v>5</v>
      </c>
      <c r="E18" t="s">
        <v>191</v>
      </c>
      <c r="F18" s="22"/>
      <c r="G18" s="124">
        <f t="shared" si="3"/>
        <v>0.14018565854971077</v>
      </c>
      <c r="H18" s="124">
        <f t="shared" si="4"/>
        <v>0.69852941176470595</v>
      </c>
      <c r="I18" s="124">
        <f t="shared" si="5"/>
        <v>0.84962406015037595</v>
      </c>
      <c r="J18" s="124"/>
      <c r="K18" s="124">
        <f t="shared" si="6"/>
        <v>1.016</v>
      </c>
      <c r="L18" s="63"/>
      <c r="M18" s="63"/>
      <c r="N18" s="63"/>
      <c r="O18" s="63"/>
      <c r="P18" s="63"/>
      <c r="Q18" s="63"/>
      <c r="R18" s="63"/>
      <c r="S18" s="63"/>
      <c r="T18" s="63"/>
      <c r="U18" s="63"/>
      <c r="V18" s="17"/>
      <c r="W18" s="17"/>
      <c r="X18" s="17"/>
    </row>
    <row r="19" spans="1:24" x14ac:dyDescent="0.2">
      <c r="A19" s="45" t="s">
        <v>346</v>
      </c>
      <c r="B19" s="46">
        <f t="shared" si="2"/>
        <v>45</v>
      </c>
      <c r="C19" s="46"/>
      <c r="D19" s="1">
        <f>IF(ISERROR(E19),"",IF(E19="","",MAX($D$12:D18)+1))</f>
        <v>6</v>
      </c>
      <c r="E19" t="s">
        <v>349</v>
      </c>
      <c r="F19" s="22"/>
      <c r="G19" s="124">
        <f t="shared" si="3"/>
        <v>0.87492660011743972</v>
      </c>
      <c r="H19" s="124">
        <f t="shared" si="4"/>
        <v>0.86986301369863006</v>
      </c>
      <c r="I19" s="124">
        <f t="shared" si="5"/>
        <v>0.89864864864864868</v>
      </c>
      <c r="J19" s="124"/>
      <c r="K19" s="124">
        <f t="shared" si="6"/>
        <v>1.0933333333333333</v>
      </c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17"/>
      <c r="W19" s="17"/>
      <c r="X19" s="17"/>
    </row>
    <row r="20" spans="1:24" x14ac:dyDescent="0.2">
      <c r="A20" s="45" t="s">
        <v>198</v>
      </c>
      <c r="B20" s="46">
        <f t="shared" si="2"/>
        <v>57</v>
      </c>
      <c r="C20" s="46"/>
      <c r="D20" s="1">
        <f>IF(ISERROR(E20),"",IF(E20="","",MAX($D$12:D19)+1))</f>
        <v>7</v>
      </c>
      <c r="E20" t="s">
        <v>197</v>
      </c>
      <c r="F20" s="22"/>
      <c r="G20" s="124">
        <f t="shared" si="3"/>
        <v>0.8117167006703585</v>
      </c>
      <c r="H20" s="124">
        <f t="shared" si="4"/>
        <v>0.89473684210526305</v>
      </c>
      <c r="I20" s="124">
        <f t="shared" si="5"/>
        <v>0.87096774193548387</v>
      </c>
      <c r="J20" s="124"/>
      <c r="K20" s="124">
        <f t="shared" si="6"/>
        <v>0.74736842105263157</v>
      </c>
      <c r="L20" s="63"/>
      <c r="M20" s="63"/>
      <c r="N20" s="63"/>
      <c r="O20" s="63"/>
      <c r="P20" s="63"/>
      <c r="Q20" s="63"/>
      <c r="R20" s="63"/>
      <c r="S20" s="63"/>
      <c r="T20" s="63"/>
      <c r="U20" s="63"/>
      <c r="V20" s="17"/>
      <c r="W20" s="17"/>
      <c r="X20" s="17"/>
    </row>
    <row r="21" spans="1:24" x14ac:dyDescent="0.2">
      <c r="A21" s="45" t="s">
        <v>200</v>
      </c>
      <c r="B21" s="46">
        <f t="shared" si="2"/>
        <v>59</v>
      </c>
      <c r="C21" s="46"/>
      <c r="D21" s="1">
        <f>IF(ISERROR(E21),"",IF(E21="","",MAX($D$12:D20)+1))</f>
        <v>8</v>
      </c>
      <c r="E21" t="s">
        <v>199</v>
      </c>
      <c r="F21" s="22"/>
      <c r="G21" s="124">
        <f t="shared" si="3"/>
        <v>0.6811381863047502</v>
      </c>
      <c r="H21" s="124">
        <f t="shared" si="4"/>
        <v>0.61433447098976113</v>
      </c>
      <c r="I21" s="124">
        <f t="shared" si="5"/>
        <v>0.63157894736842102</v>
      </c>
      <c r="J21" s="124"/>
      <c r="K21" s="124">
        <f t="shared" si="6"/>
        <v>0.75362318840579712</v>
      </c>
      <c r="L21" s="63"/>
      <c r="M21" s="63"/>
      <c r="N21" s="63"/>
      <c r="O21" s="63"/>
      <c r="P21" s="63"/>
      <c r="Q21" s="63"/>
      <c r="R21" s="63"/>
      <c r="S21" s="63"/>
      <c r="T21" s="63"/>
      <c r="U21" s="63"/>
      <c r="V21" s="17"/>
      <c r="W21" s="17"/>
      <c r="X21" s="17"/>
    </row>
    <row r="22" spans="1:24" x14ac:dyDescent="0.2">
      <c r="A22" s="45" t="s">
        <v>244</v>
      </c>
      <c r="B22" s="46">
        <f t="shared" si="2"/>
        <v>60</v>
      </c>
      <c r="C22" s="46"/>
      <c r="D22" s="1">
        <f>IF(ISERROR(E22),"",IF(E22="","",MAX($D$12:D21)+1))</f>
        <v>9</v>
      </c>
      <c r="E22" t="s">
        <v>243</v>
      </c>
      <c r="F22" s="22"/>
      <c r="G22" s="124">
        <f t="shared" si="3"/>
        <v>0.72061253718188834</v>
      </c>
      <c r="H22" s="124">
        <f t="shared" si="4"/>
        <v>0.76572008113590262</v>
      </c>
      <c r="I22" s="124">
        <f t="shared" si="5"/>
        <v>0.75520833333333337</v>
      </c>
      <c r="J22" s="124"/>
      <c r="K22" s="124">
        <f t="shared" si="6"/>
        <v>0.82499999999999996</v>
      </c>
      <c r="L22" s="63"/>
      <c r="M22" s="63"/>
      <c r="N22" s="63"/>
      <c r="O22" s="63"/>
      <c r="P22" s="63"/>
      <c r="Q22" s="63"/>
      <c r="R22" s="63"/>
      <c r="S22" s="63"/>
      <c r="T22" s="63"/>
      <c r="U22" s="63"/>
      <c r="V22" s="17"/>
      <c r="W22" s="17"/>
      <c r="X22" s="17"/>
    </row>
    <row r="23" spans="1:24" x14ac:dyDescent="0.2">
      <c r="A23" s="45" t="s">
        <v>204</v>
      </c>
      <c r="B23" s="46">
        <f t="shared" si="2"/>
        <v>62</v>
      </c>
      <c r="C23" s="46"/>
      <c r="D23" s="1">
        <f>IF(ISERROR(E23),"",IF(E23="","",MAX($D$12:D22)+1))</f>
        <v>10</v>
      </c>
      <c r="E23" t="s">
        <v>203</v>
      </c>
      <c r="F23" s="22"/>
      <c r="G23" s="124">
        <f t="shared" si="3"/>
        <v>1.2878540305010893</v>
      </c>
      <c r="H23" s="124">
        <f t="shared" si="4"/>
        <v>1.4</v>
      </c>
      <c r="I23" s="124">
        <f t="shared" si="5"/>
        <v>1.3846153846153848</v>
      </c>
      <c r="J23" s="124"/>
      <c r="K23" s="124">
        <f t="shared" si="6"/>
        <v>1.3793103448275863</v>
      </c>
      <c r="L23" s="63"/>
      <c r="M23" s="63"/>
      <c r="N23" s="63"/>
      <c r="O23" s="63"/>
      <c r="P23" s="63"/>
      <c r="Q23" s="63"/>
      <c r="R23" s="63"/>
      <c r="S23" s="63"/>
      <c r="T23" s="63"/>
      <c r="U23" s="63"/>
      <c r="V23" s="17"/>
      <c r="W23" s="17"/>
      <c r="X23" s="17"/>
    </row>
    <row r="24" spans="1:24" x14ac:dyDescent="0.2">
      <c r="A24" s="45" t="s">
        <v>206</v>
      </c>
      <c r="B24" s="46">
        <f t="shared" si="2"/>
        <v>66</v>
      </c>
      <c r="C24" s="46"/>
      <c r="D24" s="1">
        <f>IF(ISERROR(E24),"",IF(E24="","",MAX($D$12:D23)+1))</f>
        <v>11</v>
      </c>
      <c r="E24" t="s">
        <v>205</v>
      </c>
      <c r="F24" s="22"/>
      <c r="G24" s="124">
        <f t="shared" si="3"/>
        <v>0.60606661379857263</v>
      </c>
      <c r="H24" s="124" t="str">
        <f t="shared" si="4"/>
        <v>N/A</v>
      </c>
      <c r="I24" s="124" t="str">
        <f t="shared" si="5"/>
        <v>N/A</v>
      </c>
      <c r="J24" s="124"/>
      <c r="K24" s="124" t="str">
        <f t="shared" si="6"/>
        <v>N/A</v>
      </c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17"/>
      <c r="W24" s="17"/>
      <c r="X24" s="17"/>
    </row>
    <row r="25" spans="1:24" hidden="1" x14ac:dyDescent="0.2">
      <c r="A25" s="51"/>
      <c r="B25" s="46" t="e">
        <f t="shared" si="2"/>
        <v>#N/A</v>
      </c>
      <c r="C25" s="46"/>
      <c r="D25" s="1" t="str">
        <f>IF(ISERROR(E25),"",IF(E25="","",MAX($D$12:D24)+1))</f>
        <v/>
      </c>
      <c r="F25" s="22"/>
      <c r="G25" s="124" t="str">
        <f t="shared" si="3"/>
        <v>N/A</v>
      </c>
      <c r="H25" s="124" t="str">
        <f t="shared" si="4"/>
        <v>N/A</v>
      </c>
      <c r="I25" s="124" t="str">
        <f t="shared" si="5"/>
        <v>N/A</v>
      </c>
      <c r="J25" s="124"/>
      <c r="K25" s="124" t="str">
        <f t="shared" si="6"/>
        <v>N/A</v>
      </c>
      <c r="L25" s="63"/>
      <c r="M25" s="63"/>
      <c r="N25" s="63"/>
      <c r="O25" s="63"/>
      <c r="P25" s="63"/>
      <c r="Q25" s="63"/>
      <c r="R25" s="63"/>
      <c r="S25" s="63"/>
      <c r="T25" s="63"/>
      <c r="U25" s="63"/>
      <c r="V25" s="17"/>
      <c r="W25" s="17"/>
      <c r="X25" s="17"/>
    </row>
    <row r="26" spans="1:24" hidden="1" x14ac:dyDescent="0.2">
      <c r="A26" s="51"/>
      <c r="B26" s="46" t="e">
        <f t="shared" si="2"/>
        <v>#N/A</v>
      </c>
      <c r="C26" s="46"/>
      <c r="D26" s="1" t="str">
        <f>IF(ISERROR(E26),"",IF(E26="","",MAX($D$12:D25)+1))</f>
        <v/>
      </c>
      <c r="F26" s="22"/>
      <c r="G26" s="124" t="str">
        <f t="shared" si="3"/>
        <v>N/A</v>
      </c>
      <c r="H26" s="124" t="str">
        <f t="shared" si="4"/>
        <v>N/A</v>
      </c>
      <c r="I26" s="124" t="str">
        <f t="shared" si="5"/>
        <v>N/A</v>
      </c>
      <c r="J26" s="124"/>
      <c r="K26" s="124" t="str">
        <f t="shared" si="6"/>
        <v>N/A</v>
      </c>
      <c r="L26" s="63"/>
      <c r="M26" s="63"/>
      <c r="N26" s="63"/>
      <c r="O26" s="63"/>
      <c r="P26" s="63"/>
      <c r="Q26" s="63"/>
      <c r="R26" s="63"/>
      <c r="S26" s="63"/>
      <c r="T26" s="63"/>
      <c r="U26" s="63"/>
      <c r="V26" s="17"/>
      <c r="W26" s="17"/>
      <c r="X26" s="17"/>
    </row>
    <row r="27" spans="1:24" hidden="1" x14ac:dyDescent="0.2">
      <c r="A27" s="51"/>
      <c r="B27" s="46" t="e">
        <f t="shared" si="2"/>
        <v>#N/A</v>
      </c>
      <c r="C27" s="46"/>
      <c r="D27" s="1" t="str">
        <f>IF(ISERROR(E27),"",IF(E27="","",MAX($D$12:D26)+1))</f>
        <v/>
      </c>
      <c r="F27" s="22"/>
      <c r="G27" s="124" t="str">
        <f t="shared" si="3"/>
        <v>N/A</v>
      </c>
      <c r="H27" s="124" t="str">
        <f t="shared" si="4"/>
        <v>N/A</v>
      </c>
      <c r="I27" s="124" t="str">
        <f t="shared" si="5"/>
        <v>N/A</v>
      </c>
      <c r="J27" s="124"/>
      <c r="K27" s="124" t="str">
        <f t="shared" si="6"/>
        <v>N/A</v>
      </c>
      <c r="L27" s="63"/>
      <c r="M27" s="63"/>
      <c r="N27" s="63"/>
      <c r="O27" s="63"/>
      <c r="P27" s="63"/>
      <c r="Q27" s="63"/>
      <c r="R27" s="63"/>
      <c r="S27" s="63"/>
      <c r="T27" s="63"/>
      <c r="U27" s="63"/>
      <c r="V27" s="17"/>
      <c r="W27" s="17"/>
      <c r="X27" s="17"/>
    </row>
    <row r="28" spans="1:24" hidden="1" x14ac:dyDescent="0.2">
      <c r="A28" s="51"/>
      <c r="B28" s="46" t="e">
        <f t="shared" si="2"/>
        <v>#N/A</v>
      </c>
      <c r="C28" s="46"/>
      <c r="D28" s="1" t="str">
        <f>IF(ISERROR(E28),"",IF(E28="","",MAX($D$12:D27)+1))</f>
        <v/>
      </c>
      <c r="F28" s="22"/>
      <c r="G28" s="124" t="str">
        <f t="shared" si="3"/>
        <v>N/A</v>
      </c>
      <c r="H28" s="124" t="str">
        <f t="shared" si="4"/>
        <v>N/A</v>
      </c>
      <c r="I28" s="124" t="str">
        <f t="shared" si="5"/>
        <v>N/A</v>
      </c>
      <c r="J28" s="124"/>
      <c r="K28" s="124" t="str">
        <f t="shared" si="6"/>
        <v>N/A</v>
      </c>
      <c r="L28" s="63"/>
      <c r="M28" s="63"/>
      <c r="N28" s="63"/>
      <c r="O28" s="63"/>
      <c r="P28" s="63"/>
      <c r="Q28" s="63"/>
      <c r="R28" s="63"/>
      <c r="S28" s="63"/>
      <c r="T28" s="63"/>
      <c r="U28" s="63"/>
      <c r="V28" s="17"/>
      <c r="W28" s="17"/>
      <c r="X28" s="17"/>
    </row>
    <row r="29" spans="1:24" hidden="1" x14ac:dyDescent="0.2">
      <c r="A29" s="51"/>
      <c r="B29" s="46" t="e">
        <f t="shared" si="2"/>
        <v>#N/A</v>
      </c>
      <c r="C29" s="46"/>
      <c r="D29" s="1" t="str">
        <f>IF(ISERROR(E29),"",IF(E29="","",MAX($D$12:D28)+1))</f>
        <v/>
      </c>
      <c r="F29" s="22"/>
      <c r="G29" s="124" t="str">
        <f t="shared" si="3"/>
        <v>N/A</v>
      </c>
      <c r="H29" s="124" t="str">
        <f t="shared" si="4"/>
        <v>N/A</v>
      </c>
      <c r="I29" s="124" t="str">
        <f t="shared" si="5"/>
        <v>N/A</v>
      </c>
      <c r="J29" s="124"/>
      <c r="K29" s="124" t="str">
        <f t="shared" si="6"/>
        <v>N/A</v>
      </c>
      <c r="L29" s="63"/>
      <c r="M29" s="63"/>
      <c r="N29" s="63"/>
      <c r="O29" s="63"/>
      <c r="P29" s="63"/>
      <c r="Q29" s="63"/>
      <c r="R29" s="63"/>
      <c r="S29" s="63"/>
      <c r="T29" s="63"/>
      <c r="U29" s="63"/>
      <c r="V29" s="17"/>
      <c r="W29" s="17"/>
      <c r="X29" s="17"/>
    </row>
    <row r="30" spans="1:24" hidden="1" x14ac:dyDescent="0.2">
      <c r="A30" s="51"/>
      <c r="B30" s="46" t="e">
        <f t="shared" si="2"/>
        <v>#N/A</v>
      </c>
      <c r="C30" s="46"/>
      <c r="D30" s="1" t="str">
        <f>IF(ISERROR(E30),"",IF(E30="","",MAX($D$12:D29)+1))</f>
        <v/>
      </c>
      <c r="F30" s="22"/>
      <c r="G30" s="124" t="str">
        <f t="shared" si="3"/>
        <v>N/A</v>
      </c>
      <c r="H30" s="124" t="str">
        <f t="shared" si="4"/>
        <v>N/A</v>
      </c>
      <c r="I30" s="124" t="str">
        <f t="shared" si="5"/>
        <v>N/A</v>
      </c>
      <c r="J30" s="124"/>
      <c r="K30" s="124" t="str">
        <f t="shared" si="6"/>
        <v>N/A</v>
      </c>
      <c r="L30" s="63"/>
      <c r="M30" s="63"/>
      <c r="N30" s="63"/>
      <c r="O30" s="63"/>
      <c r="P30" s="63"/>
      <c r="Q30" s="63"/>
      <c r="R30" s="63"/>
      <c r="S30" s="63"/>
      <c r="T30" s="63"/>
      <c r="U30" s="63"/>
      <c r="V30" s="17"/>
      <c r="W30" s="17"/>
      <c r="X30" s="17"/>
    </row>
    <row r="31" spans="1:24" hidden="1" x14ac:dyDescent="0.2">
      <c r="A31" s="51"/>
      <c r="B31" s="46" t="e">
        <f t="shared" si="2"/>
        <v>#N/A</v>
      </c>
      <c r="C31" s="46"/>
      <c r="D31" s="1" t="str">
        <f>IF(ISERROR(E31),"",IF(E31="","",MAX($D$12:D30)+1))</f>
        <v/>
      </c>
      <c r="F31" s="22"/>
      <c r="G31" s="124" t="str">
        <f t="shared" si="3"/>
        <v>N/A</v>
      </c>
      <c r="H31" s="124" t="str">
        <f t="shared" si="4"/>
        <v>N/A</v>
      </c>
      <c r="I31" s="124" t="str">
        <f t="shared" si="5"/>
        <v>N/A</v>
      </c>
      <c r="J31" s="124"/>
      <c r="K31" s="124" t="str">
        <f t="shared" si="6"/>
        <v>N/A</v>
      </c>
      <c r="L31" s="63"/>
      <c r="M31" s="63"/>
      <c r="N31" s="63"/>
      <c r="O31" s="63"/>
      <c r="P31" s="63"/>
      <c r="Q31" s="63"/>
      <c r="R31" s="63"/>
      <c r="S31" s="63"/>
      <c r="T31" s="63"/>
      <c r="U31" s="63"/>
      <c r="V31" s="17"/>
      <c r="W31" s="17"/>
      <c r="X31" s="17"/>
    </row>
    <row r="32" spans="1:24" hidden="1" x14ac:dyDescent="0.2">
      <c r="A32" s="51"/>
      <c r="B32" s="46" t="e">
        <f t="shared" si="2"/>
        <v>#N/A</v>
      </c>
      <c r="C32" s="46"/>
      <c r="D32" s="1" t="str">
        <f>IF(ISERROR(E32),"",IF(E32="","",MAX($D$12:D31)+1))</f>
        <v/>
      </c>
      <c r="F32" s="22"/>
      <c r="G32" s="124" t="str">
        <f t="shared" si="3"/>
        <v>N/A</v>
      </c>
      <c r="H32" s="124" t="str">
        <f t="shared" si="4"/>
        <v>N/A</v>
      </c>
      <c r="I32" s="124" t="str">
        <f t="shared" si="5"/>
        <v>N/A</v>
      </c>
      <c r="J32" s="124"/>
      <c r="K32" s="124" t="str">
        <f t="shared" si="6"/>
        <v>N/A</v>
      </c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17"/>
      <c r="W32" s="17"/>
      <c r="X32" s="17"/>
    </row>
    <row r="33" spans="1:24" hidden="1" x14ac:dyDescent="0.2">
      <c r="A33" s="51"/>
      <c r="B33" s="46" t="e">
        <f t="shared" si="2"/>
        <v>#N/A</v>
      </c>
      <c r="C33" s="46"/>
      <c r="D33" s="1" t="str">
        <f>IF(ISERROR(E33),"",IF(E33="","",MAX($D$12:D32)+1))</f>
        <v/>
      </c>
      <c r="F33" s="22"/>
      <c r="G33" s="124" t="str">
        <f t="shared" si="3"/>
        <v>N/A</v>
      </c>
      <c r="H33" s="124" t="str">
        <f t="shared" si="4"/>
        <v>N/A</v>
      </c>
      <c r="I33" s="124" t="str">
        <f t="shared" si="5"/>
        <v>N/A</v>
      </c>
      <c r="J33" s="124"/>
      <c r="K33" s="124" t="str">
        <f t="shared" si="6"/>
        <v>N/A</v>
      </c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17"/>
      <c r="W33" s="17"/>
      <c r="X33" s="17"/>
    </row>
    <row r="34" spans="1:24" hidden="1" x14ac:dyDescent="0.2">
      <c r="A34" s="51"/>
      <c r="B34" s="46" t="e">
        <f t="shared" si="2"/>
        <v>#N/A</v>
      </c>
      <c r="C34" s="46"/>
      <c r="D34" s="1" t="str">
        <f>IF(ISERROR(E34),"",IF(E34="","",MAX($D$12:D33)+1))</f>
        <v/>
      </c>
      <c r="F34" s="22"/>
      <c r="G34" s="124" t="str">
        <f t="shared" si="3"/>
        <v>N/A</v>
      </c>
      <c r="H34" s="124" t="str">
        <f t="shared" si="4"/>
        <v>N/A</v>
      </c>
      <c r="I34" s="124" t="str">
        <f t="shared" si="5"/>
        <v>N/A</v>
      </c>
      <c r="J34" s="124"/>
      <c r="K34" s="124" t="str">
        <f t="shared" si="6"/>
        <v>N/A</v>
      </c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17"/>
      <c r="W34" s="17"/>
      <c r="X34" s="17"/>
    </row>
    <row r="35" spans="1:24" hidden="1" x14ac:dyDescent="0.2">
      <c r="A35" s="51"/>
      <c r="B35" s="46" t="e">
        <f t="shared" si="2"/>
        <v>#N/A</v>
      </c>
      <c r="C35" s="46"/>
      <c r="D35" s="1" t="str">
        <f>IF(ISERROR(E35),"",IF(E35="","",MAX($D$12:D34)+1))</f>
        <v/>
      </c>
      <c r="F35" s="22"/>
      <c r="G35" s="124" t="str">
        <f t="shared" si="3"/>
        <v>N/A</v>
      </c>
      <c r="H35" s="124" t="str">
        <f t="shared" si="4"/>
        <v>N/A</v>
      </c>
      <c r="I35" s="124" t="str">
        <f t="shared" si="5"/>
        <v>N/A</v>
      </c>
      <c r="J35" s="124"/>
      <c r="K35" s="124" t="str">
        <f t="shared" si="6"/>
        <v>N/A</v>
      </c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17"/>
      <c r="W35" s="17"/>
      <c r="X35" s="17"/>
    </row>
    <row r="36" spans="1:24" hidden="1" x14ac:dyDescent="0.2">
      <c r="A36" s="51"/>
      <c r="B36" s="46" t="e">
        <f t="shared" si="2"/>
        <v>#N/A</v>
      </c>
      <c r="C36" s="46"/>
      <c r="D36" s="1" t="str">
        <f>IF(ISERROR(E36),"",IF(E36="","",MAX($D$12:D35)+1))</f>
        <v/>
      </c>
      <c r="F36" s="22"/>
      <c r="G36" s="124" t="str">
        <f t="shared" si="3"/>
        <v>N/A</v>
      </c>
      <c r="H36" s="124" t="str">
        <f t="shared" si="4"/>
        <v>N/A</v>
      </c>
      <c r="I36" s="124" t="str">
        <f t="shared" si="5"/>
        <v>N/A</v>
      </c>
      <c r="J36" s="124"/>
      <c r="K36" s="124" t="str">
        <f t="shared" si="6"/>
        <v>N/A</v>
      </c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17"/>
      <c r="W36" s="17"/>
      <c r="X36" s="17"/>
    </row>
    <row r="37" spans="1:24" hidden="1" x14ac:dyDescent="0.2">
      <c r="A37" s="51"/>
      <c r="B37" s="46" t="e">
        <f t="shared" si="2"/>
        <v>#N/A</v>
      </c>
      <c r="C37" s="46"/>
      <c r="D37" s="1" t="str">
        <f>IF(ISERROR(E37),"",IF(E37="","",MAX($D$12:D36)+1))</f>
        <v/>
      </c>
      <c r="F37" s="22"/>
      <c r="G37" s="124" t="str">
        <f t="shared" si="3"/>
        <v>N/A</v>
      </c>
      <c r="H37" s="124" t="str">
        <f t="shared" si="4"/>
        <v>N/A</v>
      </c>
      <c r="I37" s="124" t="str">
        <f t="shared" si="5"/>
        <v>N/A</v>
      </c>
      <c r="J37" s="124"/>
      <c r="K37" s="124" t="str">
        <f t="shared" si="6"/>
        <v>N/A</v>
      </c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17"/>
      <c r="W37" s="17"/>
      <c r="X37" s="17"/>
    </row>
    <row r="38" spans="1:24" hidden="1" x14ac:dyDescent="0.2">
      <c r="A38" s="51"/>
      <c r="B38" s="46" t="e">
        <f t="shared" si="2"/>
        <v>#N/A</v>
      </c>
      <c r="C38" s="46"/>
      <c r="D38" s="1" t="str">
        <f>IF(ISERROR(E38),"",IF(E38="","",MAX($D$12:D37)+1))</f>
        <v/>
      </c>
      <c r="F38" s="22"/>
      <c r="G38" s="124" t="str">
        <f t="shared" si="3"/>
        <v>N/A</v>
      </c>
      <c r="H38" s="124" t="str">
        <f t="shared" si="4"/>
        <v>N/A</v>
      </c>
      <c r="I38" s="124" t="str">
        <f t="shared" si="5"/>
        <v>N/A</v>
      </c>
      <c r="J38" s="124"/>
      <c r="K38" s="124" t="str">
        <f t="shared" si="6"/>
        <v>N/A</v>
      </c>
      <c r="L38" s="63"/>
      <c r="M38" s="63"/>
      <c r="N38" s="63"/>
      <c r="O38" s="63"/>
      <c r="P38" s="63"/>
      <c r="Q38" s="63"/>
      <c r="R38" s="63"/>
      <c r="S38" s="63"/>
      <c r="T38" s="63"/>
      <c r="U38" s="63"/>
      <c r="V38" s="17"/>
      <c r="W38" s="17"/>
      <c r="X38" s="17"/>
    </row>
    <row r="39" spans="1:24" hidden="1" x14ac:dyDescent="0.2">
      <c r="A39" s="51"/>
      <c r="B39" s="46" t="e">
        <f t="shared" si="2"/>
        <v>#N/A</v>
      </c>
      <c r="C39" s="46"/>
      <c r="D39" s="1" t="str">
        <f>IF(ISERROR(E39),"",IF(E39="","",MAX($D$12:D38)+1))</f>
        <v/>
      </c>
      <c r="F39" s="22"/>
      <c r="G39" s="124" t="str">
        <f t="shared" si="3"/>
        <v>N/A</v>
      </c>
      <c r="H39" s="124" t="str">
        <f t="shared" si="4"/>
        <v>N/A</v>
      </c>
      <c r="I39" s="124" t="str">
        <f t="shared" si="5"/>
        <v>N/A</v>
      </c>
      <c r="J39" s="124"/>
      <c r="K39" s="124" t="str">
        <f t="shared" si="6"/>
        <v>N/A</v>
      </c>
      <c r="L39" s="63"/>
      <c r="M39" s="63"/>
      <c r="N39" s="63"/>
      <c r="O39" s="63"/>
      <c r="P39" s="63"/>
      <c r="Q39" s="63"/>
      <c r="R39" s="63"/>
      <c r="S39" s="63"/>
      <c r="T39" s="63"/>
      <c r="U39" s="63"/>
      <c r="V39" s="17"/>
      <c r="W39" s="17"/>
      <c r="X39" s="17"/>
    </row>
    <row r="40" spans="1:24" hidden="1" x14ac:dyDescent="0.2">
      <c r="A40" s="51"/>
      <c r="B40" s="46" t="e">
        <f t="shared" si="2"/>
        <v>#N/A</v>
      </c>
      <c r="C40" s="46"/>
      <c r="D40" s="1" t="str">
        <f>IF(ISERROR(E40),"",IF(E40="","",MAX($D$12:D39)+1))</f>
        <v/>
      </c>
      <c r="F40" s="22"/>
      <c r="G40" s="124" t="str">
        <f t="shared" si="3"/>
        <v>N/A</v>
      </c>
      <c r="H40" s="124" t="str">
        <f t="shared" si="4"/>
        <v>N/A</v>
      </c>
      <c r="I40" s="124" t="str">
        <f t="shared" si="5"/>
        <v>N/A</v>
      </c>
      <c r="J40" s="124"/>
      <c r="K40" s="124" t="str">
        <f t="shared" si="6"/>
        <v>N/A</v>
      </c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17"/>
      <c r="W40" s="17"/>
      <c r="X40" s="17"/>
    </row>
    <row r="41" spans="1:24" hidden="1" x14ac:dyDescent="0.2">
      <c r="A41" s="51"/>
      <c r="B41" s="46" t="e">
        <f t="shared" si="2"/>
        <v>#N/A</v>
      </c>
      <c r="C41" s="46"/>
      <c r="D41" s="1" t="str">
        <f>IF(ISERROR(E41),"",IF(E41="","",MAX($D$12:D40)+1))</f>
        <v/>
      </c>
      <c r="F41" s="22"/>
      <c r="G41" s="124" t="str">
        <f t="shared" si="3"/>
        <v>N/A</v>
      </c>
      <c r="H41" s="124" t="str">
        <f t="shared" si="4"/>
        <v>N/A</v>
      </c>
      <c r="I41" s="124" t="str">
        <f t="shared" si="5"/>
        <v>N/A</v>
      </c>
      <c r="J41" s="124"/>
      <c r="K41" s="124" t="str">
        <f t="shared" si="6"/>
        <v>N/A</v>
      </c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17"/>
      <c r="W41" s="17"/>
      <c r="X41" s="17"/>
    </row>
    <row r="42" spans="1:24" hidden="1" x14ac:dyDescent="0.2">
      <c r="A42" s="51"/>
      <c r="B42" s="46" t="e">
        <f t="shared" si="2"/>
        <v>#N/A</v>
      </c>
      <c r="C42" s="46"/>
      <c r="D42" s="1" t="str">
        <f>IF(ISERROR(E42),"",IF(E42="","",MAX($D$12:D41)+1))</f>
        <v/>
      </c>
      <c r="F42" s="22"/>
      <c r="G42" s="124" t="str">
        <f t="shared" si="3"/>
        <v>N/A</v>
      </c>
      <c r="H42" s="124" t="str">
        <f t="shared" si="4"/>
        <v>N/A</v>
      </c>
      <c r="I42" s="124" t="str">
        <f t="shared" si="5"/>
        <v>N/A</v>
      </c>
      <c r="J42" s="124"/>
      <c r="K42" s="124" t="str">
        <f t="shared" si="6"/>
        <v>N/A</v>
      </c>
      <c r="L42" s="63"/>
      <c r="M42" s="63"/>
      <c r="N42" s="63"/>
      <c r="O42" s="63"/>
      <c r="P42" s="63"/>
      <c r="Q42" s="63"/>
      <c r="R42" s="63"/>
      <c r="S42" s="63"/>
      <c r="T42" s="63"/>
      <c r="U42" s="63"/>
      <c r="V42" s="17"/>
      <c r="W42" s="17"/>
      <c r="X42" s="17"/>
    </row>
    <row r="43" spans="1:24" hidden="1" x14ac:dyDescent="0.2">
      <c r="A43" s="51"/>
      <c r="B43" s="46" t="e">
        <f t="shared" si="2"/>
        <v>#N/A</v>
      </c>
      <c r="C43" s="46"/>
      <c r="D43" s="1" t="str">
        <f>IF(ISERROR(E43),"",IF(E43="","",MAX($D$12:D42)+1))</f>
        <v/>
      </c>
      <c r="F43" s="22"/>
      <c r="G43" s="124" t="str">
        <f t="shared" si="3"/>
        <v>N/A</v>
      </c>
      <c r="H43" s="124" t="str">
        <f t="shared" si="4"/>
        <v>N/A</v>
      </c>
      <c r="I43" s="124" t="str">
        <f t="shared" si="5"/>
        <v>N/A</v>
      </c>
      <c r="J43" s="124"/>
      <c r="K43" s="124" t="str">
        <f t="shared" si="6"/>
        <v>N/A</v>
      </c>
      <c r="L43" s="63"/>
      <c r="M43" s="63"/>
      <c r="N43" s="63"/>
      <c r="O43" s="63"/>
      <c r="P43" s="63"/>
      <c r="Q43" s="63"/>
      <c r="R43" s="63"/>
      <c r="S43" s="63"/>
      <c r="T43" s="63"/>
      <c r="U43" s="63"/>
      <c r="V43" s="17"/>
      <c r="W43" s="17"/>
      <c r="X43" s="17"/>
    </row>
    <row r="44" spans="1:24" hidden="1" x14ac:dyDescent="0.2">
      <c r="A44" s="51"/>
      <c r="B44" s="46" t="e">
        <f t="shared" si="2"/>
        <v>#N/A</v>
      </c>
      <c r="C44" s="46"/>
      <c r="D44" s="1" t="str">
        <f>IF(ISERROR(E44),"",IF(E44="","",MAX($D$12:D43)+1))</f>
        <v/>
      </c>
      <c r="F44" s="22"/>
      <c r="G44" s="124" t="str">
        <f t="shared" si="3"/>
        <v>N/A</v>
      </c>
      <c r="H44" s="124" t="str">
        <f t="shared" si="4"/>
        <v>N/A</v>
      </c>
      <c r="I44" s="124" t="str">
        <f t="shared" si="5"/>
        <v>N/A</v>
      </c>
      <c r="J44" s="124"/>
      <c r="K44" s="124" t="str">
        <f t="shared" si="6"/>
        <v>N/A</v>
      </c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17"/>
      <c r="W44" s="17"/>
      <c r="X44" s="17"/>
    </row>
    <row r="45" spans="1:24" hidden="1" x14ac:dyDescent="0.2">
      <c r="A45" s="51"/>
      <c r="B45" s="46" t="e">
        <f t="shared" si="2"/>
        <v>#N/A</v>
      </c>
      <c r="C45" s="46"/>
      <c r="D45" s="1" t="str">
        <f>IF(ISERROR(E45),"",IF(E45="","",MAX($D$12:D44)+1))</f>
        <v/>
      </c>
      <c r="F45" s="22"/>
      <c r="G45" s="124" t="str">
        <f t="shared" si="3"/>
        <v>N/A</v>
      </c>
      <c r="H45" s="124" t="str">
        <f t="shared" si="4"/>
        <v>N/A</v>
      </c>
      <c r="I45" s="124" t="str">
        <f t="shared" si="5"/>
        <v>N/A</v>
      </c>
      <c r="J45" s="124"/>
      <c r="K45" s="124" t="str">
        <f t="shared" si="6"/>
        <v>N/A</v>
      </c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17"/>
      <c r="W45" s="17"/>
      <c r="X45" s="17"/>
    </row>
    <row r="46" spans="1:24" hidden="1" x14ac:dyDescent="0.2">
      <c r="A46" s="51"/>
      <c r="B46" s="46" t="e">
        <f t="shared" si="2"/>
        <v>#N/A</v>
      </c>
      <c r="C46" s="46"/>
      <c r="D46" s="1" t="str">
        <f>IF(ISERROR(E46),"",IF(E46="","",MAX($D$12:D45)+1))</f>
        <v/>
      </c>
      <c r="F46" s="22"/>
      <c r="G46" s="124" t="str">
        <f t="shared" si="3"/>
        <v>N/A</v>
      </c>
      <c r="H46" s="124" t="str">
        <f t="shared" si="4"/>
        <v>N/A</v>
      </c>
      <c r="I46" s="124" t="str">
        <f t="shared" si="5"/>
        <v>N/A</v>
      </c>
      <c r="J46" s="124"/>
      <c r="K46" s="124" t="str">
        <f t="shared" si="6"/>
        <v>N/A</v>
      </c>
      <c r="L46" s="63"/>
      <c r="M46" s="63"/>
      <c r="N46" s="63"/>
      <c r="O46" s="63"/>
      <c r="P46" s="63"/>
      <c r="Q46" s="63"/>
      <c r="R46" s="63"/>
      <c r="S46" s="63"/>
      <c r="T46" s="63"/>
      <c r="U46" s="63"/>
      <c r="V46" s="17"/>
      <c r="W46" s="17"/>
      <c r="X46" s="17"/>
    </row>
    <row r="47" spans="1:24" hidden="1" x14ac:dyDescent="0.2">
      <c r="A47" s="51"/>
      <c r="B47" s="46" t="e">
        <f t="shared" si="2"/>
        <v>#N/A</v>
      </c>
      <c r="C47" s="46"/>
      <c r="D47" s="1" t="str">
        <f>IF(ISERROR(E47),"",IF(E47="","",MAX($D$12:D46)+1))</f>
        <v/>
      </c>
      <c r="F47" s="22"/>
      <c r="G47" s="124" t="str">
        <f t="shared" si="3"/>
        <v>N/A</v>
      </c>
      <c r="H47" s="124" t="str">
        <f t="shared" si="4"/>
        <v>N/A</v>
      </c>
      <c r="I47" s="124" t="str">
        <f t="shared" si="5"/>
        <v>N/A</v>
      </c>
      <c r="J47" s="124"/>
      <c r="K47" s="124" t="str">
        <f t="shared" si="6"/>
        <v>N/A</v>
      </c>
      <c r="L47" s="63"/>
      <c r="M47" s="63"/>
      <c r="N47" s="63"/>
      <c r="O47" s="63"/>
      <c r="P47" s="63"/>
      <c r="Q47" s="63"/>
      <c r="R47" s="63"/>
      <c r="S47" s="63"/>
      <c r="T47" s="63"/>
      <c r="U47" s="63"/>
      <c r="V47" s="17"/>
      <c r="W47" s="17"/>
      <c r="X47" s="17"/>
    </row>
    <row r="48" spans="1:24" hidden="1" x14ac:dyDescent="0.2">
      <c r="A48" s="51"/>
      <c r="B48" s="46" t="e">
        <f t="shared" si="2"/>
        <v>#N/A</v>
      </c>
      <c r="C48" s="46"/>
      <c r="D48" s="1" t="str">
        <f>IF(ISERROR(E48),"",IF(E48="","",MAX($D$12:D47)+1))</f>
        <v/>
      </c>
      <c r="F48" s="22"/>
      <c r="G48" s="124" t="str">
        <f t="shared" si="3"/>
        <v>N/A</v>
      </c>
      <c r="H48" s="124" t="str">
        <f t="shared" si="4"/>
        <v>N/A</v>
      </c>
      <c r="I48" s="124" t="str">
        <f t="shared" si="5"/>
        <v>N/A</v>
      </c>
      <c r="J48" s="124"/>
      <c r="K48" s="124" t="str">
        <f t="shared" si="6"/>
        <v>N/A</v>
      </c>
      <c r="L48" s="63"/>
      <c r="M48" s="63"/>
      <c r="N48" s="63"/>
      <c r="O48" s="63"/>
      <c r="P48" s="63"/>
      <c r="Q48" s="63"/>
      <c r="R48" s="63"/>
      <c r="S48" s="63"/>
      <c r="T48" s="63"/>
      <c r="U48" s="63"/>
      <c r="V48" s="17"/>
      <c r="W48" s="17"/>
      <c r="X48" s="17"/>
    </row>
    <row r="49" spans="1:24" hidden="1" x14ac:dyDescent="0.2">
      <c r="A49" s="51"/>
      <c r="B49" s="46" t="e">
        <f t="shared" si="2"/>
        <v>#N/A</v>
      </c>
      <c r="C49" s="46"/>
      <c r="D49" s="1" t="str">
        <f>IF(ISERROR(E49),"",IF(E49="","",MAX($D$12:D48)+1))</f>
        <v/>
      </c>
      <c r="F49" s="22"/>
      <c r="G49" s="124" t="str">
        <f t="shared" si="3"/>
        <v>N/A</v>
      </c>
      <c r="H49" s="124" t="str">
        <f t="shared" si="4"/>
        <v>N/A</v>
      </c>
      <c r="I49" s="124" t="str">
        <f t="shared" si="5"/>
        <v>N/A</v>
      </c>
      <c r="J49" s="124"/>
      <c r="K49" s="124" t="str">
        <f t="shared" si="6"/>
        <v>N/A</v>
      </c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17"/>
      <c r="W49" s="17"/>
      <c r="X49" s="17"/>
    </row>
    <row r="50" spans="1:24" hidden="1" x14ac:dyDescent="0.2">
      <c r="A50" s="51"/>
      <c r="B50" s="46" t="e">
        <f t="shared" si="2"/>
        <v>#N/A</v>
      </c>
      <c r="C50" s="46"/>
      <c r="D50" s="1" t="str">
        <f>IF(ISERROR(E50),"",IF(E50="","",MAX($D$12:D49)+1))</f>
        <v/>
      </c>
      <c r="F50" s="22"/>
      <c r="G50" s="124" t="str">
        <f t="shared" si="3"/>
        <v>N/A</v>
      </c>
      <c r="H50" s="124" t="str">
        <f t="shared" si="4"/>
        <v>N/A</v>
      </c>
      <c r="I50" s="124" t="str">
        <f t="shared" si="5"/>
        <v>N/A</v>
      </c>
      <c r="J50" s="124"/>
      <c r="K50" s="124" t="str">
        <f t="shared" si="6"/>
        <v>N/A</v>
      </c>
      <c r="L50" s="63"/>
      <c r="M50" s="63"/>
      <c r="N50" s="63"/>
      <c r="O50" s="63"/>
      <c r="P50" s="63"/>
      <c r="Q50" s="63"/>
      <c r="R50" s="63"/>
      <c r="S50" s="63"/>
      <c r="T50" s="63"/>
      <c r="U50" s="63"/>
      <c r="V50" s="17"/>
      <c r="W50" s="17"/>
      <c r="X50" s="17"/>
    </row>
    <row r="51" spans="1:24" hidden="1" x14ac:dyDescent="0.2">
      <c r="A51" s="51"/>
      <c r="B51" s="46" t="e">
        <f t="shared" si="2"/>
        <v>#N/A</v>
      </c>
      <c r="C51" s="46"/>
      <c r="D51" s="1" t="str">
        <f>IF(ISERROR(E51),"",IF(E51="","",MAX($D$12:D50)+1))</f>
        <v/>
      </c>
      <c r="F51" s="22"/>
      <c r="G51" s="124" t="str">
        <f t="shared" si="3"/>
        <v>N/A</v>
      </c>
      <c r="H51" s="124" t="str">
        <f t="shared" si="4"/>
        <v>N/A</v>
      </c>
      <c r="I51" s="124" t="str">
        <f t="shared" si="5"/>
        <v>N/A</v>
      </c>
      <c r="J51" s="124"/>
      <c r="K51" s="124" t="str">
        <f t="shared" si="6"/>
        <v>N/A</v>
      </c>
      <c r="L51" s="63"/>
      <c r="M51" s="63"/>
      <c r="N51" s="63"/>
      <c r="O51" s="63"/>
      <c r="P51" s="63"/>
      <c r="Q51" s="63"/>
      <c r="R51" s="63"/>
      <c r="S51" s="63"/>
      <c r="T51" s="63"/>
      <c r="U51" s="63"/>
      <c r="V51" s="17"/>
      <c r="W51" s="17"/>
      <c r="X51" s="17"/>
    </row>
    <row r="52" spans="1:24" hidden="1" x14ac:dyDescent="0.2">
      <c r="A52" s="51"/>
      <c r="B52" s="46" t="e">
        <f t="shared" si="2"/>
        <v>#N/A</v>
      </c>
      <c r="C52" s="46"/>
      <c r="D52" s="1" t="str">
        <f>IF(ISERROR(E52),"",IF(E52="","",MAX($D$12:D51)+1))</f>
        <v/>
      </c>
      <c r="F52" s="22"/>
      <c r="G52" s="124" t="str">
        <f t="shared" si="3"/>
        <v>N/A</v>
      </c>
      <c r="H52" s="124" t="str">
        <f t="shared" si="4"/>
        <v>N/A</v>
      </c>
      <c r="I52" s="124" t="str">
        <f t="shared" si="5"/>
        <v>N/A</v>
      </c>
      <c r="J52" s="124"/>
      <c r="K52" s="124" t="str">
        <f t="shared" si="6"/>
        <v>N/A</v>
      </c>
      <c r="L52" s="63"/>
      <c r="M52" s="63"/>
      <c r="N52" s="63"/>
      <c r="O52" s="63"/>
      <c r="P52" s="63"/>
      <c r="Q52" s="63"/>
      <c r="R52" s="63"/>
      <c r="S52" s="63"/>
      <c r="T52" s="63"/>
      <c r="U52" s="63"/>
      <c r="V52" s="17"/>
      <c r="W52" s="17"/>
      <c r="X52" s="17"/>
    </row>
    <row r="53" spans="1:24" hidden="1" x14ac:dyDescent="0.2">
      <c r="A53" s="51"/>
      <c r="B53" s="46" t="e">
        <f t="shared" si="2"/>
        <v>#N/A</v>
      </c>
      <c r="C53" s="46"/>
      <c r="D53" s="1" t="str">
        <f>IF(ISERROR(E53),"",IF(E53="","",MAX($D$12:D52)+1))</f>
        <v/>
      </c>
      <c r="F53" s="22"/>
      <c r="G53" s="124" t="str">
        <f t="shared" si="3"/>
        <v>N/A</v>
      </c>
      <c r="H53" s="124" t="str">
        <f t="shared" si="4"/>
        <v>N/A</v>
      </c>
      <c r="I53" s="124" t="str">
        <f t="shared" si="5"/>
        <v>N/A</v>
      </c>
      <c r="J53" s="124"/>
      <c r="K53" s="124" t="str">
        <f t="shared" si="6"/>
        <v>N/A</v>
      </c>
      <c r="L53" s="63"/>
      <c r="M53" s="63"/>
      <c r="N53" s="63"/>
      <c r="O53" s="63"/>
      <c r="P53" s="63"/>
      <c r="Q53" s="63"/>
      <c r="R53" s="63"/>
      <c r="S53" s="63"/>
      <c r="T53" s="63"/>
      <c r="U53" s="63"/>
      <c r="V53" s="17"/>
      <c r="W53" s="17"/>
      <c r="X53" s="17"/>
    </row>
    <row r="54" spans="1:24" hidden="1" x14ac:dyDescent="0.2">
      <c r="A54" s="51"/>
      <c r="B54" s="46" t="e">
        <f t="shared" si="2"/>
        <v>#N/A</v>
      </c>
      <c r="C54" s="46"/>
      <c r="D54" s="1" t="str">
        <f>IF(ISERROR(E54),"",IF(E54="","",MAX($D$12:D53)+1))</f>
        <v/>
      </c>
      <c r="F54" s="22"/>
      <c r="G54" s="124" t="str">
        <f t="shared" si="3"/>
        <v>N/A</v>
      </c>
      <c r="H54" s="124" t="str">
        <f t="shared" si="4"/>
        <v>N/A</v>
      </c>
      <c r="I54" s="124" t="str">
        <f t="shared" si="5"/>
        <v>N/A</v>
      </c>
      <c r="J54" s="124"/>
      <c r="K54" s="124" t="str">
        <f t="shared" si="6"/>
        <v>N/A</v>
      </c>
      <c r="L54" s="63"/>
      <c r="M54" s="63"/>
      <c r="N54" s="63"/>
      <c r="O54" s="63"/>
      <c r="P54" s="63"/>
      <c r="Q54" s="63"/>
      <c r="R54" s="63"/>
      <c r="S54" s="63"/>
      <c r="T54" s="63"/>
      <c r="U54" s="63"/>
      <c r="V54" s="17"/>
      <c r="W54" s="17"/>
      <c r="X54" s="17"/>
    </row>
    <row r="55" spans="1:24" hidden="1" x14ac:dyDescent="0.2">
      <c r="A55" s="51" t="e">
        <f>#REF!</f>
        <v>#REF!</v>
      </c>
      <c r="B55" s="46" t="e">
        <f t="shared" si="2"/>
        <v>#REF!</v>
      </c>
      <c r="C55" s="46"/>
      <c r="D55" s="1" t="str">
        <f>IF(ISERROR(E55),"",IF(E55="","",MAX($D$12:D54)+1))</f>
        <v/>
      </c>
      <c r="E55" t="e">
        <f>#REF!</f>
        <v>#REF!</v>
      </c>
      <c r="F55" s="22"/>
      <c r="G55" s="99" t="str">
        <f t="shared" si="3"/>
        <v>N/A</v>
      </c>
      <c r="H55" s="124" t="str">
        <f t="shared" si="4"/>
        <v>N/A</v>
      </c>
      <c r="I55" s="124" t="str">
        <f t="shared" si="5"/>
        <v>N/A</v>
      </c>
      <c r="J55" s="99"/>
      <c r="K55" s="124" t="str">
        <f t="shared" si="6"/>
        <v>N/A</v>
      </c>
      <c r="L55" s="63"/>
      <c r="M55" s="63"/>
      <c r="N55" s="63"/>
      <c r="O55" s="63"/>
      <c r="P55" s="63"/>
      <c r="Q55" s="63"/>
      <c r="R55" s="63"/>
      <c r="S55" s="63"/>
      <c r="T55" s="63"/>
      <c r="U55" s="63"/>
      <c r="V55" s="17"/>
      <c r="W55" s="17"/>
      <c r="X55" s="17"/>
    </row>
    <row r="56" spans="1:24" hidden="1" x14ac:dyDescent="0.2">
      <c r="A56" s="51" t="e">
        <f>#REF!</f>
        <v>#REF!</v>
      </c>
      <c r="B56" s="46" t="e">
        <f t="shared" si="2"/>
        <v>#REF!</v>
      </c>
      <c r="C56" s="46"/>
      <c r="D56" s="1" t="str">
        <f>IF(ISERROR(E56),"",IF(E56="","",MAX($D$12:D55)+1))</f>
        <v/>
      </c>
      <c r="E56" t="e">
        <f>#REF!</f>
        <v>#REF!</v>
      </c>
      <c r="G56" s="99" t="str">
        <f t="shared" si="3"/>
        <v>N/A</v>
      </c>
      <c r="H56" s="124" t="str">
        <f t="shared" si="4"/>
        <v>N/A</v>
      </c>
      <c r="I56" s="124" t="str">
        <f t="shared" si="5"/>
        <v>N/A</v>
      </c>
      <c r="J56" s="99"/>
      <c r="K56" s="124" t="str">
        <f t="shared" si="6"/>
        <v>N/A</v>
      </c>
      <c r="L56" s="63"/>
      <c r="M56" s="63"/>
      <c r="N56" s="63"/>
      <c r="O56" s="63"/>
      <c r="P56" s="63"/>
      <c r="Q56" s="63"/>
      <c r="R56" s="63"/>
      <c r="S56" s="63"/>
      <c r="T56" s="63"/>
      <c r="U56" s="63"/>
      <c r="V56" s="17"/>
      <c r="W56" s="17"/>
      <c r="X56" s="17"/>
    </row>
    <row r="57" spans="1:24" hidden="1" x14ac:dyDescent="0.2">
      <c r="A57" s="51" t="e">
        <f>#REF!</f>
        <v>#REF!</v>
      </c>
      <c r="B57" s="46" t="e">
        <f t="shared" si="2"/>
        <v>#REF!</v>
      </c>
      <c r="C57" s="46"/>
      <c r="D57" s="1" t="str">
        <f>IF(ISERROR(E57),"",IF(E57="","",MAX($D$12:D56)+1))</f>
        <v/>
      </c>
      <c r="E57" t="e">
        <f>#REF!</f>
        <v>#REF!</v>
      </c>
      <c r="G57" s="99" t="str">
        <f t="shared" si="3"/>
        <v>N/A</v>
      </c>
      <c r="H57" s="124" t="str">
        <f t="shared" si="4"/>
        <v>N/A</v>
      </c>
      <c r="I57" s="124" t="str">
        <f t="shared" si="5"/>
        <v>N/A</v>
      </c>
      <c r="J57" s="99"/>
      <c r="K57" s="124" t="str">
        <f t="shared" si="6"/>
        <v>N/A</v>
      </c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17"/>
      <c r="W57" s="17"/>
      <c r="X57" s="17"/>
    </row>
    <row r="58" spans="1:24" hidden="1" x14ac:dyDescent="0.2">
      <c r="A58" s="51" t="e">
        <f>#REF!</f>
        <v>#REF!</v>
      </c>
      <c r="B58" s="46" t="e">
        <f t="shared" si="2"/>
        <v>#REF!</v>
      </c>
      <c r="C58" s="46"/>
      <c r="D58" s="1" t="str">
        <f>IF(ISERROR(E58),"",IF(E58="","",MAX($D$12:D57)+1))</f>
        <v/>
      </c>
      <c r="E58" t="e">
        <f>#REF!</f>
        <v>#REF!</v>
      </c>
      <c r="G58" s="99" t="str">
        <f t="shared" si="3"/>
        <v>N/A</v>
      </c>
      <c r="H58" s="124" t="str">
        <f t="shared" si="4"/>
        <v>N/A</v>
      </c>
      <c r="I58" s="124" t="str">
        <f t="shared" si="5"/>
        <v>N/A</v>
      </c>
      <c r="J58" s="99"/>
      <c r="K58" s="124" t="str">
        <f t="shared" si="6"/>
        <v>N/A</v>
      </c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17"/>
      <c r="W58" s="17"/>
      <c r="X58" s="17"/>
    </row>
    <row r="59" spans="1:24" x14ac:dyDescent="0.2">
      <c r="A59" s="31"/>
      <c r="B59" s="31"/>
      <c r="C59" s="31"/>
      <c r="D59" s="1" t="str">
        <f>IF(ISERROR(E59),"",IF(E59="","",MAX($D$12:D58)+1))</f>
        <v/>
      </c>
      <c r="G59" s="63"/>
      <c r="H59" s="63"/>
      <c r="I59" s="63"/>
      <c r="J59" s="63"/>
      <c r="K59" s="63"/>
      <c r="L59" s="63"/>
      <c r="M59" s="63"/>
      <c r="N59" s="63"/>
      <c r="O59" s="63"/>
      <c r="P59" s="63"/>
      <c r="Q59" s="63"/>
      <c r="R59" s="63"/>
      <c r="S59" s="63"/>
      <c r="T59" s="63"/>
      <c r="U59" s="63"/>
      <c r="V59" s="17"/>
      <c r="W59" s="17"/>
    </row>
    <row r="60" spans="1:24" x14ac:dyDescent="0.2">
      <c r="A60" s="31"/>
      <c r="B60" s="31"/>
      <c r="C60" s="31"/>
      <c r="D60" s="1">
        <f>IF(ISERROR(E60),"",IF(E60="","",MAX($D$12:D59)+1))</f>
        <v>12</v>
      </c>
      <c r="E60" t="s">
        <v>98</v>
      </c>
      <c r="G60" s="124">
        <f t="shared" ref="G60:K60" si="7">AVERAGE(G14:G59)</f>
        <v>0.66927163521929878</v>
      </c>
      <c r="H60" s="124">
        <f t="shared" si="7"/>
        <v>0.85082313538594434</v>
      </c>
      <c r="I60" s="124">
        <f t="shared" ref="I60" si="8">AVERAGE(I14:I59)</f>
        <v>0.87792745737104083</v>
      </c>
      <c r="J60" s="124"/>
      <c r="K60" s="124">
        <f t="shared" si="7"/>
        <v>0.95119188332570592</v>
      </c>
      <c r="L60" s="63"/>
      <c r="M60" s="63"/>
      <c r="N60" s="63"/>
      <c r="O60" s="63"/>
      <c r="P60" s="63"/>
      <c r="Q60" s="63"/>
      <c r="R60" s="63"/>
      <c r="S60" s="63"/>
      <c r="T60" s="63"/>
      <c r="U60" s="63"/>
      <c r="V60" s="17"/>
      <c r="W60" s="17"/>
      <c r="X60" s="17"/>
    </row>
    <row r="61" spans="1:24" x14ac:dyDescent="0.2">
      <c r="A61" s="31"/>
      <c r="B61" s="31"/>
      <c r="C61" s="31"/>
      <c r="D61" s="1">
        <f>IF(ISERROR(E61),"",IF(E61="","",MAX($D$12:D60)+1))</f>
        <v>13</v>
      </c>
      <c r="E61" t="s">
        <v>257</v>
      </c>
      <c r="G61" s="124">
        <f>MEDIAN(G14:G59)</f>
        <v>0.6811381863047502</v>
      </c>
      <c r="H61" s="124">
        <f t="shared" ref="H61:K61" si="9">MEDIAN(H14:H59)</f>
        <v>0.73212474645030423</v>
      </c>
      <c r="I61" s="124">
        <f t="shared" ref="I61" si="10">MEDIAN(I14:I59)</f>
        <v>0.8024161967418546</v>
      </c>
      <c r="J61" s="124"/>
      <c r="K61" s="124">
        <f t="shared" si="9"/>
        <v>0.78931159420289854</v>
      </c>
      <c r="L61" s="63"/>
      <c r="M61" s="63"/>
      <c r="N61" s="63"/>
      <c r="O61" s="63"/>
      <c r="P61" s="63"/>
      <c r="Q61" s="63"/>
      <c r="R61" s="63"/>
      <c r="S61" s="63"/>
      <c r="T61" s="63"/>
      <c r="U61" s="63"/>
      <c r="V61" s="17"/>
      <c r="W61" s="17"/>
      <c r="X61" s="17"/>
    </row>
    <row r="62" spans="1:24" x14ac:dyDescent="0.2">
      <c r="A62" s="31"/>
      <c r="B62" s="31"/>
      <c r="C62" s="31"/>
      <c r="D62" s="1"/>
    </row>
    <row r="63" spans="1:24" x14ac:dyDescent="0.2">
      <c r="A63" s="31"/>
      <c r="B63" s="31"/>
      <c r="C63" s="31"/>
      <c r="E63" s="18"/>
      <c r="F63" s="91"/>
    </row>
    <row r="64" spans="1:24" x14ac:dyDescent="0.2">
      <c r="A64" s="31"/>
      <c r="B64" s="31"/>
      <c r="C64" s="31"/>
      <c r="E64" s="20" t="s">
        <v>107</v>
      </c>
    </row>
    <row r="65" spans="1:6" ht="16.5" x14ac:dyDescent="0.2">
      <c r="A65" s="31"/>
      <c r="B65" s="31"/>
      <c r="C65" s="31"/>
      <c r="E65" s="79"/>
      <c r="F65" s="21" t="str">
        <f>"The Value Line Investment Survey Investment Analyzer Software,"</f>
        <v>The Value Line Investment Survey Investment Analyzer Software,</v>
      </c>
    </row>
    <row r="66" spans="1:6" ht="16.5" x14ac:dyDescent="0.2">
      <c r="A66" s="31"/>
      <c r="B66" s="31"/>
      <c r="C66" s="31"/>
      <c r="E66" s="79"/>
      <c r="F66" s="21" t="str">
        <f>" downloaded on "&amp;TEXT(CapSpendCashFlow!$A$1,"mmmm d, yyyy.")</f>
        <v xml:space="preserve"> downloaded on July 9, 2018.</v>
      </c>
    </row>
    <row r="67" spans="1:6" ht="16.5" x14ac:dyDescent="0.2">
      <c r="A67" s="31"/>
      <c r="B67" s="31"/>
      <c r="C67" s="31"/>
      <c r="E67" s="79"/>
      <c r="F67" s="21" t="str">
        <f>"The Value Line Investment Survey, "&amp;'2018 Data (WP)'!$D$2</f>
        <v>The Value Line Investment Survey, November 30, 2018.</v>
      </c>
    </row>
    <row r="68" spans="1:6" x14ac:dyDescent="0.2">
      <c r="A68" s="31"/>
      <c r="B68" s="31"/>
      <c r="C68" s="31"/>
      <c r="E68" s="20" t="s">
        <v>329</v>
      </c>
    </row>
    <row r="69" spans="1:6" ht="16.5" x14ac:dyDescent="0.2">
      <c r="A69" s="31"/>
      <c r="B69" s="31"/>
      <c r="C69" s="31"/>
      <c r="E69" s="93"/>
      <c r="F69" s="21" t="s">
        <v>375</v>
      </c>
    </row>
    <row r="70" spans="1:6" x14ac:dyDescent="0.2">
      <c r="A70" s="31"/>
      <c r="B70" s="31"/>
      <c r="C70" s="31"/>
      <c r="F70" s="23"/>
    </row>
    <row r="71" spans="1:6" x14ac:dyDescent="0.2">
      <c r="A71" s="31"/>
      <c r="B71" s="31"/>
      <c r="C71" s="31"/>
      <c r="E71" s="21"/>
    </row>
    <row r="72" spans="1:6" x14ac:dyDescent="0.2">
      <c r="E72" s="23"/>
    </row>
  </sheetData>
  <mergeCells count="5">
    <mergeCell ref="C1:L1"/>
    <mergeCell ref="D4:K4"/>
    <mergeCell ref="D5:K5"/>
    <mergeCell ref="G9:K9"/>
    <mergeCell ref="E11:F11"/>
  </mergeCells>
  <printOptions horizontalCentered="1"/>
  <pageMargins left="0.7" right="0.7" top="1" bottom="0.75" header="0.55000000000000004" footer="0.51"/>
  <pageSetup scale="95" orientation="portrait" useFirstPageNumber="1" r:id="rId1"/>
  <headerFooter>
    <oddHeader>&amp;R&amp;10 Exhibit MPG-2
Page 4 of 5</oddHeader>
  </headerFooter>
  <rowBreaks count="1" manualBreakCount="1">
    <brk id="7" min="2" max="10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70"/>
  <sheetViews>
    <sheetView zoomScale="70" zoomScaleNormal="70" workbookViewId="0">
      <selection activeCell="O78" sqref="O78"/>
    </sheetView>
  </sheetViews>
  <sheetFormatPr defaultRowHeight="14.25" x14ac:dyDescent="0.2"/>
  <cols>
    <col min="1" max="2" width="8" customWidth="1"/>
    <col min="3" max="3" width="5.875" bestFit="1" customWidth="1"/>
    <col min="4" max="4" width="1.75" customWidth="1"/>
    <col min="5" max="5" width="34.625" customWidth="1"/>
    <col min="6" max="19" width="9" customWidth="1"/>
    <col min="20" max="26" width="9.25" hidden="1" customWidth="1"/>
    <col min="27" max="27" width="10.625" hidden="1" customWidth="1"/>
    <col min="28" max="35" width="8.75" hidden="1" customWidth="1"/>
    <col min="36" max="51" width="0" hidden="1" customWidth="1"/>
  </cols>
  <sheetData>
    <row r="1" spans="1:51" ht="27.75" x14ac:dyDescent="0.4">
      <c r="C1" s="236" t="str">
        <f>GasU</f>
        <v>Enter Utility Name</v>
      </c>
      <c r="D1" s="236"/>
      <c r="E1" s="236"/>
      <c r="F1" s="236"/>
      <c r="G1" s="236"/>
      <c r="H1" s="236"/>
      <c r="I1" s="236"/>
      <c r="J1" s="236"/>
      <c r="K1" s="236"/>
      <c r="L1" s="236"/>
      <c r="M1" s="236"/>
      <c r="N1" s="236"/>
      <c r="O1" s="236"/>
      <c r="P1" s="236"/>
      <c r="Q1" s="236"/>
      <c r="R1" s="236"/>
      <c r="S1" s="236"/>
      <c r="T1" s="121"/>
      <c r="U1" s="121"/>
      <c r="V1" s="196"/>
      <c r="W1" s="196"/>
      <c r="X1" s="196"/>
      <c r="Y1" s="196"/>
      <c r="Z1" s="196"/>
      <c r="AA1" s="196"/>
      <c r="AB1" s="196"/>
      <c r="AC1" s="196"/>
      <c r="AD1" s="196"/>
      <c r="AE1" s="196"/>
      <c r="AF1" s="196"/>
      <c r="AG1" s="196"/>
      <c r="AH1" s="196"/>
      <c r="AI1" s="196"/>
    </row>
    <row r="2" spans="1:51" x14ac:dyDescent="0.2">
      <c r="C2" s="4"/>
      <c r="D2" s="5"/>
      <c r="E2" s="6"/>
      <c r="F2" s="6"/>
      <c r="G2" s="6"/>
      <c r="H2" s="6"/>
      <c r="I2" s="6"/>
      <c r="J2" s="6"/>
      <c r="K2" s="6"/>
      <c r="L2" s="6"/>
      <c r="M2" s="6"/>
      <c r="N2" s="6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</row>
    <row r="3" spans="1:51" x14ac:dyDescent="0.2">
      <c r="C3" s="4"/>
      <c r="D3" s="5"/>
      <c r="E3" s="6"/>
      <c r="F3" s="6"/>
      <c r="G3" s="6"/>
      <c r="H3" s="6"/>
      <c r="I3" s="6"/>
      <c r="J3" s="6"/>
      <c r="K3" s="6"/>
      <c r="L3" s="6"/>
      <c r="M3" s="6"/>
      <c r="N3" s="6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</row>
    <row r="4" spans="1:51" ht="20.25" x14ac:dyDescent="0.3">
      <c r="C4" s="237" t="s">
        <v>272</v>
      </c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122"/>
      <c r="U4" s="122"/>
      <c r="V4" s="197"/>
      <c r="W4" s="197"/>
      <c r="X4" s="197"/>
      <c r="Y4" s="197"/>
      <c r="Z4" s="197"/>
      <c r="AA4" s="197"/>
      <c r="AB4" s="197"/>
      <c r="AC4" s="197"/>
      <c r="AD4" s="197"/>
      <c r="AE4" s="197"/>
      <c r="AF4" s="197"/>
      <c r="AG4" s="197"/>
      <c r="AH4" s="197"/>
      <c r="AI4" s="197"/>
    </row>
    <row r="5" spans="1:51" ht="18" x14ac:dyDescent="0.25">
      <c r="C5" s="238" t="s">
        <v>274</v>
      </c>
      <c r="D5" s="238"/>
      <c r="E5" s="238"/>
      <c r="F5" s="238"/>
      <c r="G5" s="238"/>
      <c r="H5" s="238"/>
      <c r="I5" s="238"/>
      <c r="J5" s="238"/>
      <c r="K5" s="238"/>
      <c r="L5" s="238"/>
      <c r="M5" s="238"/>
      <c r="N5" s="238"/>
      <c r="O5" s="238"/>
      <c r="P5" s="238"/>
      <c r="Q5" s="238"/>
      <c r="R5" s="238"/>
      <c r="S5" s="238"/>
      <c r="T5" s="123"/>
      <c r="U5" s="123"/>
      <c r="V5" s="198"/>
      <c r="W5" s="198"/>
      <c r="X5" s="198"/>
      <c r="Y5" s="198"/>
      <c r="Z5" s="198"/>
      <c r="AA5" s="198"/>
      <c r="AB5" s="198"/>
      <c r="AC5" s="198"/>
      <c r="AD5" s="198"/>
      <c r="AE5" s="198"/>
      <c r="AF5" s="198"/>
      <c r="AG5" s="198"/>
      <c r="AH5" s="198"/>
      <c r="AI5" s="198"/>
    </row>
    <row r="6" spans="1:51" x14ac:dyDescent="0.2">
      <c r="C6" s="6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</row>
    <row r="7" spans="1:51" x14ac:dyDescent="0.2">
      <c r="C7" s="6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216"/>
      <c r="T7" s="7"/>
      <c r="U7" s="7"/>
      <c r="V7" s="7"/>
      <c r="W7" s="7"/>
      <c r="X7" s="7"/>
      <c r="Y7" s="7"/>
      <c r="Z7" s="7"/>
      <c r="AA7" s="7"/>
    </row>
    <row r="8" spans="1:51" ht="17.25" x14ac:dyDescent="0.25">
      <c r="C8" s="6"/>
      <c r="D8" s="7"/>
      <c r="E8" s="7"/>
      <c r="F8" s="239" t="s">
        <v>472</v>
      </c>
      <c r="G8" s="239"/>
      <c r="H8" s="239"/>
      <c r="I8" s="239"/>
      <c r="J8" s="239"/>
      <c r="K8" s="239"/>
      <c r="L8" s="239"/>
      <c r="M8" s="239"/>
      <c r="N8" s="239"/>
      <c r="O8" s="239"/>
      <c r="P8" s="239"/>
      <c r="Q8" s="239"/>
      <c r="R8" s="239"/>
      <c r="S8" s="239"/>
      <c r="T8" s="218"/>
      <c r="U8" s="218"/>
      <c r="V8" s="199"/>
      <c r="W8" s="199"/>
      <c r="X8" s="199"/>
      <c r="Y8" s="199"/>
      <c r="Z8" s="199"/>
      <c r="AA8" s="199"/>
      <c r="AB8" s="199"/>
      <c r="AC8" s="8"/>
      <c r="AD8" s="8"/>
      <c r="AE8" s="8"/>
      <c r="AF8" s="8"/>
      <c r="AG8" s="8"/>
      <c r="AH8" s="8"/>
      <c r="AI8" s="8"/>
    </row>
    <row r="9" spans="1:51" ht="15" x14ac:dyDescent="0.25">
      <c r="A9" s="42" t="s">
        <v>99</v>
      </c>
      <c r="B9" s="42" t="s">
        <v>241</v>
      </c>
      <c r="C9" s="6"/>
      <c r="D9" s="7"/>
      <c r="E9" s="7"/>
      <c r="F9" s="8" t="s">
        <v>429</v>
      </c>
      <c r="G9" s="116">
        <v>2017</v>
      </c>
      <c r="H9" s="8"/>
      <c r="I9" s="8"/>
      <c r="J9" s="8"/>
      <c r="K9" s="8"/>
      <c r="L9" s="8"/>
      <c r="M9" s="8"/>
      <c r="N9" s="7"/>
      <c r="O9" s="7"/>
      <c r="P9" s="7"/>
      <c r="Q9" s="7"/>
      <c r="R9" s="7"/>
      <c r="S9" s="7"/>
      <c r="T9" s="210">
        <v>2018</v>
      </c>
      <c r="U9" s="210">
        <v>2017</v>
      </c>
      <c r="V9" s="210">
        <v>2017</v>
      </c>
      <c r="W9" s="210"/>
      <c r="X9" s="210"/>
      <c r="Y9" s="210" t="s">
        <v>473</v>
      </c>
      <c r="Z9" s="210" t="s">
        <v>476</v>
      </c>
      <c r="AA9" s="7"/>
      <c r="AB9" s="210" t="s">
        <v>478</v>
      </c>
      <c r="AC9" s="210" t="s">
        <v>479</v>
      </c>
      <c r="AD9" s="210" t="s">
        <v>481</v>
      </c>
      <c r="AE9" s="210"/>
      <c r="AF9" s="210"/>
      <c r="AG9" s="210"/>
      <c r="AH9" s="210"/>
      <c r="AI9" s="210"/>
    </row>
    <row r="10" spans="1:51" ht="17.25" x14ac:dyDescent="0.25">
      <c r="A10" s="42" t="s">
        <v>100</v>
      </c>
      <c r="B10" s="42" t="s">
        <v>242</v>
      </c>
      <c r="C10" s="9" t="s">
        <v>96</v>
      </c>
      <c r="D10" s="234" t="s">
        <v>97</v>
      </c>
      <c r="E10" s="234"/>
      <c r="F10" s="10" t="s">
        <v>98</v>
      </c>
      <c r="G10" s="41" t="s">
        <v>422</v>
      </c>
      <c r="H10" s="41">
        <v>2017</v>
      </c>
      <c r="I10" s="41">
        <v>2016</v>
      </c>
      <c r="J10" s="41">
        <v>2015</v>
      </c>
      <c r="K10" s="41">
        <v>2014</v>
      </c>
      <c r="L10" s="41">
        <v>2013</v>
      </c>
      <c r="M10" s="41">
        <v>2012</v>
      </c>
      <c r="N10" s="41">
        <v>2011</v>
      </c>
      <c r="O10" s="41">
        <v>2010</v>
      </c>
      <c r="P10" s="41">
        <v>2009</v>
      </c>
      <c r="Q10" s="41">
        <v>2008</v>
      </c>
      <c r="R10" s="41">
        <v>2007</v>
      </c>
      <c r="S10" s="41">
        <v>2006</v>
      </c>
      <c r="T10" s="41" t="s">
        <v>471</v>
      </c>
      <c r="U10" s="41" t="s">
        <v>471</v>
      </c>
      <c r="V10" s="41" t="s">
        <v>482</v>
      </c>
      <c r="W10" s="41" t="s">
        <v>482</v>
      </c>
      <c r="X10" s="41"/>
      <c r="Y10" s="41" t="s">
        <v>474</v>
      </c>
      <c r="Z10" s="41" t="s">
        <v>477</v>
      </c>
      <c r="AA10" s="212" t="s">
        <v>475</v>
      </c>
      <c r="AB10" s="41" t="s">
        <v>474</v>
      </c>
      <c r="AC10" s="41" t="s">
        <v>480</v>
      </c>
      <c r="AD10" s="41" t="s">
        <v>474</v>
      </c>
      <c r="AE10" s="41"/>
      <c r="AF10" s="41"/>
      <c r="AG10" s="41"/>
      <c r="AH10" s="41"/>
      <c r="AI10" s="41"/>
    </row>
    <row r="11" spans="1:51" ht="15" x14ac:dyDescent="0.25">
      <c r="A11" s="42"/>
      <c r="B11" s="42"/>
      <c r="C11" s="9"/>
      <c r="D11" s="195"/>
      <c r="E11" s="195"/>
      <c r="F11" s="12">
        <v>-1</v>
      </c>
      <c r="G11" s="12">
        <f t="shared" ref="G11:T11" si="0">+F11-1</f>
        <v>-2</v>
      </c>
      <c r="H11" s="12">
        <f>+G11-1</f>
        <v>-3</v>
      </c>
      <c r="I11" s="12">
        <f t="shared" si="0"/>
        <v>-4</v>
      </c>
      <c r="J11" s="12">
        <f t="shared" si="0"/>
        <v>-5</v>
      </c>
      <c r="K11" s="12">
        <f t="shared" si="0"/>
        <v>-6</v>
      </c>
      <c r="L11" s="12">
        <f t="shared" si="0"/>
        <v>-7</v>
      </c>
      <c r="M11" s="12">
        <f t="shared" si="0"/>
        <v>-8</v>
      </c>
      <c r="N11" s="12">
        <f t="shared" si="0"/>
        <v>-9</v>
      </c>
      <c r="O11" s="12">
        <f t="shared" si="0"/>
        <v>-10</v>
      </c>
      <c r="P11" s="12">
        <f t="shared" si="0"/>
        <v>-11</v>
      </c>
      <c r="Q11" s="12">
        <f t="shared" si="0"/>
        <v>-12</v>
      </c>
      <c r="R11" s="12">
        <f t="shared" si="0"/>
        <v>-13</v>
      </c>
      <c r="S11" s="12">
        <f t="shared" si="0"/>
        <v>-14</v>
      </c>
      <c r="T11" s="12">
        <f t="shared" si="0"/>
        <v>-15</v>
      </c>
      <c r="U11" s="12"/>
      <c r="V11" s="12"/>
      <c r="W11" s="12"/>
      <c r="X11" s="12"/>
      <c r="Y11" s="12"/>
      <c r="Z11" s="12"/>
      <c r="AA11" s="12"/>
    </row>
    <row r="12" spans="1:51" ht="15" x14ac:dyDescent="0.25">
      <c r="A12" s="43"/>
      <c r="B12" s="44"/>
      <c r="C12" s="9"/>
      <c r="D12" s="14" t="s">
        <v>101</v>
      </c>
      <c r="E12" s="11"/>
      <c r="F12" s="36"/>
      <c r="G12" s="36"/>
      <c r="H12" s="52"/>
      <c r="I12" s="134">
        <f t="shared" ref="I12:S12" ca="1" si="1">MATCH(I10,OFFSET(Dividends,-2,0,1,),0)</f>
        <v>2</v>
      </c>
      <c r="J12" s="134">
        <f t="shared" ca="1" si="1"/>
        <v>3</v>
      </c>
      <c r="K12" s="134">
        <f t="shared" ca="1" si="1"/>
        <v>4</v>
      </c>
      <c r="L12" s="134">
        <f t="shared" ca="1" si="1"/>
        <v>5</v>
      </c>
      <c r="M12" s="134">
        <f t="shared" ca="1" si="1"/>
        <v>6</v>
      </c>
      <c r="N12" s="134">
        <f t="shared" ca="1" si="1"/>
        <v>7</v>
      </c>
      <c r="O12" s="134">
        <f t="shared" ca="1" si="1"/>
        <v>8</v>
      </c>
      <c r="P12" s="134">
        <f t="shared" ca="1" si="1"/>
        <v>9</v>
      </c>
      <c r="Q12" s="134">
        <f t="shared" ca="1" si="1"/>
        <v>10</v>
      </c>
      <c r="R12" s="134">
        <f t="shared" ca="1" si="1"/>
        <v>11</v>
      </c>
      <c r="S12" s="134">
        <f t="shared" ca="1" si="1"/>
        <v>12</v>
      </c>
      <c r="T12" s="16"/>
      <c r="U12" s="16"/>
      <c r="V12" s="16"/>
      <c r="W12" s="16"/>
      <c r="X12" s="16"/>
      <c r="Y12" s="16"/>
      <c r="Z12" s="16"/>
      <c r="AA12" s="16"/>
      <c r="AJ12">
        <v>2018</v>
      </c>
      <c r="AK12">
        <v>2017</v>
      </c>
      <c r="AL12">
        <v>2016</v>
      </c>
      <c r="AM12">
        <v>2015</v>
      </c>
      <c r="AN12">
        <v>2014</v>
      </c>
      <c r="AO12">
        <v>2013</v>
      </c>
      <c r="AP12">
        <v>2012</v>
      </c>
      <c r="AQ12">
        <v>2011</v>
      </c>
      <c r="AR12">
        <v>2010</v>
      </c>
      <c r="AS12">
        <v>2009</v>
      </c>
      <c r="AT12">
        <v>2008</v>
      </c>
      <c r="AU12">
        <v>2007</v>
      </c>
      <c r="AV12">
        <v>2006</v>
      </c>
    </row>
    <row r="13" spans="1:51" x14ac:dyDescent="0.2">
      <c r="A13" s="45" t="s">
        <v>175</v>
      </c>
      <c r="B13" s="117">
        <f t="shared" ref="B13:B57" ca="1" si="2">IFERROR(MATCH(A13,OFFSET(Dividends,0,0,,1),0),"")</f>
        <v>12</v>
      </c>
      <c r="C13" s="1">
        <f ca="1">IF(ISERROR(D13),"",IF(D13="","",MAX($C$12:C12)+1))</f>
        <v>1</v>
      </c>
      <c r="D13" t="str">
        <f t="shared" ref="D13:D57" ca="1" si="3">VLOOKUP(A13,LUCurYr,2,FALSE)</f>
        <v>Atmos Energy</v>
      </c>
      <c r="E13" s="15"/>
      <c r="F13" s="133">
        <f t="shared" ref="F13:F57" ca="1" si="4">IFERROR(AVERAGE(G13:S13),"N/A")</f>
        <v>2.6123076923076924</v>
      </c>
      <c r="G13" s="133">
        <f t="shared" ref="G13:G57" si="5">IFERROR(IF(VLOOKUP(A13,LUCurYr,8,FALSE)=0,"",VLOOKUP(A13,LUCurYr,8,FALSE)),"N/A")</f>
        <v>4</v>
      </c>
      <c r="H13" s="133">
        <f ca="1">IFERROR(IF(VLOOKUP($A13,LASTYR,'2017'!$F$3,FALSE)=0,"N/A",VLOOKUP($A13,LASTYR,'2017'!$F$3,FALSE)),"N/A")</f>
        <v>3.6</v>
      </c>
      <c r="I13" s="133">
        <f t="shared" ref="I13:S22" ca="1" si="6">IFERROR(IF(INDEX(Earnings,$B13,I$12)=0,"N/A",INDEX(Earnings,$B13,I$12)),"N/A")</f>
        <v>3.38</v>
      </c>
      <c r="J13" s="133">
        <f t="shared" ca="1" si="6"/>
        <v>3.09</v>
      </c>
      <c r="K13" s="133">
        <f t="shared" ca="1" si="6"/>
        <v>2.96</v>
      </c>
      <c r="L13" s="133">
        <f t="shared" ca="1" si="6"/>
        <v>2.5</v>
      </c>
      <c r="M13" s="133">
        <f t="shared" ca="1" si="6"/>
        <v>2.1</v>
      </c>
      <c r="N13" s="133">
        <f t="shared" ca="1" si="6"/>
        <v>2.2599999999999998</v>
      </c>
      <c r="O13" s="133">
        <f t="shared" ca="1" si="6"/>
        <v>2.16</v>
      </c>
      <c r="P13" s="133">
        <f t="shared" ca="1" si="6"/>
        <v>1.97</v>
      </c>
      <c r="Q13" s="133">
        <f t="shared" ca="1" si="6"/>
        <v>2</v>
      </c>
      <c r="R13" s="133">
        <f t="shared" ca="1" si="6"/>
        <v>1.94</v>
      </c>
      <c r="S13" s="133">
        <f t="shared" ca="1" si="6"/>
        <v>2</v>
      </c>
      <c r="T13" s="80">
        <f ca="1">IFERROR(IF(G13&gt;0,((G13/VLOOKUP(A13,$A$13:$S$53,AX13,0))^(1/(AD13)))-1,"N/A"),"N/A")</f>
        <v>5.9899400920578216E-2</v>
      </c>
      <c r="U13" s="80">
        <f ca="1">IFERROR(IF(H13&gt;0,((H13/VLOOKUP(A13,$A$13:$S$53,AX13,0))^(1/(Y13)))-1,"N/A"),"N/A")</f>
        <v>5.4888581454047625E-2</v>
      </c>
      <c r="V13" s="133">
        <f ca="1">+S13*(1+U13)^11</f>
        <v>3.600000000000001</v>
      </c>
      <c r="W13" s="80" t="b">
        <f ca="1">ROUND(V13,10)=ROUND(H13,10)</f>
        <v>1</v>
      </c>
      <c r="X13" s="80"/>
      <c r="Y13" s="211">
        <f ca="1">AW13-2</f>
        <v>11</v>
      </c>
      <c r="Z13" s="208">
        <f t="shared" ref="Z13:Z53" si="7">IFERROR(IF(VLOOKUP(A13,LUCurYr,16,FALSE)=0,"",VLOOKUP(A13,LUCurYr,16,FALSE)),"N/A")</f>
        <v>43434</v>
      </c>
      <c r="AA13" s="217">
        <v>43100</v>
      </c>
      <c r="AB13" s="213">
        <f t="shared" ref="AB13:AB57" si="8">Z13-AA13</f>
        <v>334</v>
      </c>
      <c r="AC13" s="214">
        <f>AB13/365</f>
        <v>0.91506849315068495</v>
      </c>
      <c r="AD13" s="214">
        <f t="shared" ref="AD13:AD57" ca="1" si="9">Y13+AC13</f>
        <v>11.915068493150685</v>
      </c>
      <c r="AE13" s="215">
        <f t="shared" ref="AE13:AE58" ca="1" si="10">(G13/S13)^(1/AD13)-1</f>
        <v>5.9899400920578216E-2</v>
      </c>
      <c r="AF13" s="215"/>
      <c r="AG13" s="215"/>
      <c r="AH13" s="215"/>
      <c r="AI13" s="215"/>
      <c r="AJ13" t="b">
        <f t="shared" ref="AJ13:AJ53" si="11">ISNUMBER(G13)</f>
        <v>1</v>
      </c>
      <c r="AK13" t="b">
        <f t="shared" ref="AK13:AK53" ca="1" si="12">ISNUMBER(H13)</f>
        <v>1</v>
      </c>
      <c r="AL13" t="b">
        <f t="shared" ref="AL13:AL53" ca="1" si="13">ISNUMBER(I13)</f>
        <v>1</v>
      </c>
      <c r="AM13" t="b">
        <f t="shared" ref="AM13:AM53" ca="1" si="14">ISNUMBER(J13)</f>
        <v>1</v>
      </c>
      <c r="AN13" t="b">
        <f t="shared" ref="AN13:AN53" ca="1" si="15">ISNUMBER(K13)</f>
        <v>1</v>
      </c>
      <c r="AO13" t="b">
        <f t="shared" ref="AO13:AO53" ca="1" si="16">ISNUMBER(L13)</f>
        <v>1</v>
      </c>
      <c r="AP13" t="b">
        <f t="shared" ref="AP13:AP53" ca="1" si="17">ISNUMBER(M13)</f>
        <v>1</v>
      </c>
      <c r="AQ13" t="b">
        <f t="shared" ref="AQ13:AQ53" ca="1" si="18">ISNUMBER(N13)</f>
        <v>1</v>
      </c>
      <c r="AR13" t="b">
        <f t="shared" ref="AR13:AR53" ca="1" si="19">ISNUMBER(O13)</f>
        <v>1</v>
      </c>
      <c r="AS13" t="b">
        <f t="shared" ref="AS13:AS53" ca="1" si="20">ISNUMBER(P13)</f>
        <v>1</v>
      </c>
      <c r="AT13" t="b">
        <f t="shared" ref="AT13:AT53" ca="1" si="21">ISNUMBER(Q13)</f>
        <v>1</v>
      </c>
      <c r="AU13" t="b">
        <f t="shared" ref="AU13:AU53" ca="1" si="22">ISNUMBER(R13)</f>
        <v>1</v>
      </c>
      <c r="AV13" t="b">
        <f t="shared" ref="AV13:AV53" ca="1" si="23">ISNUMBER(S13)</f>
        <v>1</v>
      </c>
      <c r="AW13">
        <f ca="1">IF(AJ13=FALSE,COUNTIF(AJ13:AV13,TRUE)+1,COUNTIF(AJ13:AV13,TRUE))</f>
        <v>13</v>
      </c>
      <c r="AX13">
        <f ca="1">AW13+6</f>
        <v>19</v>
      </c>
      <c r="AY13">
        <f>2018.33-2006</f>
        <v>12.329999999999927</v>
      </c>
    </row>
    <row r="14" spans="1:51" x14ac:dyDescent="0.2">
      <c r="A14" s="45" t="s">
        <v>178</v>
      </c>
      <c r="B14" s="117">
        <f t="shared" ca="1" si="2"/>
        <v>18</v>
      </c>
      <c r="C14" s="1">
        <f ca="1">IF(ISERROR(D14),"",IF(D14="","",MAX($C$12:C13)+1))</f>
        <v>2</v>
      </c>
      <c r="D14" t="str">
        <f t="shared" ca="1" si="3"/>
        <v>Chesapeake Utilities</v>
      </c>
      <c r="E14" s="15"/>
      <c r="F14" s="133">
        <f t="shared" ca="1" si="4"/>
        <v>2.0839230769230768</v>
      </c>
      <c r="G14" s="133">
        <f t="shared" si="5"/>
        <v>3.15</v>
      </c>
      <c r="H14" s="133">
        <f ca="1">IFERROR(IF(VLOOKUP($A14,LASTYR,'2017'!$F$3,FALSE)=0,"N/A",VLOOKUP($A14,LASTYR,'2017'!$F$3,FALSE)),"N/A")</f>
        <v>2.68</v>
      </c>
      <c r="I14" s="133">
        <f t="shared" ca="1" si="6"/>
        <v>2.86</v>
      </c>
      <c r="J14" s="133">
        <f t="shared" ca="1" si="6"/>
        <v>2.68</v>
      </c>
      <c r="K14" s="133">
        <f t="shared" ca="1" si="6"/>
        <v>2.4700000000000002</v>
      </c>
      <c r="L14" s="133">
        <f t="shared" ca="1" si="6"/>
        <v>2.2599999999999998</v>
      </c>
      <c r="M14" s="133">
        <f t="shared" ca="1" si="6"/>
        <v>1.9930000000000001</v>
      </c>
      <c r="N14" s="133">
        <f t="shared" ca="1" si="6"/>
        <v>1.913</v>
      </c>
      <c r="O14" s="133">
        <f t="shared" ca="1" si="6"/>
        <v>1.82</v>
      </c>
      <c r="P14" s="133">
        <f t="shared" ca="1" si="6"/>
        <v>1.4330000000000001</v>
      </c>
      <c r="Q14" s="133">
        <f t="shared" ca="1" si="6"/>
        <v>1.3919999999999999</v>
      </c>
      <c r="R14" s="133">
        <f t="shared" ca="1" si="6"/>
        <v>1.2929999999999999</v>
      </c>
      <c r="S14" s="133">
        <f t="shared" ca="1" si="6"/>
        <v>1.147</v>
      </c>
      <c r="T14" s="80">
        <f t="shared" ref="T14:T57" ca="1" si="24">IFERROR(IF(G14&gt;0,((G14/VLOOKUP(A14,$A$13:$S$53,AX14,0))^(1/(AD14)))-1,"N/A"),"N/A")</f>
        <v>8.8486081005103134E-2</v>
      </c>
      <c r="U14" s="80">
        <f t="shared" ref="U14:U57" ca="1" si="25">IFERROR(IF(H14&gt;0,((H14/VLOOKUP(A14,$A$13:$S$53,AX14,0))^(1/(Y14)))-1,"N/A"),"N/A")</f>
        <v>8.0205759978812852E-2</v>
      </c>
      <c r="V14" s="133">
        <f t="shared" ref="V14:V57" ca="1" si="26">+S14*(1+U14)^11</f>
        <v>2.68</v>
      </c>
      <c r="W14" s="80" t="b">
        <f t="shared" ref="W14:W57" ca="1" si="27">ROUND(V14,10)=ROUND(H14,10)</f>
        <v>1</v>
      </c>
      <c r="X14" s="80"/>
      <c r="Y14" s="211">
        <f ca="1">AW14-2</f>
        <v>11</v>
      </c>
      <c r="Z14" s="208">
        <f t="shared" si="7"/>
        <v>43434</v>
      </c>
      <c r="AA14" s="217">
        <v>43100</v>
      </c>
      <c r="AB14" s="213">
        <f t="shared" si="8"/>
        <v>334</v>
      </c>
      <c r="AC14" s="214">
        <f t="shared" ref="AC14:AC57" si="28">AB14/365</f>
        <v>0.91506849315068495</v>
      </c>
      <c r="AD14" s="214">
        <f t="shared" ca="1" si="9"/>
        <v>11.915068493150685</v>
      </c>
      <c r="AE14" s="215">
        <f t="shared" ca="1" si="10"/>
        <v>8.8486081005103134E-2</v>
      </c>
      <c r="AJ14" t="b">
        <f t="shared" si="11"/>
        <v>1</v>
      </c>
      <c r="AK14" t="b">
        <f t="shared" ca="1" si="12"/>
        <v>1</v>
      </c>
      <c r="AL14" t="b">
        <f t="shared" ca="1" si="13"/>
        <v>1</v>
      </c>
      <c r="AM14" t="b">
        <f t="shared" ca="1" si="14"/>
        <v>1</v>
      </c>
      <c r="AN14" t="b">
        <f t="shared" ca="1" si="15"/>
        <v>1</v>
      </c>
      <c r="AO14" t="b">
        <f t="shared" ca="1" si="16"/>
        <v>1</v>
      </c>
      <c r="AP14" t="b">
        <f t="shared" ca="1" si="17"/>
        <v>1</v>
      </c>
      <c r="AQ14" t="b">
        <f t="shared" ca="1" si="18"/>
        <v>1</v>
      </c>
      <c r="AR14" t="b">
        <f t="shared" ca="1" si="19"/>
        <v>1</v>
      </c>
      <c r="AS14" t="b">
        <f t="shared" ca="1" si="20"/>
        <v>1</v>
      </c>
      <c r="AT14" t="b">
        <f t="shared" ca="1" si="21"/>
        <v>1</v>
      </c>
      <c r="AU14" t="b">
        <f t="shared" ca="1" si="22"/>
        <v>1</v>
      </c>
      <c r="AV14" t="b">
        <f t="shared" ca="1" si="23"/>
        <v>1</v>
      </c>
      <c r="AW14">
        <f t="shared" ref="AW14:AW53" ca="1" si="29">IF(AJ14=FALSE,COUNTIF(AJ14:AV14,TRUE)+1,COUNTIF(AJ14:AV14,TRUE))</f>
        <v>13</v>
      </c>
      <c r="AX14">
        <f t="shared" ref="AX14:AX53" ca="1" si="30">AW14+6</f>
        <v>19</v>
      </c>
    </row>
    <row r="15" spans="1:51" x14ac:dyDescent="0.2">
      <c r="A15" s="45" t="s">
        <v>190</v>
      </c>
      <c r="B15" s="117">
        <f t="shared" ca="1" si="2"/>
        <v>40</v>
      </c>
      <c r="C15" s="1">
        <f ca="1">IF(ISERROR(D15),"",IF(D15="","",MAX($C$12:C14)+1))</f>
        <v>3</v>
      </c>
      <c r="D15" t="str">
        <f t="shared" ca="1" si="3"/>
        <v>New Jersey Resources</v>
      </c>
      <c r="E15" s="15"/>
      <c r="F15" s="133">
        <f t="shared" ca="1" si="4"/>
        <v>1.4953846153846158</v>
      </c>
      <c r="G15" s="133">
        <f t="shared" si="5"/>
        <v>2.74</v>
      </c>
      <c r="H15" s="133">
        <f ca="1">IFERROR(IF(VLOOKUP($A15,LASTYR,'2017'!$F$3,FALSE)=0,"N/A",VLOOKUP($A15,LASTYR,'2017'!$F$3,FALSE)),"N/A")</f>
        <v>1.73</v>
      </c>
      <c r="I15" s="133">
        <f t="shared" ca="1" si="6"/>
        <v>1.61</v>
      </c>
      <c r="J15" s="133">
        <f t="shared" ca="1" si="6"/>
        <v>1.78</v>
      </c>
      <c r="K15" s="133">
        <f t="shared" ca="1" si="6"/>
        <v>2.08</v>
      </c>
      <c r="L15" s="133">
        <f t="shared" ca="1" si="6"/>
        <v>1.365</v>
      </c>
      <c r="M15" s="133">
        <f t="shared" ca="1" si="6"/>
        <v>1.355</v>
      </c>
      <c r="N15" s="133">
        <f t="shared" ca="1" si="6"/>
        <v>1.29</v>
      </c>
      <c r="O15" s="133">
        <f t="shared" ca="1" si="6"/>
        <v>1.23</v>
      </c>
      <c r="P15" s="133">
        <f t="shared" ca="1" si="6"/>
        <v>1.2</v>
      </c>
      <c r="Q15" s="133">
        <f t="shared" ca="1" si="6"/>
        <v>1.35</v>
      </c>
      <c r="R15" s="133">
        <f t="shared" ca="1" si="6"/>
        <v>0.77700000000000002</v>
      </c>
      <c r="S15" s="133">
        <f t="shared" ca="1" si="6"/>
        <v>0.93300000000000005</v>
      </c>
      <c r="T15" s="80">
        <f t="shared" ca="1" si="24"/>
        <v>9.4629110769329783E-2</v>
      </c>
      <c r="U15" s="80">
        <f t="shared" ca="1" si="25"/>
        <v>5.7739169642233135E-2</v>
      </c>
      <c r="V15" s="133">
        <f t="shared" ca="1" si="26"/>
        <v>1.7299999999999975</v>
      </c>
      <c r="W15" s="80" t="b">
        <f t="shared" ca="1" si="27"/>
        <v>1</v>
      </c>
      <c r="X15" s="80"/>
      <c r="Y15" s="211">
        <f ca="1">AW15-2</f>
        <v>11</v>
      </c>
      <c r="Z15" s="208">
        <f t="shared" si="7"/>
        <v>43434</v>
      </c>
      <c r="AA15" s="217">
        <v>43100</v>
      </c>
      <c r="AB15" s="213">
        <f t="shared" si="8"/>
        <v>334</v>
      </c>
      <c r="AC15" s="214">
        <f t="shared" si="28"/>
        <v>0.91506849315068495</v>
      </c>
      <c r="AD15" s="214">
        <f t="shared" ca="1" si="9"/>
        <v>11.915068493150685</v>
      </c>
      <c r="AE15" s="215">
        <f t="shared" ca="1" si="10"/>
        <v>9.4629110769329783E-2</v>
      </c>
      <c r="AH15" s="215"/>
      <c r="AJ15" t="b">
        <f t="shared" si="11"/>
        <v>1</v>
      </c>
      <c r="AK15" t="b">
        <f t="shared" ca="1" si="12"/>
        <v>1</v>
      </c>
      <c r="AL15" t="b">
        <f t="shared" ca="1" si="13"/>
        <v>1</v>
      </c>
      <c r="AM15" t="b">
        <f t="shared" ca="1" si="14"/>
        <v>1</v>
      </c>
      <c r="AN15" t="b">
        <f t="shared" ca="1" si="15"/>
        <v>1</v>
      </c>
      <c r="AO15" t="b">
        <f t="shared" ca="1" si="16"/>
        <v>1</v>
      </c>
      <c r="AP15" t="b">
        <f t="shared" ca="1" si="17"/>
        <v>1</v>
      </c>
      <c r="AQ15" t="b">
        <f t="shared" ca="1" si="18"/>
        <v>1</v>
      </c>
      <c r="AR15" t="b">
        <f t="shared" ca="1" si="19"/>
        <v>1</v>
      </c>
      <c r="AS15" t="b">
        <f t="shared" ca="1" si="20"/>
        <v>1</v>
      </c>
      <c r="AT15" t="b">
        <f t="shared" ca="1" si="21"/>
        <v>1</v>
      </c>
      <c r="AU15" t="b">
        <f t="shared" ca="1" si="22"/>
        <v>1</v>
      </c>
      <c r="AV15" t="b">
        <f t="shared" ca="1" si="23"/>
        <v>1</v>
      </c>
      <c r="AW15">
        <f t="shared" ca="1" si="29"/>
        <v>13</v>
      </c>
      <c r="AX15">
        <f t="shared" ca="1" si="30"/>
        <v>19</v>
      </c>
    </row>
    <row r="16" spans="1:51" x14ac:dyDescent="0.2">
      <c r="A16" s="45" t="s">
        <v>26</v>
      </c>
      <c r="B16" s="117">
        <f t="shared" ca="1" si="2"/>
        <v>42</v>
      </c>
      <c r="C16" s="1">
        <f ca="1">IF(ISERROR(D16),"",IF(D16="","",MAX($C$12:C15)+1))</f>
        <v>4</v>
      </c>
      <c r="D16" t="str">
        <f t="shared" ca="1" si="3"/>
        <v>NiSource Inc.</v>
      </c>
      <c r="E16" s="15"/>
      <c r="F16" s="133">
        <f t="shared" ca="1" si="4"/>
        <v>1.1153846153846154</v>
      </c>
      <c r="G16" s="133">
        <f t="shared" si="5"/>
        <v>1.3</v>
      </c>
      <c r="H16" s="133">
        <f ca="1">IFERROR(IF(VLOOKUP($A16,LASTYR,'2017'!$F$3,FALSE)=0,"N/A",VLOOKUP($A16,LASTYR,'2017'!$F$3,FALSE)),"N/A")</f>
        <v>0.39</v>
      </c>
      <c r="I16" s="133">
        <f t="shared" ca="1" si="6"/>
        <v>1</v>
      </c>
      <c r="J16" s="133">
        <f t="shared" ca="1" si="6"/>
        <v>0.63</v>
      </c>
      <c r="K16" s="133">
        <f t="shared" ca="1" si="6"/>
        <v>1.67</v>
      </c>
      <c r="L16" s="133">
        <f t="shared" ca="1" si="6"/>
        <v>1.57</v>
      </c>
      <c r="M16" s="133">
        <f t="shared" ca="1" si="6"/>
        <v>1.37</v>
      </c>
      <c r="N16" s="133">
        <f t="shared" ca="1" si="6"/>
        <v>1.05</v>
      </c>
      <c r="O16" s="133">
        <f t="shared" ca="1" si="6"/>
        <v>1.06</v>
      </c>
      <c r="P16" s="133">
        <f t="shared" ca="1" si="6"/>
        <v>0.84</v>
      </c>
      <c r="Q16" s="133">
        <f t="shared" ca="1" si="6"/>
        <v>1.34</v>
      </c>
      <c r="R16" s="133">
        <f t="shared" ca="1" si="6"/>
        <v>1.1399999999999999</v>
      </c>
      <c r="S16" s="133">
        <f t="shared" ca="1" si="6"/>
        <v>1.1399999999999999</v>
      </c>
      <c r="T16" s="80">
        <f t="shared" ca="1" si="24"/>
        <v>1.1083654824878053E-2</v>
      </c>
      <c r="U16" s="80">
        <f t="shared" ca="1" si="25"/>
        <v>-9.2908939615391706E-2</v>
      </c>
      <c r="V16" s="133">
        <f t="shared" ca="1" si="26"/>
        <v>0.39000000000000018</v>
      </c>
      <c r="W16" s="80" t="b">
        <f t="shared" ca="1" si="27"/>
        <v>1</v>
      </c>
      <c r="X16" s="80"/>
      <c r="Y16" s="211">
        <f ca="1">AW16-2</f>
        <v>11</v>
      </c>
      <c r="Z16" s="208">
        <f t="shared" si="7"/>
        <v>43434</v>
      </c>
      <c r="AA16" s="217">
        <v>43100</v>
      </c>
      <c r="AB16" s="213">
        <f t="shared" si="8"/>
        <v>334</v>
      </c>
      <c r="AC16" s="214">
        <f t="shared" si="28"/>
        <v>0.91506849315068495</v>
      </c>
      <c r="AD16" s="214">
        <f t="shared" ca="1" si="9"/>
        <v>11.915068493150685</v>
      </c>
      <c r="AE16" s="215">
        <f t="shared" ca="1" si="10"/>
        <v>1.1083654824878053E-2</v>
      </c>
      <c r="AJ16" t="b">
        <f t="shared" si="11"/>
        <v>1</v>
      </c>
      <c r="AK16" t="b">
        <f t="shared" ca="1" si="12"/>
        <v>1</v>
      </c>
      <c r="AL16" t="b">
        <f t="shared" ca="1" si="13"/>
        <v>1</v>
      </c>
      <c r="AM16" t="b">
        <f t="shared" ca="1" si="14"/>
        <v>1</v>
      </c>
      <c r="AN16" t="b">
        <f t="shared" ca="1" si="15"/>
        <v>1</v>
      </c>
      <c r="AO16" t="b">
        <f t="shared" ca="1" si="16"/>
        <v>1</v>
      </c>
      <c r="AP16" t="b">
        <f t="shared" ca="1" si="17"/>
        <v>1</v>
      </c>
      <c r="AQ16" t="b">
        <f t="shared" ca="1" si="18"/>
        <v>1</v>
      </c>
      <c r="AR16" t="b">
        <f t="shared" ca="1" si="19"/>
        <v>1</v>
      </c>
      <c r="AS16" t="b">
        <f t="shared" ca="1" si="20"/>
        <v>1</v>
      </c>
      <c r="AT16" t="b">
        <f t="shared" ca="1" si="21"/>
        <v>1</v>
      </c>
      <c r="AU16" t="b">
        <f t="shared" ca="1" si="22"/>
        <v>1</v>
      </c>
      <c r="AV16" t="b">
        <f t="shared" ca="1" si="23"/>
        <v>1</v>
      </c>
      <c r="AW16">
        <f t="shared" ca="1" si="29"/>
        <v>13</v>
      </c>
      <c r="AX16">
        <f t="shared" ca="1" si="30"/>
        <v>19</v>
      </c>
    </row>
    <row r="17" spans="1:50" x14ac:dyDescent="0.2">
      <c r="A17" s="45" t="s">
        <v>192</v>
      </c>
      <c r="B17" s="117">
        <f t="shared" ca="1" si="2"/>
        <v>43</v>
      </c>
      <c r="C17" s="1">
        <f ca="1">IF(ISERROR(D17),"",IF(D17="","",MAX($C$12:C16)+1))</f>
        <v>5</v>
      </c>
      <c r="D17" t="str">
        <f t="shared" ca="1" si="3"/>
        <v>Northwest Nat. Gas</v>
      </c>
      <c r="E17" s="15"/>
      <c r="F17" s="133">
        <f t="shared" ca="1" si="4"/>
        <v>2.0453846153846156</v>
      </c>
      <c r="G17" s="133">
        <f t="shared" si="5"/>
        <v>2.2000000000000002</v>
      </c>
      <c r="H17" s="133">
        <f ca="1">IFERROR(IF(VLOOKUP($A17,LASTYR,'2017'!$F$3,FALSE)=0,"N/A",VLOOKUP($A17,LASTYR,'2017'!$F$3,FALSE)),"N/A")</f>
        <v>-1.94</v>
      </c>
      <c r="I17" s="133">
        <f t="shared" ca="1" si="6"/>
        <v>2.12</v>
      </c>
      <c r="J17" s="133">
        <f t="shared" ca="1" si="6"/>
        <v>1.96</v>
      </c>
      <c r="K17" s="133">
        <f t="shared" ca="1" si="6"/>
        <v>2.16</v>
      </c>
      <c r="L17" s="133">
        <f t="shared" ca="1" si="6"/>
        <v>2.2400000000000002</v>
      </c>
      <c r="M17" s="133">
        <f t="shared" ca="1" si="6"/>
        <v>2.2200000000000002</v>
      </c>
      <c r="N17" s="133">
        <f t="shared" ca="1" si="6"/>
        <v>2.39</v>
      </c>
      <c r="O17" s="133">
        <f t="shared" ca="1" si="6"/>
        <v>2.73</v>
      </c>
      <c r="P17" s="133">
        <f t="shared" ca="1" si="6"/>
        <v>2.83</v>
      </c>
      <c r="Q17" s="133">
        <f t="shared" ca="1" si="6"/>
        <v>2.57</v>
      </c>
      <c r="R17" s="133">
        <f t="shared" ca="1" si="6"/>
        <v>2.76</v>
      </c>
      <c r="S17" s="133">
        <f t="shared" ca="1" si="6"/>
        <v>2.35</v>
      </c>
      <c r="T17" s="80">
        <f t="shared" ca="1" si="24"/>
        <v>-5.520383137983198E-3</v>
      </c>
      <c r="U17" s="80" t="str">
        <f t="shared" ca="1" si="25"/>
        <v>N/A</v>
      </c>
      <c r="V17" s="133" t="e">
        <f t="shared" ca="1" si="26"/>
        <v>#VALUE!</v>
      </c>
      <c r="W17" s="80" t="e">
        <f t="shared" ca="1" si="27"/>
        <v>#VALUE!</v>
      </c>
      <c r="X17" s="80"/>
      <c r="Y17" s="211">
        <v>11</v>
      </c>
      <c r="Z17" s="208">
        <f t="shared" si="7"/>
        <v>43434</v>
      </c>
      <c r="AA17" s="217">
        <v>43100</v>
      </c>
      <c r="AB17" s="213">
        <f t="shared" si="8"/>
        <v>334</v>
      </c>
      <c r="AC17" s="214">
        <f t="shared" si="28"/>
        <v>0.91506849315068495</v>
      </c>
      <c r="AD17" s="214">
        <f t="shared" si="9"/>
        <v>11.915068493150685</v>
      </c>
      <c r="AE17" s="215">
        <f t="shared" ca="1" si="10"/>
        <v>-5.520383137983198E-3</v>
      </c>
      <c r="AJ17" t="b">
        <f t="shared" si="11"/>
        <v>1</v>
      </c>
      <c r="AK17" t="b">
        <f t="shared" ca="1" si="12"/>
        <v>1</v>
      </c>
      <c r="AL17" t="b">
        <f t="shared" ca="1" si="13"/>
        <v>1</v>
      </c>
      <c r="AM17" t="b">
        <f t="shared" ca="1" si="14"/>
        <v>1</v>
      </c>
      <c r="AN17" t="b">
        <f t="shared" ca="1" si="15"/>
        <v>1</v>
      </c>
      <c r="AO17" t="b">
        <f t="shared" ca="1" si="16"/>
        <v>1</v>
      </c>
      <c r="AP17" t="b">
        <f t="shared" ca="1" si="17"/>
        <v>1</v>
      </c>
      <c r="AQ17" t="b">
        <f t="shared" ca="1" si="18"/>
        <v>1</v>
      </c>
      <c r="AR17" t="b">
        <f t="shared" ca="1" si="19"/>
        <v>1</v>
      </c>
      <c r="AS17" t="b">
        <f t="shared" ca="1" si="20"/>
        <v>1</v>
      </c>
      <c r="AT17" t="b">
        <f t="shared" ca="1" si="21"/>
        <v>1</v>
      </c>
      <c r="AU17" t="b">
        <f t="shared" ca="1" si="22"/>
        <v>1</v>
      </c>
      <c r="AV17" t="b">
        <f t="shared" ca="1" si="23"/>
        <v>1</v>
      </c>
      <c r="AW17">
        <f t="shared" ca="1" si="29"/>
        <v>13</v>
      </c>
      <c r="AX17">
        <f t="shared" ca="1" si="30"/>
        <v>19</v>
      </c>
    </row>
    <row r="18" spans="1:50" x14ac:dyDescent="0.2">
      <c r="A18" s="45" t="s">
        <v>346</v>
      </c>
      <c r="B18" s="117">
        <f t="shared" ca="1" si="2"/>
        <v>46</v>
      </c>
      <c r="C18" s="1">
        <f ca="1">IF(ISERROR(D18),"",IF(D18="","",MAX($C$12:C17)+1))</f>
        <v>6</v>
      </c>
      <c r="D18" t="str">
        <f t="shared" ca="1" si="3"/>
        <v>ONE Gas Inc.</v>
      </c>
      <c r="E18" s="15"/>
      <c r="F18" s="133">
        <f t="shared" ca="1" si="4"/>
        <v>2.6619999999999999</v>
      </c>
      <c r="G18" s="133">
        <f t="shared" si="5"/>
        <v>3.33</v>
      </c>
      <c r="H18" s="133">
        <f ca="1">IFERROR(IF(VLOOKUP($A18,LASTYR,'2017'!$F$3,FALSE)=0,"N/A",VLOOKUP($A18,LASTYR,'2017'!$F$3,FALSE)),"N/A")</f>
        <v>3.02</v>
      </c>
      <c r="I18" s="133">
        <f t="shared" ca="1" si="6"/>
        <v>2.65</v>
      </c>
      <c r="J18" s="133">
        <f t="shared" ca="1" si="6"/>
        <v>2.2400000000000002</v>
      </c>
      <c r="K18" s="133">
        <f t="shared" ca="1" si="6"/>
        <v>2.0699999999999998</v>
      </c>
      <c r="L18" s="133" t="str">
        <f t="shared" ca="1" si="6"/>
        <v>N/A</v>
      </c>
      <c r="M18" s="133" t="str">
        <f t="shared" ca="1" si="6"/>
        <v>N/A</v>
      </c>
      <c r="N18" s="133" t="str">
        <f t="shared" ca="1" si="6"/>
        <v>N/A</v>
      </c>
      <c r="O18" s="133" t="str">
        <f t="shared" ca="1" si="6"/>
        <v>N/A</v>
      </c>
      <c r="P18" s="133" t="str">
        <f t="shared" ca="1" si="6"/>
        <v>N/A</v>
      </c>
      <c r="Q18" s="133" t="str">
        <f t="shared" ca="1" si="6"/>
        <v>N/A</v>
      </c>
      <c r="R18" s="133" t="str">
        <f t="shared" ca="1" si="6"/>
        <v>N/A</v>
      </c>
      <c r="S18" s="133" t="str">
        <f t="shared" ca="1" si="6"/>
        <v>N/A</v>
      </c>
      <c r="T18" s="80">
        <f t="shared" ca="1" si="24"/>
        <v>0.12911520796059062</v>
      </c>
      <c r="U18" s="80">
        <f t="shared" ca="1" si="25"/>
        <v>0.13417185491766581</v>
      </c>
      <c r="V18" s="133">
        <f ca="1">+K18*(1+U18)^3</f>
        <v>3.0199999999999996</v>
      </c>
      <c r="W18" s="80" t="b">
        <f t="shared" ca="1" si="27"/>
        <v>1</v>
      </c>
      <c r="X18" s="80"/>
      <c r="Y18" s="211">
        <f t="shared" ref="Y18:Y32" ca="1" si="31">AW18-2</f>
        <v>3</v>
      </c>
      <c r="Z18" s="208">
        <f t="shared" si="7"/>
        <v>43434</v>
      </c>
      <c r="AA18" s="217">
        <v>43100</v>
      </c>
      <c r="AB18" s="213">
        <f t="shared" si="8"/>
        <v>334</v>
      </c>
      <c r="AC18" s="214">
        <f t="shared" si="28"/>
        <v>0.91506849315068495</v>
      </c>
      <c r="AD18" s="214">
        <f t="shared" ca="1" si="9"/>
        <v>3.9150684931506849</v>
      </c>
      <c r="AE18" s="215" t="e">
        <f t="shared" ca="1" si="10"/>
        <v>#VALUE!</v>
      </c>
      <c r="AJ18" t="b">
        <f t="shared" si="11"/>
        <v>1</v>
      </c>
      <c r="AK18" t="b">
        <f t="shared" ca="1" si="12"/>
        <v>1</v>
      </c>
      <c r="AL18" t="b">
        <f t="shared" ca="1" si="13"/>
        <v>1</v>
      </c>
      <c r="AM18" t="b">
        <f t="shared" ca="1" si="14"/>
        <v>1</v>
      </c>
      <c r="AN18" t="b">
        <f t="shared" ca="1" si="15"/>
        <v>1</v>
      </c>
      <c r="AO18" t="b">
        <f t="shared" ca="1" si="16"/>
        <v>0</v>
      </c>
      <c r="AP18" t="b">
        <f t="shared" ca="1" si="17"/>
        <v>0</v>
      </c>
      <c r="AQ18" t="b">
        <f t="shared" ca="1" si="18"/>
        <v>0</v>
      </c>
      <c r="AR18" t="b">
        <f t="shared" ca="1" si="19"/>
        <v>0</v>
      </c>
      <c r="AS18" t="b">
        <f t="shared" ca="1" si="20"/>
        <v>0</v>
      </c>
      <c r="AT18" t="b">
        <f t="shared" ca="1" si="21"/>
        <v>0</v>
      </c>
      <c r="AU18" t="b">
        <f t="shared" ca="1" si="22"/>
        <v>0</v>
      </c>
      <c r="AV18" t="b">
        <f t="shared" ca="1" si="23"/>
        <v>0</v>
      </c>
      <c r="AW18">
        <f t="shared" ca="1" si="29"/>
        <v>5</v>
      </c>
      <c r="AX18">
        <f t="shared" ca="1" si="30"/>
        <v>11</v>
      </c>
    </row>
    <row r="19" spans="1:50" x14ac:dyDescent="0.2">
      <c r="A19" s="45" t="s">
        <v>198</v>
      </c>
      <c r="B19" s="117">
        <f t="shared" ca="1" si="2"/>
        <v>58</v>
      </c>
      <c r="C19" s="1">
        <f ca="1">IF(ISERROR(D19),"",IF(D19="","",MAX($C$12:C18)+1))</f>
        <v>7</v>
      </c>
      <c r="D19" t="str">
        <f t="shared" ca="1" si="3"/>
        <v>South Jersey Inds.</v>
      </c>
      <c r="E19" s="15"/>
      <c r="F19" s="133">
        <f t="shared" ca="1" si="4"/>
        <v>1.3553846153846154</v>
      </c>
      <c r="G19" s="133">
        <f t="shared" si="5"/>
        <v>1.62</v>
      </c>
      <c r="H19" s="133">
        <f ca="1">IFERROR(IF(VLOOKUP($A19,LASTYR,'2017'!$F$3,FALSE)=0,"N/A",VLOOKUP($A19,LASTYR,'2017'!$F$3,FALSE)),"N/A")</f>
        <v>1.23</v>
      </c>
      <c r="I19" s="133">
        <f t="shared" ca="1" si="6"/>
        <v>1.34</v>
      </c>
      <c r="J19" s="133">
        <f t="shared" ca="1" si="6"/>
        <v>1.44</v>
      </c>
      <c r="K19" s="133">
        <f t="shared" ca="1" si="6"/>
        <v>1.5649999999999999</v>
      </c>
      <c r="L19" s="133">
        <f t="shared" ca="1" si="6"/>
        <v>1.5149999999999999</v>
      </c>
      <c r="M19" s="133">
        <f t="shared" ca="1" si="6"/>
        <v>1.5149999999999999</v>
      </c>
      <c r="N19" s="133">
        <f t="shared" ca="1" si="6"/>
        <v>1.4450000000000001</v>
      </c>
      <c r="O19" s="133">
        <f t="shared" ca="1" si="6"/>
        <v>1.35</v>
      </c>
      <c r="P19" s="133">
        <f t="shared" ca="1" si="6"/>
        <v>1.19</v>
      </c>
      <c r="Q19" s="133">
        <f t="shared" ca="1" si="6"/>
        <v>1.135</v>
      </c>
      <c r="R19" s="133">
        <f t="shared" ca="1" si="6"/>
        <v>1.0449999999999999</v>
      </c>
      <c r="S19" s="133">
        <f t="shared" ca="1" si="6"/>
        <v>1.23</v>
      </c>
      <c r="T19" s="80">
        <f t="shared" ca="1" si="24"/>
        <v>2.3383807258595679E-2</v>
      </c>
      <c r="U19" s="80">
        <f t="shared" ca="1" si="25"/>
        <v>0</v>
      </c>
      <c r="V19" s="133">
        <f t="shared" ca="1" si="26"/>
        <v>1.23</v>
      </c>
      <c r="W19" s="80" t="b">
        <f t="shared" ca="1" si="27"/>
        <v>1</v>
      </c>
      <c r="X19" s="80"/>
      <c r="Y19" s="211">
        <f t="shared" ca="1" si="31"/>
        <v>11</v>
      </c>
      <c r="Z19" s="208">
        <f t="shared" si="7"/>
        <v>43434</v>
      </c>
      <c r="AA19" s="217">
        <v>43100</v>
      </c>
      <c r="AB19" s="213">
        <f t="shared" si="8"/>
        <v>334</v>
      </c>
      <c r="AC19" s="214">
        <f t="shared" si="28"/>
        <v>0.91506849315068495</v>
      </c>
      <c r="AD19" s="214">
        <f t="shared" ca="1" si="9"/>
        <v>11.915068493150685</v>
      </c>
      <c r="AE19" s="215">
        <f t="shared" ca="1" si="10"/>
        <v>2.3383807258595679E-2</v>
      </c>
      <c r="AJ19" t="b">
        <f t="shared" si="11"/>
        <v>1</v>
      </c>
      <c r="AK19" t="b">
        <f t="shared" ca="1" si="12"/>
        <v>1</v>
      </c>
      <c r="AL19" t="b">
        <f t="shared" ca="1" si="13"/>
        <v>1</v>
      </c>
      <c r="AM19" t="b">
        <f t="shared" ca="1" si="14"/>
        <v>1</v>
      </c>
      <c r="AN19" t="b">
        <f t="shared" ca="1" si="15"/>
        <v>1</v>
      </c>
      <c r="AO19" t="b">
        <f t="shared" ca="1" si="16"/>
        <v>1</v>
      </c>
      <c r="AP19" t="b">
        <f t="shared" ca="1" si="17"/>
        <v>1</v>
      </c>
      <c r="AQ19" t="b">
        <f t="shared" ca="1" si="18"/>
        <v>1</v>
      </c>
      <c r="AR19" t="b">
        <f t="shared" ca="1" si="19"/>
        <v>1</v>
      </c>
      <c r="AS19" t="b">
        <f t="shared" ca="1" si="20"/>
        <v>1</v>
      </c>
      <c r="AT19" t="b">
        <f t="shared" ca="1" si="21"/>
        <v>1</v>
      </c>
      <c r="AU19" t="b">
        <f t="shared" ca="1" si="22"/>
        <v>1</v>
      </c>
      <c r="AV19" t="b">
        <f t="shared" ca="1" si="23"/>
        <v>1</v>
      </c>
      <c r="AW19">
        <f t="shared" ca="1" si="29"/>
        <v>13</v>
      </c>
      <c r="AX19">
        <f t="shared" ca="1" si="30"/>
        <v>19</v>
      </c>
    </row>
    <row r="20" spans="1:50" x14ac:dyDescent="0.2">
      <c r="A20" s="45" t="s">
        <v>200</v>
      </c>
      <c r="B20" s="117">
        <f t="shared" ca="1" si="2"/>
        <v>60</v>
      </c>
      <c r="C20" s="1">
        <f ca="1">IF(ISERROR(D20),"",IF(D20="","",MAX($C$12:C19)+1))</f>
        <v>8</v>
      </c>
      <c r="D20" t="str">
        <f t="shared" ca="1" si="3"/>
        <v>Southwest Gas</v>
      </c>
      <c r="E20" s="15"/>
      <c r="F20" s="133">
        <f t="shared" ca="1" si="4"/>
        <v>2.6623076923076923</v>
      </c>
      <c r="G20" s="133">
        <f t="shared" si="5"/>
        <v>3.95</v>
      </c>
      <c r="H20" s="133">
        <f ca="1">IFERROR(IF(VLOOKUP($A20,LASTYR,'2017'!$F$3,FALSE)=0,"N/A",VLOOKUP($A20,LASTYR,'2017'!$F$3,FALSE)),"N/A")</f>
        <v>3.62</v>
      </c>
      <c r="I20" s="133">
        <f t="shared" ca="1" si="6"/>
        <v>3.18</v>
      </c>
      <c r="J20" s="133">
        <f t="shared" ca="1" si="6"/>
        <v>2.92</v>
      </c>
      <c r="K20" s="133">
        <f t="shared" ca="1" si="6"/>
        <v>3.01</v>
      </c>
      <c r="L20" s="133">
        <f t="shared" ca="1" si="6"/>
        <v>3.11</v>
      </c>
      <c r="M20" s="133">
        <f t="shared" ca="1" si="6"/>
        <v>2.86</v>
      </c>
      <c r="N20" s="133">
        <f t="shared" ca="1" si="6"/>
        <v>2.4300000000000002</v>
      </c>
      <c r="O20" s="133">
        <f t="shared" ca="1" si="6"/>
        <v>2.27</v>
      </c>
      <c r="P20" s="133">
        <f t="shared" ca="1" si="6"/>
        <v>1.94</v>
      </c>
      <c r="Q20" s="133">
        <f t="shared" ca="1" si="6"/>
        <v>1.39</v>
      </c>
      <c r="R20" s="133">
        <f t="shared" ca="1" si="6"/>
        <v>1.95</v>
      </c>
      <c r="S20" s="133">
        <f t="shared" ca="1" si="6"/>
        <v>1.98</v>
      </c>
      <c r="T20" s="80">
        <f t="shared" ca="1" si="24"/>
        <v>5.967450800856211E-2</v>
      </c>
      <c r="U20" s="80">
        <f t="shared" ca="1" si="25"/>
        <v>5.6384755804890441E-2</v>
      </c>
      <c r="V20" s="133">
        <f t="shared" ca="1" si="26"/>
        <v>3.6200000000000045</v>
      </c>
      <c r="W20" s="80" t="b">
        <f t="shared" ca="1" si="27"/>
        <v>1</v>
      </c>
      <c r="X20" s="80"/>
      <c r="Y20" s="211">
        <f t="shared" ca="1" si="31"/>
        <v>11</v>
      </c>
      <c r="Z20" s="208">
        <f t="shared" si="7"/>
        <v>43434</v>
      </c>
      <c r="AA20" s="217">
        <v>43100</v>
      </c>
      <c r="AB20" s="213">
        <f t="shared" si="8"/>
        <v>334</v>
      </c>
      <c r="AC20" s="214">
        <f t="shared" si="28"/>
        <v>0.91506849315068495</v>
      </c>
      <c r="AD20" s="214">
        <f t="shared" ca="1" si="9"/>
        <v>11.915068493150685</v>
      </c>
      <c r="AE20" s="215">
        <f t="shared" ca="1" si="10"/>
        <v>5.967450800856211E-2</v>
      </c>
      <c r="AJ20" t="b">
        <f t="shared" si="11"/>
        <v>1</v>
      </c>
      <c r="AK20" t="b">
        <f t="shared" ca="1" si="12"/>
        <v>1</v>
      </c>
      <c r="AL20" t="b">
        <f t="shared" ca="1" si="13"/>
        <v>1</v>
      </c>
      <c r="AM20" t="b">
        <f t="shared" ca="1" si="14"/>
        <v>1</v>
      </c>
      <c r="AN20" t="b">
        <f t="shared" ca="1" si="15"/>
        <v>1</v>
      </c>
      <c r="AO20" t="b">
        <f t="shared" ca="1" si="16"/>
        <v>1</v>
      </c>
      <c r="AP20" t="b">
        <f t="shared" ca="1" si="17"/>
        <v>1</v>
      </c>
      <c r="AQ20" t="b">
        <f t="shared" ca="1" si="18"/>
        <v>1</v>
      </c>
      <c r="AR20" t="b">
        <f t="shared" ca="1" si="19"/>
        <v>1</v>
      </c>
      <c r="AS20" t="b">
        <f t="shared" ca="1" si="20"/>
        <v>1</v>
      </c>
      <c r="AT20" t="b">
        <f t="shared" ca="1" si="21"/>
        <v>1</v>
      </c>
      <c r="AU20" t="b">
        <f t="shared" ca="1" si="22"/>
        <v>1</v>
      </c>
      <c r="AV20" t="b">
        <f t="shared" ca="1" si="23"/>
        <v>1</v>
      </c>
      <c r="AW20">
        <f t="shared" ca="1" si="29"/>
        <v>13</v>
      </c>
      <c r="AX20">
        <f t="shared" ca="1" si="30"/>
        <v>19</v>
      </c>
    </row>
    <row r="21" spans="1:50" x14ac:dyDescent="0.2">
      <c r="A21" s="45" t="s">
        <v>244</v>
      </c>
      <c r="B21" s="117">
        <f t="shared" ca="1" si="2"/>
        <v>61</v>
      </c>
      <c r="C21" s="1">
        <f ca="1">IF(ISERROR(D21),"",IF(D21="","",MAX($C$12:C20)+1))</f>
        <v>9</v>
      </c>
      <c r="D21" t="str">
        <f t="shared" ca="1" si="3"/>
        <v>Spire Inc.</v>
      </c>
      <c r="E21" s="15"/>
      <c r="F21" s="133">
        <f t="shared" ca="1" si="4"/>
        <v>2.8346153846153848</v>
      </c>
      <c r="G21" s="133">
        <f t="shared" si="5"/>
        <v>4.33</v>
      </c>
      <c r="H21" s="133">
        <f ca="1">IFERROR(IF(VLOOKUP($A21,LASTYR,'2017'!$F$3,FALSE)=0,"N/A",VLOOKUP($A21,LASTYR,'2017'!$F$3,FALSE)),"N/A")</f>
        <v>3.43</v>
      </c>
      <c r="I21" s="133">
        <f t="shared" ca="1" si="6"/>
        <v>3.24</v>
      </c>
      <c r="J21" s="133">
        <f t="shared" ca="1" si="6"/>
        <v>3.16</v>
      </c>
      <c r="K21" s="133">
        <f t="shared" ca="1" si="6"/>
        <v>2.35</v>
      </c>
      <c r="L21" s="133">
        <f t="shared" ca="1" si="6"/>
        <v>2.02</v>
      </c>
      <c r="M21" s="133">
        <f t="shared" ca="1" si="6"/>
        <v>2.79</v>
      </c>
      <c r="N21" s="133">
        <f t="shared" ca="1" si="6"/>
        <v>2.86</v>
      </c>
      <c r="O21" s="133">
        <f t="shared" ca="1" si="6"/>
        <v>2.4300000000000002</v>
      </c>
      <c r="P21" s="133">
        <f t="shared" ca="1" si="6"/>
        <v>2.92</v>
      </c>
      <c r="Q21" s="133">
        <f t="shared" ca="1" si="6"/>
        <v>2.64</v>
      </c>
      <c r="R21" s="133">
        <f t="shared" ca="1" si="6"/>
        <v>2.31</v>
      </c>
      <c r="S21" s="133">
        <f t="shared" ca="1" si="6"/>
        <v>2.37</v>
      </c>
      <c r="T21" s="80">
        <f t="shared" ca="1" si="24"/>
        <v>5.1882195428586186E-2</v>
      </c>
      <c r="U21" s="80">
        <f t="shared" ca="1" si="25"/>
        <v>3.4177465521196604E-2</v>
      </c>
      <c r="V21" s="133">
        <f t="shared" ca="1" si="26"/>
        <v>3.4299999999999971</v>
      </c>
      <c r="W21" s="80" t="b">
        <f t="shared" ca="1" si="27"/>
        <v>1</v>
      </c>
      <c r="X21" s="80"/>
      <c r="Y21" s="211">
        <f t="shared" ca="1" si="31"/>
        <v>11</v>
      </c>
      <c r="Z21" s="208">
        <f t="shared" si="7"/>
        <v>43434</v>
      </c>
      <c r="AA21" s="217">
        <v>43100</v>
      </c>
      <c r="AB21" s="213">
        <f t="shared" si="8"/>
        <v>334</v>
      </c>
      <c r="AC21" s="214">
        <f t="shared" si="28"/>
        <v>0.91506849315068495</v>
      </c>
      <c r="AD21" s="214">
        <f t="shared" ca="1" si="9"/>
        <v>11.915068493150685</v>
      </c>
      <c r="AE21" s="215">
        <f t="shared" ca="1" si="10"/>
        <v>5.1882195428586186E-2</v>
      </c>
      <c r="AJ21" t="b">
        <f t="shared" si="11"/>
        <v>1</v>
      </c>
      <c r="AK21" t="b">
        <f t="shared" ca="1" si="12"/>
        <v>1</v>
      </c>
      <c r="AL21" t="b">
        <f t="shared" ca="1" si="13"/>
        <v>1</v>
      </c>
      <c r="AM21" t="b">
        <f t="shared" ca="1" si="14"/>
        <v>1</v>
      </c>
      <c r="AN21" t="b">
        <f t="shared" ca="1" si="15"/>
        <v>1</v>
      </c>
      <c r="AO21" t="b">
        <f t="shared" ca="1" si="16"/>
        <v>1</v>
      </c>
      <c r="AP21" t="b">
        <f t="shared" ca="1" si="17"/>
        <v>1</v>
      </c>
      <c r="AQ21" t="b">
        <f t="shared" ca="1" si="18"/>
        <v>1</v>
      </c>
      <c r="AR21" t="b">
        <f t="shared" ca="1" si="19"/>
        <v>1</v>
      </c>
      <c r="AS21" t="b">
        <f t="shared" ca="1" si="20"/>
        <v>1</v>
      </c>
      <c r="AT21" t="b">
        <f t="shared" ca="1" si="21"/>
        <v>1</v>
      </c>
      <c r="AU21" t="b">
        <f t="shared" ca="1" si="22"/>
        <v>1</v>
      </c>
      <c r="AV21" t="b">
        <f t="shared" ca="1" si="23"/>
        <v>1</v>
      </c>
      <c r="AW21">
        <f t="shared" ca="1" si="29"/>
        <v>13</v>
      </c>
      <c r="AX21">
        <f t="shared" ca="1" si="30"/>
        <v>19</v>
      </c>
    </row>
    <row r="22" spans="1:50" x14ac:dyDescent="0.2">
      <c r="A22" s="45" t="s">
        <v>204</v>
      </c>
      <c r="B22" s="117">
        <f t="shared" ca="1" si="2"/>
        <v>63</v>
      </c>
      <c r="C22" s="1">
        <f ca="1">IF(ISERROR(D22),"",IF(D22="","",MAX($C$12:C21)+1))</f>
        <v>10</v>
      </c>
      <c r="D22" t="str">
        <f t="shared" ca="1" si="3"/>
        <v>UGI Corp.</v>
      </c>
      <c r="E22" s="15"/>
      <c r="F22" s="133">
        <f t="shared" ca="1" si="4"/>
        <v>1.6973846153846155</v>
      </c>
      <c r="G22" s="133">
        <f t="shared" si="5"/>
        <v>2.89</v>
      </c>
      <c r="H22" s="133">
        <f ca="1">IFERROR(IF(VLOOKUP($A22,LASTYR,'2017'!$F$3,FALSE)=0,"N/A",VLOOKUP($A22,LASTYR,'2017'!$F$3,FALSE)),"N/A")</f>
        <v>2.29</v>
      </c>
      <c r="I22" s="133">
        <f t="shared" ca="1" si="6"/>
        <v>2.0499999999999998</v>
      </c>
      <c r="J22" s="133">
        <f t="shared" ca="1" si="6"/>
        <v>2.0099999999999998</v>
      </c>
      <c r="K22" s="133">
        <f t="shared" ca="1" si="6"/>
        <v>1.92</v>
      </c>
      <c r="L22" s="133">
        <f t="shared" ca="1" si="6"/>
        <v>1.593</v>
      </c>
      <c r="M22" s="133">
        <f t="shared" ca="1" si="6"/>
        <v>1.173</v>
      </c>
      <c r="N22" s="133">
        <f t="shared" ca="1" si="6"/>
        <v>1.373</v>
      </c>
      <c r="O22" s="133">
        <f t="shared" ca="1" si="6"/>
        <v>1.587</v>
      </c>
      <c r="P22" s="133">
        <f t="shared" ca="1" si="6"/>
        <v>1.573</v>
      </c>
      <c r="Q22" s="133">
        <f t="shared" ca="1" si="6"/>
        <v>1.327</v>
      </c>
      <c r="R22" s="133">
        <f t="shared" ca="1" si="6"/>
        <v>1.18</v>
      </c>
      <c r="S22" s="133">
        <f t="shared" ca="1" si="6"/>
        <v>1.1000000000000001</v>
      </c>
      <c r="T22" s="80">
        <f t="shared" ca="1" si="24"/>
        <v>8.4446051546344325E-2</v>
      </c>
      <c r="U22" s="80">
        <f t="shared" ca="1" si="25"/>
        <v>6.8930195149639051E-2</v>
      </c>
      <c r="V22" s="133">
        <f t="shared" ca="1" si="26"/>
        <v>2.2899999999999991</v>
      </c>
      <c r="W22" s="80" t="b">
        <f t="shared" ca="1" si="27"/>
        <v>1</v>
      </c>
      <c r="X22" s="80"/>
      <c r="Y22" s="211">
        <f t="shared" ca="1" si="31"/>
        <v>11</v>
      </c>
      <c r="Z22" s="208">
        <f t="shared" si="7"/>
        <v>43434</v>
      </c>
      <c r="AA22" s="217">
        <v>43100</v>
      </c>
      <c r="AB22" s="213">
        <f t="shared" si="8"/>
        <v>334</v>
      </c>
      <c r="AC22" s="214">
        <f t="shared" si="28"/>
        <v>0.91506849315068495</v>
      </c>
      <c r="AD22" s="214">
        <f t="shared" ca="1" si="9"/>
        <v>11.915068493150685</v>
      </c>
      <c r="AE22" s="215">
        <f t="shared" ca="1" si="10"/>
        <v>8.4446051546344325E-2</v>
      </c>
      <c r="AJ22" t="b">
        <f t="shared" si="11"/>
        <v>1</v>
      </c>
      <c r="AK22" t="b">
        <f t="shared" ca="1" si="12"/>
        <v>1</v>
      </c>
      <c r="AL22" t="b">
        <f t="shared" ca="1" si="13"/>
        <v>1</v>
      </c>
      <c r="AM22" t="b">
        <f t="shared" ca="1" si="14"/>
        <v>1</v>
      </c>
      <c r="AN22" t="b">
        <f t="shared" ca="1" si="15"/>
        <v>1</v>
      </c>
      <c r="AO22" t="b">
        <f t="shared" ca="1" si="16"/>
        <v>1</v>
      </c>
      <c r="AP22" t="b">
        <f t="shared" ca="1" si="17"/>
        <v>1</v>
      </c>
      <c r="AQ22" t="b">
        <f t="shared" ca="1" si="18"/>
        <v>1</v>
      </c>
      <c r="AR22" t="b">
        <f t="shared" ca="1" si="19"/>
        <v>1</v>
      </c>
      <c r="AS22" t="b">
        <f t="shared" ca="1" si="20"/>
        <v>1</v>
      </c>
      <c r="AT22" t="b">
        <f t="shared" ca="1" si="21"/>
        <v>1</v>
      </c>
      <c r="AU22" t="b">
        <f t="shared" ca="1" si="22"/>
        <v>1</v>
      </c>
      <c r="AV22" t="b">
        <f t="shared" ca="1" si="23"/>
        <v>1</v>
      </c>
      <c r="AW22">
        <f t="shared" ca="1" si="29"/>
        <v>13</v>
      </c>
      <c r="AX22">
        <f t="shared" ca="1" si="30"/>
        <v>19</v>
      </c>
    </row>
    <row r="23" spans="1:50" x14ac:dyDescent="0.2">
      <c r="A23" s="45" t="s">
        <v>206</v>
      </c>
      <c r="B23" s="117">
        <f t="shared" ca="1" si="2"/>
        <v>68</v>
      </c>
      <c r="C23" s="1">
        <f ca="1">IF(ISERROR(D23),"",IF(D23="","",MAX($C$12:C22)+1))</f>
        <v>11</v>
      </c>
      <c r="D23" t="str">
        <f t="shared" ca="1" si="3"/>
        <v>WGL Holdings Inc.</v>
      </c>
      <c r="E23" s="15"/>
      <c r="F23" s="133">
        <f t="shared" ca="1" si="4"/>
        <v>2.5608333333333335</v>
      </c>
      <c r="G23" s="133" t="str">
        <f t="shared" si="5"/>
        <v>N/A</v>
      </c>
      <c r="H23" s="133">
        <f ca="1">IFERROR(IF(VLOOKUP($A23,LASTYR,'2017'!$F$3,FALSE)=0,"N/A",VLOOKUP($A23,LASTYR,'2017'!$F$3,FALSE)),"N/A")</f>
        <v>3.11</v>
      </c>
      <c r="I23" s="133">
        <f t="shared" ref="I23:S32" ca="1" si="32">IFERROR(IF(INDEX(Earnings,$B23,I$12)=0,"N/A",INDEX(Earnings,$B23,I$12)),"N/A")</f>
        <v>3.27</v>
      </c>
      <c r="J23" s="133">
        <f t="shared" ca="1" si="32"/>
        <v>3.16</v>
      </c>
      <c r="K23" s="133">
        <f t="shared" ca="1" si="32"/>
        <v>2.68</v>
      </c>
      <c r="L23" s="133">
        <f t="shared" ca="1" si="32"/>
        <v>2.31</v>
      </c>
      <c r="M23" s="133">
        <f t="shared" ca="1" si="32"/>
        <v>2.68</v>
      </c>
      <c r="N23" s="133">
        <f t="shared" ca="1" si="32"/>
        <v>2.25</v>
      </c>
      <c r="O23" s="133">
        <f t="shared" ca="1" si="32"/>
        <v>2.27</v>
      </c>
      <c r="P23" s="133">
        <f t="shared" ca="1" si="32"/>
        <v>2.5299999999999998</v>
      </c>
      <c r="Q23" s="133">
        <f t="shared" ca="1" si="32"/>
        <v>2.44</v>
      </c>
      <c r="R23" s="133">
        <f t="shared" ca="1" si="32"/>
        <v>2.09</v>
      </c>
      <c r="S23" s="133">
        <f t="shared" ca="1" si="32"/>
        <v>1.94</v>
      </c>
      <c r="T23" s="80" t="str">
        <f t="shared" ca="1" si="24"/>
        <v>N/A</v>
      </c>
      <c r="U23" s="80">
        <f t="shared" ca="1" si="25"/>
        <v>4.3836804146473618E-2</v>
      </c>
      <c r="V23" s="133">
        <f t="shared" ca="1" si="26"/>
        <v>3.1100000000000021</v>
      </c>
      <c r="W23" s="80" t="b">
        <f t="shared" ca="1" si="27"/>
        <v>1</v>
      </c>
      <c r="X23" s="80"/>
      <c r="Y23" s="211">
        <f t="shared" ca="1" si="31"/>
        <v>11</v>
      </c>
      <c r="Z23" s="208">
        <f t="shared" si="7"/>
        <v>43252</v>
      </c>
      <c r="AA23" s="217">
        <v>43100</v>
      </c>
      <c r="AB23" s="213">
        <f t="shared" si="8"/>
        <v>152</v>
      </c>
      <c r="AC23" s="214">
        <f t="shared" si="28"/>
        <v>0.41643835616438357</v>
      </c>
      <c r="AD23" s="214">
        <f t="shared" ca="1" si="9"/>
        <v>11.416438356164383</v>
      </c>
      <c r="AE23" s="215" t="e">
        <f t="shared" ca="1" si="10"/>
        <v>#VALUE!</v>
      </c>
      <c r="AJ23" t="b">
        <f t="shared" si="11"/>
        <v>0</v>
      </c>
      <c r="AK23" t="b">
        <f t="shared" ca="1" si="12"/>
        <v>1</v>
      </c>
      <c r="AL23" t="b">
        <f t="shared" ca="1" si="13"/>
        <v>1</v>
      </c>
      <c r="AM23" t="b">
        <f t="shared" ca="1" si="14"/>
        <v>1</v>
      </c>
      <c r="AN23" t="b">
        <f t="shared" ca="1" si="15"/>
        <v>1</v>
      </c>
      <c r="AO23" t="b">
        <f t="shared" ca="1" si="16"/>
        <v>1</v>
      </c>
      <c r="AP23" t="b">
        <f t="shared" ca="1" si="17"/>
        <v>1</v>
      </c>
      <c r="AQ23" t="b">
        <f t="shared" ca="1" si="18"/>
        <v>1</v>
      </c>
      <c r="AR23" t="b">
        <f t="shared" ca="1" si="19"/>
        <v>1</v>
      </c>
      <c r="AS23" t="b">
        <f t="shared" ca="1" si="20"/>
        <v>1</v>
      </c>
      <c r="AT23" t="b">
        <f t="shared" ca="1" si="21"/>
        <v>1</v>
      </c>
      <c r="AU23" t="b">
        <f t="shared" ca="1" si="22"/>
        <v>1</v>
      </c>
      <c r="AV23" t="b">
        <f t="shared" ca="1" si="23"/>
        <v>1</v>
      </c>
      <c r="AW23">
        <f t="shared" ca="1" si="29"/>
        <v>13</v>
      </c>
      <c r="AX23">
        <f t="shared" ca="1" si="30"/>
        <v>19</v>
      </c>
    </row>
    <row r="24" spans="1:50" hidden="1" x14ac:dyDescent="0.2">
      <c r="A24" s="45"/>
      <c r="B24" s="117" t="str">
        <f t="shared" ca="1" si="2"/>
        <v/>
      </c>
      <c r="C24" s="1" t="str">
        <f>IF(ISERROR(D24),"",IF(D24="","",MAX($C$12:C23)+1))</f>
        <v/>
      </c>
      <c r="D24" t="e">
        <f t="shared" si="3"/>
        <v>#N/A</v>
      </c>
      <c r="E24" s="15"/>
      <c r="F24" s="133" t="str">
        <f t="shared" ca="1" si="4"/>
        <v>N/A</v>
      </c>
      <c r="G24" s="133" t="str">
        <f t="shared" si="5"/>
        <v>N/A</v>
      </c>
      <c r="H24" s="133" t="str">
        <f ca="1">IFERROR(IF(VLOOKUP($A24,LASTYR,'2017'!$F$3,FALSE)=0,"N/A",VLOOKUP($A24,LASTYR,'2017'!$F$3,FALSE)),"N/A")</f>
        <v>N/A</v>
      </c>
      <c r="I24" s="133" t="str">
        <f t="shared" ca="1" si="32"/>
        <v>N/A</v>
      </c>
      <c r="J24" s="133" t="str">
        <f t="shared" ca="1" si="32"/>
        <v>N/A</v>
      </c>
      <c r="K24" s="133" t="str">
        <f t="shared" ca="1" si="32"/>
        <v>N/A</v>
      </c>
      <c r="L24" s="133" t="str">
        <f t="shared" ca="1" si="32"/>
        <v>N/A</v>
      </c>
      <c r="M24" s="133" t="str">
        <f t="shared" ca="1" si="32"/>
        <v>N/A</v>
      </c>
      <c r="N24" s="133" t="str">
        <f t="shared" ca="1" si="32"/>
        <v>N/A</v>
      </c>
      <c r="O24" s="133" t="str">
        <f t="shared" ca="1" si="32"/>
        <v>N/A</v>
      </c>
      <c r="P24" s="133" t="str">
        <f t="shared" ca="1" si="32"/>
        <v>N/A</v>
      </c>
      <c r="Q24" s="133" t="str">
        <f t="shared" ca="1" si="32"/>
        <v>N/A</v>
      </c>
      <c r="R24" s="133" t="str">
        <f t="shared" ca="1" si="32"/>
        <v>N/A</v>
      </c>
      <c r="S24" s="133" t="str">
        <f t="shared" ca="1" si="32"/>
        <v>N/A</v>
      </c>
      <c r="T24" s="80" t="str">
        <f t="shared" ca="1" si="24"/>
        <v>N/A</v>
      </c>
      <c r="U24" s="80" t="str">
        <f t="shared" ca="1" si="25"/>
        <v>N/A</v>
      </c>
      <c r="V24" s="133" t="e">
        <f t="shared" ca="1" si="26"/>
        <v>#VALUE!</v>
      </c>
      <c r="W24" s="80" t="e">
        <f t="shared" ca="1" si="27"/>
        <v>#VALUE!</v>
      </c>
      <c r="X24" s="80"/>
      <c r="Y24" s="211">
        <f t="shared" ca="1" si="31"/>
        <v>-1</v>
      </c>
      <c r="Z24" s="208" t="str">
        <f t="shared" si="7"/>
        <v>N/A</v>
      </c>
      <c r="AA24" s="217">
        <v>43100</v>
      </c>
      <c r="AB24" s="213" t="e">
        <f t="shared" si="8"/>
        <v>#VALUE!</v>
      </c>
      <c r="AC24" s="214" t="e">
        <f t="shared" si="28"/>
        <v>#VALUE!</v>
      </c>
      <c r="AD24" s="214" t="e">
        <f t="shared" ca="1" si="9"/>
        <v>#VALUE!</v>
      </c>
      <c r="AE24" s="215" t="e">
        <f t="shared" ca="1" si="10"/>
        <v>#VALUE!</v>
      </c>
      <c r="AJ24" t="b">
        <f t="shared" si="11"/>
        <v>0</v>
      </c>
      <c r="AK24" t="b">
        <f t="shared" ca="1" si="12"/>
        <v>0</v>
      </c>
      <c r="AL24" t="b">
        <f t="shared" ca="1" si="13"/>
        <v>0</v>
      </c>
      <c r="AM24" t="b">
        <f t="shared" ca="1" si="14"/>
        <v>0</v>
      </c>
      <c r="AN24" t="b">
        <f t="shared" ca="1" si="15"/>
        <v>0</v>
      </c>
      <c r="AO24" t="b">
        <f t="shared" ca="1" si="16"/>
        <v>0</v>
      </c>
      <c r="AP24" t="b">
        <f t="shared" ca="1" si="17"/>
        <v>0</v>
      </c>
      <c r="AQ24" t="b">
        <f t="shared" ca="1" si="18"/>
        <v>0</v>
      </c>
      <c r="AR24" t="b">
        <f t="shared" ca="1" si="19"/>
        <v>0</v>
      </c>
      <c r="AS24" t="b">
        <f t="shared" ca="1" si="20"/>
        <v>0</v>
      </c>
      <c r="AT24" t="b">
        <f t="shared" ca="1" si="21"/>
        <v>0</v>
      </c>
      <c r="AU24" t="b">
        <f t="shared" ca="1" si="22"/>
        <v>0</v>
      </c>
      <c r="AV24" t="b">
        <f t="shared" ca="1" si="23"/>
        <v>0</v>
      </c>
      <c r="AW24">
        <f t="shared" ca="1" si="29"/>
        <v>1</v>
      </c>
      <c r="AX24">
        <f t="shared" ca="1" si="30"/>
        <v>7</v>
      </c>
    </row>
    <row r="25" spans="1:50" hidden="1" x14ac:dyDescent="0.2">
      <c r="A25" s="45"/>
      <c r="B25" s="117" t="str">
        <f t="shared" ca="1" si="2"/>
        <v/>
      </c>
      <c r="C25" s="1" t="str">
        <f>IF(ISERROR(D25),"",IF(D25="","",MAX($C$12:C24)+1))</f>
        <v/>
      </c>
      <c r="D25" t="e">
        <f t="shared" si="3"/>
        <v>#N/A</v>
      </c>
      <c r="E25" s="15"/>
      <c r="F25" s="133" t="str">
        <f t="shared" ca="1" si="4"/>
        <v>N/A</v>
      </c>
      <c r="G25" s="133" t="str">
        <f t="shared" si="5"/>
        <v>N/A</v>
      </c>
      <c r="H25" s="133" t="str">
        <f ca="1">IFERROR(IF(VLOOKUP($A25,LASTYR,'2017'!$F$3,FALSE)=0,"N/A",VLOOKUP($A25,LASTYR,'2017'!$F$3,FALSE)),"N/A")</f>
        <v>N/A</v>
      </c>
      <c r="I25" s="133" t="str">
        <f t="shared" ca="1" si="32"/>
        <v>N/A</v>
      </c>
      <c r="J25" s="133" t="str">
        <f t="shared" ca="1" si="32"/>
        <v>N/A</v>
      </c>
      <c r="K25" s="133" t="str">
        <f t="shared" ca="1" si="32"/>
        <v>N/A</v>
      </c>
      <c r="L25" s="133" t="str">
        <f t="shared" ca="1" si="32"/>
        <v>N/A</v>
      </c>
      <c r="M25" s="133" t="str">
        <f t="shared" ca="1" si="32"/>
        <v>N/A</v>
      </c>
      <c r="N25" s="133" t="str">
        <f t="shared" ca="1" si="32"/>
        <v>N/A</v>
      </c>
      <c r="O25" s="133" t="str">
        <f t="shared" ca="1" si="32"/>
        <v>N/A</v>
      </c>
      <c r="P25" s="133" t="str">
        <f t="shared" ca="1" si="32"/>
        <v>N/A</v>
      </c>
      <c r="Q25" s="133" t="str">
        <f t="shared" ca="1" si="32"/>
        <v>N/A</v>
      </c>
      <c r="R25" s="133" t="str">
        <f t="shared" ca="1" si="32"/>
        <v>N/A</v>
      </c>
      <c r="S25" s="133" t="str">
        <f t="shared" ca="1" si="32"/>
        <v>N/A</v>
      </c>
      <c r="T25" s="80" t="str">
        <f t="shared" ca="1" si="24"/>
        <v>N/A</v>
      </c>
      <c r="U25" s="80" t="str">
        <f t="shared" ca="1" si="25"/>
        <v>N/A</v>
      </c>
      <c r="V25" s="133" t="e">
        <f t="shared" ca="1" si="26"/>
        <v>#VALUE!</v>
      </c>
      <c r="W25" s="80" t="e">
        <f t="shared" ca="1" si="27"/>
        <v>#VALUE!</v>
      </c>
      <c r="X25" s="80"/>
      <c r="Y25" s="211">
        <f t="shared" ca="1" si="31"/>
        <v>-1</v>
      </c>
      <c r="Z25" s="208" t="str">
        <f t="shared" si="7"/>
        <v>N/A</v>
      </c>
      <c r="AA25" s="217">
        <v>43100</v>
      </c>
      <c r="AB25" s="213" t="e">
        <f t="shared" si="8"/>
        <v>#VALUE!</v>
      </c>
      <c r="AC25" s="214" t="e">
        <f t="shared" si="28"/>
        <v>#VALUE!</v>
      </c>
      <c r="AD25" s="214" t="e">
        <f t="shared" ca="1" si="9"/>
        <v>#VALUE!</v>
      </c>
      <c r="AE25" s="215" t="e">
        <f t="shared" ca="1" si="10"/>
        <v>#VALUE!</v>
      </c>
      <c r="AJ25" t="b">
        <f t="shared" si="11"/>
        <v>0</v>
      </c>
      <c r="AK25" t="b">
        <f t="shared" ca="1" si="12"/>
        <v>0</v>
      </c>
      <c r="AL25" t="b">
        <f t="shared" ca="1" si="13"/>
        <v>0</v>
      </c>
      <c r="AM25" t="b">
        <f t="shared" ca="1" si="14"/>
        <v>0</v>
      </c>
      <c r="AN25" t="b">
        <f t="shared" ca="1" si="15"/>
        <v>0</v>
      </c>
      <c r="AO25" t="b">
        <f t="shared" ca="1" si="16"/>
        <v>0</v>
      </c>
      <c r="AP25" t="b">
        <f t="shared" ca="1" si="17"/>
        <v>0</v>
      </c>
      <c r="AQ25" t="b">
        <f t="shared" ca="1" si="18"/>
        <v>0</v>
      </c>
      <c r="AR25" t="b">
        <f t="shared" ca="1" si="19"/>
        <v>0</v>
      </c>
      <c r="AS25" t="b">
        <f t="shared" ca="1" si="20"/>
        <v>0</v>
      </c>
      <c r="AT25" t="b">
        <f t="shared" ca="1" si="21"/>
        <v>0</v>
      </c>
      <c r="AU25" t="b">
        <f t="shared" ca="1" si="22"/>
        <v>0</v>
      </c>
      <c r="AV25" t="b">
        <f t="shared" ca="1" si="23"/>
        <v>0</v>
      </c>
      <c r="AW25">
        <f t="shared" ca="1" si="29"/>
        <v>1</v>
      </c>
      <c r="AX25">
        <f t="shared" ca="1" si="30"/>
        <v>7</v>
      </c>
    </row>
    <row r="26" spans="1:50" hidden="1" x14ac:dyDescent="0.2">
      <c r="A26" s="45"/>
      <c r="B26" s="117" t="str">
        <f t="shared" ca="1" si="2"/>
        <v/>
      </c>
      <c r="C26" s="1" t="str">
        <f>IF(ISERROR(D26),"",IF(D26="","",MAX($C$12:C25)+1))</f>
        <v/>
      </c>
      <c r="D26" t="e">
        <f t="shared" si="3"/>
        <v>#N/A</v>
      </c>
      <c r="E26" s="15"/>
      <c r="F26" s="133" t="str">
        <f t="shared" ca="1" si="4"/>
        <v>N/A</v>
      </c>
      <c r="G26" s="133" t="str">
        <f t="shared" si="5"/>
        <v>N/A</v>
      </c>
      <c r="H26" s="133" t="str">
        <f ca="1">IFERROR(IF(VLOOKUP($A26,LASTYR,'2017'!$F$3,FALSE)=0,"N/A",VLOOKUP($A26,LASTYR,'2017'!$F$3,FALSE)),"N/A")</f>
        <v>N/A</v>
      </c>
      <c r="I26" s="133" t="str">
        <f t="shared" ca="1" si="32"/>
        <v>N/A</v>
      </c>
      <c r="J26" s="133" t="str">
        <f t="shared" ca="1" si="32"/>
        <v>N/A</v>
      </c>
      <c r="K26" s="133" t="str">
        <f t="shared" ca="1" si="32"/>
        <v>N/A</v>
      </c>
      <c r="L26" s="133" t="str">
        <f t="shared" ca="1" si="32"/>
        <v>N/A</v>
      </c>
      <c r="M26" s="133" t="str">
        <f t="shared" ca="1" si="32"/>
        <v>N/A</v>
      </c>
      <c r="N26" s="133" t="str">
        <f t="shared" ca="1" si="32"/>
        <v>N/A</v>
      </c>
      <c r="O26" s="133" t="str">
        <f t="shared" ca="1" si="32"/>
        <v>N/A</v>
      </c>
      <c r="P26" s="133" t="str">
        <f t="shared" ca="1" si="32"/>
        <v>N/A</v>
      </c>
      <c r="Q26" s="133" t="str">
        <f t="shared" ca="1" si="32"/>
        <v>N/A</v>
      </c>
      <c r="R26" s="133" t="str">
        <f t="shared" ca="1" si="32"/>
        <v>N/A</v>
      </c>
      <c r="S26" s="133" t="str">
        <f t="shared" ca="1" si="32"/>
        <v>N/A</v>
      </c>
      <c r="T26" s="80" t="str">
        <f t="shared" ca="1" si="24"/>
        <v>N/A</v>
      </c>
      <c r="U26" s="80" t="str">
        <f t="shared" ca="1" si="25"/>
        <v>N/A</v>
      </c>
      <c r="V26" s="133" t="e">
        <f t="shared" ca="1" si="26"/>
        <v>#VALUE!</v>
      </c>
      <c r="W26" s="80" t="e">
        <f t="shared" ca="1" si="27"/>
        <v>#VALUE!</v>
      </c>
      <c r="X26" s="80"/>
      <c r="Y26" s="211">
        <f t="shared" ca="1" si="31"/>
        <v>-1</v>
      </c>
      <c r="Z26" s="208" t="str">
        <f t="shared" si="7"/>
        <v>N/A</v>
      </c>
      <c r="AA26" s="217">
        <v>43100</v>
      </c>
      <c r="AB26" s="213" t="e">
        <f t="shared" si="8"/>
        <v>#VALUE!</v>
      </c>
      <c r="AC26" s="214" t="e">
        <f t="shared" si="28"/>
        <v>#VALUE!</v>
      </c>
      <c r="AD26" s="214" t="e">
        <f t="shared" ca="1" si="9"/>
        <v>#VALUE!</v>
      </c>
      <c r="AE26" s="215" t="e">
        <f t="shared" ca="1" si="10"/>
        <v>#VALUE!</v>
      </c>
      <c r="AJ26" t="b">
        <f t="shared" si="11"/>
        <v>0</v>
      </c>
      <c r="AK26" t="b">
        <f t="shared" ca="1" si="12"/>
        <v>0</v>
      </c>
      <c r="AL26" t="b">
        <f t="shared" ca="1" si="13"/>
        <v>0</v>
      </c>
      <c r="AM26" t="b">
        <f t="shared" ca="1" si="14"/>
        <v>0</v>
      </c>
      <c r="AN26" t="b">
        <f t="shared" ca="1" si="15"/>
        <v>0</v>
      </c>
      <c r="AO26" t="b">
        <f t="shared" ca="1" si="16"/>
        <v>0</v>
      </c>
      <c r="AP26" t="b">
        <f t="shared" ca="1" si="17"/>
        <v>0</v>
      </c>
      <c r="AQ26" t="b">
        <f t="shared" ca="1" si="18"/>
        <v>0</v>
      </c>
      <c r="AR26" t="b">
        <f t="shared" ca="1" si="19"/>
        <v>0</v>
      </c>
      <c r="AS26" t="b">
        <f t="shared" ca="1" si="20"/>
        <v>0</v>
      </c>
      <c r="AT26" t="b">
        <f t="shared" ca="1" si="21"/>
        <v>0</v>
      </c>
      <c r="AU26" t="b">
        <f t="shared" ca="1" si="22"/>
        <v>0</v>
      </c>
      <c r="AV26" t="b">
        <f t="shared" ca="1" si="23"/>
        <v>0</v>
      </c>
      <c r="AW26">
        <f t="shared" ca="1" si="29"/>
        <v>1</v>
      </c>
      <c r="AX26">
        <f t="shared" ca="1" si="30"/>
        <v>7</v>
      </c>
    </row>
    <row r="27" spans="1:50" hidden="1" x14ac:dyDescent="0.2">
      <c r="A27" s="45"/>
      <c r="B27" s="117" t="str">
        <f t="shared" ca="1" si="2"/>
        <v/>
      </c>
      <c r="C27" s="1" t="str">
        <f>IF(ISERROR(D27),"",IF(D27="","",MAX($C$12:C26)+1))</f>
        <v/>
      </c>
      <c r="D27" t="e">
        <f t="shared" si="3"/>
        <v>#N/A</v>
      </c>
      <c r="E27" s="15"/>
      <c r="F27" s="133" t="str">
        <f t="shared" ca="1" si="4"/>
        <v>N/A</v>
      </c>
      <c r="G27" s="133" t="str">
        <f t="shared" si="5"/>
        <v>N/A</v>
      </c>
      <c r="H27" s="133" t="str">
        <f ca="1">IFERROR(IF(VLOOKUP($A27,LASTYR,'2017'!$F$3,FALSE)=0,"N/A",VLOOKUP($A27,LASTYR,'2017'!$F$3,FALSE)),"N/A")</f>
        <v>N/A</v>
      </c>
      <c r="I27" s="133" t="str">
        <f t="shared" ca="1" si="32"/>
        <v>N/A</v>
      </c>
      <c r="J27" s="133" t="str">
        <f t="shared" ca="1" si="32"/>
        <v>N/A</v>
      </c>
      <c r="K27" s="133" t="str">
        <f t="shared" ca="1" si="32"/>
        <v>N/A</v>
      </c>
      <c r="L27" s="133" t="str">
        <f t="shared" ca="1" si="32"/>
        <v>N/A</v>
      </c>
      <c r="M27" s="133" t="str">
        <f t="shared" ca="1" si="32"/>
        <v>N/A</v>
      </c>
      <c r="N27" s="133" t="str">
        <f t="shared" ca="1" si="32"/>
        <v>N/A</v>
      </c>
      <c r="O27" s="133" t="str">
        <f t="shared" ca="1" si="32"/>
        <v>N/A</v>
      </c>
      <c r="P27" s="133" t="str">
        <f t="shared" ca="1" si="32"/>
        <v>N/A</v>
      </c>
      <c r="Q27" s="133" t="str">
        <f t="shared" ca="1" si="32"/>
        <v>N/A</v>
      </c>
      <c r="R27" s="133" t="str">
        <f t="shared" ca="1" si="32"/>
        <v>N/A</v>
      </c>
      <c r="S27" s="133" t="str">
        <f t="shared" ca="1" si="32"/>
        <v>N/A</v>
      </c>
      <c r="T27" s="80" t="str">
        <f t="shared" ca="1" si="24"/>
        <v>N/A</v>
      </c>
      <c r="U27" s="80" t="str">
        <f t="shared" ca="1" si="25"/>
        <v>N/A</v>
      </c>
      <c r="V27" s="133" t="e">
        <f t="shared" ca="1" si="26"/>
        <v>#VALUE!</v>
      </c>
      <c r="W27" s="80" t="e">
        <f t="shared" ca="1" si="27"/>
        <v>#VALUE!</v>
      </c>
      <c r="X27" s="80"/>
      <c r="Y27" s="211">
        <f t="shared" ca="1" si="31"/>
        <v>-1</v>
      </c>
      <c r="Z27" s="208" t="str">
        <f t="shared" si="7"/>
        <v>N/A</v>
      </c>
      <c r="AA27" s="217">
        <v>43100</v>
      </c>
      <c r="AB27" s="213" t="e">
        <f t="shared" si="8"/>
        <v>#VALUE!</v>
      </c>
      <c r="AC27" s="214" t="e">
        <f t="shared" si="28"/>
        <v>#VALUE!</v>
      </c>
      <c r="AD27" s="214" t="e">
        <f t="shared" ca="1" si="9"/>
        <v>#VALUE!</v>
      </c>
      <c r="AE27" s="215" t="e">
        <f t="shared" ca="1" si="10"/>
        <v>#VALUE!</v>
      </c>
      <c r="AJ27" t="b">
        <f t="shared" si="11"/>
        <v>0</v>
      </c>
      <c r="AK27" t="b">
        <f t="shared" ca="1" si="12"/>
        <v>0</v>
      </c>
      <c r="AL27" t="b">
        <f t="shared" ca="1" si="13"/>
        <v>0</v>
      </c>
      <c r="AM27" t="b">
        <f t="shared" ca="1" si="14"/>
        <v>0</v>
      </c>
      <c r="AN27" t="b">
        <f t="shared" ca="1" si="15"/>
        <v>0</v>
      </c>
      <c r="AO27" t="b">
        <f t="shared" ca="1" si="16"/>
        <v>0</v>
      </c>
      <c r="AP27" t="b">
        <f t="shared" ca="1" si="17"/>
        <v>0</v>
      </c>
      <c r="AQ27" t="b">
        <f t="shared" ca="1" si="18"/>
        <v>0</v>
      </c>
      <c r="AR27" t="b">
        <f t="shared" ca="1" si="19"/>
        <v>0</v>
      </c>
      <c r="AS27" t="b">
        <f t="shared" ca="1" si="20"/>
        <v>0</v>
      </c>
      <c r="AT27" t="b">
        <f t="shared" ca="1" si="21"/>
        <v>0</v>
      </c>
      <c r="AU27" t="b">
        <f t="shared" ca="1" si="22"/>
        <v>0</v>
      </c>
      <c r="AV27" t="b">
        <f t="shared" ca="1" si="23"/>
        <v>0</v>
      </c>
      <c r="AW27">
        <f t="shared" ca="1" si="29"/>
        <v>1</v>
      </c>
      <c r="AX27">
        <f t="shared" ca="1" si="30"/>
        <v>7</v>
      </c>
    </row>
    <row r="28" spans="1:50" hidden="1" x14ac:dyDescent="0.2">
      <c r="A28" s="45"/>
      <c r="B28" s="117" t="str">
        <f t="shared" ca="1" si="2"/>
        <v/>
      </c>
      <c r="C28" s="1" t="str">
        <f>IF(ISERROR(D28),"",IF(D28="","",MAX($C$12:C27)+1))</f>
        <v/>
      </c>
      <c r="D28" t="e">
        <f t="shared" si="3"/>
        <v>#N/A</v>
      </c>
      <c r="E28" s="15"/>
      <c r="F28" s="133" t="str">
        <f t="shared" ca="1" si="4"/>
        <v>N/A</v>
      </c>
      <c r="G28" s="133" t="str">
        <f t="shared" si="5"/>
        <v>N/A</v>
      </c>
      <c r="H28" s="133" t="str">
        <f ca="1">IFERROR(IF(VLOOKUP($A28,LASTYR,'2017'!$F$3,FALSE)=0,"N/A",VLOOKUP($A28,LASTYR,'2017'!$F$3,FALSE)),"N/A")</f>
        <v>N/A</v>
      </c>
      <c r="I28" s="133" t="str">
        <f t="shared" ca="1" si="32"/>
        <v>N/A</v>
      </c>
      <c r="J28" s="133" t="str">
        <f t="shared" ca="1" si="32"/>
        <v>N/A</v>
      </c>
      <c r="K28" s="133" t="str">
        <f t="shared" ca="1" si="32"/>
        <v>N/A</v>
      </c>
      <c r="L28" s="133" t="str">
        <f t="shared" ca="1" si="32"/>
        <v>N/A</v>
      </c>
      <c r="M28" s="133" t="str">
        <f t="shared" ca="1" si="32"/>
        <v>N/A</v>
      </c>
      <c r="N28" s="133" t="str">
        <f t="shared" ca="1" si="32"/>
        <v>N/A</v>
      </c>
      <c r="O28" s="133" t="str">
        <f t="shared" ca="1" si="32"/>
        <v>N/A</v>
      </c>
      <c r="P28" s="133" t="str">
        <f t="shared" ca="1" si="32"/>
        <v>N/A</v>
      </c>
      <c r="Q28" s="133" t="str">
        <f t="shared" ca="1" si="32"/>
        <v>N/A</v>
      </c>
      <c r="R28" s="133" t="str">
        <f t="shared" ca="1" si="32"/>
        <v>N/A</v>
      </c>
      <c r="S28" s="133" t="str">
        <f t="shared" ca="1" si="32"/>
        <v>N/A</v>
      </c>
      <c r="T28" s="80" t="str">
        <f t="shared" ca="1" si="24"/>
        <v>N/A</v>
      </c>
      <c r="U28" s="80" t="str">
        <f t="shared" ca="1" si="25"/>
        <v>N/A</v>
      </c>
      <c r="V28" s="133" t="e">
        <f t="shared" ca="1" si="26"/>
        <v>#VALUE!</v>
      </c>
      <c r="W28" s="80" t="e">
        <f t="shared" ca="1" si="27"/>
        <v>#VALUE!</v>
      </c>
      <c r="X28" s="80"/>
      <c r="Y28" s="211">
        <f t="shared" ca="1" si="31"/>
        <v>-1</v>
      </c>
      <c r="Z28" s="208" t="str">
        <f t="shared" si="7"/>
        <v>N/A</v>
      </c>
      <c r="AA28" s="217">
        <v>43100</v>
      </c>
      <c r="AB28" s="213" t="e">
        <f t="shared" si="8"/>
        <v>#VALUE!</v>
      </c>
      <c r="AC28" s="214" t="e">
        <f t="shared" si="28"/>
        <v>#VALUE!</v>
      </c>
      <c r="AD28" s="214" t="e">
        <f t="shared" ca="1" si="9"/>
        <v>#VALUE!</v>
      </c>
      <c r="AE28" s="215" t="e">
        <f t="shared" ca="1" si="10"/>
        <v>#VALUE!</v>
      </c>
      <c r="AJ28" t="b">
        <f t="shared" si="11"/>
        <v>0</v>
      </c>
      <c r="AK28" t="b">
        <f t="shared" ca="1" si="12"/>
        <v>0</v>
      </c>
      <c r="AL28" t="b">
        <f t="shared" ca="1" si="13"/>
        <v>0</v>
      </c>
      <c r="AM28" t="b">
        <f t="shared" ca="1" si="14"/>
        <v>0</v>
      </c>
      <c r="AN28" t="b">
        <f t="shared" ca="1" si="15"/>
        <v>0</v>
      </c>
      <c r="AO28" t="b">
        <f t="shared" ca="1" si="16"/>
        <v>0</v>
      </c>
      <c r="AP28" t="b">
        <f t="shared" ca="1" si="17"/>
        <v>0</v>
      </c>
      <c r="AQ28" t="b">
        <f t="shared" ca="1" si="18"/>
        <v>0</v>
      </c>
      <c r="AR28" t="b">
        <f t="shared" ca="1" si="19"/>
        <v>0</v>
      </c>
      <c r="AS28" t="b">
        <f t="shared" ca="1" si="20"/>
        <v>0</v>
      </c>
      <c r="AT28" t="b">
        <f t="shared" ca="1" si="21"/>
        <v>0</v>
      </c>
      <c r="AU28" t="b">
        <f t="shared" ca="1" si="22"/>
        <v>0</v>
      </c>
      <c r="AV28" t="b">
        <f t="shared" ca="1" si="23"/>
        <v>0</v>
      </c>
      <c r="AW28">
        <f t="shared" ca="1" si="29"/>
        <v>1</v>
      </c>
      <c r="AX28">
        <f t="shared" ca="1" si="30"/>
        <v>7</v>
      </c>
    </row>
    <row r="29" spans="1:50" hidden="1" x14ac:dyDescent="0.2">
      <c r="A29" s="45"/>
      <c r="B29" s="117" t="str">
        <f t="shared" ca="1" si="2"/>
        <v/>
      </c>
      <c r="C29" s="1" t="str">
        <f>IF(ISERROR(D29),"",IF(D29="","",MAX($C$12:C28)+1))</f>
        <v/>
      </c>
      <c r="D29" t="e">
        <f t="shared" si="3"/>
        <v>#N/A</v>
      </c>
      <c r="E29" s="15"/>
      <c r="F29" s="133" t="str">
        <f t="shared" ca="1" si="4"/>
        <v>N/A</v>
      </c>
      <c r="G29" s="133" t="str">
        <f t="shared" si="5"/>
        <v>N/A</v>
      </c>
      <c r="H29" s="133" t="str">
        <f ca="1">IFERROR(IF(VLOOKUP($A29,LASTYR,'2017'!$F$3,FALSE)=0,"N/A",VLOOKUP($A29,LASTYR,'2017'!$F$3,FALSE)),"N/A")</f>
        <v>N/A</v>
      </c>
      <c r="I29" s="133" t="str">
        <f t="shared" ca="1" si="32"/>
        <v>N/A</v>
      </c>
      <c r="J29" s="133" t="str">
        <f t="shared" ca="1" si="32"/>
        <v>N/A</v>
      </c>
      <c r="K29" s="133" t="str">
        <f t="shared" ca="1" si="32"/>
        <v>N/A</v>
      </c>
      <c r="L29" s="133" t="str">
        <f t="shared" ca="1" si="32"/>
        <v>N/A</v>
      </c>
      <c r="M29" s="133" t="str">
        <f t="shared" ca="1" si="32"/>
        <v>N/A</v>
      </c>
      <c r="N29" s="133" t="str">
        <f t="shared" ca="1" si="32"/>
        <v>N/A</v>
      </c>
      <c r="O29" s="133" t="str">
        <f t="shared" ca="1" si="32"/>
        <v>N/A</v>
      </c>
      <c r="P29" s="133" t="str">
        <f t="shared" ca="1" si="32"/>
        <v>N/A</v>
      </c>
      <c r="Q29" s="133" t="str">
        <f t="shared" ca="1" si="32"/>
        <v>N/A</v>
      </c>
      <c r="R29" s="133" t="str">
        <f t="shared" ca="1" si="32"/>
        <v>N/A</v>
      </c>
      <c r="S29" s="133" t="str">
        <f t="shared" ca="1" si="32"/>
        <v>N/A</v>
      </c>
      <c r="T29" s="80" t="str">
        <f t="shared" ca="1" si="24"/>
        <v>N/A</v>
      </c>
      <c r="U29" s="80" t="str">
        <f t="shared" ca="1" si="25"/>
        <v>N/A</v>
      </c>
      <c r="V29" s="133" t="e">
        <f t="shared" ca="1" si="26"/>
        <v>#VALUE!</v>
      </c>
      <c r="W29" s="80" t="e">
        <f t="shared" ca="1" si="27"/>
        <v>#VALUE!</v>
      </c>
      <c r="X29" s="80"/>
      <c r="Y29" s="211">
        <f t="shared" ca="1" si="31"/>
        <v>-1</v>
      </c>
      <c r="Z29" s="208" t="str">
        <f t="shared" si="7"/>
        <v>N/A</v>
      </c>
      <c r="AA29" s="217">
        <v>43100</v>
      </c>
      <c r="AB29" s="213" t="e">
        <f t="shared" si="8"/>
        <v>#VALUE!</v>
      </c>
      <c r="AC29" s="214" t="e">
        <f t="shared" si="28"/>
        <v>#VALUE!</v>
      </c>
      <c r="AD29" s="214" t="e">
        <f t="shared" ca="1" si="9"/>
        <v>#VALUE!</v>
      </c>
      <c r="AE29" s="215" t="e">
        <f t="shared" ca="1" si="10"/>
        <v>#VALUE!</v>
      </c>
      <c r="AJ29" t="b">
        <f t="shared" si="11"/>
        <v>0</v>
      </c>
      <c r="AK29" t="b">
        <f t="shared" ca="1" si="12"/>
        <v>0</v>
      </c>
      <c r="AL29" t="b">
        <f t="shared" ca="1" si="13"/>
        <v>0</v>
      </c>
      <c r="AM29" t="b">
        <f t="shared" ca="1" si="14"/>
        <v>0</v>
      </c>
      <c r="AN29" t="b">
        <f t="shared" ca="1" si="15"/>
        <v>0</v>
      </c>
      <c r="AO29" t="b">
        <f t="shared" ca="1" si="16"/>
        <v>0</v>
      </c>
      <c r="AP29" t="b">
        <f t="shared" ca="1" si="17"/>
        <v>0</v>
      </c>
      <c r="AQ29" t="b">
        <f t="shared" ca="1" si="18"/>
        <v>0</v>
      </c>
      <c r="AR29" t="b">
        <f t="shared" ca="1" si="19"/>
        <v>0</v>
      </c>
      <c r="AS29" t="b">
        <f t="shared" ca="1" si="20"/>
        <v>0</v>
      </c>
      <c r="AT29" t="b">
        <f t="shared" ca="1" si="21"/>
        <v>0</v>
      </c>
      <c r="AU29" t="b">
        <f t="shared" ca="1" si="22"/>
        <v>0</v>
      </c>
      <c r="AV29" t="b">
        <f t="shared" ca="1" si="23"/>
        <v>0</v>
      </c>
      <c r="AW29">
        <f t="shared" ca="1" si="29"/>
        <v>1</v>
      </c>
      <c r="AX29">
        <f t="shared" ca="1" si="30"/>
        <v>7</v>
      </c>
    </row>
    <row r="30" spans="1:50" hidden="1" x14ac:dyDescent="0.2">
      <c r="A30" s="45"/>
      <c r="B30" s="117" t="str">
        <f t="shared" ca="1" si="2"/>
        <v/>
      </c>
      <c r="C30" s="1" t="str">
        <f>IF(ISERROR(D30),"",IF(D30="","",MAX($C$12:C29)+1))</f>
        <v/>
      </c>
      <c r="D30" t="e">
        <f t="shared" si="3"/>
        <v>#N/A</v>
      </c>
      <c r="E30" s="15"/>
      <c r="F30" s="133" t="str">
        <f t="shared" ca="1" si="4"/>
        <v>N/A</v>
      </c>
      <c r="G30" s="133" t="str">
        <f t="shared" si="5"/>
        <v>N/A</v>
      </c>
      <c r="H30" s="133" t="str">
        <f ca="1">IFERROR(IF(VLOOKUP($A30,LASTYR,'2017'!$F$3,FALSE)=0,"N/A",VLOOKUP($A30,LASTYR,'2017'!$F$3,FALSE)),"N/A")</f>
        <v>N/A</v>
      </c>
      <c r="I30" s="133" t="str">
        <f t="shared" ca="1" si="32"/>
        <v>N/A</v>
      </c>
      <c r="J30" s="133" t="str">
        <f t="shared" ca="1" si="32"/>
        <v>N/A</v>
      </c>
      <c r="K30" s="133" t="str">
        <f t="shared" ca="1" si="32"/>
        <v>N/A</v>
      </c>
      <c r="L30" s="133" t="str">
        <f t="shared" ca="1" si="32"/>
        <v>N/A</v>
      </c>
      <c r="M30" s="133" t="str">
        <f t="shared" ca="1" si="32"/>
        <v>N/A</v>
      </c>
      <c r="N30" s="133" t="str">
        <f t="shared" ca="1" si="32"/>
        <v>N/A</v>
      </c>
      <c r="O30" s="133" t="str">
        <f t="shared" ca="1" si="32"/>
        <v>N/A</v>
      </c>
      <c r="P30" s="133" t="str">
        <f t="shared" ca="1" si="32"/>
        <v>N/A</v>
      </c>
      <c r="Q30" s="133" t="str">
        <f t="shared" ca="1" si="32"/>
        <v>N/A</v>
      </c>
      <c r="R30" s="133" t="str">
        <f t="shared" ca="1" si="32"/>
        <v>N/A</v>
      </c>
      <c r="S30" s="133" t="str">
        <f t="shared" ca="1" si="32"/>
        <v>N/A</v>
      </c>
      <c r="T30" s="80" t="str">
        <f t="shared" ca="1" si="24"/>
        <v>N/A</v>
      </c>
      <c r="U30" s="80" t="str">
        <f t="shared" ca="1" si="25"/>
        <v>N/A</v>
      </c>
      <c r="V30" s="133" t="e">
        <f t="shared" ca="1" si="26"/>
        <v>#VALUE!</v>
      </c>
      <c r="W30" s="80" t="e">
        <f t="shared" ca="1" si="27"/>
        <v>#VALUE!</v>
      </c>
      <c r="X30" s="80"/>
      <c r="Y30" s="211">
        <f t="shared" ca="1" si="31"/>
        <v>-1</v>
      </c>
      <c r="Z30" s="208" t="str">
        <f t="shared" si="7"/>
        <v>N/A</v>
      </c>
      <c r="AA30" s="217">
        <v>43100</v>
      </c>
      <c r="AB30" s="213" t="e">
        <f t="shared" si="8"/>
        <v>#VALUE!</v>
      </c>
      <c r="AC30" s="214" t="e">
        <f t="shared" si="28"/>
        <v>#VALUE!</v>
      </c>
      <c r="AD30" s="214" t="e">
        <f t="shared" ca="1" si="9"/>
        <v>#VALUE!</v>
      </c>
      <c r="AE30" s="215" t="e">
        <f t="shared" ca="1" si="10"/>
        <v>#VALUE!</v>
      </c>
      <c r="AJ30" t="b">
        <f t="shared" si="11"/>
        <v>0</v>
      </c>
      <c r="AK30" t="b">
        <f t="shared" ca="1" si="12"/>
        <v>0</v>
      </c>
      <c r="AL30" t="b">
        <f t="shared" ca="1" si="13"/>
        <v>0</v>
      </c>
      <c r="AM30" t="b">
        <f t="shared" ca="1" si="14"/>
        <v>0</v>
      </c>
      <c r="AN30" t="b">
        <f t="shared" ca="1" si="15"/>
        <v>0</v>
      </c>
      <c r="AO30" t="b">
        <f t="shared" ca="1" si="16"/>
        <v>0</v>
      </c>
      <c r="AP30" t="b">
        <f t="shared" ca="1" si="17"/>
        <v>0</v>
      </c>
      <c r="AQ30" t="b">
        <f t="shared" ca="1" si="18"/>
        <v>0</v>
      </c>
      <c r="AR30" t="b">
        <f t="shared" ca="1" si="19"/>
        <v>0</v>
      </c>
      <c r="AS30" t="b">
        <f t="shared" ca="1" si="20"/>
        <v>0</v>
      </c>
      <c r="AT30" t="b">
        <f t="shared" ca="1" si="21"/>
        <v>0</v>
      </c>
      <c r="AU30" t="b">
        <f t="shared" ca="1" si="22"/>
        <v>0</v>
      </c>
      <c r="AV30" t="b">
        <f t="shared" ca="1" si="23"/>
        <v>0</v>
      </c>
      <c r="AW30">
        <f t="shared" ca="1" si="29"/>
        <v>1</v>
      </c>
      <c r="AX30">
        <f t="shared" ca="1" si="30"/>
        <v>7</v>
      </c>
    </row>
    <row r="31" spans="1:50" hidden="1" x14ac:dyDescent="0.2">
      <c r="A31" s="45"/>
      <c r="B31" s="117" t="str">
        <f t="shared" ca="1" si="2"/>
        <v/>
      </c>
      <c r="C31" s="1" t="str">
        <f>IF(ISERROR(D31),"",IF(D31="","",MAX($C$12:C30)+1))</f>
        <v/>
      </c>
      <c r="D31" t="e">
        <f t="shared" si="3"/>
        <v>#N/A</v>
      </c>
      <c r="E31" s="15"/>
      <c r="F31" s="133" t="str">
        <f t="shared" ca="1" si="4"/>
        <v>N/A</v>
      </c>
      <c r="G31" s="133" t="str">
        <f t="shared" si="5"/>
        <v>N/A</v>
      </c>
      <c r="H31" s="133" t="str">
        <f ca="1">IFERROR(IF(VLOOKUP($A31,LASTYR,'2017'!$F$3,FALSE)=0,"N/A",VLOOKUP($A31,LASTYR,'2017'!$F$3,FALSE)),"N/A")</f>
        <v>N/A</v>
      </c>
      <c r="I31" s="133" t="str">
        <f t="shared" ca="1" si="32"/>
        <v>N/A</v>
      </c>
      <c r="J31" s="133" t="str">
        <f t="shared" ca="1" si="32"/>
        <v>N/A</v>
      </c>
      <c r="K31" s="133" t="str">
        <f t="shared" ca="1" si="32"/>
        <v>N/A</v>
      </c>
      <c r="L31" s="133" t="str">
        <f t="shared" ca="1" si="32"/>
        <v>N/A</v>
      </c>
      <c r="M31" s="133" t="str">
        <f t="shared" ca="1" si="32"/>
        <v>N/A</v>
      </c>
      <c r="N31" s="133" t="str">
        <f t="shared" ca="1" si="32"/>
        <v>N/A</v>
      </c>
      <c r="O31" s="133" t="str">
        <f t="shared" ca="1" si="32"/>
        <v>N/A</v>
      </c>
      <c r="P31" s="133" t="str">
        <f t="shared" ca="1" si="32"/>
        <v>N/A</v>
      </c>
      <c r="Q31" s="133" t="str">
        <f t="shared" ca="1" si="32"/>
        <v>N/A</v>
      </c>
      <c r="R31" s="133" t="str">
        <f t="shared" ca="1" si="32"/>
        <v>N/A</v>
      </c>
      <c r="S31" s="133" t="str">
        <f t="shared" ca="1" si="32"/>
        <v>N/A</v>
      </c>
      <c r="T31" s="80" t="str">
        <f t="shared" ca="1" si="24"/>
        <v>N/A</v>
      </c>
      <c r="U31" s="80" t="str">
        <f t="shared" ca="1" si="25"/>
        <v>N/A</v>
      </c>
      <c r="V31" s="133" t="e">
        <f t="shared" ca="1" si="26"/>
        <v>#VALUE!</v>
      </c>
      <c r="W31" s="80" t="e">
        <f t="shared" ca="1" si="27"/>
        <v>#VALUE!</v>
      </c>
      <c r="X31" s="80"/>
      <c r="Y31" s="211">
        <f t="shared" ca="1" si="31"/>
        <v>-1</v>
      </c>
      <c r="Z31" s="208" t="str">
        <f t="shared" si="7"/>
        <v>N/A</v>
      </c>
      <c r="AA31" s="217">
        <v>43100</v>
      </c>
      <c r="AB31" s="213" t="e">
        <f t="shared" si="8"/>
        <v>#VALUE!</v>
      </c>
      <c r="AC31" s="214" t="e">
        <f t="shared" si="28"/>
        <v>#VALUE!</v>
      </c>
      <c r="AD31" s="214" t="e">
        <f t="shared" ca="1" si="9"/>
        <v>#VALUE!</v>
      </c>
      <c r="AE31" s="215" t="e">
        <f t="shared" ca="1" si="10"/>
        <v>#VALUE!</v>
      </c>
      <c r="AJ31" t="b">
        <f t="shared" si="11"/>
        <v>0</v>
      </c>
      <c r="AK31" t="b">
        <f t="shared" ca="1" si="12"/>
        <v>0</v>
      </c>
      <c r="AL31" t="b">
        <f t="shared" ca="1" si="13"/>
        <v>0</v>
      </c>
      <c r="AM31" t="b">
        <f t="shared" ca="1" si="14"/>
        <v>0</v>
      </c>
      <c r="AN31" t="b">
        <f t="shared" ca="1" si="15"/>
        <v>0</v>
      </c>
      <c r="AO31" t="b">
        <f t="shared" ca="1" si="16"/>
        <v>0</v>
      </c>
      <c r="AP31" t="b">
        <f t="shared" ca="1" si="17"/>
        <v>0</v>
      </c>
      <c r="AQ31" t="b">
        <f t="shared" ca="1" si="18"/>
        <v>0</v>
      </c>
      <c r="AR31" t="b">
        <f t="shared" ca="1" si="19"/>
        <v>0</v>
      </c>
      <c r="AS31" t="b">
        <f t="shared" ca="1" si="20"/>
        <v>0</v>
      </c>
      <c r="AT31" t="b">
        <f t="shared" ca="1" si="21"/>
        <v>0</v>
      </c>
      <c r="AU31" t="b">
        <f t="shared" ca="1" si="22"/>
        <v>0</v>
      </c>
      <c r="AV31" t="b">
        <f t="shared" ca="1" si="23"/>
        <v>0</v>
      </c>
      <c r="AW31">
        <f t="shared" ca="1" si="29"/>
        <v>1</v>
      </c>
      <c r="AX31">
        <f t="shared" ca="1" si="30"/>
        <v>7</v>
      </c>
    </row>
    <row r="32" spans="1:50" hidden="1" x14ac:dyDescent="0.2">
      <c r="A32" s="45"/>
      <c r="B32" s="117" t="str">
        <f t="shared" ca="1" si="2"/>
        <v/>
      </c>
      <c r="C32" s="1" t="str">
        <f>IF(ISERROR(D32),"",IF(D32="","",MAX($C$12:C31)+1))</f>
        <v/>
      </c>
      <c r="D32" t="e">
        <f t="shared" si="3"/>
        <v>#N/A</v>
      </c>
      <c r="E32" s="15"/>
      <c r="F32" s="133" t="str">
        <f t="shared" ca="1" si="4"/>
        <v>N/A</v>
      </c>
      <c r="G32" s="133" t="str">
        <f t="shared" si="5"/>
        <v>N/A</v>
      </c>
      <c r="H32" s="133" t="str">
        <f ca="1">IFERROR(IF(VLOOKUP($A32,LASTYR,'2017'!$F$3,FALSE)=0,"N/A",VLOOKUP($A32,LASTYR,'2017'!$F$3,FALSE)),"N/A")</f>
        <v>N/A</v>
      </c>
      <c r="I32" s="133" t="str">
        <f t="shared" ca="1" si="32"/>
        <v>N/A</v>
      </c>
      <c r="J32" s="133" t="str">
        <f t="shared" ca="1" si="32"/>
        <v>N/A</v>
      </c>
      <c r="K32" s="133" t="str">
        <f t="shared" ca="1" si="32"/>
        <v>N/A</v>
      </c>
      <c r="L32" s="133" t="str">
        <f t="shared" ca="1" si="32"/>
        <v>N/A</v>
      </c>
      <c r="M32" s="133" t="str">
        <f t="shared" ca="1" si="32"/>
        <v>N/A</v>
      </c>
      <c r="N32" s="133" t="str">
        <f t="shared" ca="1" si="32"/>
        <v>N/A</v>
      </c>
      <c r="O32" s="133" t="str">
        <f t="shared" ca="1" si="32"/>
        <v>N/A</v>
      </c>
      <c r="P32" s="133" t="str">
        <f t="shared" ca="1" si="32"/>
        <v>N/A</v>
      </c>
      <c r="Q32" s="133" t="str">
        <f t="shared" ca="1" si="32"/>
        <v>N/A</v>
      </c>
      <c r="R32" s="133" t="str">
        <f t="shared" ca="1" si="32"/>
        <v>N/A</v>
      </c>
      <c r="S32" s="133" t="str">
        <f t="shared" ca="1" si="32"/>
        <v>N/A</v>
      </c>
      <c r="T32" s="80" t="str">
        <f t="shared" ca="1" si="24"/>
        <v>N/A</v>
      </c>
      <c r="U32" s="80" t="str">
        <f t="shared" ca="1" si="25"/>
        <v>N/A</v>
      </c>
      <c r="V32" s="133" t="e">
        <f t="shared" ca="1" si="26"/>
        <v>#VALUE!</v>
      </c>
      <c r="W32" s="80" t="e">
        <f t="shared" ca="1" si="27"/>
        <v>#VALUE!</v>
      </c>
      <c r="X32" s="80"/>
      <c r="Y32" s="211">
        <f t="shared" ca="1" si="31"/>
        <v>-1</v>
      </c>
      <c r="Z32" s="208" t="str">
        <f t="shared" si="7"/>
        <v>N/A</v>
      </c>
      <c r="AA32" s="217">
        <v>43100</v>
      </c>
      <c r="AB32" s="213" t="e">
        <f t="shared" si="8"/>
        <v>#VALUE!</v>
      </c>
      <c r="AC32" s="214" t="e">
        <f t="shared" si="28"/>
        <v>#VALUE!</v>
      </c>
      <c r="AD32" s="214" t="e">
        <f t="shared" ca="1" si="9"/>
        <v>#VALUE!</v>
      </c>
      <c r="AE32" s="215" t="e">
        <f t="shared" ca="1" si="10"/>
        <v>#VALUE!</v>
      </c>
      <c r="AJ32" t="b">
        <f t="shared" si="11"/>
        <v>0</v>
      </c>
      <c r="AK32" t="b">
        <f t="shared" ca="1" si="12"/>
        <v>0</v>
      </c>
      <c r="AL32" t="b">
        <f t="shared" ca="1" si="13"/>
        <v>0</v>
      </c>
      <c r="AM32" t="b">
        <f t="shared" ca="1" si="14"/>
        <v>0</v>
      </c>
      <c r="AN32" t="b">
        <f t="shared" ca="1" si="15"/>
        <v>0</v>
      </c>
      <c r="AO32" t="b">
        <f t="shared" ca="1" si="16"/>
        <v>0</v>
      </c>
      <c r="AP32" t="b">
        <f t="shared" ca="1" si="17"/>
        <v>0</v>
      </c>
      <c r="AQ32" t="b">
        <f t="shared" ca="1" si="18"/>
        <v>0</v>
      </c>
      <c r="AR32" t="b">
        <f t="shared" ca="1" si="19"/>
        <v>0</v>
      </c>
      <c r="AS32" t="b">
        <f t="shared" ca="1" si="20"/>
        <v>0</v>
      </c>
      <c r="AT32" t="b">
        <f t="shared" ca="1" si="21"/>
        <v>0</v>
      </c>
      <c r="AU32" t="b">
        <f t="shared" ca="1" si="22"/>
        <v>0</v>
      </c>
      <c r="AV32" t="b">
        <f t="shared" ca="1" si="23"/>
        <v>0</v>
      </c>
      <c r="AW32">
        <f t="shared" ca="1" si="29"/>
        <v>1</v>
      </c>
      <c r="AX32">
        <f t="shared" ca="1" si="30"/>
        <v>7</v>
      </c>
    </row>
    <row r="33" spans="1:50" hidden="1" x14ac:dyDescent="0.2">
      <c r="A33" s="45"/>
      <c r="B33" s="117" t="str">
        <f t="shared" ca="1" si="2"/>
        <v/>
      </c>
      <c r="C33" s="1" t="str">
        <f>IF(ISERROR(D33),"",IF(D33="","",MAX($C$12:C32)+1))</f>
        <v/>
      </c>
      <c r="D33" t="e">
        <f t="shared" si="3"/>
        <v>#N/A</v>
      </c>
      <c r="E33" s="15"/>
      <c r="F33" s="133" t="str">
        <f t="shared" ca="1" si="4"/>
        <v>N/A</v>
      </c>
      <c r="G33" s="133" t="str">
        <f t="shared" si="5"/>
        <v>N/A</v>
      </c>
      <c r="H33" s="133" t="str">
        <f ca="1">IFERROR(IF(VLOOKUP($A33,LASTYR,'2017'!$F$3,FALSE)=0,"N/A",VLOOKUP($A33,LASTYR,'2017'!$F$3,FALSE)),"N/A")</f>
        <v>N/A</v>
      </c>
      <c r="I33" s="133" t="str">
        <f t="shared" ref="I33:S42" ca="1" si="33">IFERROR(IF(INDEX(Earnings,$B33,I$12)=0,"N/A",INDEX(Earnings,$B33,I$12)),"N/A")</f>
        <v>N/A</v>
      </c>
      <c r="J33" s="133" t="str">
        <f t="shared" ca="1" si="33"/>
        <v>N/A</v>
      </c>
      <c r="K33" s="133" t="str">
        <f t="shared" ca="1" si="33"/>
        <v>N/A</v>
      </c>
      <c r="L33" s="133" t="str">
        <f t="shared" ca="1" si="33"/>
        <v>N/A</v>
      </c>
      <c r="M33" s="133" t="str">
        <f t="shared" ca="1" si="33"/>
        <v>N/A</v>
      </c>
      <c r="N33" s="133" t="str">
        <f t="shared" ca="1" si="33"/>
        <v>N/A</v>
      </c>
      <c r="O33" s="133" t="str">
        <f t="shared" ca="1" si="33"/>
        <v>N/A</v>
      </c>
      <c r="P33" s="133" t="str">
        <f t="shared" ca="1" si="33"/>
        <v>N/A</v>
      </c>
      <c r="Q33" s="133" t="str">
        <f t="shared" ca="1" si="33"/>
        <v>N/A</v>
      </c>
      <c r="R33" s="133" t="str">
        <f t="shared" ca="1" si="33"/>
        <v>N/A</v>
      </c>
      <c r="S33" s="133" t="str">
        <f t="shared" ca="1" si="33"/>
        <v>N/A</v>
      </c>
      <c r="T33" s="80" t="str">
        <f t="shared" si="24"/>
        <v>N/A</v>
      </c>
      <c r="U33" s="80" t="str">
        <f t="shared" ca="1" si="25"/>
        <v>N/A</v>
      </c>
      <c r="V33" s="133" t="e">
        <f ca="1">(H33/S33)^(1/10)-1</f>
        <v>#VALUE!</v>
      </c>
      <c r="W33" s="80" t="e">
        <f t="shared" ca="1" si="27"/>
        <v>#VALUE!</v>
      </c>
      <c r="X33" s="80"/>
      <c r="Y33" s="211">
        <v>10</v>
      </c>
      <c r="Z33" s="208" t="str">
        <f t="shared" si="7"/>
        <v>N/A</v>
      </c>
      <c r="AA33" s="217">
        <v>43100</v>
      </c>
      <c r="AB33" s="213" t="e">
        <f t="shared" si="8"/>
        <v>#VALUE!</v>
      </c>
      <c r="AC33" s="214" t="e">
        <f t="shared" si="28"/>
        <v>#VALUE!</v>
      </c>
      <c r="AD33" s="214" t="e">
        <f t="shared" si="9"/>
        <v>#VALUE!</v>
      </c>
      <c r="AE33" s="215" t="e">
        <f t="shared" ca="1" si="10"/>
        <v>#VALUE!</v>
      </c>
      <c r="AJ33" t="b">
        <f t="shared" si="11"/>
        <v>0</v>
      </c>
      <c r="AK33" t="b">
        <f t="shared" ca="1" si="12"/>
        <v>0</v>
      </c>
      <c r="AL33" t="b">
        <f t="shared" ca="1" si="13"/>
        <v>0</v>
      </c>
      <c r="AM33" t="b">
        <f t="shared" ca="1" si="14"/>
        <v>0</v>
      </c>
      <c r="AN33" t="b">
        <f t="shared" ca="1" si="15"/>
        <v>0</v>
      </c>
      <c r="AO33" t="b">
        <f t="shared" ca="1" si="16"/>
        <v>0</v>
      </c>
      <c r="AP33" t="b">
        <f t="shared" ca="1" si="17"/>
        <v>0</v>
      </c>
      <c r="AQ33" t="b">
        <f t="shared" ca="1" si="18"/>
        <v>0</v>
      </c>
      <c r="AR33" t="b">
        <f t="shared" ca="1" si="19"/>
        <v>0</v>
      </c>
      <c r="AS33" t="b">
        <f t="shared" ca="1" si="20"/>
        <v>0</v>
      </c>
      <c r="AT33" t="b">
        <f t="shared" ca="1" si="21"/>
        <v>0</v>
      </c>
      <c r="AU33" t="b">
        <f t="shared" ca="1" si="22"/>
        <v>0</v>
      </c>
      <c r="AV33" t="b">
        <f t="shared" ca="1" si="23"/>
        <v>0</v>
      </c>
      <c r="AW33">
        <f t="shared" ca="1" si="29"/>
        <v>1</v>
      </c>
      <c r="AX33">
        <f t="shared" ca="1" si="30"/>
        <v>7</v>
      </c>
    </row>
    <row r="34" spans="1:50" hidden="1" x14ac:dyDescent="0.2">
      <c r="A34" s="45"/>
      <c r="B34" s="117" t="str">
        <f t="shared" ca="1" si="2"/>
        <v/>
      </c>
      <c r="C34" s="1" t="str">
        <f>IF(ISERROR(D34),"",IF(D34="","",MAX($C$12:C33)+1))</f>
        <v/>
      </c>
      <c r="D34" t="e">
        <f t="shared" si="3"/>
        <v>#N/A</v>
      </c>
      <c r="E34" s="15"/>
      <c r="F34" s="133" t="str">
        <f t="shared" ca="1" si="4"/>
        <v>N/A</v>
      </c>
      <c r="G34" s="133" t="str">
        <f t="shared" si="5"/>
        <v>N/A</v>
      </c>
      <c r="H34" s="133" t="str">
        <f ca="1">IFERROR(IF(VLOOKUP($A34,LASTYR,'2017'!$F$3,FALSE)=0,"N/A",VLOOKUP($A34,LASTYR,'2017'!$F$3,FALSE)),"N/A")</f>
        <v>N/A</v>
      </c>
      <c r="I34" s="133" t="str">
        <f t="shared" ca="1" si="33"/>
        <v>N/A</v>
      </c>
      <c r="J34" s="133" t="str">
        <f t="shared" ca="1" si="33"/>
        <v>N/A</v>
      </c>
      <c r="K34" s="133" t="str">
        <f t="shared" ca="1" si="33"/>
        <v>N/A</v>
      </c>
      <c r="L34" s="133" t="str">
        <f t="shared" ca="1" si="33"/>
        <v>N/A</v>
      </c>
      <c r="M34" s="133" t="str">
        <f t="shared" ca="1" si="33"/>
        <v>N/A</v>
      </c>
      <c r="N34" s="133" t="str">
        <f t="shared" ca="1" si="33"/>
        <v>N/A</v>
      </c>
      <c r="O34" s="133" t="str">
        <f t="shared" ca="1" si="33"/>
        <v>N/A</v>
      </c>
      <c r="P34" s="133" t="str">
        <f t="shared" ca="1" si="33"/>
        <v>N/A</v>
      </c>
      <c r="Q34" s="133" t="str">
        <f t="shared" ca="1" si="33"/>
        <v>N/A</v>
      </c>
      <c r="R34" s="133" t="str">
        <f t="shared" ca="1" si="33"/>
        <v>N/A</v>
      </c>
      <c r="S34" s="133" t="str">
        <f t="shared" ca="1" si="33"/>
        <v>N/A</v>
      </c>
      <c r="T34" s="80" t="str">
        <f t="shared" ca="1" si="24"/>
        <v>N/A</v>
      </c>
      <c r="U34" s="80" t="str">
        <f t="shared" ca="1" si="25"/>
        <v>N/A</v>
      </c>
      <c r="V34" s="133" t="e">
        <f t="shared" ca="1" si="26"/>
        <v>#VALUE!</v>
      </c>
      <c r="W34" s="80" t="e">
        <f t="shared" ca="1" si="27"/>
        <v>#VALUE!</v>
      </c>
      <c r="X34" s="80"/>
      <c r="Y34" s="211">
        <f t="shared" ref="Y34:Y57" ca="1" si="34">AW34-2</f>
        <v>-1</v>
      </c>
      <c r="Z34" s="208" t="str">
        <f t="shared" si="7"/>
        <v>N/A</v>
      </c>
      <c r="AA34" s="217">
        <v>43100</v>
      </c>
      <c r="AB34" s="213" t="e">
        <f t="shared" si="8"/>
        <v>#VALUE!</v>
      </c>
      <c r="AC34" s="214" t="e">
        <f t="shared" si="28"/>
        <v>#VALUE!</v>
      </c>
      <c r="AD34" s="214" t="e">
        <f t="shared" ca="1" si="9"/>
        <v>#VALUE!</v>
      </c>
      <c r="AE34" s="215" t="e">
        <f t="shared" ca="1" si="10"/>
        <v>#VALUE!</v>
      </c>
      <c r="AJ34" t="b">
        <f t="shared" si="11"/>
        <v>0</v>
      </c>
      <c r="AK34" t="b">
        <f t="shared" ca="1" si="12"/>
        <v>0</v>
      </c>
      <c r="AL34" t="b">
        <f t="shared" ca="1" si="13"/>
        <v>0</v>
      </c>
      <c r="AM34" t="b">
        <f t="shared" ca="1" si="14"/>
        <v>0</v>
      </c>
      <c r="AN34" t="b">
        <f t="shared" ca="1" si="15"/>
        <v>0</v>
      </c>
      <c r="AO34" t="b">
        <f t="shared" ca="1" si="16"/>
        <v>0</v>
      </c>
      <c r="AP34" t="b">
        <f t="shared" ca="1" si="17"/>
        <v>0</v>
      </c>
      <c r="AQ34" t="b">
        <f t="shared" ca="1" si="18"/>
        <v>0</v>
      </c>
      <c r="AR34" t="b">
        <f t="shared" ca="1" si="19"/>
        <v>0</v>
      </c>
      <c r="AS34" t="b">
        <f t="shared" ca="1" si="20"/>
        <v>0</v>
      </c>
      <c r="AT34" t="b">
        <f t="shared" ca="1" si="21"/>
        <v>0</v>
      </c>
      <c r="AU34" t="b">
        <f t="shared" ca="1" si="22"/>
        <v>0</v>
      </c>
      <c r="AV34" t="b">
        <f t="shared" ca="1" si="23"/>
        <v>0</v>
      </c>
      <c r="AW34">
        <f t="shared" ca="1" si="29"/>
        <v>1</v>
      </c>
      <c r="AX34">
        <f t="shared" ca="1" si="30"/>
        <v>7</v>
      </c>
    </row>
    <row r="35" spans="1:50" hidden="1" x14ac:dyDescent="0.2">
      <c r="A35" s="45"/>
      <c r="B35" s="117" t="str">
        <f t="shared" ca="1" si="2"/>
        <v/>
      </c>
      <c r="C35" s="1" t="str">
        <f>IF(ISERROR(D35),"",IF(D35="","",MAX($C$12:C34)+1))</f>
        <v/>
      </c>
      <c r="D35" t="e">
        <f t="shared" si="3"/>
        <v>#N/A</v>
      </c>
      <c r="E35" s="15"/>
      <c r="F35" s="133" t="str">
        <f t="shared" ca="1" si="4"/>
        <v>N/A</v>
      </c>
      <c r="G35" s="133" t="str">
        <f t="shared" si="5"/>
        <v>N/A</v>
      </c>
      <c r="H35" s="133" t="str">
        <f ca="1">IFERROR(IF(VLOOKUP($A35,LASTYR,'2017'!$F$3,FALSE)=0,"N/A",VLOOKUP($A35,LASTYR,'2017'!$F$3,FALSE)),"N/A")</f>
        <v>N/A</v>
      </c>
      <c r="I35" s="133" t="str">
        <f t="shared" ca="1" si="33"/>
        <v>N/A</v>
      </c>
      <c r="J35" s="133" t="str">
        <f t="shared" ca="1" si="33"/>
        <v>N/A</v>
      </c>
      <c r="K35" s="133" t="str">
        <f t="shared" ca="1" si="33"/>
        <v>N/A</v>
      </c>
      <c r="L35" s="133" t="str">
        <f t="shared" ca="1" si="33"/>
        <v>N/A</v>
      </c>
      <c r="M35" s="133" t="str">
        <f t="shared" ca="1" si="33"/>
        <v>N/A</v>
      </c>
      <c r="N35" s="133" t="str">
        <f t="shared" ca="1" si="33"/>
        <v>N/A</v>
      </c>
      <c r="O35" s="133" t="str">
        <f t="shared" ca="1" si="33"/>
        <v>N/A</v>
      </c>
      <c r="P35" s="133" t="str">
        <f t="shared" ca="1" si="33"/>
        <v>N/A</v>
      </c>
      <c r="Q35" s="133" t="str">
        <f t="shared" ca="1" si="33"/>
        <v>N/A</v>
      </c>
      <c r="R35" s="133" t="str">
        <f t="shared" ca="1" si="33"/>
        <v>N/A</v>
      </c>
      <c r="S35" s="133" t="str">
        <f t="shared" ca="1" si="33"/>
        <v>N/A</v>
      </c>
      <c r="T35" s="80" t="str">
        <f t="shared" ca="1" si="24"/>
        <v>N/A</v>
      </c>
      <c r="U35" s="80" t="str">
        <f t="shared" ca="1" si="25"/>
        <v>N/A</v>
      </c>
      <c r="V35" s="133" t="e">
        <f t="shared" ca="1" si="26"/>
        <v>#VALUE!</v>
      </c>
      <c r="W35" s="80" t="e">
        <f t="shared" ca="1" si="27"/>
        <v>#VALUE!</v>
      </c>
      <c r="X35" s="80"/>
      <c r="Y35" s="211">
        <f t="shared" ca="1" si="34"/>
        <v>-1</v>
      </c>
      <c r="Z35" s="208" t="str">
        <f t="shared" si="7"/>
        <v>N/A</v>
      </c>
      <c r="AA35" s="217">
        <v>43100</v>
      </c>
      <c r="AB35" s="213" t="e">
        <f t="shared" si="8"/>
        <v>#VALUE!</v>
      </c>
      <c r="AC35" s="214" t="e">
        <f t="shared" si="28"/>
        <v>#VALUE!</v>
      </c>
      <c r="AD35" s="214" t="e">
        <f t="shared" ca="1" si="9"/>
        <v>#VALUE!</v>
      </c>
      <c r="AE35" s="215" t="e">
        <f t="shared" ca="1" si="10"/>
        <v>#VALUE!</v>
      </c>
      <c r="AJ35" t="b">
        <f t="shared" si="11"/>
        <v>0</v>
      </c>
      <c r="AK35" t="b">
        <f t="shared" ca="1" si="12"/>
        <v>0</v>
      </c>
      <c r="AL35" t="b">
        <f t="shared" ca="1" si="13"/>
        <v>0</v>
      </c>
      <c r="AM35" t="b">
        <f t="shared" ca="1" si="14"/>
        <v>0</v>
      </c>
      <c r="AN35" t="b">
        <f t="shared" ca="1" si="15"/>
        <v>0</v>
      </c>
      <c r="AO35" t="b">
        <f t="shared" ca="1" si="16"/>
        <v>0</v>
      </c>
      <c r="AP35" t="b">
        <f t="shared" ca="1" si="17"/>
        <v>0</v>
      </c>
      <c r="AQ35" t="b">
        <f t="shared" ca="1" si="18"/>
        <v>0</v>
      </c>
      <c r="AR35" t="b">
        <f t="shared" ca="1" si="19"/>
        <v>0</v>
      </c>
      <c r="AS35" t="b">
        <f t="shared" ca="1" si="20"/>
        <v>0</v>
      </c>
      <c r="AT35" t="b">
        <f t="shared" ca="1" si="21"/>
        <v>0</v>
      </c>
      <c r="AU35" t="b">
        <f t="shared" ca="1" si="22"/>
        <v>0</v>
      </c>
      <c r="AV35" t="b">
        <f t="shared" ca="1" si="23"/>
        <v>0</v>
      </c>
      <c r="AW35">
        <f t="shared" ca="1" si="29"/>
        <v>1</v>
      </c>
      <c r="AX35">
        <f t="shared" ca="1" si="30"/>
        <v>7</v>
      </c>
    </row>
    <row r="36" spans="1:50" hidden="1" x14ac:dyDescent="0.2">
      <c r="A36" s="45"/>
      <c r="B36" s="117" t="str">
        <f t="shared" ca="1" si="2"/>
        <v/>
      </c>
      <c r="C36" s="1" t="str">
        <f>IF(ISERROR(D36),"",IF(D36="","",MAX($C$12:C35)+1))</f>
        <v/>
      </c>
      <c r="D36" t="e">
        <f t="shared" si="3"/>
        <v>#N/A</v>
      </c>
      <c r="E36" s="15"/>
      <c r="F36" s="133" t="str">
        <f t="shared" ca="1" si="4"/>
        <v>N/A</v>
      </c>
      <c r="G36" s="133" t="str">
        <f t="shared" si="5"/>
        <v>N/A</v>
      </c>
      <c r="H36" s="133" t="str">
        <f ca="1">IFERROR(IF(VLOOKUP($A36,LASTYR,'2017'!$F$3,FALSE)=0,"N/A",VLOOKUP($A36,LASTYR,'2017'!$F$3,FALSE)),"N/A")</f>
        <v>N/A</v>
      </c>
      <c r="I36" s="133" t="str">
        <f t="shared" ca="1" si="33"/>
        <v>N/A</v>
      </c>
      <c r="J36" s="133" t="str">
        <f t="shared" ca="1" si="33"/>
        <v>N/A</v>
      </c>
      <c r="K36" s="133" t="str">
        <f t="shared" ca="1" si="33"/>
        <v>N/A</v>
      </c>
      <c r="L36" s="133" t="str">
        <f t="shared" ca="1" si="33"/>
        <v>N/A</v>
      </c>
      <c r="M36" s="133" t="str">
        <f t="shared" ca="1" si="33"/>
        <v>N/A</v>
      </c>
      <c r="N36" s="133" t="str">
        <f t="shared" ca="1" si="33"/>
        <v>N/A</v>
      </c>
      <c r="O36" s="133" t="str">
        <f t="shared" ca="1" si="33"/>
        <v>N/A</v>
      </c>
      <c r="P36" s="133" t="str">
        <f t="shared" ca="1" si="33"/>
        <v>N/A</v>
      </c>
      <c r="Q36" s="133" t="str">
        <f t="shared" ca="1" si="33"/>
        <v>N/A</v>
      </c>
      <c r="R36" s="133" t="str">
        <f t="shared" ca="1" si="33"/>
        <v>N/A</v>
      </c>
      <c r="S36" s="133" t="str">
        <f t="shared" ca="1" si="33"/>
        <v>N/A</v>
      </c>
      <c r="T36" s="80" t="str">
        <f t="shared" ca="1" si="24"/>
        <v>N/A</v>
      </c>
      <c r="U36" s="80" t="str">
        <f t="shared" ca="1" si="25"/>
        <v>N/A</v>
      </c>
      <c r="V36" s="133" t="e">
        <f t="shared" ca="1" si="26"/>
        <v>#VALUE!</v>
      </c>
      <c r="W36" s="80" t="e">
        <f t="shared" ca="1" si="27"/>
        <v>#VALUE!</v>
      </c>
      <c r="X36" s="80"/>
      <c r="Y36" s="211">
        <f t="shared" ca="1" si="34"/>
        <v>-1</v>
      </c>
      <c r="Z36" s="208" t="str">
        <f t="shared" si="7"/>
        <v>N/A</v>
      </c>
      <c r="AA36" s="217">
        <v>43100</v>
      </c>
      <c r="AB36" s="213" t="e">
        <f t="shared" si="8"/>
        <v>#VALUE!</v>
      </c>
      <c r="AC36" s="214" t="e">
        <f t="shared" si="28"/>
        <v>#VALUE!</v>
      </c>
      <c r="AD36" s="214" t="e">
        <f t="shared" ca="1" si="9"/>
        <v>#VALUE!</v>
      </c>
      <c r="AE36" s="215" t="e">
        <f t="shared" ca="1" si="10"/>
        <v>#VALUE!</v>
      </c>
      <c r="AJ36" t="b">
        <f t="shared" si="11"/>
        <v>0</v>
      </c>
      <c r="AK36" t="b">
        <f t="shared" ca="1" si="12"/>
        <v>0</v>
      </c>
      <c r="AL36" t="b">
        <f t="shared" ca="1" si="13"/>
        <v>0</v>
      </c>
      <c r="AM36" t="b">
        <f t="shared" ca="1" si="14"/>
        <v>0</v>
      </c>
      <c r="AN36" t="b">
        <f t="shared" ca="1" si="15"/>
        <v>0</v>
      </c>
      <c r="AO36" t="b">
        <f t="shared" ca="1" si="16"/>
        <v>0</v>
      </c>
      <c r="AP36" t="b">
        <f t="shared" ca="1" si="17"/>
        <v>0</v>
      </c>
      <c r="AQ36" t="b">
        <f t="shared" ca="1" si="18"/>
        <v>0</v>
      </c>
      <c r="AR36" t="b">
        <f t="shared" ca="1" si="19"/>
        <v>0</v>
      </c>
      <c r="AS36" t="b">
        <f t="shared" ca="1" si="20"/>
        <v>0</v>
      </c>
      <c r="AT36" t="b">
        <f t="shared" ca="1" si="21"/>
        <v>0</v>
      </c>
      <c r="AU36" t="b">
        <f t="shared" ca="1" si="22"/>
        <v>0</v>
      </c>
      <c r="AV36" t="b">
        <f t="shared" ca="1" si="23"/>
        <v>0</v>
      </c>
      <c r="AW36">
        <f t="shared" ca="1" si="29"/>
        <v>1</v>
      </c>
      <c r="AX36">
        <f t="shared" ca="1" si="30"/>
        <v>7</v>
      </c>
    </row>
    <row r="37" spans="1:50" hidden="1" x14ac:dyDescent="0.2">
      <c r="A37" s="45"/>
      <c r="B37" s="117" t="str">
        <f t="shared" ca="1" si="2"/>
        <v/>
      </c>
      <c r="C37" s="1" t="str">
        <f>IF(ISERROR(D37),"",IF(D37="","",MAX($C$12:C36)+1))</f>
        <v/>
      </c>
      <c r="D37" t="e">
        <f t="shared" si="3"/>
        <v>#N/A</v>
      </c>
      <c r="E37" s="15"/>
      <c r="F37" s="133" t="str">
        <f t="shared" ca="1" si="4"/>
        <v>N/A</v>
      </c>
      <c r="G37" s="133" t="str">
        <f t="shared" si="5"/>
        <v>N/A</v>
      </c>
      <c r="H37" s="133" t="str">
        <f ca="1">IFERROR(IF(VLOOKUP($A37,LASTYR,'2017'!$F$3,FALSE)=0,"N/A",VLOOKUP($A37,LASTYR,'2017'!$F$3,FALSE)),"N/A")</f>
        <v>N/A</v>
      </c>
      <c r="I37" s="133" t="str">
        <f t="shared" ca="1" si="33"/>
        <v>N/A</v>
      </c>
      <c r="J37" s="133" t="str">
        <f t="shared" ca="1" si="33"/>
        <v>N/A</v>
      </c>
      <c r="K37" s="133" t="str">
        <f t="shared" ca="1" si="33"/>
        <v>N/A</v>
      </c>
      <c r="L37" s="133" t="str">
        <f t="shared" ca="1" si="33"/>
        <v>N/A</v>
      </c>
      <c r="M37" s="133" t="str">
        <f t="shared" ca="1" si="33"/>
        <v>N/A</v>
      </c>
      <c r="N37" s="133" t="str">
        <f t="shared" ca="1" si="33"/>
        <v>N/A</v>
      </c>
      <c r="O37" s="133" t="str">
        <f t="shared" ca="1" si="33"/>
        <v>N/A</v>
      </c>
      <c r="P37" s="133" t="str">
        <f t="shared" ca="1" si="33"/>
        <v>N/A</v>
      </c>
      <c r="Q37" s="133" t="str">
        <f t="shared" ca="1" si="33"/>
        <v>N/A</v>
      </c>
      <c r="R37" s="133" t="str">
        <f t="shared" ca="1" si="33"/>
        <v>N/A</v>
      </c>
      <c r="S37" s="133" t="str">
        <f t="shared" ca="1" si="33"/>
        <v>N/A</v>
      </c>
      <c r="T37" s="80" t="str">
        <f t="shared" ca="1" si="24"/>
        <v>N/A</v>
      </c>
      <c r="U37" s="80" t="str">
        <f t="shared" ca="1" si="25"/>
        <v>N/A</v>
      </c>
      <c r="V37" s="133" t="e">
        <f ca="1">+S37*(1+U37)^11</f>
        <v>#VALUE!</v>
      </c>
      <c r="W37" s="80" t="e">
        <f t="shared" ca="1" si="27"/>
        <v>#VALUE!</v>
      </c>
      <c r="X37" s="80"/>
      <c r="Y37" s="211">
        <f t="shared" ca="1" si="34"/>
        <v>-1</v>
      </c>
      <c r="Z37" s="208" t="str">
        <f t="shared" si="7"/>
        <v>N/A</v>
      </c>
      <c r="AA37" s="217">
        <v>43100</v>
      </c>
      <c r="AB37" s="213" t="e">
        <f t="shared" si="8"/>
        <v>#VALUE!</v>
      </c>
      <c r="AC37" s="214" t="e">
        <f t="shared" si="28"/>
        <v>#VALUE!</v>
      </c>
      <c r="AD37" s="214" t="e">
        <f t="shared" ca="1" si="9"/>
        <v>#VALUE!</v>
      </c>
      <c r="AE37" s="215" t="e">
        <f t="shared" ca="1" si="10"/>
        <v>#VALUE!</v>
      </c>
      <c r="AJ37" t="b">
        <f t="shared" si="11"/>
        <v>0</v>
      </c>
      <c r="AK37" t="b">
        <f t="shared" ca="1" si="12"/>
        <v>0</v>
      </c>
      <c r="AL37" t="b">
        <f t="shared" ca="1" si="13"/>
        <v>0</v>
      </c>
      <c r="AM37" t="b">
        <f t="shared" ca="1" si="14"/>
        <v>0</v>
      </c>
      <c r="AN37" t="b">
        <f t="shared" ca="1" si="15"/>
        <v>0</v>
      </c>
      <c r="AO37" t="b">
        <f t="shared" ca="1" si="16"/>
        <v>0</v>
      </c>
      <c r="AP37" t="b">
        <f t="shared" ca="1" si="17"/>
        <v>0</v>
      </c>
      <c r="AQ37" t="b">
        <f t="shared" ca="1" si="18"/>
        <v>0</v>
      </c>
      <c r="AR37" t="b">
        <f t="shared" ca="1" si="19"/>
        <v>0</v>
      </c>
      <c r="AS37" t="b">
        <f t="shared" ca="1" si="20"/>
        <v>0</v>
      </c>
      <c r="AT37" t="b">
        <f t="shared" ca="1" si="21"/>
        <v>0</v>
      </c>
      <c r="AU37" t="b">
        <f t="shared" ca="1" si="22"/>
        <v>0</v>
      </c>
      <c r="AV37" t="b">
        <f t="shared" ca="1" si="23"/>
        <v>0</v>
      </c>
      <c r="AW37">
        <f t="shared" ca="1" si="29"/>
        <v>1</v>
      </c>
      <c r="AX37">
        <f t="shared" ca="1" si="30"/>
        <v>7</v>
      </c>
    </row>
    <row r="38" spans="1:50" hidden="1" x14ac:dyDescent="0.2">
      <c r="A38" s="45"/>
      <c r="B38" s="117" t="str">
        <f t="shared" ca="1" si="2"/>
        <v/>
      </c>
      <c r="C38" s="1" t="str">
        <f>IF(ISERROR(D38),"",IF(D38="","",MAX($C$12:C37)+1))</f>
        <v/>
      </c>
      <c r="D38" t="e">
        <f t="shared" si="3"/>
        <v>#N/A</v>
      </c>
      <c r="E38" s="15"/>
      <c r="F38" s="133" t="str">
        <f t="shared" ca="1" si="4"/>
        <v>N/A</v>
      </c>
      <c r="G38" s="133" t="str">
        <f t="shared" si="5"/>
        <v>N/A</v>
      </c>
      <c r="H38" s="133" t="str">
        <f ca="1">IFERROR(IF(VLOOKUP($A38,LASTYR,'2017'!$F$3,FALSE)=0,"N/A",VLOOKUP($A38,LASTYR,'2017'!$F$3,FALSE)),"N/A")</f>
        <v>N/A</v>
      </c>
      <c r="I38" s="133" t="str">
        <f t="shared" ca="1" si="33"/>
        <v>N/A</v>
      </c>
      <c r="J38" s="133" t="str">
        <f t="shared" ca="1" si="33"/>
        <v>N/A</v>
      </c>
      <c r="K38" s="133" t="str">
        <f t="shared" ca="1" si="33"/>
        <v>N/A</v>
      </c>
      <c r="L38" s="133" t="str">
        <f t="shared" ca="1" si="33"/>
        <v>N/A</v>
      </c>
      <c r="M38" s="133" t="str">
        <f t="shared" ca="1" si="33"/>
        <v>N/A</v>
      </c>
      <c r="N38" s="133" t="str">
        <f t="shared" ca="1" si="33"/>
        <v>N/A</v>
      </c>
      <c r="O38" s="133" t="str">
        <f t="shared" ca="1" si="33"/>
        <v>N/A</v>
      </c>
      <c r="P38" s="133" t="str">
        <f t="shared" ca="1" si="33"/>
        <v>N/A</v>
      </c>
      <c r="Q38" s="133" t="str">
        <f t="shared" ca="1" si="33"/>
        <v>N/A</v>
      </c>
      <c r="R38" s="133" t="str">
        <f t="shared" ca="1" si="33"/>
        <v>N/A</v>
      </c>
      <c r="S38" s="133" t="str">
        <f t="shared" ca="1" si="33"/>
        <v>N/A</v>
      </c>
      <c r="T38" s="80" t="str">
        <f t="shared" ca="1" si="24"/>
        <v>N/A</v>
      </c>
      <c r="U38" s="80" t="str">
        <f t="shared" ca="1" si="25"/>
        <v>N/A</v>
      </c>
      <c r="V38" s="133" t="e">
        <f t="shared" ca="1" si="26"/>
        <v>#VALUE!</v>
      </c>
      <c r="W38" s="80" t="e">
        <f t="shared" ca="1" si="27"/>
        <v>#VALUE!</v>
      </c>
      <c r="X38" s="80"/>
      <c r="Y38" s="211">
        <f t="shared" ca="1" si="34"/>
        <v>-1</v>
      </c>
      <c r="Z38" s="208" t="str">
        <f t="shared" si="7"/>
        <v>N/A</v>
      </c>
      <c r="AA38" s="217">
        <v>43100</v>
      </c>
      <c r="AB38" s="213" t="e">
        <f t="shared" si="8"/>
        <v>#VALUE!</v>
      </c>
      <c r="AC38" s="214" t="e">
        <f t="shared" si="28"/>
        <v>#VALUE!</v>
      </c>
      <c r="AD38" s="214" t="e">
        <f t="shared" ca="1" si="9"/>
        <v>#VALUE!</v>
      </c>
      <c r="AE38" s="215" t="e">
        <f t="shared" ca="1" si="10"/>
        <v>#VALUE!</v>
      </c>
      <c r="AJ38" t="b">
        <f t="shared" si="11"/>
        <v>0</v>
      </c>
      <c r="AK38" t="b">
        <f t="shared" ca="1" si="12"/>
        <v>0</v>
      </c>
      <c r="AL38" t="b">
        <f t="shared" ca="1" si="13"/>
        <v>0</v>
      </c>
      <c r="AM38" t="b">
        <f t="shared" ca="1" si="14"/>
        <v>0</v>
      </c>
      <c r="AN38" t="b">
        <f t="shared" ca="1" si="15"/>
        <v>0</v>
      </c>
      <c r="AO38" t="b">
        <f t="shared" ca="1" si="16"/>
        <v>0</v>
      </c>
      <c r="AP38" t="b">
        <f t="shared" ca="1" si="17"/>
        <v>0</v>
      </c>
      <c r="AQ38" t="b">
        <f t="shared" ca="1" si="18"/>
        <v>0</v>
      </c>
      <c r="AR38" t="b">
        <f t="shared" ca="1" si="19"/>
        <v>0</v>
      </c>
      <c r="AS38" t="b">
        <f t="shared" ca="1" si="20"/>
        <v>0</v>
      </c>
      <c r="AT38" t="b">
        <f t="shared" ca="1" si="21"/>
        <v>0</v>
      </c>
      <c r="AU38" t="b">
        <f t="shared" ca="1" si="22"/>
        <v>0</v>
      </c>
      <c r="AV38" t="b">
        <f t="shared" ca="1" si="23"/>
        <v>0</v>
      </c>
      <c r="AW38">
        <f t="shared" ca="1" si="29"/>
        <v>1</v>
      </c>
      <c r="AX38">
        <f t="shared" ca="1" si="30"/>
        <v>7</v>
      </c>
    </row>
    <row r="39" spans="1:50" hidden="1" x14ac:dyDescent="0.2">
      <c r="A39" s="45"/>
      <c r="B39" s="117" t="str">
        <f t="shared" ca="1" si="2"/>
        <v/>
      </c>
      <c r="C39" s="1" t="str">
        <f>IF(ISERROR(D39),"",IF(D39="","",MAX($C$12:C38)+1))</f>
        <v/>
      </c>
      <c r="D39" t="e">
        <f t="shared" si="3"/>
        <v>#N/A</v>
      </c>
      <c r="E39" s="15"/>
      <c r="F39" s="133" t="str">
        <f t="shared" ca="1" si="4"/>
        <v>N/A</v>
      </c>
      <c r="G39" s="133" t="str">
        <f t="shared" si="5"/>
        <v>N/A</v>
      </c>
      <c r="H39" s="133" t="str">
        <f ca="1">IFERROR(IF(VLOOKUP($A39,LASTYR,'2017'!$F$3,FALSE)=0,"N/A",VLOOKUP($A39,LASTYR,'2017'!$F$3,FALSE)),"N/A")</f>
        <v>N/A</v>
      </c>
      <c r="I39" s="133" t="str">
        <f t="shared" ca="1" si="33"/>
        <v>N/A</v>
      </c>
      <c r="J39" s="133" t="str">
        <f t="shared" ca="1" si="33"/>
        <v>N/A</v>
      </c>
      <c r="K39" s="133" t="str">
        <f t="shared" ca="1" si="33"/>
        <v>N/A</v>
      </c>
      <c r="L39" s="133" t="str">
        <f t="shared" ca="1" si="33"/>
        <v>N/A</v>
      </c>
      <c r="M39" s="133" t="str">
        <f t="shared" ca="1" si="33"/>
        <v>N/A</v>
      </c>
      <c r="N39" s="133" t="str">
        <f t="shared" ca="1" si="33"/>
        <v>N/A</v>
      </c>
      <c r="O39" s="133" t="str">
        <f t="shared" ca="1" si="33"/>
        <v>N/A</v>
      </c>
      <c r="P39" s="133" t="str">
        <f t="shared" ca="1" si="33"/>
        <v>N/A</v>
      </c>
      <c r="Q39" s="133" t="str">
        <f t="shared" ca="1" si="33"/>
        <v>N/A</v>
      </c>
      <c r="R39" s="133" t="str">
        <f t="shared" ca="1" si="33"/>
        <v>N/A</v>
      </c>
      <c r="S39" s="133" t="str">
        <f t="shared" ca="1" si="33"/>
        <v>N/A</v>
      </c>
      <c r="T39" s="80" t="str">
        <f t="shared" ca="1" si="24"/>
        <v>N/A</v>
      </c>
      <c r="U39" s="80" t="str">
        <f t="shared" ca="1" si="25"/>
        <v>N/A</v>
      </c>
      <c r="V39" s="133" t="e">
        <f t="shared" ca="1" si="26"/>
        <v>#VALUE!</v>
      </c>
      <c r="W39" s="80" t="e">
        <f t="shared" ca="1" si="27"/>
        <v>#VALUE!</v>
      </c>
      <c r="X39" s="80"/>
      <c r="Y39" s="211">
        <f t="shared" ca="1" si="34"/>
        <v>-1</v>
      </c>
      <c r="Z39" s="208" t="str">
        <f t="shared" si="7"/>
        <v>N/A</v>
      </c>
      <c r="AA39" s="217">
        <v>43100</v>
      </c>
      <c r="AB39" s="213" t="e">
        <f t="shared" si="8"/>
        <v>#VALUE!</v>
      </c>
      <c r="AC39" s="214" t="e">
        <f t="shared" si="28"/>
        <v>#VALUE!</v>
      </c>
      <c r="AD39" s="214" t="e">
        <f t="shared" ca="1" si="9"/>
        <v>#VALUE!</v>
      </c>
      <c r="AE39" s="215" t="e">
        <f t="shared" ca="1" si="10"/>
        <v>#VALUE!</v>
      </c>
      <c r="AJ39" t="b">
        <f t="shared" si="11"/>
        <v>0</v>
      </c>
      <c r="AK39" t="b">
        <f t="shared" ca="1" si="12"/>
        <v>0</v>
      </c>
      <c r="AL39" t="b">
        <f t="shared" ca="1" si="13"/>
        <v>0</v>
      </c>
      <c r="AM39" t="b">
        <f t="shared" ca="1" si="14"/>
        <v>0</v>
      </c>
      <c r="AN39" t="b">
        <f t="shared" ca="1" si="15"/>
        <v>0</v>
      </c>
      <c r="AO39" t="b">
        <f t="shared" ca="1" si="16"/>
        <v>0</v>
      </c>
      <c r="AP39" t="b">
        <f t="shared" ca="1" si="17"/>
        <v>0</v>
      </c>
      <c r="AQ39" t="b">
        <f t="shared" ca="1" si="18"/>
        <v>0</v>
      </c>
      <c r="AR39" t="b">
        <f t="shared" ca="1" si="19"/>
        <v>0</v>
      </c>
      <c r="AS39" t="b">
        <f t="shared" ca="1" si="20"/>
        <v>0</v>
      </c>
      <c r="AT39" t="b">
        <f t="shared" ca="1" si="21"/>
        <v>0</v>
      </c>
      <c r="AU39" t="b">
        <f t="shared" ca="1" si="22"/>
        <v>0</v>
      </c>
      <c r="AV39" t="b">
        <f t="shared" ca="1" si="23"/>
        <v>0</v>
      </c>
      <c r="AW39">
        <f t="shared" ca="1" si="29"/>
        <v>1</v>
      </c>
      <c r="AX39">
        <f t="shared" ca="1" si="30"/>
        <v>7</v>
      </c>
    </row>
    <row r="40" spans="1:50" hidden="1" x14ac:dyDescent="0.2">
      <c r="A40" s="45"/>
      <c r="B40" s="117" t="str">
        <f t="shared" ca="1" si="2"/>
        <v/>
      </c>
      <c r="C40" s="1" t="str">
        <f>IF(ISERROR(D40),"",IF(D40="","",MAX($C$12:C39)+1))</f>
        <v/>
      </c>
      <c r="D40" t="e">
        <f t="shared" si="3"/>
        <v>#N/A</v>
      </c>
      <c r="E40" s="15"/>
      <c r="F40" s="133" t="str">
        <f t="shared" ca="1" si="4"/>
        <v>N/A</v>
      </c>
      <c r="G40" s="133" t="str">
        <f t="shared" si="5"/>
        <v>N/A</v>
      </c>
      <c r="H40" s="133" t="str">
        <f ca="1">IFERROR(IF(VLOOKUP($A40,LASTYR,'2017'!$F$3,FALSE)=0,"N/A",VLOOKUP($A40,LASTYR,'2017'!$F$3,FALSE)),"N/A")</f>
        <v>N/A</v>
      </c>
      <c r="I40" s="133" t="str">
        <f t="shared" ca="1" si="33"/>
        <v>N/A</v>
      </c>
      <c r="J40" s="133" t="str">
        <f t="shared" ca="1" si="33"/>
        <v>N/A</v>
      </c>
      <c r="K40" s="133" t="str">
        <f t="shared" ca="1" si="33"/>
        <v>N/A</v>
      </c>
      <c r="L40" s="133" t="str">
        <f t="shared" ca="1" si="33"/>
        <v>N/A</v>
      </c>
      <c r="M40" s="133" t="str">
        <f t="shared" ca="1" si="33"/>
        <v>N/A</v>
      </c>
      <c r="N40" s="133" t="str">
        <f t="shared" ca="1" si="33"/>
        <v>N/A</v>
      </c>
      <c r="O40" s="133" t="str">
        <f t="shared" ca="1" si="33"/>
        <v>N/A</v>
      </c>
      <c r="P40" s="133" t="str">
        <f t="shared" ca="1" si="33"/>
        <v>N/A</v>
      </c>
      <c r="Q40" s="133" t="str">
        <f t="shared" ca="1" si="33"/>
        <v>N/A</v>
      </c>
      <c r="R40" s="133" t="str">
        <f t="shared" ca="1" si="33"/>
        <v>N/A</v>
      </c>
      <c r="S40" s="133" t="str">
        <f t="shared" ca="1" si="33"/>
        <v>N/A</v>
      </c>
      <c r="T40" s="80" t="str">
        <f t="shared" ca="1" si="24"/>
        <v>N/A</v>
      </c>
      <c r="U40" s="80" t="str">
        <f t="shared" ca="1" si="25"/>
        <v>N/A</v>
      </c>
      <c r="V40" s="133" t="e">
        <f t="shared" ca="1" si="26"/>
        <v>#VALUE!</v>
      </c>
      <c r="W40" s="80" t="e">
        <f t="shared" ca="1" si="27"/>
        <v>#VALUE!</v>
      </c>
      <c r="X40" s="80"/>
      <c r="Y40" s="211">
        <f t="shared" ca="1" si="34"/>
        <v>-1</v>
      </c>
      <c r="Z40" s="208" t="str">
        <f t="shared" si="7"/>
        <v>N/A</v>
      </c>
      <c r="AA40" s="217">
        <v>43100</v>
      </c>
      <c r="AB40" s="213" t="e">
        <f t="shared" si="8"/>
        <v>#VALUE!</v>
      </c>
      <c r="AC40" s="214" t="e">
        <f t="shared" si="28"/>
        <v>#VALUE!</v>
      </c>
      <c r="AD40" s="214" t="e">
        <f t="shared" ca="1" si="9"/>
        <v>#VALUE!</v>
      </c>
      <c r="AE40" s="215" t="e">
        <f t="shared" ca="1" si="10"/>
        <v>#VALUE!</v>
      </c>
      <c r="AJ40" t="b">
        <f t="shared" si="11"/>
        <v>0</v>
      </c>
      <c r="AK40" t="b">
        <f t="shared" ca="1" si="12"/>
        <v>0</v>
      </c>
      <c r="AL40" t="b">
        <f t="shared" ca="1" si="13"/>
        <v>0</v>
      </c>
      <c r="AM40" t="b">
        <f t="shared" ca="1" si="14"/>
        <v>0</v>
      </c>
      <c r="AN40" t="b">
        <f t="shared" ca="1" si="15"/>
        <v>0</v>
      </c>
      <c r="AO40" t="b">
        <f t="shared" ca="1" si="16"/>
        <v>0</v>
      </c>
      <c r="AP40" t="b">
        <f t="shared" ca="1" si="17"/>
        <v>0</v>
      </c>
      <c r="AQ40" t="b">
        <f t="shared" ca="1" si="18"/>
        <v>0</v>
      </c>
      <c r="AR40" t="b">
        <f t="shared" ca="1" si="19"/>
        <v>0</v>
      </c>
      <c r="AS40" t="b">
        <f t="shared" ca="1" si="20"/>
        <v>0</v>
      </c>
      <c r="AT40" t="b">
        <f t="shared" ca="1" si="21"/>
        <v>0</v>
      </c>
      <c r="AU40" t="b">
        <f t="shared" ca="1" si="22"/>
        <v>0</v>
      </c>
      <c r="AV40" t="b">
        <f t="shared" ca="1" si="23"/>
        <v>0</v>
      </c>
      <c r="AW40">
        <f t="shared" ca="1" si="29"/>
        <v>1</v>
      </c>
      <c r="AX40">
        <f t="shared" ca="1" si="30"/>
        <v>7</v>
      </c>
    </row>
    <row r="41" spans="1:50" hidden="1" x14ac:dyDescent="0.2">
      <c r="A41" s="45"/>
      <c r="B41" s="117" t="str">
        <f t="shared" ca="1" si="2"/>
        <v/>
      </c>
      <c r="C41" s="1" t="str">
        <f>IF(ISERROR(D41),"",IF(D41="","",MAX($C$12:C40)+1))</f>
        <v/>
      </c>
      <c r="D41" t="e">
        <f t="shared" si="3"/>
        <v>#N/A</v>
      </c>
      <c r="E41" s="15"/>
      <c r="F41" s="133" t="str">
        <f t="shared" ca="1" si="4"/>
        <v>N/A</v>
      </c>
      <c r="G41" s="133" t="str">
        <f t="shared" si="5"/>
        <v>N/A</v>
      </c>
      <c r="H41" s="133" t="str">
        <f ca="1">IFERROR(IF(VLOOKUP($A41,LASTYR,'2017'!$F$3,FALSE)=0,"N/A",VLOOKUP($A41,LASTYR,'2017'!$F$3,FALSE)),"N/A")</f>
        <v>N/A</v>
      </c>
      <c r="I41" s="133" t="str">
        <f t="shared" ca="1" si="33"/>
        <v>N/A</v>
      </c>
      <c r="J41" s="133" t="str">
        <f t="shared" ca="1" si="33"/>
        <v>N/A</v>
      </c>
      <c r="K41" s="133" t="str">
        <f t="shared" ca="1" si="33"/>
        <v>N/A</v>
      </c>
      <c r="L41" s="133" t="str">
        <f t="shared" ca="1" si="33"/>
        <v>N/A</v>
      </c>
      <c r="M41" s="133" t="str">
        <f t="shared" ca="1" si="33"/>
        <v>N/A</v>
      </c>
      <c r="N41" s="133" t="str">
        <f t="shared" ca="1" si="33"/>
        <v>N/A</v>
      </c>
      <c r="O41" s="133" t="str">
        <f t="shared" ca="1" si="33"/>
        <v>N/A</v>
      </c>
      <c r="P41" s="133" t="str">
        <f t="shared" ca="1" si="33"/>
        <v>N/A</v>
      </c>
      <c r="Q41" s="133" t="str">
        <f t="shared" ca="1" si="33"/>
        <v>N/A</v>
      </c>
      <c r="R41" s="133" t="str">
        <f t="shared" ca="1" si="33"/>
        <v>N/A</v>
      </c>
      <c r="S41" s="133" t="str">
        <f t="shared" ca="1" si="33"/>
        <v>N/A</v>
      </c>
      <c r="T41" s="80" t="str">
        <f t="shared" ca="1" si="24"/>
        <v>N/A</v>
      </c>
      <c r="U41" s="80" t="str">
        <f t="shared" ca="1" si="25"/>
        <v>N/A</v>
      </c>
      <c r="V41" s="133" t="e">
        <f t="shared" ca="1" si="26"/>
        <v>#VALUE!</v>
      </c>
      <c r="W41" s="80" t="e">
        <f t="shared" ca="1" si="27"/>
        <v>#VALUE!</v>
      </c>
      <c r="X41" s="80"/>
      <c r="Y41" s="211">
        <f t="shared" ca="1" si="34"/>
        <v>-1</v>
      </c>
      <c r="Z41" s="208" t="str">
        <f t="shared" si="7"/>
        <v>N/A</v>
      </c>
      <c r="AA41" s="217">
        <v>43100</v>
      </c>
      <c r="AB41" s="213" t="e">
        <f t="shared" si="8"/>
        <v>#VALUE!</v>
      </c>
      <c r="AC41" s="214" t="e">
        <f t="shared" si="28"/>
        <v>#VALUE!</v>
      </c>
      <c r="AD41" s="214" t="e">
        <f t="shared" ca="1" si="9"/>
        <v>#VALUE!</v>
      </c>
      <c r="AE41" s="215" t="e">
        <f t="shared" ca="1" si="10"/>
        <v>#VALUE!</v>
      </c>
      <c r="AJ41" t="b">
        <f t="shared" si="11"/>
        <v>0</v>
      </c>
      <c r="AK41" t="b">
        <f t="shared" ca="1" si="12"/>
        <v>0</v>
      </c>
      <c r="AL41" t="b">
        <f t="shared" ca="1" si="13"/>
        <v>0</v>
      </c>
      <c r="AM41" t="b">
        <f t="shared" ca="1" si="14"/>
        <v>0</v>
      </c>
      <c r="AN41" t="b">
        <f t="shared" ca="1" si="15"/>
        <v>0</v>
      </c>
      <c r="AO41" t="b">
        <f t="shared" ca="1" si="16"/>
        <v>0</v>
      </c>
      <c r="AP41" t="b">
        <f t="shared" ca="1" si="17"/>
        <v>0</v>
      </c>
      <c r="AQ41" t="b">
        <f t="shared" ca="1" si="18"/>
        <v>0</v>
      </c>
      <c r="AR41" t="b">
        <f t="shared" ca="1" si="19"/>
        <v>0</v>
      </c>
      <c r="AS41" t="b">
        <f t="shared" ca="1" si="20"/>
        <v>0</v>
      </c>
      <c r="AT41" t="b">
        <f t="shared" ca="1" si="21"/>
        <v>0</v>
      </c>
      <c r="AU41" t="b">
        <f t="shared" ca="1" si="22"/>
        <v>0</v>
      </c>
      <c r="AV41" t="b">
        <f t="shared" ca="1" si="23"/>
        <v>0</v>
      </c>
      <c r="AW41">
        <f t="shared" ca="1" si="29"/>
        <v>1</v>
      </c>
      <c r="AX41">
        <f t="shared" ca="1" si="30"/>
        <v>7</v>
      </c>
    </row>
    <row r="42" spans="1:50" hidden="1" x14ac:dyDescent="0.2">
      <c r="A42" s="45"/>
      <c r="B42" s="117" t="str">
        <f t="shared" ca="1" si="2"/>
        <v/>
      </c>
      <c r="C42" s="1" t="str">
        <f>IF(ISERROR(D42),"",IF(D42="","",MAX($C$12:C41)+1))</f>
        <v/>
      </c>
      <c r="D42" t="e">
        <f t="shared" si="3"/>
        <v>#N/A</v>
      </c>
      <c r="E42" s="15"/>
      <c r="F42" s="133" t="str">
        <f t="shared" ca="1" si="4"/>
        <v>N/A</v>
      </c>
      <c r="G42" s="133" t="str">
        <f t="shared" si="5"/>
        <v>N/A</v>
      </c>
      <c r="H42" s="133" t="str">
        <f ca="1">IFERROR(IF(VLOOKUP($A42,LASTYR,'2017'!$F$3,FALSE)=0,"N/A",VLOOKUP($A42,LASTYR,'2017'!$F$3,FALSE)),"N/A")</f>
        <v>N/A</v>
      </c>
      <c r="I42" s="133" t="str">
        <f t="shared" ca="1" si="33"/>
        <v>N/A</v>
      </c>
      <c r="J42" s="133" t="str">
        <f t="shared" ca="1" si="33"/>
        <v>N/A</v>
      </c>
      <c r="K42" s="133" t="str">
        <f t="shared" ca="1" si="33"/>
        <v>N/A</v>
      </c>
      <c r="L42" s="133" t="str">
        <f t="shared" ca="1" si="33"/>
        <v>N/A</v>
      </c>
      <c r="M42" s="133" t="str">
        <f t="shared" ca="1" si="33"/>
        <v>N/A</v>
      </c>
      <c r="N42" s="133" t="str">
        <f t="shared" ca="1" si="33"/>
        <v>N/A</v>
      </c>
      <c r="O42" s="133" t="str">
        <f t="shared" ca="1" si="33"/>
        <v>N/A</v>
      </c>
      <c r="P42" s="133" t="str">
        <f t="shared" ca="1" si="33"/>
        <v>N/A</v>
      </c>
      <c r="Q42" s="133" t="str">
        <f t="shared" ca="1" si="33"/>
        <v>N/A</v>
      </c>
      <c r="R42" s="133" t="str">
        <f t="shared" ca="1" si="33"/>
        <v>N/A</v>
      </c>
      <c r="S42" s="133" t="str">
        <f t="shared" ca="1" si="33"/>
        <v>N/A</v>
      </c>
      <c r="T42" s="80" t="str">
        <f t="shared" ca="1" si="24"/>
        <v>N/A</v>
      </c>
      <c r="U42" s="80" t="str">
        <f t="shared" ca="1" si="25"/>
        <v>N/A</v>
      </c>
      <c r="V42" s="133" t="e">
        <f t="shared" ca="1" si="26"/>
        <v>#VALUE!</v>
      </c>
      <c r="W42" s="80" t="e">
        <f t="shared" ca="1" si="27"/>
        <v>#VALUE!</v>
      </c>
      <c r="X42" s="80"/>
      <c r="Y42" s="211">
        <f t="shared" ca="1" si="34"/>
        <v>-1</v>
      </c>
      <c r="Z42" s="208" t="str">
        <f t="shared" si="7"/>
        <v>N/A</v>
      </c>
      <c r="AA42" s="217">
        <v>43100</v>
      </c>
      <c r="AB42" s="213" t="e">
        <f t="shared" si="8"/>
        <v>#VALUE!</v>
      </c>
      <c r="AC42" s="214" t="e">
        <f t="shared" si="28"/>
        <v>#VALUE!</v>
      </c>
      <c r="AD42" s="214" t="e">
        <f t="shared" ca="1" si="9"/>
        <v>#VALUE!</v>
      </c>
      <c r="AE42" s="215" t="e">
        <f t="shared" ca="1" si="10"/>
        <v>#VALUE!</v>
      </c>
      <c r="AJ42" t="b">
        <f t="shared" si="11"/>
        <v>0</v>
      </c>
      <c r="AK42" t="b">
        <f t="shared" ca="1" si="12"/>
        <v>0</v>
      </c>
      <c r="AL42" t="b">
        <f t="shared" ca="1" si="13"/>
        <v>0</v>
      </c>
      <c r="AM42" t="b">
        <f t="shared" ca="1" si="14"/>
        <v>0</v>
      </c>
      <c r="AN42" t="b">
        <f t="shared" ca="1" si="15"/>
        <v>0</v>
      </c>
      <c r="AO42" t="b">
        <f t="shared" ca="1" si="16"/>
        <v>0</v>
      </c>
      <c r="AP42" t="b">
        <f t="shared" ca="1" si="17"/>
        <v>0</v>
      </c>
      <c r="AQ42" t="b">
        <f t="shared" ca="1" si="18"/>
        <v>0</v>
      </c>
      <c r="AR42" t="b">
        <f t="shared" ca="1" si="19"/>
        <v>0</v>
      </c>
      <c r="AS42" t="b">
        <f t="shared" ca="1" si="20"/>
        <v>0</v>
      </c>
      <c r="AT42" t="b">
        <f t="shared" ca="1" si="21"/>
        <v>0</v>
      </c>
      <c r="AU42" t="b">
        <f t="shared" ca="1" si="22"/>
        <v>0</v>
      </c>
      <c r="AV42" t="b">
        <f t="shared" ca="1" si="23"/>
        <v>0</v>
      </c>
      <c r="AW42">
        <f t="shared" ca="1" si="29"/>
        <v>1</v>
      </c>
      <c r="AX42">
        <f t="shared" ca="1" si="30"/>
        <v>7</v>
      </c>
    </row>
    <row r="43" spans="1:50" hidden="1" x14ac:dyDescent="0.2">
      <c r="A43" s="45"/>
      <c r="B43" s="117" t="str">
        <f t="shared" ca="1" si="2"/>
        <v/>
      </c>
      <c r="C43" s="1" t="str">
        <f>IF(ISERROR(D43),"",IF(D43="","",MAX($C$12:C42)+1))</f>
        <v/>
      </c>
      <c r="D43" t="e">
        <f t="shared" si="3"/>
        <v>#N/A</v>
      </c>
      <c r="E43" s="15"/>
      <c r="F43" s="133" t="str">
        <f t="shared" ca="1" si="4"/>
        <v>N/A</v>
      </c>
      <c r="G43" s="133" t="str">
        <f t="shared" si="5"/>
        <v>N/A</v>
      </c>
      <c r="H43" s="133" t="str">
        <f ca="1">IFERROR(IF(VLOOKUP($A43,LASTYR,'2017'!$F$3,FALSE)=0,"N/A",VLOOKUP($A43,LASTYR,'2017'!$F$3,FALSE)),"N/A")</f>
        <v>N/A</v>
      </c>
      <c r="I43" s="133" t="str">
        <f t="shared" ref="I43:S53" ca="1" si="35">IFERROR(IF(INDEX(Earnings,$B43,I$12)=0,"N/A",INDEX(Earnings,$B43,I$12)),"N/A")</f>
        <v>N/A</v>
      </c>
      <c r="J43" s="133" t="str">
        <f t="shared" ca="1" si="35"/>
        <v>N/A</v>
      </c>
      <c r="K43" s="133" t="str">
        <f t="shared" ca="1" si="35"/>
        <v>N/A</v>
      </c>
      <c r="L43" s="133" t="str">
        <f t="shared" ca="1" si="35"/>
        <v>N/A</v>
      </c>
      <c r="M43" s="133" t="str">
        <f t="shared" ca="1" si="35"/>
        <v>N/A</v>
      </c>
      <c r="N43" s="133" t="str">
        <f t="shared" ca="1" si="35"/>
        <v>N/A</v>
      </c>
      <c r="O43" s="133" t="str">
        <f t="shared" ca="1" si="35"/>
        <v>N/A</v>
      </c>
      <c r="P43" s="133" t="str">
        <f t="shared" ca="1" si="35"/>
        <v>N/A</v>
      </c>
      <c r="Q43" s="133" t="str">
        <f t="shared" ca="1" si="35"/>
        <v>N/A</v>
      </c>
      <c r="R43" s="133" t="str">
        <f t="shared" ca="1" si="35"/>
        <v>N/A</v>
      </c>
      <c r="S43" s="133" t="str">
        <f t="shared" ca="1" si="35"/>
        <v>N/A</v>
      </c>
      <c r="T43" s="80" t="str">
        <f t="shared" ca="1" si="24"/>
        <v>N/A</v>
      </c>
      <c r="U43" s="80" t="str">
        <f t="shared" ca="1" si="25"/>
        <v>N/A</v>
      </c>
      <c r="V43" s="133" t="e">
        <f t="shared" ca="1" si="26"/>
        <v>#VALUE!</v>
      </c>
      <c r="W43" s="80" t="e">
        <f t="shared" ca="1" si="27"/>
        <v>#VALUE!</v>
      </c>
      <c r="X43" s="80"/>
      <c r="Y43" s="211">
        <f t="shared" ca="1" si="34"/>
        <v>-1</v>
      </c>
      <c r="Z43" s="208" t="str">
        <f t="shared" si="7"/>
        <v>N/A</v>
      </c>
      <c r="AA43" s="217">
        <v>43100</v>
      </c>
      <c r="AB43" s="213" t="e">
        <f t="shared" si="8"/>
        <v>#VALUE!</v>
      </c>
      <c r="AC43" s="214" t="e">
        <f t="shared" si="28"/>
        <v>#VALUE!</v>
      </c>
      <c r="AD43" s="214" t="e">
        <f t="shared" ca="1" si="9"/>
        <v>#VALUE!</v>
      </c>
      <c r="AE43" s="215" t="e">
        <f t="shared" ca="1" si="10"/>
        <v>#VALUE!</v>
      </c>
      <c r="AJ43" t="b">
        <f t="shared" si="11"/>
        <v>0</v>
      </c>
      <c r="AK43" t="b">
        <f t="shared" ca="1" si="12"/>
        <v>0</v>
      </c>
      <c r="AL43" t="b">
        <f t="shared" ca="1" si="13"/>
        <v>0</v>
      </c>
      <c r="AM43" t="b">
        <f t="shared" ca="1" si="14"/>
        <v>0</v>
      </c>
      <c r="AN43" t="b">
        <f t="shared" ca="1" si="15"/>
        <v>0</v>
      </c>
      <c r="AO43" t="b">
        <f t="shared" ca="1" si="16"/>
        <v>0</v>
      </c>
      <c r="AP43" t="b">
        <f t="shared" ca="1" si="17"/>
        <v>0</v>
      </c>
      <c r="AQ43" t="b">
        <f t="shared" ca="1" si="18"/>
        <v>0</v>
      </c>
      <c r="AR43" t="b">
        <f t="shared" ca="1" si="19"/>
        <v>0</v>
      </c>
      <c r="AS43" t="b">
        <f t="shared" ca="1" si="20"/>
        <v>0</v>
      </c>
      <c r="AT43" t="b">
        <f t="shared" ca="1" si="21"/>
        <v>0</v>
      </c>
      <c r="AU43" t="b">
        <f t="shared" ca="1" si="22"/>
        <v>0</v>
      </c>
      <c r="AV43" t="b">
        <f t="shared" ca="1" si="23"/>
        <v>0</v>
      </c>
      <c r="AW43">
        <f t="shared" ca="1" si="29"/>
        <v>1</v>
      </c>
      <c r="AX43">
        <f t="shared" ca="1" si="30"/>
        <v>7</v>
      </c>
    </row>
    <row r="44" spans="1:50" hidden="1" x14ac:dyDescent="0.2">
      <c r="A44" s="45"/>
      <c r="B44" s="117" t="str">
        <f t="shared" ca="1" si="2"/>
        <v/>
      </c>
      <c r="C44" s="1" t="str">
        <f>IF(ISERROR(D44),"",IF(D44="","",MAX($C$12:C43)+1))</f>
        <v/>
      </c>
      <c r="D44" t="e">
        <f t="shared" si="3"/>
        <v>#N/A</v>
      </c>
      <c r="E44" s="15"/>
      <c r="F44" s="133" t="str">
        <f t="shared" ca="1" si="4"/>
        <v>N/A</v>
      </c>
      <c r="G44" s="133" t="str">
        <f t="shared" si="5"/>
        <v>N/A</v>
      </c>
      <c r="H44" s="133" t="str">
        <f ca="1">IFERROR(IF(VLOOKUP($A44,LASTYR,'2017'!$F$3,FALSE)=0,"N/A",VLOOKUP($A44,LASTYR,'2017'!$F$3,FALSE)),"N/A")</f>
        <v>N/A</v>
      </c>
      <c r="I44" s="133" t="str">
        <f t="shared" ca="1" si="35"/>
        <v>N/A</v>
      </c>
      <c r="J44" s="133" t="str">
        <f t="shared" ca="1" si="35"/>
        <v>N/A</v>
      </c>
      <c r="K44" s="133" t="str">
        <f t="shared" ca="1" si="35"/>
        <v>N/A</v>
      </c>
      <c r="L44" s="133" t="str">
        <f t="shared" ca="1" si="35"/>
        <v>N/A</v>
      </c>
      <c r="M44" s="133" t="str">
        <f t="shared" ca="1" si="35"/>
        <v>N/A</v>
      </c>
      <c r="N44" s="133" t="str">
        <f t="shared" ca="1" si="35"/>
        <v>N/A</v>
      </c>
      <c r="O44" s="133" t="str">
        <f t="shared" ca="1" si="35"/>
        <v>N/A</v>
      </c>
      <c r="P44" s="133" t="str">
        <f t="shared" ca="1" si="35"/>
        <v>N/A</v>
      </c>
      <c r="Q44" s="133" t="str">
        <f t="shared" ca="1" si="35"/>
        <v>N/A</v>
      </c>
      <c r="R44" s="133" t="str">
        <f t="shared" ca="1" si="35"/>
        <v>N/A</v>
      </c>
      <c r="S44" s="133" t="str">
        <f t="shared" ca="1" si="35"/>
        <v>N/A</v>
      </c>
      <c r="T44" s="80" t="str">
        <f t="shared" ca="1" si="24"/>
        <v>N/A</v>
      </c>
      <c r="U44" s="80" t="str">
        <f t="shared" ca="1" si="25"/>
        <v>N/A</v>
      </c>
      <c r="V44" s="133" t="e">
        <f t="shared" ca="1" si="26"/>
        <v>#VALUE!</v>
      </c>
      <c r="W44" s="80" t="e">
        <f t="shared" ca="1" si="27"/>
        <v>#VALUE!</v>
      </c>
      <c r="X44" s="80"/>
      <c r="Y44" s="211">
        <f t="shared" ca="1" si="34"/>
        <v>-1</v>
      </c>
      <c r="Z44" s="208" t="str">
        <f t="shared" si="7"/>
        <v>N/A</v>
      </c>
      <c r="AA44" s="217">
        <v>43100</v>
      </c>
      <c r="AB44" s="213" t="e">
        <f t="shared" si="8"/>
        <v>#VALUE!</v>
      </c>
      <c r="AC44" s="214" t="e">
        <f t="shared" si="28"/>
        <v>#VALUE!</v>
      </c>
      <c r="AD44" s="214" t="e">
        <f t="shared" ca="1" si="9"/>
        <v>#VALUE!</v>
      </c>
      <c r="AE44" s="215" t="e">
        <f t="shared" ca="1" si="10"/>
        <v>#VALUE!</v>
      </c>
      <c r="AJ44" t="b">
        <f t="shared" si="11"/>
        <v>0</v>
      </c>
      <c r="AK44" t="b">
        <f t="shared" ca="1" si="12"/>
        <v>0</v>
      </c>
      <c r="AL44" t="b">
        <f t="shared" ca="1" si="13"/>
        <v>0</v>
      </c>
      <c r="AM44" t="b">
        <f t="shared" ca="1" si="14"/>
        <v>0</v>
      </c>
      <c r="AN44" t="b">
        <f t="shared" ca="1" si="15"/>
        <v>0</v>
      </c>
      <c r="AO44" t="b">
        <f t="shared" ca="1" si="16"/>
        <v>0</v>
      </c>
      <c r="AP44" t="b">
        <f t="shared" ca="1" si="17"/>
        <v>0</v>
      </c>
      <c r="AQ44" t="b">
        <f t="shared" ca="1" si="18"/>
        <v>0</v>
      </c>
      <c r="AR44" t="b">
        <f t="shared" ca="1" si="19"/>
        <v>0</v>
      </c>
      <c r="AS44" t="b">
        <f t="shared" ca="1" si="20"/>
        <v>0</v>
      </c>
      <c r="AT44" t="b">
        <f t="shared" ca="1" si="21"/>
        <v>0</v>
      </c>
      <c r="AU44" t="b">
        <f t="shared" ca="1" si="22"/>
        <v>0</v>
      </c>
      <c r="AV44" t="b">
        <f t="shared" ca="1" si="23"/>
        <v>0</v>
      </c>
      <c r="AW44">
        <f t="shared" ca="1" si="29"/>
        <v>1</v>
      </c>
      <c r="AX44">
        <f t="shared" ca="1" si="30"/>
        <v>7</v>
      </c>
    </row>
    <row r="45" spans="1:50" hidden="1" x14ac:dyDescent="0.2">
      <c r="A45" s="45"/>
      <c r="B45" s="117" t="str">
        <f t="shared" ca="1" si="2"/>
        <v/>
      </c>
      <c r="C45" s="1" t="str">
        <f>IF(ISERROR(D45),"",IF(D45="","",MAX($C$12:C44)+1))</f>
        <v/>
      </c>
      <c r="D45" t="e">
        <f t="shared" si="3"/>
        <v>#N/A</v>
      </c>
      <c r="E45" s="15"/>
      <c r="F45" s="133" t="str">
        <f t="shared" ca="1" si="4"/>
        <v>N/A</v>
      </c>
      <c r="G45" s="133" t="str">
        <f t="shared" si="5"/>
        <v>N/A</v>
      </c>
      <c r="H45" s="133" t="str">
        <f ca="1">IFERROR(IF(VLOOKUP($A45,LASTYR,'2017'!$F$3,FALSE)=0,"N/A",VLOOKUP($A45,LASTYR,'2017'!$F$3,FALSE)),"N/A")</f>
        <v>N/A</v>
      </c>
      <c r="I45" s="133" t="str">
        <f t="shared" ca="1" si="35"/>
        <v>N/A</v>
      </c>
      <c r="J45" s="133" t="str">
        <f t="shared" ca="1" si="35"/>
        <v>N/A</v>
      </c>
      <c r="K45" s="133" t="str">
        <f t="shared" ca="1" si="35"/>
        <v>N/A</v>
      </c>
      <c r="L45" s="133" t="str">
        <f t="shared" ca="1" si="35"/>
        <v>N/A</v>
      </c>
      <c r="M45" s="133" t="str">
        <f t="shared" ca="1" si="35"/>
        <v>N/A</v>
      </c>
      <c r="N45" s="133" t="str">
        <f t="shared" ca="1" si="35"/>
        <v>N/A</v>
      </c>
      <c r="O45" s="133" t="str">
        <f t="shared" ca="1" si="35"/>
        <v>N/A</v>
      </c>
      <c r="P45" s="133" t="str">
        <f t="shared" ca="1" si="35"/>
        <v>N/A</v>
      </c>
      <c r="Q45" s="133" t="str">
        <f t="shared" ca="1" si="35"/>
        <v>N/A</v>
      </c>
      <c r="R45" s="133" t="str">
        <f t="shared" ca="1" si="35"/>
        <v>N/A</v>
      </c>
      <c r="S45" s="133" t="str">
        <f t="shared" ca="1" si="35"/>
        <v>N/A</v>
      </c>
      <c r="T45" s="80" t="str">
        <f t="shared" ca="1" si="24"/>
        <v>N/A</v>
      </c>
      <c r="U45" s="80" t="str">
        <f t="shared" ca="1" si="25"/>
        <v>N/A</v>
      </c>
      <c r="V45" s="133" t="e">
        <f t="shared" ca="1" si="26"/>
        <v>#VALUE!</v>
      </c>
      <c r="W45" s="80" t="e">
        <f t="shared" ca="1" si="27"/>
        <v>#VALUE!</v>
      </c>
      <c r="X45" s="80"/>
      <c r="Y45" s="211">
        <f t="shared" ca="1" si="34"/>
        <v>-1</v>
      </c>
      <c r="Z45" s="208" t="str">
        <f t="shared" si="7"/>
        <v>N/A</v>
      </c>
      <c r="AA45" s="217">
        <v>43100</v>
      </c>
      <c r="AB45" s="213" t="e">
        <f t="shared" si="8"/>
        <v>#VALUE!</v>
      </c>
      <c r="AC45" s="214" t="e">
        <f t="shared" si="28"/>
        <v>#VALUE!</v>
      </c>
      <c r="AD45" s="214" t="e">
        <f t="shared" ca="1" si="9"/>
        <v>#VALUE!</v>
      </c>
      <c r="AE45" s="215" t="e">
        <f t="shared" ca="1" si="10"/>
        <v>#VALUE!</v>
      </c>
      <c r="AJ45" t="b">
        <f t="shared" si="11"/>
        <v>0</v>
      </c>
      <c r="AK45" t="b">
        <f t="shared" ca="1" si="12"/>
        <v>0</v>
      </c>
      <c r="AL45" t="b">
        <f t="shared" ca="1" si="13"/>
        <v>0</v>
      </c>
      <c r="AM45" t="b">
        <f t="shared" ca="1" si="14"/>
        <v>0</v>
      </c>
      <c r="AN45" t="b">
        <f t="shared" ca="1" si="15"/>
        <v>0</v>
      </c>
      <c r="AO45" t="b">
        <f t="shared" ca="1" si="16"/>
        <v>0</v>
      </c>
      <c r="AP45" t="b">
        <f t="shared" ca="1" si="17"/>
        <v>0</v>
      </c>
      <c r="AQ45" t="b">
        <f t="shared" ca="1" si="18"/>
        <v>0</v>
      </c>
      <c r="AR45" t="b">
        <f t="shared" ca="1" si="19"/>
        <v>0</v>
      </c>
      <c r="AS45" t="b">
        <f t="shared" ca="1" si="20"/>
        <v>0</v>
      </c>
      <c r="AT45" t="b">
        <f t="shared" ca="1" si="21"/>
        <v>0</v>
      </c>
      <c r="AU45" t="b">
        <f t="shared" ca="1" si="22"/>
        <v>0</v>
      </c>
      <c r="AV45" t="b">
        <f t="shared" ca="1" si="23"/>
        <v>0</v>
      </c>
      <c r="AW45">
        <f t="shared" ca="1" si="29"/>
        <v>1</v>
      </c>
      <c r="AX45">
        <f t="shared" ca="1" si="30"/>
        <v>7</v>
      </c>
    </row>
    <row r="46" spans="1:50" hidden="1" x14ac:dyDescent="0.2">
      <c r="A46" s="45"/>
      <c r="B46" s="117" t="str">
        <f t="shared" ca="1" si="2"/>
        <v/>
      </c>
      <c r="C46" s="1" t="str">
        <f>IF(ISERROR(D46),"",IF(D46="","",MAX($C$12:C45)+1))</f>
        <v/>
      </c>
      <c r="D46" t="e">
        <f t="shared" si="3"/>
        <v>#N/A</v>
      </c>
      <c r="E46" s="15"/>
      <c r="F46" s="133" t="str">
        <f t="shared" ca="1" si="4"/>
        <v>N/A</v>
      </c>
      <c r="G46" s="133" t="str">
        <f t="shared" si="5"/>
        <v>N/A</v>
      </c>
      <c r="H46" s="133" t="str">
        <f ca="1">IFERROR(IF(VLOOKUP($A46,LASTYR,'2017'!$F$3,FALSE)=0,"N/A",VLOOKUP($A46,LASTYR,'2017'!$F$3,FALSE)),"N/A")</f>
        <v>N/A</v>
      </c>
      <c r="I46" s="133" t="str">
        <f t="shared" ca="1" si="35"/>
        <v>N/A</v>
      </c>
      <c r="J46" s="133" t="str">
        <f t="shared" ca="1" si="35"/>
        <v>N/A</v>
      </c>
      <c r="K46" s="133" t="str">
        <f t="shared" ca="1" si="35"/>
        <v>N/A</v>
      </c>
      <c r="L46" s="133" t="str">
        <f t="shared" ca="1" si="35"/>
        <v>N/A</v>
      </c>
      <c r="M46" s="133" t="str">
        <f t="shared" ca="1" si="35"/>
        <v>N/A</v>
      </c>
      <c r="N46" s="133" t="str">
        <f t="shared" ca="1" si="35"/>
        <v>N/A</v>
      </c>
      <c r="O46" s="133" t="str">
        <f t="shared" ca="1" si="35"/>
        <v>N/A</v>
      </c>
      <c r="P46" s="133" t="str">
        <f t="shared" ca="1" si="35"/>
        <v>N/A</v>
      </c>
      <c r="Q46" s="133" t="str">
        <f t="shared" ca="1" si="35"/>
        <v>N/A</v>
      </c>
      <c r="R46" s="133" t="str">
        <f t="shared" ca="1" si="35"/>
        <v>N/A</v>
      </c>
      <c r="S46" s="133" t="str">
        <f t="shared" ca="1" si="35"/>
        <v>N/A</v>
      </c>
      <c r="T46" s="80" t="str">
        <f t="shared" ca="1" si="24"/>
        <v>N/A</v>
      </c>
      <c r="U46" s="80" t="str">
        <f t="shared" ca="1" si="25"/>
        <v>N/A</v>
      </c>
      <c r="V46" s="133" t="e">
        <f t="shared" ca="1" si="26"/>
        <v>#VALUE!</v>
      </c>
      <c r="W46" s="80" t="e">
        <f t="shared" ca="1" si="27"/>
        <v>#VALUE!</v>
      </c>
      <c r="X46" s="80"/>
      <c r="Y46" s="211">
        <f t="shared" ca="1" si="34"/>
        <v>-1</v>
      </c>
      <c r="Z46" s="208" t="str">
        <f t="shared" si="7"/>
        <v>N/A</v>
      </c>
      <c r="AA46" s="217">
        <v>43100</v>
      </c>
      <c r="AB46" s="213" t="e">
        <f t="shared" si="8"/>
        <v>#VALUE!</v>
      </c>
      <c r="AC46" s="214" t="e">
        <f t="shared" si="28"/>
        <v>#VALUE!</v>
      </c>
      <c r="AD46" s="214" t="e">
        <f t="shared" ca="1" si="9"/>
        <v>#VALUE!</v>
      </c>
      <c r="AE46" s="215" t="e">
        <f t="shared" ca="1" si="10"/>
        <v>#VALUE!</v>
      </c>
      <c r="AJ46" t="b">
        <f t="shared" si="11"/>
        <v>0</v>
      </c>
      <c r="AK46" t="b">
        <f t="shared" ca="1" si="12"/>
        <v>0</v>
      </c>
      <c r="AL46" t="b">
        <f t="shared" ca="1" si="13"/>
        <v>0</v>
      </c>
      <c r="AM46" t="b">
        <f t="shared" ca="1" si="14"/>
        <v>0</v>
      </c>
      <c r="AN46" t="b">
        <f t="shared" ca="1" si="15"/>
        <v>0</v>
      </c>
      <c r="AO46" t="b">
        <f t="shared" ca="1" si="16"/>
        <v>0</v>
      </c>
      <c r="AP46" t="b">
        <f t="shared" ca="1" si="17"/>
        <v>0</v>
      </c>
      <c r="AQ46" t="b">
        <f t="shared" ca="1" si="18"/>
        <v>0</v>
      </c>
      <c r="AR46" t="b">
        <f t="shared" ca="1" si="19"/>
        <v>0</v>
      </c>
      <c r="AS46" t="b">
        <f t="shared" ca="1" si="20"/>
        <v>0</v>
      </c>
      <c r="AT46" t="b">
        <f t="shared" ca="1" si="21"/>
        <v>0</v>
      </c>
      <c r="AU46" t="b">
        <f t="shared" ca="1" si="22"/>
        <v>0</v>
      </c>
      <c r="AV46" t="b">
        <f t="shared" ca="1" si="23"/>
        <v>0</v>
      </c>
      <c r="AW46">
        <f t="shared" ca="1" si="29"/>
        <v>1</v>
      </c>
      <c r="AX46">
        <f t="shared" ca="1" si="30"/>
        <v>7</v>
      </c>
    </row>
    <row r="47" spans="1:50" hidden="1" x14ac:dyDescent="0.2">
      <c r="A47" s="45"/>
      <c r="B47" s="117" t="str">
        <f t="shared" ca="1" si="2"/>
        <v/>
      </c>
      <c r="C47" s="1" t="str">
        <f>IF(ISERROR(D47),"",IF(D47="","",MAX($C$12:C46)+1))</f>
        <v/>
      </c>
      <c r="D47" t="e">
        <f t="shared" si="3"/>
        <v>#N/A</v>
      </c>
      <c r="E47" s="15"/>
      <c r="F47" s="133" t="str">
        <f t="shared" ca="1" si="4"/>
        <v>N/A</v>
      </c>
      <c r="G47" s="133" t="str">
        <f t="shared" si="5"/>
        <v>N/A</v>
      </c>
      <c r="H47" s="133" t="str">
        <f ca="1">IFERROR(IF(VLOOKUP($A47,LASTYR,'2017'!$F$3,FALSE)=0,"N/A",VLOOKUP($A47,LASTYR,'2017'!$F$3,FALSE)),"N/A")</f>
        <v>N/A</v>
      </c>
      <c r="I47" s="133" t="str">
        <f t="shared" ca="1" si="35"/>
        <v>N/A</v>
      </c>
      <c r="J47" s="133" t="str">
        <f t="shared" ca="1" si="35"/>
        <v>N/A</v>
      </c>
      <c r="K47" s="133" t="str">
        <f t="shared" ca="1" si="35"/>
        <v>N/A</v>
      </c>
      <c r="L47" s="133" t="str">
        <f t="shared" ca="1" si="35"/>
        <v>N/A</v>
      </c>
      <c r="M47" s="133" t="str">
        <f t="shared" ca="1" si="35"/>
        <v>N/A</v>
      </c>
      <c r="N47" s="133" t="str">
        <f t="shared" ca="1" si="35"/>
        <v>N/A</v>
      </c>
      <c r="O47" s="133" t="str">
        <f t="shared" ca="1" si="35"/>
        <v>N/A</v>
      </c>
      <c r="P47" s="133" t="str">
        <f t="shared" ca="1" si="35"/>
        <v>N/A</v>
      </c>
      <c r="Q47" s="133" t="str">
        <f t="shared" ca="1" si="35"/>
        <v>N/A</v>
      </c>
      <c r="R47" s="133" t="str">
        <f t="shared" ca="1" si="35"/>
        <v>N/A</v>
      </c>
      <c r="S47" s="133" t="str">
        <f t="shared" ca="1" si="35"/>
        <v>N/A</v>
      </c>
      <c r="T47" s="80" t="str">
        <f t="shared" ca="1" si="24"/>
        <v>N/A</v>
      </c>
      <c r="U47" s="80" t="str">
        <f t="shared" ca="1" si="25"/>
        <v>N/A</v>
      </c>
      <c r="V47" s="133" t="e">
        <f t="shared" ca="1" si="26"/>
        <v>#VALUE!</v>
      </c>
      <c r="W47" s="80" t="e">
        <f t="shared" ca="1" si="27"/>
        <v>#VALUE!</v>
      </c>
      <c r="X47" s="80"/>
      <c r="Y47" s="211">
        <f t="shared" ca="1" si="34"/>
        <v>-1</v>
      </c>
      <c r="Z47" s="208" t="str">
        <f t="shared" si="7"/>
        <v>N/A</v>
      </c>
      <c r="AA47" s="217">
        <v>43100</v>
      </c>
      <c r="AB47" s="213" t="e">
        <f t="shared" si="8"/>
        <v>#VALUE!</v>
      </c>
      <c r="AC47" s="214" t="e">
        <f t="shared" si="28"/>
        <v>#VALUE!</v>
      </c>
      <c r="AD47" s="214" t="e">
        <f t="shared" ca="1" si="9"/>
        <v>#VALUE!</v>
      </c>
      <c r="AE47" s="215" t="e">
        <f t="shared" ca="1" si="10"/>
        <v>#VALUE!</v>
      </c>
      <c r="AJ47" t="b">
        <f t="shared" si="11"/>
        <v>0</v>
      </c>
      <c r="AK47" t="b">
        <f t="shared" ca="1" si="12"/>
        <v>0</v>
      </c>
      <c r="AL47" t="b">
        <f t="shared" ca="1" si="13"/>
        <v>0</v>
      </c>
      <c r="AM47" t="b">
        <f t="shared" ca="1" si="14"/>
        <v>0</v>
      </c>
      <c r="AN47" t="b">
        <f t="shared" ca="1" si="15"/>
        <v>0</v>
      </c>
      <c r="AO47" t="b">
        <f t="shared" ca="1" si="16"/>
        <v>0</v>
      </c>
      <c r="AP47" t="b">
        <f t="shared" ca="1" si="17"/>
        <v>0</v>
      </c>
      <c r="AQ47" t="b">
        <f t="shared" ca="1" si="18"/>
        <v>0</v>
      </c>
      <c r="AR47" t="b">
        <f t="shared" ca="1" si="19"/>
        <v>0</v>
      </c>
      <c r="AS47" t="b">
        <f t="shared" ca="1" si="20"/>
        <v>0</v>
      </c>
      <c r="AT47" t="b">
        <f t="shared" ca="1" si="21"/>
        <v>0</v>
      </c>
      <c r="AU47" t="b">
        <f t="shared" ca="1" si="22"/>
        <v>0</v>
      </c>
      <c r="AV47" t="b">
        <f t="shared" ca="1" si="23"/>
        <v>0</v>
      </c>
      <c r="AW47">
        <f t="shared" ca="1" si="29"/>
        <v>1</v>
      </c>
      <c r="AX47">
        <f t="shared" ca="1" si="30"/>
        <v>7</v>
      </c>
    </row>
    <row r="48" spans="1:50" hidden="1" x14ac:dyDescent="0.2">
      <c r="A48" s="45"/>
      <c r="B48" s="117" t="str">
        <f t="shared" ca="1" si="2"/>
        <v/>
      </c>
      <c r="C48" s="1" t="str">
        <f>IF(ISERROR(D48),"",IF(D48="","",MAX($C$12:C47)+1))</f>
        <v/>
      </c>
      <c r="D48" t="e">
        <f t="shared" si="3"/>
        <v>#N/A</v>
      </c>
      <c r="E48" s="15"/>
      <c r="F48" s="133" t="str">
        <f t="shared" ca="1" si="4"/>
        <v>N/A</v>
      </c>
      <c r="G48" s="133" t="str">
        <f t="shared" si="5"/>
        <v>N/A</v>
      </c>
      <c r="H48" s="133" t="str">
        <f ca="1">IFERROR(IF(VLOOKUP($A48,LASTYR,'2017'!$F$3,FALSE)=0,"N/A",VLOOKUP($A48,LASTYR,'2017'!$F$3,FALSE)),"N/A")</f>
        <v>N/A</v>
      </c>
      <c r="I48" s="133" t="str">
        <f t="shared" ca="1" si="35"/>
        <v>N/A</v>
      </c>
      <c r="J48" s="133" t="str">
        <f t="shared" ca="1" si="35"/>
        <v>N/A</v>
      </c>
      <c r="K48" s="133" t="str">
        <f t="shared" ca="1" si="35"/>
        <v>N/A</v>
      </c>
      <c r="L48" s="133" t="str">
        <f t="shared" ca="1" si="35"/>
        <v>N/A</v>
      </c>
      <c r="M48" s="133" t="str">
        <f t="shared" ca="1" si="35"/>
        <v>N/A</v>
      </c>
      <c r="N48" s="133" t="str">
        <f t="shared" ca="1" si="35"/>
        <v>N/A</v>
      </c>
      <c r="O48" s="133" t="str">
        <f t="shared" ca="1" si="35"/>
        <v>N/A</v>
      </c>
      <c r="P48" s="133" t="str">
        <f t="shared" ca="1" si="35"/>
        <v>N/A</v>
      </c>
      <c r="Q48" s="133" t="str">
        <f t="shared" ca="1" si="35"/>
        <v>N/A</v>
      </c>
      <c r="R48" s="133" t="str">
        <f t="shared" ca="1" si="35"/>
        <v>N/A</v>
      </c>
      <c r="S48" s="133" t="str">
        <f t="shared" ca="1" si="35"/>
        <v>N/A</v>
      </c>
      <c r="T48" s="80" t="str">
        <f t="shared" ca="1" si="24"/>
        <v>N/A</v>
      </c>
      <c r="U48" s="80" t="str">
        <f t="shared" ca="1" si="25"/>
        <v>N/A</v>
      </c>
      <c r="V48" s="133" t="e">
        <f t="shared" ca="1" si="26"/>
        <v>#VALUE!</v>
      </c>
      <c r="W48" s="80" t="e">
        <f t="shared" ca="1" si="27"/>
        <v>#VALUE!</v>
      </c>
      <c r="X48" s="80"/>
      <c r="Y48" s="211">
        <f t="shared" ca="1" si="34"/>
        <v>-1</v>
      </c>
      <c r="Z48" s="208" t="str">
        <f t="shared" si="7"/>
        <v>N/A</v>
      </c>
      <c r="AA48" s="217">
        <v>43100</v>
      </c>
      <c r="AB48" s="213" t="e">
        <f t="shared" si="8"/>
        <v>#VALUE!</v>
      </c>
      <c r="AC48" s="214" t="e">
        <f t="shared" si="28"/>
        <v>#VALUE!</v>
      </c>
      <c r="AD48" s="214" t="e">
        <f t="shared" ca="1" si="9"/>
        <v>#VALUE!</v>
      </c>
      <c r="AE48" s="215" t="e">
        <f t="shared" ca="1" si="10"/>
        <v>#VALUE!</v>
      </c>
      <c r="AJ48" t="b">
        <f t="shared" si="11"/>
        <v>0</v>
      </c>
      <c r="AK48" t="b">
        <f t="shared" ca="1" si="12"/>
        <v>0</v>
      </c>
      <c r="AL48" t="b">
        <f t="shared" ca="1" si="13"/>
        <v>0</v>
      </c>
      <c r="AM48" t="b">
        <f t="shared" ca="1" si="14"/>
        <v>0</v>
      </c>
      <c r="AN48" t="b">
        <f t="shared" ca="1" si="15"/>
        <v>0</v>
      </c>
      <c r="AO48" t="b">
        <f t="shared" ca="1" si="16"/>
        <v>0</v>
      </c>
      <c r="AP48" t="b">
        <f t="shared" ca="1" si="17"/>
        <v>0</v>
      </c>
      <c r="AQ48" t="b">
        <f t="shared" ca="1" si="18"/>
        <v>0</v>
      </c>
      <c r="AR48" t="b">
        <f t="shared" ca="1" si="19"/>
        <v>0</v>
      </c>
      <c r="AS48" t="b">
        <f t="shared" ca="1" si="20"/>
        <v>0</v>
      </c>
      <c r="AT48" t="b">
        <f t="shared" ca="1" si="21"/>
        <v>0</v>
      </c>
      <c r="AU48" t="b">
        <f t="shared" ca="1" si="22"/>
        <v>0</v>
      </c>
      <c r="AV48" t="b">
        <f t="shared" ca="1" si="23"/>
        <v>0</v>
      </c>
      <c r="AW48">
        <f t="shared" ca="1" si="29"/>
        <v>1</v>
      </c>
      <c r="AX48">
        <f t="shared" ca="1" si="30"/>
        <v>7</v>
      </c>
    </row>
    <row r="49" spans="1:50" hidden="1" x14ac:dyDescent="0.2">
      <c r="A49" s="45"/>
      <c r="B49" s="117" t="str">
        <f t="shared" ca="1" si="2"/>
        <v/>
      </c>
      <c r="C49" s="1" t="str">
        <f>IF(ISERROR(D49),"",IF(D49="","",MAX($C$12:C48)+1))</f>
        <v/>
      </c>
      <c r="D49" t="e">
        <f t="shared" si="3"/>
        <v>#N/A</v>
      </c>
      <c r="E49" s="15"/>
      <c r="F49" s="133" t="str">
        <f t="shared" ca="1" si="4"/>
        <v>N/A</v>
      </c>
      <c r="G49" s="133" t="str">
        <f t="shared" si="5"/>
        <v>N/A</v>
      </c>
      <c r="H49" s="133" t="str">
        <f ca="1">IFERROR(IF(VLOOKUP($A49,LASTYR,'2017'!$F$3,FALSE)=0,"N/A",VLOOKUP($A49,LASTYR,'2017'!$F$3,FALSE)),"N/A")</f>
        <v>N/A</v>
      </c>
      <c r="I49" s="133" t="str">
        <f t="shared" ca="1" si="35"/>
        <v>N/A</v>
      </c>
      <c r="J49" s="133" t="str">
        <f t="shared" ca="1" si="35"/>
        <v>N/A</v>
      </c>
      <c r="K49" s="133" t="str">
        <f t="shared" ca="1" si="35"/>
        <v>N/A</v>
      </c>
      <c r="L49" s="133" t="str">
        <f t="shared" ca="1" si="35"/>
        <v>N/A</v>
      </c>
      <c r="M49" s="133" t="str">
        <f t="shared" ca="1" si="35"/>
        <v>N/A</v>
      </c>
      <c r="N49" s="133" t="str">
        <f t="shared" ca="1" si="35"/>
        <v>N/A</v>
      </c>
      <c r="O49" s="133" t="str">
        <f t="shared" ca="1" si="35"/>
        <v>N/A</v>
      </c>
      <c r="P49" s="133" t="str">
        <f t="shared" ca="1" si="35"/>
        <v>N/A</v>
      </c>
      <c r="Q49" s="133" t="str">
        <f t="shared" ca="1" si="35"/>
        <v>N/A</v>
      </c>
      <c r="R49" s="133" t="str">
        <f t="shared" ca="1" si="35"/>
        <v>N/A</v>
      </c>
      <c r="S49" s="133" t="str">
        <f t="shared" ca="1" si="35"/>
        <v>N/A</v>
      </c>
      <c r="T49" s="80" t="str">
        <f t="shared" ca="1" si="24"/>
        <v>N/A</v>
      </c>
      <c r="U49" s="80" t="str">
        <f t="shared" ca="1" si="25"/>
        <v>N/A</v>
      </c>
      <c r="V49" s="133" t="e">
        <f t="shared" ca="1" si="26"/>
        <v>#VALUE!</v>
      </c>
      <c r="W49" s="80" t="e">
        <f t="shared" ca="1" si="27"/>
        <v>#VALUE!</v>
      </c>
      <c r="X49" s="80"/>
      <c r="Y49" s="211">
        <f t="shared" ca="1" si="34"/>
        <v>-1</v>
      </c>
      <c r="Z49" s="208" t="str">
        <f t="shared" si="7"/>
        <v>N/A</v>
      </c>
      <c r="AA49" s="217">
        <v>43100</v>
      </c>
      <c r="AB49" s="213" t="e">
        <f t="shared" si="8"/>
        <v>#VALUE!</v>
      </c>
      <c r="AC49" s="214" t="e">
        <f t="shared" si="28"/>
        <v>#VALUE!</v>
      </c>
      <c r="AD49" s="214" t="e">
        <f t="shared" ca="1" si="9"/>
        <v>#VALUE!</v>
      </c>
      <c r="AE49" s="215" t="e">
        <f t="shared" ca="1" si="10"/>
        <v>#VALUE!</v>
      </c>
      <c r="AJ49" t="b">
        <f t="shared" si="11"/>
        <v>0</v>
      </c>
      <c r="AK49" t="b">
        <f t="shared" ca="1" si="12"/>
        <v>0</v>
      </c>
      <c r="AL49" t="b">
        <f t="shared" ca="1" si="13"/>
        <v>0</v>
      </c>
      <c r="AM49" t="b">
        <f t="shared" ca="1" si="14"/>
        <v>0</v>
      </c>
      <c r="AN49" t="b">
        <f t="shared" ca="1" si="15"/>
        <v>0</v>
      </c>
      <c r="AO49" t="b">
        <f t="shared" ca="1" si="16"/>
        <v>0</v>
      </c>
      <c r="AP49" t="b">
        <f t="shared" ca="1" si="17"/>
        <v>0</v>
      </c>
      <c r="AQ49" t="b">
        <f t="shared" ca="1" si="18"/>
        <v>0</v>
      </c>
      <c r="AR49" t="b">
        <f t="shared" ca="1" si="19"/>
        <v>0</v>
      </c>
      <c r="AS49" t="b">
        <f t="shared" ca="1" si="20"/>
        <v>0</v>
      </c>
      <c r="AT49" t="b">
        <f t="shared" ca="1" si="21"/>
        <v>0</v>
      </c>
      <c r="AU49" t="b">
        <f t="shared" ca="1" si="22"/>
        <v>0</v>
      </c>
      <c r="AV49" t="b">
        <f t="shared" ca="1" si="23"/>
        <v>0</v>
      </c>
      <c r="AW49">
        <f t="shared" ca="1" si="29"/>
        <v>1</v>
      </c>
      <c r="AX49">
        <f t="shared" ca="1" si="30"/>
        <v>7</v>
      </c>
    </row>
    <row r="50" spans="1:50" hidden="1" x14ac:dyDescent="0.2">
      <c r="A50" s="45"/>
      <c r="B50" s="117" t="str">
        <f t="shared" ca="1" si="2"/>
        <v/>
      </c>
      <c r="C50" s="1" t="str">
        <f>IF(ISERROR(D50),"",IF(D50="","",MAX($C$12:C49)+1))</f>
        <v/>
      </c>
      <c r="D50" t="e">
        <f t="shared" si="3"/>
        <v>#N/A</v>
      </c>
      <c r="E50" s="15"/>
      <c r="F50" s="133" t="str">
        <f t="shared" ca="1" si="4"/>
        <v>N/A</v>
      </c>
      <c r="G50" s="133" t="str">
        <f t="shared" si="5"/>
        <v>N/A</v>
      </c>
      <c r="H50" s="133" t="str">
        <f ca="1">IFERROR(IF(VLOOKUP($A50,LASTYR,'2017'!$F$3,FALSE)=0,"N/A",VLOOKUP($A50,LASTYR,'2017'!$F$3,FALSE)),"N/A")</f>
        <v>N/A</v>
      </c>
      <c r="I50" s="133" t="str">
        <f t="shared" ca="1" si="35"/>
        <v>N/A</v>
      </c>
      <c r="J50" s="133" t="str">
        <f t="shared" ca="1" si="35"/>
        <v>N/A</v>
      </c>
      <c r="K50" s="133" t="str">
        <f t="shared" ca="1" si="35"/>
        <v>N/A</v>
      </c>
      <c r="L50" s="133" t="str">
        <f t="shared" ca="1" si="35"/>
        <v>N/A</v>
      </c>
      <c r="M50" s="133" t="str">
        <f t="shared" ca="1" si="35"/>
        <v>N/A</v>
      </c>
      <c r="N50" s="133" t="str">
        <f t="shared" ca="1" si="35"/>
        <v>N/A</v>
      </c>
      <c r="O50" s="133" t="str">
        <f t="shared" ca="1" si="35"/>
        <v>N/A</v>
      </c>
      <c r="P50" s="133" t="str">
        <f t="shared" ca="1" si="35"/>
        <v>N/A</v>
      </c>
      <c r="Q50" s="133" t="str">
        <f t="shared" ca="1" si="35"/>
        <v>N/A</v>
      </c>
      <c r="R50" s="133" t="str">
        <f t="shared" ca="1" si="35"/>
        <v>N/A</v>
      </c>
      <c r="S50" s="133" t="str">
        <f t="shared" ca="1" si="35"/>
        <v>N/A</v>
      </c>
      <c r="T50" s="80" t="str">
        <f t="shared" ca="1" si="24"/>
        <v>N/A</v>
      </c>
      <c r="U50" s="80" t="str">
        <f t="shared" ca="1" si="25"/>
        <v>N/A</v>
      </c>
      <c r="V50" s="133" t="e">
        <f t="shared" ca="1" si="26"/>
        <v>#VALUE!</v>
      </c>
      <c r="W50" s="80" t="e">
        <f t="shared" ca="1" si="27"/>
        <v>#VALUE!</v>
      </c>
      <c r="X50" s="80"/>
      <c r="Y50" s="211">
        <f t="shared" ca="1" si="34"/>
        <v>-1</v>
      </c>
      <c r="Z50" s="208" t="str">
        <f t="shared" si="7"/>
        <v>N/A</v>
      </c>
      <c r="AA50" s="217">
        <v>43100</v>
      </c>
      <c r="AB50" s="213" t="e">
        <f t="shared" si="8"/>
        <v>#VALUE!</v>
      </c>
      <c r="AC50" s="214" t="e">
        <f t="shared" si="28"/>
        <v>#VALUE!</v>
      </c>
      <c r="AD50" s="214" t="e">
        <f t="shared" ca="1" si="9"/>
        <v>#VALUE!</v>
      </c>
      <c r="AE50" s="215" t="e">
        <f t="shared" ca="1" si="10"/>
        <v>#VALUE!</v>
      </c>
      <c r="AJ50" t="b">
        <f t="shared" si="11"/>
        <v>0</v>
      </c>
      <c r="AK50" t="b">
        <f t="shared" ca="1" si="12"/>
        <v>0</v>
      </c>
      <c r="AL50" t="b">
        <f t="shared" ca="1" si="13"/>
        <v>0</v>
      </c>
      <c r="AM50" t="b">
        <f t="shared" ca="1" si="14"/>
        <v>0</v>
      </c>
      <c r="AN50" t="b">
        <f t="shared" ca="1" si="15"/>
        <v>0</v>
      </c>
      <c r="AO50" t="b">
        <f t="shared" ca="1" si="16"/>
        <v>0</v>
      </c>
      <c r="AP50" t="b">
        <f t="shared" ca="1" si="17"/>
        <v>0</v>
      </c>
      <c r="AQ50" t="b">
        <f t="shared" ca="1" si="18"/>
        <v>0</v>
      </c>
      <c r="AR50" t="b">
        <f t="shared" ca="1" si="19"/>
        <v>0</v>
      </c>
      <c r="AS50" t="b">
        <f t="shared" ca="1" si="20"/>
        <v>0</v>
      </c>
      <c r="AT50" t="b">
        <f t="shared" ca="1" si="21"/>
        <v>0</v>
      </c>
      <c r="AU50" t="b">
        <f t="shared" ca="1" si="22"/>
        <v>0</v>
      </c>
      <c r="AV50" t="b">
        <f t="shared" ca="1" si="23"/>
        <v>0</v>
      </c>
      <c r="AW50">
        <f t="shared" ca="1" si="29"/>
        <v>1</v>
      </c>
      <c r="AX50">
        <f t="shared" ca="1" si="30"/>
        <v>7</v>
      </c>
    </row>
    <row r="51" spans="1:50" hidden="1" x14ac:dyDescent="0.2">
      <c r="A51" s="45"/>
      <c r="B51" s="117" t="str">
        <f t="shared" ca="1" si="2"/>
        <v/>
      </c>
      <c r="C51" s="1" t="str">
        <f>IF(ISERROR(D51),"",IF(D51="","",MAX($C$12:C50)+1))</f>
        <v/>
      </c>
      <c r="D51" t="e">
        <f t="shared" si="3"/>
        <v>#N/A</v>
      </c>
      <c r="E51" s="15"/>
      <c r="F51" s="133" t="str">
        <f t="shared" ca="1" si="4"/>
        <v>N/A</v>
      </c>
      <c r="G51" s="133" t="str">
        <f t="shared" si="5"/>
        <v>N/A</v>
      </c>
      <c r="H51" s="133" t="str">
        <f ca="1">IFERROR(IF(VLOOKUP($A51,LASTYR,'2017'!$F$3,FALSE)=0,"N/A",VLOOKUP($A51,LASTYR,'2017'!$F$3,FALSE)),"N/A")</f>
        <v>N/A</v>
      </c>
      <c r="I51" s="133" t="str">
        <f t="shared" ca="1" si="35"/>
        <v>N/A</v>
      </c>
      <c r="J51" s="133" t="str">
        <f t="shared" ca="1" si="35"/>
        <v>N/A</v>
      </c>
      <c r="K51" s="133" t="str">
        <f t="shared" ca="1" si="35"/>
        <v>N/A</v>
      </c>
      <c r="L51" s="133" t="str">
        <f t="shared" ca="1" si="35"/>
        <v>N/A</v>
      </c>
      <c r="M51" s="133" t="str">
        <f t="shared" ca="1" si="35"/>
        <v>N/A</v>
      </c>
      <c r="N51" s="133" t="str">
        <f t="shared" ca="1" si="35"/>
        <v>N/A</v>
      </c>
      <c r="O51" s="133" t="str">
        <f t="shared" ca="1" si="35"/>
        <v>N/A</v>
      </c>
      <c r="P51" s="133" t="str">
        <f t="shared" ca="1" si="35"/>
        <v>N/A</v>
      </c>
      <c r="Q51" s="133" t="str">
        <f t="shared" ca="1" si="35"/>
        <v>N/A</v>
      </c>
      <c r="R51" s="133" t="str">
        <f t="shared" ca="1" si="35"/>
        <v>N/A</v>
      </c>
      <c r="S51" s="133" t="str">
        <f t="shared" ca="1" si="35"/>
        <v>N/A</v>
      </c>
      <c r="T51" s="80" t="str">
        <f t="shared" ca="1" si="24"/>
        <v>N/A</v>
      </c>
      <c r="U51" s="80" t="str">
        <f t="shared" ca="1" si="25"/>
        <v>N/A</v>
      </c>
      <c r="V51" s="133" t="e">
        <f t="shared" ca="1" si="26"/>
        <v>#VALUE!</v>
      </c>
      <c r="W51" s="80" t="e">
        <f t="shared" ca="1" si="27"/>
        <v>#VALUE!</v>
      </c>
      <c r="X51" s="80"/>
      <c r="Y51" s="211">
        <f t="shared" ca="1" si="34"/>
        <v>-1</v>
      </c>
      <c r="Z51" s="208" t="str">
        <f t="shared" si="7"/>
        <v>N/A</v>
      </c>
      <c r="AA51" s="217">
        <v>43100</v>
      </c>
      <c r="AB51" s="213" t="e">
        <f t="shared" si="8"/>
        <v>#VALUE!</v>
      </c>
      <c r="AC51" s="214" t="e">
        <f t="shared" si="28"/>
        <v>#VALUE!</v>
      </c>
      <c r="AD51" s="214" t="e">
        <f t="shared" ca="1" si="9"/>
        <v>#VALUE!</v>
      </c>
      <c r="AE51" s="215" t="e">
        <f t="shared" ca="1" si="10"/>
        <v>#VALUE!</v>
      </c>
      <c r="AJ51" t="b">
        <f t="shared" si="11"/>
        <v>0</v>
      </c>
      <c r="AK51" t="b">
        <f t="shared" ca="1" si="12"/>
        <v>0</v>
      </c>
      <c r="AL51" t="b">
        <f t="shared" ca="1" si="13"/>
        <v>0</v>
      </c>
      <c r="AM51" t="b">
        <f t="shared" ca="1" si="14"/>
        <v>0</v>
      </c>
      <c r="AN51" t="b">
        <f t="shared" ca="1" si="15"/>
        <v>0</v>
      </c>
      <c r="AO51" t="b">
        <f t="shared" ca="1" si="16"/>
        <v>0</v>
      </c>
      <c r="AP51" t="b">
        <f t="shared" ca="1" si="17"/>
        <v>0</v>
      </c>
      <c r="AQ51" t="b">
        <f t="shared" ca="1" si="18"/>
        <v>0</v>
      </c>
      <c r="AR51" t="b">
        <f t="shared" ca="1" si="19"/>
        <v>0</v>
      </c>
      <c r="AS51" t="b">
        <f t="shared" ca="1" si="20"/>
        <v>0</v>
      </c>
      <c r="AT51" t="b">
        <f t="shared" ca="1" si="21"/>
        <v>0</v>
      </c>
      <c r="AU51" t="b">
        <f t="shared" ca="1" si="22"/>
        <v>0</v>
      </c>
      <c r="AV51" t="b">
        <f t="shared" ca="1" si="23"/>
        <v>0</v>
      </c>
      <c r="AW51">
        <f t="shared" ca="1" si="29"/>
        <v>1</v>
      </c>
      <c r="AX51">
        <f t="shared" ca="1" si="30"/>
        <v>7</v>
      </c>
    </row>
    <row r="52" spans="1:50" hidden="1" x14ac:dyDescent="0.2">
      <c r="A52" s="45"/>
      <c r="B52" s="117" t="str">
        <f t="shared" ca="1" si="2"/>
        <v/>
      </c>
      <c r="C52" s="1" t="str">
        <f>IF(ISERROR(D52),"",IF(D52="","",MAX($C$12:C51)+1))</f>
        <v/>
      </c>
      <c r="D52" t="e">
        <f t="shared" si="3"/>
        <v>#N/A</v>
      </c>
      <c r="E52" s="15"/>
      <c r="F52" s="133" t="str">
        <f t="shared" ca="1" si="4"/>
        <v>N/A</v>
      </c>
      <c r="G52" s="133" t="str">
        <f t="shared" si="5"/>
        <v>N/A</v>
      </c>
      <c r="H52" s="133" t="str">
        <f ca="1">IFERROR(IF(VLOOKUP($A52,LASTYR,'2017'!$F$3,FALSE)=0,"N/A",VLOOKUP($A52,LASTYR,'2017'!$F$3,FALSE)),"N/A")</f>
        <v>N/A</v>
      </c>
      <c r="I52" s="133" t="str">
        <f t="shared" ca="1" si="35"/>
        <v>N/A</v>
      </c>
      <c r="J52" s="133" t="str">
        <f t="shared" ca="1" si="35"/>
        <v>N/A</v>
      </c>
      <c r="K52" s="133" t="str">
        <f t="shared" ca="1" si="35"/>
        <v>N/A</v>
      </c>
      <c r="L52" s="133" t="str">
        <f t="shared" ca="1" si="35"/>
        <v>N/A</v>
      </c>
      <c r="M52" s="133" t="str">
        <f t="shared" ca="1" si="35"/>
        <v>N/A</v>
      </c>
      <c r="N52" s="133" t="str">
        <f t="shared" ca="1" si="35"/>
        <v>N/A</v>
      </c>
      <c r="O52" s="133" t="str">
        <f t="shared" ca="1" si="35"/>
        <v>N/A</v>
      </c>
      <c r="P52" s="133" t="str">
        <f t="shared" ca="1" si="35"/>
        <v>N/A</v>
      </c>
      <c r="Q52" s="133" t="str">
        <f t="shared" ca="1" si="35"/>
        <v>N/A</v>
      </c>
      <c r="R52" s="133" t="str">
        <f t="shared" ca="1" si="35"/>
        <v>N/A</v>
      </c>
      <c r="S52" s="133" t="str">
        <f t="shared" ca="1" si="35"/>
        <v>N/A</v>
      </c>
      <c r="T52" s="80" t="str">
        <f t="shared" ca="1" si="24"/>
        <v>N/A</v>
      </c>
      <c r="U52" s="80" t="str">
        <f t="shared" ca="1" si="25"/>
        <v>N/A</v>
      </c>
      <c r="V52" s="133" t="e">
        <f t="shared" ca="1" si="26"/>
        <v>#VALUE!</v>
      </c>
      <c r="W52" s="80" t="e">
        <f t="shared" ca="1" si="27"/>
        <v>#VALUE!</v>
      </c>
      <c r="X52" s="80"/>
      <c r="Y52" s="211">
        <f t="shared" ca="1" si="34"/>
        <v>-1</v>
      </c>
      <c r="Z52" s="208" t="str">
        <f t="shared" si="7"/>
        <v>N/A</v>
      </c>
      <c r="AA52" s="217">
        <v>43100</v>
      </c>
      <c r="AB52" s="213" t="e">
        <f t="shared" si="8"/>
        <v>#VALUE!</v>
      </c>
      <c r="AC52" s="214" t="e">
        <f t="shared" si="28"/>
        <v>#VALUE!</v>
      </c>
      <c r="AD52" s="214" t="e">
        <f t="shared" ca="1" si="9"/>
        <v>#VALUE!</v>
      </c>
      <c r="AE52" s="215" t="e">
        <f t="shared" ca="1" si="10"/>
        <v>#VALUE!</v>
      </c>
      <c r="AJ52" t="b">
        <f t="shared" si="11"/>
        <v>0</v>
      </c>
      <c r="AK52" t="b">
        <f t="shared" ca="1" si="12"/>
        <v>0</v>
      </c>
      <c r="AL52" t="b">
        <f t="shared" ca="1" si="13"/>
        <v>0</v>
      </c>
      <c r="AM52" t="b">
        <f t="shared" ca="1" si="14"/>
        <v>0</v>
      </c>
      <c r="AN52" t="b">
        <f t="shared" ca="1" si="15"/>
        <v>0</v>
      </c>
      <c r="AO52" t="b">
        <f t="shared" ca="1" si="16"/>
        <v>0</v>
      </c>
      <c r="AP52" t="b">
        <f t="shared" ca="1" si="17"/>
        <v>0</v>
      </c>
      <c r="AQ52" t="b">
        <f t="shared" ca="1" si="18"/>
        <v>0</v>
      </c>
      <c r="AR52" t="b">
        <f t="shared" ca="1" si="19"/>
        <v>0</v>
      </c>
      <c r="AS52" t="b">
        <f t="shared" ca="1" si="20"/>
        <v>0</v>
      </c>
      <c r="AT52" t="b">
        <f t="shared" ca="1" si="21"/>
        <v>0</v>
      </c>
      <c r="AU52" t="b">
        <f t="shared" ca="1" si="22"/>
        <v>0</v>
      </c>
      <c r="AV52" t="b">
        <f t="shared" ca="1" si="23"/>
        <v>0</v>
      </c>
      <c r="AW52">
        <f t="shared" ca="1" si="29"/>
        <v>1</v>
      </c>
      <c r="AX52">
        <f t="shared" ca="1" si="30"/>
        <v>7</v>
      </c>
    </row>
    <row r="53" spans="1:50" hidden="1" x14ac:dyDescent="0.2">
      <c r="A53" s="45"/>
      <c r="B53" s="117" t="str">
        <f t="shared" ca="1" si="2"/>
        <v/>
      </c>
      <c r="C53" s="1" t="str">
        <f>IF(ISERROR(D53),"",IF(D53="","",MAX($C$12:C52)+1))</f>
        <v/>
      </c>
      <c r="D53" t="e">
        <f t="shared" si="3"/>
        <v>#N/A</v>
      </c>
      <c r="E53" s="15"/>
      <c r="F53" s="133" t="str">
        <f t="shared" ca="1" si="4"/>
        <v>N/A</v>
      </c>
      <c r="G53" s="133" t="str">
        <f t="shared" si="5"/>
        <v>N/A</v>
      </c>
      <c r="H53" s="133" t="str">
        <f ca="1">IFERROR(IF(VLOOKUP($A53,LASTYR,'2017'!$F$3,FALSE)=0,"N/A",VLOOKUP($A53,LASTYR,'2017'!$F$3,FALSE)),"N/A")</f>
        <v>N/A</v>
      </c>
      <c r="I53" s="133" t="str">
        <f t="shared" ca="1" si="35"/>
        <v>N/A</v>
      </c>
      <c r="J53" s="133" t="str">
        <f t="shared" ca="1" si="35"/>
        <v>N/A</v>
      </c>
      <c r="K53" s="133" t="str">
        <f t="shared" ca="1" si="35"/>
        <v>N/A</v>
      </c>
      <c r="L53" s="133" t="str">
        <f t="shared" ca="1" si="35"/>
        <v>N/A</v>
      </c>
      <c r="M53" s="133" t="str">
        <f t="shared" ca="1" si="35"/>
        <v>N/A</v>
      </c>
      <c r="N53" s="133" t="str">
        <f t="shared" ca="1" si="35"/>
        <v>N/A</v>
      </c>
      <c r="O53" s="133" t="str">
        <f t="shared" ca="1" si="35"/>
        <v>N/A</v>
      </c>
      <c r="P53" s="133" t="str">
        <f t="shared" ca="1" si="35"/>
        <v>N/A</v>
      </c>
      <c r="Q53" s="133" t="str">
        <f t="shared" ca="1" si="35"/>
        <v>N/A</v>
      </c>
      <c r="R53" s="133" t="str">
        <f t="shared" ca="1" si="35"/>
        <v>N/A</v>
      </c>
      <c r="S53" s="133" t="str">
        <f t="shared" ca="1" si="35"/>
        <v>N/A</v>
      </c>
      <c r="T53" s="80" t="str">
        <f t="shared" ca="1" si="24"/>
        <v>N/A</v>
      </c>
      <c r="U53" s="80" t="str">
        <f t="shared" ca="1" si="25"/>
        <v>N/A</v>
      </c>
      <c r="V53" s="133" t="e">
        <f t="shared" ca="1" si="26"/>
        <v>#VALUE!</v>
      </c>
      <c r="W53" s="80" t="e">
        <f t="shared" ca="1" si="27"/>
        <v>#VALUE!</v>
      </c>
      <c r="X53" s="80"/>
      <c r="Y53" s="211">
        <f t="shared" ca="1" si="34"/>
        <v>-1</v>
      </c>
      <c r="Z53" s="208" t="str">
        <f t="shared" si="7"/>
        <v>N/A</v>
      </c>
      <c r="AA53" s="217">
        <v>43100</v>
      </c>
      <c r="AB53" s="213" t="e">
        <f t="shared" si="8"/>
        <v>#VALUE!</v>
      </c>
      <c r="AC53" s="214" t="e">
        <f t="shared" si="28"/>
        <v>#VALUE!</v>
      </c>
      <c r="AD53" s="214" t="e">
        <f t="shared" ca="1" si="9"/>
        <v>#VALUE!</v>
      </c>
      <c r="AE53" s="215" t="e">
        <f t="shared" ca="1" si="10"/>
        <v>#VALUE!</v>
      </c>
      <c r="AJ53" t="b">
        <f t="shared" si="11"/>
        <v>0</v>
      </c>
      <c r="AK53" t="b">
        <f t="shared" ca="1" si="12"/>
        <v>0</v>
      </c>
      <c r="AL53" t="b">
        <f t="shared" ca="1" si="13"/>
        <v>0</v>
      </c>
      <c r="AM53" t="b">
        <f t="shared" ca="1" si="14"/>
        <v>0</v>
      </c>
      <c r="AN53" t="b">
        <f t="shared" ca="1" si="15"/>
        <v>0</v>
      </c>
      <c r="AO53" t="b">
        <f t="shared" ca="1" si="16"/>
        <v>0</v>
      </c>
      <c r="AP53" t="b">
        <f t="shared" ca="1" si="17"/>
        <v>0</v>
      </c>
      <c r="AQ53" t="b">
        <f t="shared" ca="1" si="18"/>
        <v>0</v>
      </c>
      <c r="AR53" t="b">
        <f t="shared" ca="1" si="19"/>
        <v>0</v>
      </c>
      <c r="AS53" t="b">
        <f t="shared" ca="1" si="20"/>
        <v>0</v>
      </c>
      <c r="AT53" t="b">
        <f t="shared" ca="1" si="21"/>
        <v>0</v>
      </c>
      <c r="AU53" t="b">
        <f t="shared" ca="1" si="22"/>
        <v>0</v>
      </c>
      <c r="AV53" t="b">
        <f t="shared" ca="1" si="23"/>
        <v>0</v>
      </c>
      <c r="AW53">
        <f t="shared" ca="1" si="29"/>
        <v>1</v>
      </c>
      <c r="AX53">
        <f t="shared" ca="1" si="30"/>
        <v>7</v>
      </c>
    </row>
    <row r="54" spans="1:50" hidden="1" x14ac:dyDescent="0.2">
      <c r="A54" s="45"/>
      <c r="B54" s="117" t="str">
        <f t="shared" ca="1" si="2"/>
        <v/>
      </c>
      <c r="C54" s="1" t="str">
        <f>IF(ISERROR(D54),"",IF(D54="","",MAX($C$12:C53)+1))</f>
        <v/>
      </c>
      <c r="D54" t="e">
        <f t="shared" si="3"/>
        <v>#N/A</v>
      </c>
      <c r="E54" s="15"/>
      <c r="F54" s="133" t="str">
        <f t="shared" ca="1" si="4"/>
        <v>N/A</v>
      </c>
      <c r="G54" s="133" t="str">
        <f t="shared" si="5"/>
        <v>N/A</v>
      </c>
      <c r="H54" s="133" t="str">
        <f ca="1">IFERROR(IF(VLOOKUP($A54,LASTYR,'2017'!$F$3,FALSE)=0,"N/A",VLOOKUP($A54,LASTYR,'2017'!$F$3,FALSE)),"N/A")</f>
        <v>N/A</v>
      </c>
      <c r="I54" s="133" t="str">
        <f ca="1">IFERROR(IF(INDEX(Earnings,$B54,I$12)=0,"N/A",INDEX(Earnings,$B54,I$12)),"N/A")</f>
        <v>N/A</v>
      </c>
      <c r="J54" s="133" t="str">
        <f t="shared" ref="J54:S57" ca="1" si="36">IFERROR(IF(INDEX(Dividends,$B54,J$12)=0,"N/A",INDEX(Dividends,$B54,J$12)),"N/A")</f>
        <v>N/A</v>
      </c>
      <c r="K54" s="133" t="str">
        <f t="shared" ca="1" si="36"/>
        <v>N/A</v>
      </c>
      <c r="L54" s="133" t="str">
        <f t="shared" ca="1" si="36"/>
        <v>N/A</v>
      </c>
      <c r="M54" s="133" t="str">
        <f t="shared" ca="1" si="36"/>
        <v>N/A</v>
      </c>
      <c r="N54" s="133" t="str">
        <f t="shared" ca="1" si="36"/>
        <v>N/A</v>
      </c>
      <c r="O54" s="133" t="str">
        <f t="shared" ca="1" si="36"/>
        <v>N/A</v>
      </c>
      <c r="P54" s="133" t="str">
        <f t="shared" ca="1" si="36"/>
        <v>N/A</v>
      </c>
      <c r="Q54" s="133" t="str">
        <f t="shared" ca="1" si="36"/>
        <v>N/A</v>
      </c>
      <c r="R54" s="133" t="str">
        <f t="shared" ca="1" si="36"/>
        <v>N/A</v>
      </c>
      <c r="S54" s="133" t="str">
        <f t="shared" ca="1" si="36"/>
        <v>N/A</v>
      </c>
      <c r="T54" s="80" t="str">
        <f t="shared" si="24"/>
        <v>N/A</v>
      </c>
      <c r="U54" s="80" t="str">
        <f t="shared" ca="1" si="25"/>
        <v>N/A</v>
      </c>
      <c r="V54" s="133" t="e">
        <f t="shared" ca="1" si="26"/>
        <v>#VALUE!</v>
      </c>
      <c r="W54" s="80" t="e">
        <f t="shared" ca="1" si="27"/>
        <v>#VALUE!</v>
      </c>
      <c r="X54" s="80"/>
      <c r="Y54" s="211">
        <f t="shared" si="34"/>
        <v>-2</v>
      </c>
      <c r="Z54" s="211">
        <v>43100</v>
      </c>
      <c r="AA54" s="209" t="str">
        <f>IFERROR(IF(VLOOKUP(A54,LUCurYr,16,FALSE)=0,"",VLOOKUP(A54,LUCurYr,16,FALSE)),"N/A")</f>
        <v>N/A</v>
      </c>
      <c r="AB54" s="213" t="e">
        <f t="shared" si="8"/>
        <v>#VALUE!</v>
      </c>
      <c r="AC54" s="214" t="e">
        <f t="shared" si="28"/>
        <v>#VALUE!</v>
      </c>
      <c r="AD54" s="214" t="e">
        <f t="shared" si="9"/>
        <v>#VALUE!</v>
      </c>
      <c r="AE54" s="215" t="e">
        <f t="shared" ca="1" si="10"/>
        <v>#VALUE!</v>
      </c>
      <c r="AF54" s="63"/>
      <c r="AG54" s="63"/>
      <c r="AH54" s="63"/>
      <c r="AI54" s="63"/>
    </row>
    <row r="55" spans="1:50" hidden="1" x14ac:dyDescent="0.2">
      <c r="A55" s="51"/>
      <c r="B55" s="117" t="str">
        <f t="shared" ca="1" si="2"/>
        <v/>
      </c>
      <c r="C55" s="1" t="str">
        <f>IF(ISERROR(D55),"",IF(D55="","",MAX($C$12:C54)+1))</f>
        <v/>
      </c>
      <c r="D55" t="e">
        <f t="shared" si="3"/>
        <v>#N/A</v>
      </c>
      <c r="F55" s="133" t="str">
        <f t="shared" ca="1" si="4"/>
        <v>N/A</v>
      </c>
      <c r="G55" s="133" t="str">
        <f t="shared" si="5"/>
        <v>N/A</v>
      </c>
      <c r="H55" s="133" t="str">
        <f ca="1">IFERROR(IF(VLOOKUP($A55,LASTYR,'2017'!$F$3,FALSE)=0,"N/A",VLOOKUP($A55,LASTYR,'2017'!$F$3,FALSE)),"N/A")</f>
        <v>N/A</v>
      </c>
      <c r="I55" s="133" t="str">
        <f ca="1">IFERROR(IF(INDEX(Earnings,$B55,I$12)=0,"N/A",INDEX(Earnings,$B55,I$12)),"N/A")</f>
        <v>N/A</v>
      </c>
      <c r="J55" s="133" t="str">
        <f t="shared" ca="1" si="36"/>
        <v>N/A</v>
      </c>
      <c r="K55" s="133" t="str">
        <f t="shared" ca="1" si="36"/>
        <v>N/A</v>
      </c>
      <c r="L55" s="133" t="str">
        <f t="shared" ca="1" si="36"/>
        <v>N/A</v>
      </c>
      <c r="M55" s="133" t="str">
        <f t="shared" ca="1" si="36"/>
        <v>N/A</v>
      </c>
      <c r="N55" s="133" t="str">
        <f t="shared" ca="1" si="36"/>
        <v>N/A</v>
      </c>
      <c r="O55" s="133" t="str">
        <f t="shared" ca="1" si="36"/>
        <v>N/A</v>
      </c>
      <c r="P55" s="133" t="str">
        <f t="shared" ca="1" si="36"/>
        <v>N/A</v>
      </c>
      <c r="Q55" s="133" t="str">
        <f t="shared" ca="1" si="36"/>
        <v>N/A</v>
      </c>
      <c r="R55" s="133" t="str">
        <f t="shared" ca="1" si="36"/>
        <v>N/A</v>
      </c>
      <c r="S55" s="133" t="str">
        <f t="shared" ca="1" si="36"/>
        <v>N/A</v>
      </c>
      <c r="T55" s="80" t="str">
        <f t="shared" si="24"/>
        <v>N/A</v>
      </c>
      <c r="U55" s="80" t="str">
        <f t="shared" ca="1" si="25"/>
        <v>N/A</v>
      </c>
      <c r="V55" s="133" t="e">
        <f t="shared" ca="1" si="26"/>
        <v>#VALUE!</v>
      </c>
      <c r="W55" s="80" t="e">
        <f t="shared" ca="1" si="27"/>
        <v>#VALUE!</v>
      </c>
      <c r="X55" s="80"/>
      <c r="Y55" s="211">
        <f t="shared" si="34"/>
        <v>-2</v>
      </c>
      <c r="Z55" s="211">
        <v>43100</v>
      </c>
      <c r="AA55" s="209" t="str">
        <f>IFERROR(IF(VLOOKUP(A55,LUCurYr,16,FALSE)=0,"",VLOOKUP(A55,LUCurYr,16,FALSE)),"N/A")</f>
        <v>N/A</v>
      </c>
      <c r="AB55" s="213" t="e">
        <f t="shared" si="8"/>
        <v>#VALUE!</v>
      </c>
      <c r="AC55" s="214" t="e">
        <f t="shared" si="28"/>
        <v>#VALUE!</v>
      </c>
      <c r="AD55" s="214" t="e">
        <f t="shared" si="9"/>
        <v>#VALUE!</v>
      </c>
      <c r="AE55" s="215" t="e">
        <f t="shared" ca="1" si="10"/>
        <v>#VALUE!</v>
      </c>
      <c r="AF55" s="63"/>
      <c r="AG55" s="63"/>
      <c r="AH55" s="63"/>
      <c r="AI55" s="63"/>
    </row>
    <row r="56" spans="1:50" hidden="1" x14ac:dyDescent="0.2">
      <c r="A56" s="51"/>
      <c r="B56" s="117" t="str">
        <f t="shared" ca="1" si="2"/>
        <v/>
      </c>
      <c r="C56" s="1" t="str">
        <f>IF(ISERROR(D56),"",IF(D56="","",MAX($C$12:C55)+1))</f>
        <v/>
      </c>
      <c r="D56" t="e">
        <f t="shared" si="3"/>
        <v>#N/A</v>
      </c>
      <c r="F56" s="133" t="str">
        <f t="shared" ca="1" si="4"/>
        <v>N/A</v>
      </c>
      <c r="G56" s="133" t="str">
        <f t="shared" si="5"/>
        <v>N/A</v>
      </c>
      <c r="H56" s="133" t="str">
        <f ca="1">IFERROR(IF(VLOOKUP($A56,LASTYR,'2017'!$F$3,FALSE)=0,"N/A",VLOOKUP($A56,LASTYR,'2017'!$F$3,FALSE)),"N/A")</f>
        <v>N/A</v>
      </c>
      <c r="I56" s="133" t="str">
        <f ca="1">IFERROR(IF(INDEX(Earnings,$B56,I$12)=0,"N/A",INDEX(Earnings,$B56,I$12)),"N/A")</f>
        <v>N/A</v>
      </c>
      <c r="J56" s="133" t="str">
        <f t="shared" ca="1" si="36"/>
        <v>N/A</v>
      </c>
      <c r="K56" s="133" t="str">
        <f t="shared" ca="1" si="36"/>
        <v>N/A</v>
      </c>
      <c r="L56" s="133" t="str">
        <f t="shared" ca="1" si="36"/>
        <v>N/A</v>
      </c>
      <c r="M56" s="133" t="str">
        <f t="shared" ca="1" si="36"/>
        <v>N/A</v>
      </c>
      <c r="N56" s="133" t="str">
        <f t="shared" ca="1" si="36"/>
        <v>N/A</v>
      </c>
      <c r="O56" s="133" t="str">
        <f t="shared" ca="1" si="36"/>
        <v>N/A</v>
      </c>
      <c r="P56" s="133" t="str">
        <f t="shared" ca="1" si="36"/>
        <v>N/A</v>
      </c>
      <c r="Q56" s="133" t="str">
        <f t="shared" ca="1" si="36"/>
        <v>N/A</v>
      </c>
      <c r="R56" s="133" t="str">
        <f t="shared" ca="1" si="36"/>
        <v>N/A</v>
      </c>
      <c r="S56" s="133" t="str">
        <f t="shared" ca="1" si="36"/>
        <v>N/A</v>
      </c>
      <c r="T56" s="80" t="str">
        <f t="shared" si="24"/>
        <v>N/A</v>
      </c>
      <c r="U56" s="80" t="str">
        <f t="shared" ca="1" si="25"/>
        <v>N/A</v>
      </c>
      <c r="V56" s="133" t="e">
        <f t="shared" ca="1" si="26"/>
        <v>#VALUE!</v>
      </c>
      <c r="W56" s="80" t="e">
        <f t="shared" ca="1" si="27"/>
        <v>#VALUE!</v>
      </c>
      <c r="X56" s="80"/>
      <c r="Y56" s="211">
        <f t="shared" si="34"/>
        <v>-2</v>
      </c>
      <c r="Z56" s="211">
        <v>43100</v>
      </c>
      <c r="AA56" s="209" t="str">
        <f>IFERROR(IF(VLOOKUP(A56,LUCurYr,16,FALSE)=0,"",VLOOKUP(A56,LUCurYr,16,FALSE)),"N/A")</f>
        <v>N/A</v>
      </c>
      <c r="AB56" s="213" t="e">
        <f t="shared" si="8"/>
        <v>#VALUE!</v>
      </c>
      <c r="AC56" s="214" t="e">
        <f t="shared" si="28"/>
        <v>#VALUE!</v>
      </c>
      <c r="AD56" s="214" t="e">
        <f t="shared" si="9"/>
        <v>#VALUE!</v>
      </c>
      <c r="AE56" s="215" t="e">
        <f t="shared" ca="1" si="10"/>
        <v>#VALUE!</v>
      </c>
      <c r="AF56" s="63"/>
      <c r="AG56" s="63"/>
      <c r="AH56" s="63"/>
      <c r="AI56" s="63"/>
    </row>
    <row r="57" spans="1:50" hidden="1" x14ac:dyDescent="0.2">
      <c r="A57" s="51"/>
      <c r="B57" s="117" t="str">
        <f t="shared" ca="1" si="2"/>
        <v/>
      </c>
      <c r="C57" s="1" t="str">
        <f>IF(ISERROR(D57),"",IF(D57="","",MAX($C$12:C56)+1))</f>
        <v/>
      </c>
      <c r="D57" t="e">
        <f t="shared" si="3"/>
        <v>#N/A</v>
      </c>
      <c r="F57" s="133" t="str">
        <f t="shared" ca="1" si="4"/>
        <v>N/A</v>
      </c>
      <c r="G57" s="133" t="str">
        <f t="shared" si="5"/>
        <v>N/A</v>
      </c>
      <c r="H57" s="133" t="str">
        <f ca="1">IFERROR(IF(VLOOKUP($A57,LASTYR,'2017'!$F$3,FALSE)=0,"N/A",VLOOKUP($A57,LASTYR,'2017'!$F$3,FALSE)),"N/A")</f>
        <v>N/A</v>
      </c>
      <c r="I57" s="133" t="str">
        <f ca="1">IFERROR(IF(INDEX(Earnings,$B57,I$12)=0,"N/A",INDEX(Earnings,$B57,I$12)),"N/A")</f>
        <v>N/A</v>
      </c>
      <c r="J57" s="133" t="str">
        <f t="shared" ca="1" si="36"/>
        <v>N/A</v>
      </c>
      <c r="K57" s="133" t="str">
        <f t="shared" ca="1" si="36"/>
        <v>N/A</v>
      </c>
      <c r="L57" s="133" t="str">
        <f t="shared" ca="1" si="36"/>
        <v>N/A</v>
      </c>
      <c r="M57" s="133" t="str">
        <f t="shared" ca="1" si="36"/>
        <v>N/A</v>
      </c>
      <c r="N57" s="133" t="str">
        <f t="shared" ca="1" si="36"/>
        <v>N/A</v>
      </c>
      <c r="O57" s="133" t="str">
        <f t="shared" ca="1" si="36"/>
        <v>N/A</v>
      </c>
      <c r="P57" s="133" t="str">
        <f t="shared" ca="1" si="36"/>
        <v>N/A</v>
      </c>
      <c r="Q57" s="133" t="str">
        <f t="shared" ca="1" si="36"/>
        <v>N/A</v>
      </c>
      <c r="R57" s="133" t="str">
        <f t="shared" ca="1" si="36"/>
        <v>N/A</v>
      </c>
      <c r="S57" s="133" t="str">
        <f t="shared" ca="1" si="36"/>
        <v>N/A</v>
      </c>
      <c r="T57" s="80" t="str">
        <f t="shared" si="24"/>
        <v>N/A</v>
      </c>
      <c r="U57" s="80" t="str">
        <f t="shared" ca="1" si="25"/>
        <v>N/A</v>
      </c>
      <c r="V57" s="133" t="e">
        <f t="shared" ca="1" si="26"/>
        <v>#VALUE!</v>
      </c>
      <c r="W57" s="80" t="e">
        <f t="shared" ca="1" si="27"/>
        <v>#VALUE!</v>
      </c>
      <c r="X57" s="80"/>
      <c r="Y57" s="211">
        <f t="shared" si="34"/>
        <v>-2</v>
      </c>
      <c r="Z57" s="211">
        <v>43100</v>
      </c>
      <c r="AA57" s="209" t="str">
        <f>IFERROR(IF(VLOOKUP(A57,LUCurYr,16,FALSE)=0,"",VLOOKUP(A57,LUCurYr,16,FALSE)),"N/A")</f>
        <v>N/A</v>
      </c>
      <c r="AB57" s="213" t="e">
        <f t="shared" si="8"/>
        <v>#VALUE!</v>
      </c>
      <c r="AC57" s="214" t="e">
        <f t="shared" si="28"/>
        <v>#VALUE!</v>
      </c>
      <c r="AD57" s="214" t="e">
        <f t="shared" si="9"/>
        <v>#VALUE!</v>
      </c>
      <c r="AE57" s="215" t="e">
        <f t="shared" ca="1" si="10"/>
        <v>#VALUE!</v>
      </c>
      <c r="AF57" s="63"/>
      <c r="AG57" s="63"/>
      <c r="AH57" s="63"/>
      <c r="AI57" s="63"/>
    </row>
    <row r="58" spans="1:50" x14ac:dyDescent="0.2">
      <c r="A58" s="31"/>
      <c r="B58" s="31"/>
      <c r="C58" s="1" t="str">
        <f>IF(ISERROR(D58),"",IF(D58="","",MAX($C$12:C57)+1))</f>
        <v/>
      </c>
      <c r="F58" s="80"/>
      <c r="G58" s="80"/>
      <c r="H58" s="80"/>
      <c r="I58" s="133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133"/>
      <c r="W58" s="80"/>
      <c r="X58" s="80"/>
      <c r="Y58" s="211"/>
      <c r="Z58" s="211"/>
      <c r="AA58" s="209"/>
      <c r="AB58" s="213"/>
      <c r="AC58" s="214"/>
      <c r="AD58" s="214"/>
      <c r="AE58" s="215" t="e">
        <f t="shared" si="10"/>
        <v>#DIV/0!</v>
      </c>
      <c r="AF58" s="63"/>
      <c r="AG58" s="63"/>
      <c r="AH58" s="63"/>
      <c r="AI58" s="63"/>
    </row>
    <row r="59" spans="1:50" ht="15" x14ac:dyDescent="0.25">
      <c r="A59" s="31"/>
      <c r="B59" s="31"/>
      <c r="C59" s="1">
        <f ca="1">IF(ISERROR(D59),"",IF(D59="","",MAX($C$12:C58)+1))</f>
        <v>12</v>
      </c>
      <c r="D59" s="111" t="s">
        <v>98</v>
      </c>
      <c r="E59" s="111"/>
      <c r="F59" s="135">
        <f ca="1">AVERAGE(G59:S59)</f>
        <v>2.059141258741259</v>
      </c>
      <c r="G59" s="135">
        <f t="shared" ref="G59:R59" si="37">AVERAGE(G13:G58)</f>
        <v>2.9509999999999996</v>
      </c>
      <c r="H59" s="135">
        <f t="shared" ca="1" si="37"/>
        <v>2.1054545454545455</v>
      </c>
      <c r="I59" s="135">
        <f t="shared" ca="1" si="37"/>
        <v>2.4272727272727277</v>
      </c>
      <c r="J59" s="135">
        <f t="shared" ca="1" si="37"/>
        <v>2.2790909090909093</v>
      </c>
      <c r="K59" s="135">
        <f t="shared" ca="1" si="37"/>
        <v>2.2668181818181821</v>
      </c>
      <c r="L59" s="135">
        <f t="shared" ca="1" si="37"/>
        <v>2.0483000000000002</v>
      </c>
      <c r="M59" s="135">
        <f t="shared" ca="1" si="37"/>
        <v>2.0055999999999998</v>
      </c>
      <c r="N59" s="135">
        <f t="shared" ca="1" si="37"/>
        <v>1.9260999999999999</v>
      </c>
      <c r="O59" s="135">
        <f t="shared" ca="1" si="37"/>
        <v>1.8907</v>
      </c>
      <c r="P59" s="135">
        <f t="shared" ca="1" si="37"/>
        <v>1.8425999999999998</v>
      </c>
      <c r="Q59" s="135">
        <f t="shared" ca="1" si="37"/>
        <v>1.7584</v>
      </c>
      <c r="R59" s="135">
        <f t="shared" ca="1" si="37"/>
        <v>1.6484999999999999</v>
      </c>
      <c r="S59" s="135">
        <f ca="1">AVERAGE(S13:S58)</f>
        <v>1.6190000000000002</v>
      </c>
      <c r="T59" s="115">
        <f t="shared" ref="T59:U59" ca="1" si="38">AVERAGE(T13:T58)</f>
        <v>5.9707963458458489E-2</v>
      </c>
      <c r="U59" s="115">
        <f t="shared" ca="1" si="38"/>
        <v>4.3742564699956743E-2</v>
      </c>
      <c r="V59" s="136"/>
      <c r="W59" s="136"/>
      <c r="X59" s="136"/>
      <c r="Y59" s="136"/>
      <c r="Z59" s="136"/>
      <c r="AA59" s="63"/>
      <c r="AB59" s="63"/>
      <c r="AC59" s="63"/>
      <c r="AD59" s="63"/>
      <c r="AE59" s="63"/>
      <c r="AF59" s="63"/>
      <c r="AG59" s="63"/>
      <c r="AH59" s="63"/>
      <c r="AI59" s="63"/>
    </row>
    <row r="60" spans="1:50" x14ac:dyDescent="0.2">
      <c r="A60" s="31"/>
      <c r="B60" s="31"/>
      <c r="C60" s="1"/>
      <c r="F60" s="80"/>
      <c r="G60" s="80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133"/>
      <c r="T60" s="63"/>
      <c r="U60" s="63"/>
      <c r="V60" s="63"/>
      <c r="W60" s="63"/>
      <c r="X60" s="63"/>
      <c r="Y60" s="63"/>
      <c r="Z60" s="63"/>
      <c r="AA60" s="63"/>
      <c r="AB60" s="63"/>
      <c r="AC60" s="63"/>
      <c r="AD60" s="63"/>
      <c r="AE60" s="63"/>
      <c r="AF60" s="63"/>
      <c r="AG60" s="63"/>
      <c r="AH60" s="63"/>
      <c r="AI60" s="63"/>
    </row>
    <row r="61" spans="1:50" ht="15" x14ac:dyDescent="0.25">
      <c r="A61" s="31"/>
      <c r="B61" s="31"/>
      <c r="C61" s="1">
        <f ca="1">C59+1</f>
        <v>13</v>
      </c>
      <c r="D61" s="111" t="s">
        <v>378</v>
      </c>
      <c r="F61" s="136">
        <f ca="1">(G59/S59)^(1/COUNT(H10:S10))-1</f>
        <v>5.130048167681811E-2</v>
      </c>
    </row>
    <row r="62" spans="1:50" s="102" customFormat="1" ht="15" x14ac:dyDescent="0.25">
      <c r="C62" s="10"/>
      <c r="D62" s="10"/>
      <c r="E62" s="10"/>
      <c r="F62" s="12"/>
      <c r="G62" s="133"/>
      <c r="H62" s="133"/>
      <c r="I62" s="133"/>
      <c r="J62" s="133"/>
      <c r="K62" s="133"/>
      <c r="L62" s="133"/>
      <c r="M62" s="133"/>
      <c r="N62" s="133"/>
      <c r="O62" s="133"/>
      <c r="P62" s="133"/>
      <c r="Q62" s="133"/>
      <c r="R62" s="133"/>
      <c r="S62" s="133"/>
      <c r="T62" s="12"/>
      <c r="U62" s="80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</row>
    <row r="63" spans="1:50" s="102" customFormat="1" x14ac:dyDescent="0.2">
      <c r="B63" s="105"/>
      <c r="C63" s="106"/>
      <c r="E63" s="20"/>
      <c r="F63" s="104"/>
      <c r="G63" s="104"/>
      <c r="H63" s="104"/>
      <c r="I63" s="104"/>
      <c r="J63" s="206"/>
      <c r="K63" s="104"/>
      <c r="L63" s="104"/>
      <c r="M63" s="104"/>
      <c r="N63" s="104"/>
      <c r="O63" s="104"/>
      <c r="P63" s="104"/>
      <c r="Q63" s="104"/>
      <c r="R63" s="104"/>
      <c r="S63" s="104"/>
      <c r="T63" s="104"/>
      <c r="U63" s="104"/>
      <c r="V63" s="104"/>
      <c r="W63" s="104"/>
      <c r="X63" s="104"/>
      <c r="Y63" s="104"/>
      <c r="Z63" s="104"/>
      <c r="AA63" s="104"/>
      <c r="AB63" s="104"/>
      <c r="AC63" s="104"/>
      <c r="AD63" s="104"/>
      <c r="AE63" s="104"/>
      <c r="AF63" s="104"/>
      <c r="AG63" s="104"/>
      <c r="AH63" s="104"/>
      <c r="AI63" s="104"/>
    </row>
    <row r="64" spans="1:50" s="102" customFormat="1" x14ac:dyDescent="0.2">
      <c r="B64" s="105"/>
      <c r="C64" s="106"/>
      <c r="E64" s="20"/>
      <c r="F64" s="104"/>
      <c r="G64" s="104"/>
      <c r="H64" s="104"/>
      <c r="I64" s="104"/>
      <c r="J64" s="104"/>
      <c r="K64" s="104"/>
      <c r="L64" s="104"/>
      <c r="M64" s="104"/>
      <c r="N64" s="104"/>
      <c r="O64" s="104"/>
      <c r="P64" s="104"/>
      <c r="Q64" s="104"/>
      <c r="R64" s="104"/>
      <c r="S64" s="104"/>
      <c r="T64" s="104"/>
      <c r="U64" s="104"/>
      <c r="V64" s="104"/>
      <c r="W64" s="104"/>
      <c r="X64" s="104"/>
      <c r="Y64" s="104"/>
      <c r="Z64" s="104"/>
      <c r="AA64" s="104"/>
      <c r="AB64" s="104"/>
      <c r="AC64" s="104"/>
      <c r="AD64" s="104"/>
      <c r="AE64" s="104"/>
      <c r="AF64" s="104"/>
      <c r="AG64" s="104"/>
      <c r="AH64" s="104"/>
      <c r="AI64" s="104"/>
    </row>
    <row r="65" spans="1:35" s="102" customFormat="1" x14ac:dyDescent="0.2">
      <c r="B65" s="105"/>
      <c r="C65" s="106"/>
      <c r="D65" s="18"/>
      <c r="E65" s="91"/>
      <c r="F65"/>
      <c r="G65"/>
      <c r="H65"/>
      <c r="I65"/>
      <c r="J65" s="104"/>
      <c r="K65" s="104"/>
      <c r="L65" s="104"/>
      <c r="M65" s="104"/>
      <c r="N65" s="104"/>
      <c r="O65" s="207"/>
      <c r="P65" s="104"/>
      <c r="Q65" s="104"/>
      <c r="R65" s="104"/>
      <c r="S65" s="104"/>
      <c r="T65" s="103"/>
      <c r="U65" s="103"/>
      <c r="V65" s="103"/>
      <c r="W65" s="103"/>
      <c r="X65" s="103"/>
      <c r="Y65" s="103"/>
      <c r="Z65" s="103"/>
      <c r="AA65" s="103"/>
      <c r="AB65" s="103"/>
      <c r="AC65" s="103"/>
      <c r="AD65" s="103"/>
      <c r="AE65" s="103"/>
      <c r="AF65" s="103"/>
      <c r="AG65" s="103"/>
      <c r="AH65" s="103"/>
      <c r="AI65" s="103"/>
    </row>
    <row r="66" spans="1:35" s="102" customFormat="1" x14ac:dyDescent="0.2">
      <c r="B66" s="105"/>
      <c r="C66" s="1"/>
      <c r="D66" s="20" t="s">
        <v>107</v>
      </c>
      <c r="E66"/>
      <c r="F66"/>
      <c r="G66"/>
      <c r="H66"/>
      <c r="I66"/>
      <c r="J66" s="104"/>
      <c r="K66" s="104"/>
      <c r="L66" s="104"/>
      <c r="M66" s="104"/>
      <c r="N66" s="104"/>
      <c r="O66" s="207"/>
      <c r="P66" s="104"/>
      <c r="Q66" s="104"/>
      <c r="R66" s="104"/>
      <c r="S66" s="104"/>
      <c r="T66" s="103"/>
      <c r="U66" s="103"/>
      <c r="V66" s="103"/>
      <c r="W66" s="103"/>
      <c r="X66" s="103"/>
      <c r="Y66" s="103"/>
      <c r="Z66" s="103"/>
      <c r="AA66" s="103"/>
      <c r="AB66" s="103"/>
      <c r="AC66" s="103"/>
      <c r="AD66" s="103"/>
      <c r="AE66" s="103"/>
      <c r="AF66" s="103"/>
      <c r="AG66" s="103"/>
      <c r="AH66" s="103"/>
      <c r="AI66" s="103"/>
    </row>
    <row r="67" spans="1:35" s="102" customFormat="1" ht="16.5" x14ac:dyDescent="0.2">
      <c r="B67" s="105"/>
      <c r="C67"/>
      <c r="D67" s="79">
        <v>1</v>
      </c>
      <c r="E67" s="21" t="str">
        <f>"The Value Line Investment Survey Investment Analyzer Software, downloaded on "&amp;TEXT('2017'!$A$1,"mmmm d, yyyy.")</f>
        <v>The Value Line Investment Survey Investment Analyzer Software, downloaded on June 21, 2018.</v>
      </c>
      <c r="F67"/>
      <c r="G67"/>
      <c r="H67"/>
      <c r="I67"/>
      <c r="J67"/>
      <c r="K67"/>
      <c r="L67"/>
      <c r="M67"/>
      <c r="N67"/>
      <c r="O67" s="2"/>
      <c r="P67"/>
      <c r="Q67"/>
      <c r="R67"/>
      <c r="S67"/>
      <c r="T67" s="103"/>
      <c r="U67" s="103"/>
      <c r="V67" s="103"/>
      <c r="W67" s="103"/>
      <c r="X67" s="103"/>
      <c r="Y67" s="103"/>
      <c r="Z67" s="103"/>
      <c r="AA67" s="103"/>
      <c r="AB67" s="103"/>
      <c r="AC67" s="103"/>
      <c r="AD67" s="103"/>
      <c r="AE67" s="103"/>
      <c r="AF67" s="103"/>
      <c r="AG67" s="103"/>
      <c r="AH67" s="103"/>
      <c r="AI67" s="103"/>
    </row>
    <row r="68" spans="1:35" ht="16.5" x14ac:dyDescent="0.2">
      <c r="A68" s="31"/>
      <c r="B68" s="31"/>
      <c r="D68" s="79">
        <v>2</v>
      </c>
      <c r="E68" s="21" t="str">
        <f>"The Value Line Investment Survey, "&amp;'2018 Data (WP)'!$D$2</f>
        <v>The Value Line Investment Survey, November 30, 2018.</v>
      </c>
    </row>
    <row r="69" spans="1:35" x14ac:dyDescent="0.2">
      <c r="A69" s="31"/>
      <c r="B69" s="31"/>
      <c r="D69" s="20" t="s">
        <v>329</v>
      </c>
    </row>
    <row r="70" spans="1:35" x14ac:dyDescent="0.2">
      <c r="D70" t="s">
        <v>379</v>
      </c>
    </row>
  </sheetData>
  <mergeCells count="5">
    <mergeCell ref="D10:E10"/>
    <mergeCell ref="F8:S8"/>
    <mergeCell ref="C5:S5"/>
    <mergeCell ref="C4:S4"/>
    <mergeCell ref="C1:S1"/>
  </mergeCells>
  <printOptions horizontalCentered="1"/>
  <pageMargins left="0.7" right="0.7" top="1" bottom="0.75" header="0.55000000000000004" footer="0.51"/>
  <pageSetup scale="66" orientation="landscape" useFirstPageNumber="1" r:id="rId1"/>
  <headerFooter>
    <oddHeader>&amp;R&amp;19Exhibit MPG-2
Page 5 of 5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>
    <pageSetUpPr fitToPage="1"/>
  </sheetPr>
  <dimension ref="A1:W180"/>
  <sheetViews>
    <sheetView topLeftCell="B1" zoomScale="80" zoomScaleNormal="80" workbookViewId="0">
      <selection activeCell="O78" sqref="O78"/>
    </sheetView>
  </sheetViews>
  <sheetFormatPr defaultRowHeight="14.25" x14ac:dyDescent="0.2"/>
  <cols>
    <col min="1" max="2" width="8" customWidth="1"/>
    <col min="3" max="3" width="4.75" bestFit="1" customWidth="1"/>
    <col min="4" max="4" width="1.75" customWidth="1"/>
    <col min="5" max="5" width="19.875" customWidth="1"/>
    <col min="6" max="19" width="9" customWidth="1"/>
    <col min="20" max="20" width="9" hidden="1" customWidth="1"/>
    <col min="21" max="23" width="0" hidden="1" customWidth="1"/>
  </cols>
  <sheetData>
    <row r="1" spans="1:23" ht="27.75" x14ac:dyDescent="0.4">
      <c r="C1" s="236" t="str">
        <f>GasU</f>
        <v>Enter Utility Name</v>
      </c>
      <c r="D1" s="236"/>
      <c r="E1" s="236"/>
      <c r="F1" s="236"/>
      <c r="G1" s="236"/>
      <c r="H1" s="236"/>
      <c r="I1" s="236"/>
      <c r="J1" s="236"/>
      <c r="K1" s="236"/>
      <c r="L1" s="236"/>
      <c r="M1" s="236"/>
      <c r="N1" s="236"/>
      <c r="O1" s="236"/>
      <c r="P1" s="236"/>
      <c r="Q1" s="236"/>
      <c r="R1" s="236"/>
      <c r="S1" s="236"/>
      <c r="T1" s="236"/>
      <c r="U1" s="236"/>
      <c r="V1" s="236"/>
      <c r="W1" s="236"/>
    </row>
    <row r="2" spans="1:23" x14ac:dyDescent="0.2">
      <c r="C2" s="4"/>
      <c r="D2" s="5"/>
      <c r="E2" s="6"/>
      <c r="F2" s="6"/>
      <c r="G2" s="6"/>
      <c r="H2" s="6"/>
      <c r="I2" s="6"/>
      <c r="J2" s="6"/>
      <c r="K2" s="6"/>
      <c r="L2" s="6"/>
      <c r="M2" s="6"/>
      <c r="N2" s="6"/>
      <c r="O2" s="7"/>
      <c r="P2" s="7"/>
      <c r="Q2" s="7"/>
      <c r="R2" s="7"/>
      <c r="S2" s="7"/>
      <c r="T2" s="7"/>
      <c r="U2" s="7"/>
      <c r="V2" s="7"/>
    </row>
    <row r="3" spans="1:23" x14ac:dyDescent="0.2">
      <c r="C3" s="4"/>
      <c r="D3" s="5"/>
      <c r="E3" s="6"/>
      <c r="F3" s="6"/>
      <c r="G3" s="6"/>
      <c r="H3" s="6"/>
      <c r="I3" s="6"/>
      <c r="J3" s="6"/>
      <c r="K3" s="6"/>
      <c r="L3" s="6"/>
      <c r="M3" s="6"/>
      <c r="N3" s="6"/>
      <c r="O3" s="7"/>
      <c r="P3" s="7"/>
      <c r="Q3" s="7"/>
      <c r="R3" s="7"/>
      <c r="S3" s="7"/>
      <c r="T3" s="7"/>
      <c r="U3" s="7"/>
      <c r="V3" s="7"/>
    </row>
    <row r="4" spans="1:23" ht="20.25" x14ac:dyDescent="0.3">
      <c r="C4" s="237" t="s">
        <v>273</v>
      </c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</row>
    <row r="5" spans="1:23" ht="18" x14ac:dyDescent="0.25">
      <c r="C5" s="238" t="s">
        <v>274</v>
      </c>
      <c r="D5" s="238"/>
      <c r="E5" s="238"/>
      <c r="F5" s="238"/>
      <c r="G5" s="238"/>
      <c r="H5" s="238"/>
      <c r="I5" s="238"/>
      <c r="J5" s="238"/>
      <c r="K5" s="238"/>
      <c r="L5" s="238"/>
      <c r="M5" s="238"/>
      <c r="N5" s="238"/>
      <c r="O5" s="238"/>
      <c r="P5" s="238"/>
      <c r="Q5" s="238"/>
      <c r="R5" s="238"/>
      <c r="S5" s="238"/>
      <c r="T5" s="238"/>
      <c r="U5" s="238"/>
      <c r="V5" s="238"/>
      <c r="W5" s="238"/>
    </row>
    <row r="6" spans="1:23" x14ac:dyDescent="0.2">
      <c r="C6" s="6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3" x14ac:dyDescent="0.2">
      <c r="C7" s="6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3" ht="17.25" x14ac:dyDescent="0.25">
      <c r="C8" s="6"/>
      <c r="D8" s="7"/>
      <c r="E8" s="7"/>
      <c r="F8" s="239" t="s">
        <v>330</v>
      </c>
      <c r="G8" s="239"/>
      <c r="H8" s="239"/>
      <c r="I8" s="239"/>
      <c r="J8" s="239"/>
      <c r="K8" s="239"/>
      <c r="L8" s="239"/>
      <c r="M8" s="239"/>
      <c r="N8" s="239"/>
      <c r="O8" s="239"/>
      <c r="P8" s="239"/>
      <c r="Q8" s="239"/>
      <c r="R8" s="239"/>
      <c r="S8" s="239"/>
      <c r="T8" s="239"/>
      <c r="U8" s="239"/>
      <c r="V8" s="239"/>
      <c r="W8" s="239"/>
    </row>
    <row r="9" spans="1:23" ht="15" x14ac:dyDescent="0.25">
      <c r="A9" s="42" t="s">
        <v>99</v>
      </c>
      <c r="B9" s="42" t="s">
        <v>241</v>
      </c>
      <c r="C9" s="6"/>
      <c r="D9" s="7"/>
      <c r="E9" s="7"/>
      <c r="F9" s="8" t="s">
        <v>429</v>
      </c>
      <c r="G9" s="8"/>
      <c r="H9" s="8"/>
      <c r="I9" s="8"/>
      <c r="J9" s="8"/>
      <c r="K9" s="8"/>
      <c r="L9" s="8"/>
      <c r="M9" s="8"/>
      <c r="N9" s="7"/>
      <c r="O9" s="7"/>
      <c r="P9" s="7"/>
      <c r="Q9" s="7"/>
      <c r="R9" s="7"/>
      <c r="S9" s="7"/>
      <c r="T9" s="7"/>
      <c r="U9" s="7"/>
      <c r="V9" s="7"/>
    </row>
    <row r="10" spans="1:23" ht="17.25" x14ac:dyDescent="0.25">
      <c r="A10" s="42" t="s">
        <v>100</v>
      </c>
      <c r="B10" s="42" t="s">
        <v>242</v>
      </c>
      <c r="C10" s="9" t="s">
        <v>96</v>
      </c>
      <c r="D10" s="234" t="s">
        <v>97</v>
      </c>
      <c r="E10" s="234"/>
      <c r="F10" s="10" t="s">
        <v>98</v>
      </c>
      <c r="G10" s="41" t="s">
        <v>423</v>
      </c>
      <c r="H10" s="41">
        <v>2017</v>
      </c>
      <c r="I10" s="41">
        <v>2016</v>
      </c>
      <c r="J10" s="41">
        <v>2015</v>
      </c>
      <c r="K10" s="41">
        <v>2014</v>
      </c>
      <c r="L10" s="41">
        <v>2013</v>
      </c>
      <c r="M10" s="41">
        <v>2012</v>
      </c>
      <c r="N10" s="41">
        <v>2011</v>
      </c>
      <c r="O10" s="41">
        <v>2010</v>
      </c>
      <c r="P10" s="41">
        <v>2009</v>
      </c>
      <c r="Q10" s="41">
        <v>2008</v>
      </c>
      <c r="R10" s="41">
        <v>2007</v>
      </c>
      <c r="S10" s="41">
        <v>2006</v>
      </c>
      <c r="T10" s="41">
        <v>2005</v>
      </c>
      <c r="U10" s="41">
        <v>2004</v>
      </c>
      <c r="V10" s="41">
        <v>2003</v>
      </c>
      <c r="W10" s="41">
        <v>2002</v>
      </c>
    </row>
    <row r="11" spans="1:23" ht="15" x14ac:dyDescent="0.25">
      <c r="A11" s="42"/>
      <c r="B11" s="42"/>
      <c r="C11" s="9"/>
      <c r="D11" s="76"/>
      <c r="E11" s="76"/>
      <c r="F11" s="12">
        <v>-1</v>
      </c>
      <c r="G11" s="12">
        <f>+F11-1</f>
        <v>-2</v>
      </c>
      <c r="H11" s="12">
        <f t="shared" ref="H11:S11" si="0">+G11-1</f>
        <v>-3</v>
      </c>
      <c r="I11" s="12">
        <f t="shared" si="0"/>
        <v>-4</v>
      </c>
      <c r="J11" s="12">
        <f t="shared" si="0"/>
        <v>-5</v>
      </c>
      <c r="K11" s="12">
        <f t="shared" si="0"/>
        <v>-6</v>
      </c>
      <c r="L11" s="12">
        <f t="shared" si="0"/>
        <v>-7</v>
      </c>
      <c r="M11" s="12">
        <f t="shared" si="0"/>
        <v>-8</v>
      </c>
      <c r="N11" s="12">
        <f t="shared" si="0"/>
        <v>-9</v>
      </c>
      <c r="O11" s="12">
        <f t="shared" si="0"/>
        <v>-10</v>
      </c>
      <c r="P11" s="12">
        <f t="shared" si="0"/>
        <v>-11</v>
      </c>
      <c r="Q11" s="12">
        <f t="shared" si="0"/>
        <v>-12</v>
      </c>
      <c r="R11" s="12">
        <f t="shared" si="0"/>
        <v>-13</v>
      </c>
      <c r="S11" s="12">
        <f t="shared" si="0"/>
        <v>-14</v>
      </c>
      <c r="T11" s="12">
        <f t="shared" ref="T11:W11" si="1">+S11-1</f>
        <v>-15</v>
      </c>
      <c r="U11" s="12">
        <f t="shared" si="1"/>
        <v>-16</v>
      </c>
      <c r="V11" s="12">
        <f t="shared" si="1"/>
        <v>-17</v>
      </c>
      <c r="W11" s="12">
        <f t="shared" si="1"/>
        <v>-18</v>
      </c>
    </row>
    <row r="12" spans="1:23" ht="15" x14ac:dyDescent="0.25">
      <c r="A12" s="43"/>
      <c r="B12" s="44"/>
      <c r="C12" s="9"/>
      <c r="D12" s="14" t="s">
        <v>101</v>
      </c>
      <c r="E12" s="11"/>
      <c r="F12" s="36"/>
      <c r="G12" s="36"/>
      <c r="H12" s="36"/>
      <c r="I12" s="16">
        <f t="shared" ref="I12:W12" ca="1" si="2">MATCH(I10,OFFSET(DIV_BV_WP,-1,0,1,),0)</f>
        <v>6</v>
      </c>
      <c r="J12" s="16">
        <f t="shared" ca="1" si="2"/>
        <v>7</v>
      </c>
      <c r="K12" s="16">
        <f t="shared" ca="1" si="2"/>
        <v>8</v>
      </c>
      <c r="L12" s="16">
        <f t="shared" ca="1" si="2"/>
        <v>9</v>
      </c>
      <c r="M12" s="16">
        <f t="shared" ca="1" si="2"/>
        <v>10</v>
      </c>
      <c r="N12" s="16">
        <f t="shared" ca="1" si="2"/>
        <v>11</v>
      </c>
      <c r="O12" s="16">
        <f t="shared" ca="1" si="2"/>
        <v>12</v>
      </c>
      <c r="P12" s="16">
        <f t="shared" ca="1" si="2"/>
        <v>13</v>
      </c>
      <c r="Q12" s="16">
        <f t="shared" ca="1" si="2"/>
        <v>14</v>
      </c>
      <c r="R12" s="16">
        <f t="shared" ca="1" si="2"/>
        <v>15</v>
      </c>
      <c r="S12" s="16">
        <f t="shared" ca="1" si="2"/>
        <v>16</v>
      </c>
      <c r="T12" s="16" t="e">
        <f t="shared" ca="1" si="2"/>
        <v>#N/A</v>
      </c>
      <c r="U12" s="16" t="e">
        <f t="shared" ca="1" si="2"/>
        <v>#N/A</v>
      </c>
      <c r="V12" s="16" t="e">
        <f t="shared" ca="1" si="2"/>
        <v>#N/A</v>
      </c>
      <c r="W12" s="16" t="e">
        <f t="shared" ca="1" si="2"/>
        <v>#N/A</v>
      </c>
    </row>
    <row r="13" spans="1:23" x14ac:dyDescent="0.2">
      <c r="A13" s="45" t="s">
        <v>175</v>
      </c>
      <c r="B13" s="46">
        <f t="shared" ref="B13:B57" ca="1" si="3">IFERROR(MATCH(A13,OFFSET(DIV_BV_WP,0,0,,1),0),"")</f>
        <v>9</v>
      </c>
      <c r="C13" s="1">
        <f ca="1">IF(ISERROR(D13),"",IF(D13="","",MAX($C$12:C12)+1))</f>
        <v>1</v>
      </c>
      <c r="D13" t="str">
        <f t="shared" ref="D13:D57" ca="1" si="4">VLOOKUP(A13,LUCurYr,2,FALSE)</f>
        <v>Atmos Energy</v>
      </c>
      <c r="E13" s="15"/>
      <c r="F13" s="80">
        <f ca="1">IFERROR(AVERAGE(G13:S13),"N/A")</f>
        <v>5.2965158227796065E-2</v>
      </c>
      <c r="G13" s="80">
        <f t="shared" ref="G13:G57" si="5">IFERROR(IF(VLOOKUP(A13,LUCurYr,19,FALSE)=0,"",VLOOKUP(A13,LUCurYr,19,FALSE)),"N/A")</f>
        <v>4.5274212368728119E-2</v>
      </c>
      <c r="H13" s="80">
        <f ca="1">IFERROR(VLOOKUP($A13,LASTYR,'2017'!$N$3,FALSE),"N/A")</f>
        <v>4.8987589810581322E-2</v>
      </c>
      <c r="I13" s="80">
        <f t="shared" ref="I13:S28" ca="1" si="6">IFERROR(INDEX(DIV_BV_WP,$B13,I$12),"N/A")</f>
        <v>5.0418654902313856E-2</v>
      </c>
      <c r="J13" s="80">
        <f t="shared" ca="1" si="6"/>
        <v>4.955212502382314E-2</v>
      </c>
      <c r="K13" s="80">
        <f t="shared" ca="1" si="6"/>
        <v>4.8141040236801873E-2</v>
      </c>
      <c r="L13" s="80">
        <f t="shared" ca="1" si="6"/>
        <v>4.9176297024834024E-2</v>
      </c>
      <c r="M13" s="80">
        <f t="shared" ca="1" si="6"/>
        <v>5.2784577723378211E-2</v>
      </c>
      <c r="N13" s="80">
        <f t="shared" ca="1" si="6"/>
        <v>5.4447914164464727E-2</v>
      </c>
      <c r="O13" s="80">
        <f t="shared" ca="1" si="6"/>
        <v>5.5463576158940403E-2</v>
      </c>
      <c r="P13" s="80">
        <f t="shared" ca="1" si="6"/>
        <v>5.6124835239593523E-2</v>
      </c>
      <c r="Q13" s="80">
        <f t="shared" ca="1" si="6"/>
        <v>5.7519578779700015E-2</v>
      </c>
      <c r="R13" s="80">
        <f t="shared" ca="1" si="6"/>
        <v>5.8165954739616471E-2</v>
      </c>
      <c r="S13" s="80">
        <f t="shared" ca="1" si="6"/>
        <v>6.2490700788573127E-2</v>
      </c>
      <c r="T13" s="63"/>
      <c r="U13" s="63"/>
      <c r="V13" s="63"/>
      <c r="W13" s="63"/>
    </row>
    <row r="14" spans="1:23" x14ac:dyDescent="0.2">
      <c r="A14" s="45" t="s">
        <v>178</v>
      </c>
      <c r="B14" s="46">
        <f t="shared" ca="1" si="3"/>
        <v>16</v>
      </c>
      <c r="C14" s="1">
        <f ca="1">IF(ISERROR(D14),"",IF(D14="","",MAX($C$12:C13)+1))</f>
        <v>2</v>
      </c>
      <c r="D14" t="str">
        <f t="shared" ca="1" si="4"/>
        <v>Chesapeake Utilities</v>
      </c>
      <c r="E14" s="15"/>
      <c r="F14" s="80">
        <f t="shared" ref="F14:F57" ca="1" si="7">IFERROR(AVERAGE(G14:S14),"N/A")</f>
        <v>5.4144553791714491E-2</v>
      </c>
      <c r="G14" s="80">
        <f t="shared" si="5"/>
        <v>4.3710691823899368E-2</v>
      </c>
      <c r="H14" s="80">
        <f ca="1">IFERROR(VLOOKUP($A14,LASTYR,'2017'!$N$3,FALSE),"N/A")</f>
        <v>4.2348670722280109E-2</v>
      </c>
      <c r="I14" s="80">
        <f t="shared" ca="1" si="6"/>
        <v>4.3492562406344797E-2</v>
      </c>
      <c r="J14" s="80">
        <f t="shared" ca="1" si="6"/>
        <v>4.7755084637359835E-2</v>
      </c>
      <c r="K14" s="80">
        <f t="shared" ca="1" si="6"/>
        <v>5.1831341688526184E-2</v>
      </c>
      <c r="L14" s="80">
        <f t="shared" ca="1" si="6"/>
        <v>5.2536043978840367E-2</v>
      </c>
      <c r="M14" s="80">
        <f t="shared" ca="1" si="6"/>
        <v>5.3859964093357263E-2</v>
      </c>
      <c r="N14" s="80">
        <f t="shared" ca="1" si="6"/>
        <v>5.4237692215997148E-2</v>
      </c>
      <c r="O14" s="80">
        <f t="shared" ca="1" si="6"/>
        <v>5.4938115685779235E-2</v>
      </c>
      <c r="P14" s="80">
        <f t="shared" ca="1" si="6"/>
        <v>5.5954859944918382E-2</v>
      </c>
      <c r="Q14" s="80">
        <f t="shared" ca="1" si="6"/>
        <v>6.7149276085871193E-2</v>
      </c>
      <c r="R14" s="80">
        <f t="shared" ca="1" si="6"/>
        <v>6.657031117156946E-2</v>
      </c>
      <c r="S14" s="80">
        <f t="shared" ca="1" si="6"/>
        <v>6.9494584837545129E-2</v>
      </c>
      <c r="T14" s="63"/>
      <c r="U14" s="63"/>
      <c r="V14" s="63"/>
      <c r="W14" s="63"/>
    </row>
    <row r="15" spans="1:23" x14ac:dyDescent="0.2">
      <c r="A15" s="45" t="s">
        <v>190</v>
      </c>
      <c r="B15" s="46">
        <f t="shared" ca="1" si="3"/>
        <v>43</v>
      </c>
      <c r="C15" s="1">
        <f ca="1">IF(ISERROR(D15),"",IF(D15="","",MAX($C$12:C14)+1))</f>
        <v>3</v>
      </c>
      <c r="D15" t="str">
        <f t="shared" ca="1" si="4"/>
        <v>New Jersey Resources</v>
      </c>
      <c r="E15" s="15"/>
      <c r="F15" s="80">
        <f t="shared" ca="1" si="7"/>
        <v>7.2068620743017953E-2</v>
      </c>
      <c r="G15" s="80">
        <f t="shared" si="5"/>
        <v>6.8965517241379323E-2</v>
      </c>
      <c r="H15" s="80">
        <f ca="1">IFERROR(VLOOKUP($A15,LASTYR,'2017'!$N$3,FALSE),"N/A")</f>
        <v>7.2595281306715068E-2</v>
      </c>
      <c r="I15" s="80">
        <f t="shared" ca="1" si="6"/>
        <v>7.2149009791651328E-2</v>
      </c>
      <c r="J15" s="80">
        <f t="shared" ca="1" si="6"/>
        <v>7.1565986918045416E-2</v>
      </c>
      <c r="K15" s="80">
        <f t="shared" ca="1" si="6"/>
        <v>7.4509803921568626E-2</v>
      </c>
      <c r="L15" s="80">
        <f t="shared" ca="1" si="6"/>
        <v>7.6049197258473394E-2</v>
      </c>
      <c r="M15" s="80">
        <f t="shared" ca="1" si="6"/>
        <v>7.8579446882334938E-2</v>
      </c>
      <c r="N15" s="80">
        <f t="shared" ca="1" si="6"/>
        <v>7.6882007474639608E-2</v>
      </c>
      <c r="O15" s="80">
        <f t="shared" ca="1" si="6"/>
        <v>7.7185017026106695E-2</v>
      </c>
      <c r="P15" s="80">
        <f t="shared" ca="1" si="6"/>
        <v>7.4761847341131074E-2</v>
      </c>
      <c r="Q15" s="80">
        <f t="shared" ca="1" si="6"/>
        <v>6.4221245082156916E-2</v>
      </c>
      <c r="R15" s="80">
        <f t="shared" ca="1" si="6"/>
        <v>6.5436241610738258E-2</v>
      </c>
      <c r="S15" s="80">
        <f t="shared" ca="1" si="6"/>
        <v>6.3991467804292754E-2</v>
      </c>
      <c r="T15" s="63"/>
      <c r="U15" s="63"/>
      <c r="V15" s="63"/>
      <c r="W15" s="63"/>
    </row>
    <row r="16" spans="1:23" x14ac:dyDescent="0.2">
      <c r="A16" s="45" t="s">
        <v>26</v>
      </c>
      <c r="B16" s="46">
        <f t="shared" ca="1" si="3"/>
        <v>45</v>
      </c>
      <c r="C16" s="1">
        <f ca="1">IF(ISERROR(D16),"",IF(D16="","",MAX($C$12:C15)+1))</f>
        <v>4</v>
      </c>
      <c r="D16" t="str">
        <f t="shared" ca="1" si="4"/>
        <v>NiSource Inc.</v>
      </c>
      <c r="E16" s="15"/>
      <c r="F16" s="80">
        <f t="shared" ca="1" si="7"/>
        <v>5.3586983206644602E-2</v>
      </c>
      <c r="G16" s="80">
        <f t="shared" si="5"/>
        <v>5.5516014234875441E-2</v>
      </c>
      <c r="H16" s="80">
        <f ca="1">IFERROR(VLOOKUP($A16,LASTYR,'2017'!$N$3,FALSE),"N/A")</f>
        <v>5.4606443560340112E-2</v>
      </c>
      <c r="I16" s="80">
        <f t="shared" ca="1" si="6"/>
        <v>5.0801714557866327E-2</v>
      </c>
      <c r="J16" s="80">
        <f t="shared" ca="1" si="6"/>
        <v>6.8913982065758883E-2</v>
      </c>
      <c r="K16" s="80">
        <f t="shared" ca="1" si="6"/>
        <v>5.2200614124872063E-2</v>
      </c>
      <c r="L16" s="80">
        <f t="shared" ca="1" si="6"/>
        <v>5.2219321148825062E-2</v>
      </c>
      <c r="M16" s="80">
        <f t="shared" ca="1" si="6"/>
        <v>5.2511032903189765E-2</v>
      </c>
      <c r="N16" s="80">
        <f t="shared" ca="1" si="6"/>
        <v>5.1948051948051945E-2</v>
      </c>
      <c r="O16" s="80">
        <f t="shared" ca="1" si="6"/>
        <v>5.2192658989050893E-2</v>
      </c>
      <c r="P16" s="80">
        <f t="shared" ca="1" si="6"/>
        <v>5.2460512060215549E-2</v>
      </c>
      <c r="Q16" s="80">
        <f t="shared" ca="1" si="6"/>
        <v>5.3358079109152072E-2</v>
      </c>
      <c r="R16" s="80">
        <f t="shared" ca="1" si="6"/>
        <v>4.9686757399006271E-2</v>
      </c>
      <c r="S16" s="80">
        <f t="shared" ca="1" si="6"/>
        <v>5.0215599585175477E-2</v>
      </c>
      <c r="T16" s="63"/>
      <c r="U16" s="63"/>
      <c r="V16" s="63"/>
      <c r="W16" s="63"/>
    </row>
    <row r="17" spans="1:23" x14ac:dyDescent="0.2">
      <c r="A17" s="45" t="s">
        <v>192</v>
      </c>
      <c r="B17" s="46">
        <f t="shared" ca="1" si="3"/>
        <v>46</v>
      </c>
      <c r="C17" s="1">
        <f ca="1">IF(ISERROR(D17),"",IF(D17="","",MAX($C$12:C16)+1))</f>
        <v>5</v>
      </c>
      <c r="D17" t="str">
        <f t="shared" ca="1" si="4"/>
        <v>Northwest Nat. Gas</v>
      </c>
      <c r="E17" s="15"/>
      <c r="F17" s="80">
        <f t="shared" ca="1" si="7"/>
        <v>6.5815002717471302E-2</v>
      </c>
      <c r="G17" s="80">
        <f t="shared" si="5"/>
        <v>7.1726755218216309E-2</v>
      </c>
      <c r="H17" s="80">
        <f ca="1">IFERROR(VLOOKUP($A17,LASTYR,'2017'!$N$3,FALSE),"N/A")</f>
        <v>7.2732900030950162E-2</v>
      </c>
      <c r="I17" s="80">
        <f t="shared" ca="1" si="6"/>
        <v>6.2950245741601032E-2</v>
      </c>
      <c r="J17" s="80">
        <f t="shared" ca="1" si="6"/>
        <v>6.5320456540825286E-2</v>
      </c>
      <c r="K17" s="80">
        <f t="shared" ca="1" si="6"/>
        <v>6.5782455641290052E-2</v>
      </c>
      <c r="L17" s="80">
        <f t="shared" ca="1" si="6"/>
        <v>6.5898451566438601E-2</v>
      </c>
      <c r="M17" s="80">
        <f t="shared" ca="1" si="6"/>
        <v>6.5729078691293658E-2</v>
      </c>
      <c r="N17" s="80">
        <f t="shared" ca="1" si="6"/>
        <v>6.5533253445176756E-2</v>
      </c>
      <c r="O17" s="80">
        <f t="shared" ca="1" si="6"/>
        <v>6.4417177914110432E-2</v>
      </c>
      <c r="P17" s="80">
        <f t="shared" ca="1" si="6"/>
        <v>6.4311266530005226E-2</v>
      </c>
      <c r="Q17" s="80">
        <f t="shared" ca="1" si="6"/>
        <v>6.4105267597317703E-2</v>
      </c>
      <c r="R17" s="80">
        <f t="shared" ca="1" si="6"/>
        <v>6.3937483349613716E-2</v>
      </c>
      <c r="S17" s="80">
        <f t="shared" ca="1" si="6"/>
        <v>6.3150243060288033E-2</v>
      </c>
      <c r="T17" s="63"/>
      <c r="U17" s="63"/>
      <c r="V17" s="63"/>
      <c r="W17" s="63"/>
    </row>
    <row r="18" spans="1:23" x14ac:dyDescent="0.2">
      <c r="A18" s="45" t="s">
        <v>346</v>
      </c>
      <c r="B18" s="46">
        <f t="shared" ca="1" si="3"/>
        <v>49</v>
      </c>
      <c r="C18" s="1">
        <f ca="1">IF(ISERROR(D18),"",IF(D18="","",MAX($C$12:C17)+1))</f>
        <v>6</v>
      </c>
      <c r="D18" t="str">
        <f t="shared" ca="1" si="4"/>
        <v>ONE Gas Inc.</v>
      </c>
      <c r="E18" s="15"/>
      <c r="F18" s="80">
        <f t="shared" ca="1" si="7"/>
        <v>3.7879822419452244E-2</v>
      </c>
      <c r="G18" s="80">
        <f t="shared" si="5"/>
        <v>4.7361647361647365E-2</v>
      </c>
      <c r="H18" s="80">
        <f ca="1">IFERROR(VLOOKUP($A18,LASTYR,'2017'!$N$3,FALSE),"N/A")</f>
        <v>4.4834672146459933E-2</v>
      </c>
      <c r="I18" s="80">
        <f t="shared" ca="1" si="6"/>
        <v>3.8762909433230887E-2</v>
      </c>
      <c r="J18" s="80">
        <f t="shared" ca="1" si="6"/>
        <v>3.4053179715655954E-2</v>
      </c>
      <c r="K18" s="80">
        <f t="shared" ca="1" si="6"/>
        <v>2.4386703440267093E-2</v>
      </c>
      <c r="L18" s="80" t="str">
        <f t="shared" ca="1" si="6"/>
        <v>N/A</v>
      </c>
      <c r="M18" s="80" t="str">
        <f t="shared" ca="1" si="6"/>
        <v>N/A</v>
      </c>
      <c r="N18" s="80" t="str">
        <f t="shared" ca="1" si="6"/>
        <v>N/A</v>
      </c>
      <c r="O18" s="80" t="str">
        <f t="shared" ca="1" si="6"/>
        <v>N/A</v>
      </c>
      <c r="P18" s="80" t="str">
        <f t="shared" ca="1" si="6"/>
        <v>N/A</v>
      </c>
      <c r="Q18" s="80" t="str">
        <f t="shared" ca="1" si="6"/>
        <v>N/A</v>
      </c>
      <c r="R18" s="80" t="str">
        <f t="shared" ca="1" si="6"/>
        <v>N/A</v>
      </c>
      <c r="S18" s="80" t="str">
        <f t="shared" ca="1" si="6"/>
        <v>N/A</v>
      </c>
      <c r="T18" s="63"/>
      <c r="U18" s="63"/>
      <c r="V18" s="63"/>
      <c r="W18" s="63"/>
    </row>
    <row r="19" spans="1:23" x14ac:dyDescent="0.2">
      <c r="A19" s="45" t="s">
        <v>198</v>
      </c>
      <c r="B19" s="46">
        <f t="shared" ca="1" si="3"/>
        <v>62</v>
      </c>
      <c r="C19" s="1">
        <f ca="1">IF(ISERROR(D19),"",IF(D19="","",MAX($C$12:C18)+1))</f>
        <v>7</v>
      </c>
      <c r="D19" t="str">
        <f t="shared" ca="1" si="4"/>
        <v>South Jersey Inds.</v>
      </c>
      <c r="E19" s="15"/>
      <c r="F19" s="80">
        <f t="shared" ca="1" si="7"/>
        <v>6.8885903585966149E-2</v>
      </c>
      <c r="G19" s="80">
        <f t="shared" si="5"/>
        <v>7.6666666666666661E-2</v>
      </c>
      <c r="H19" s="80">
        <f ca="1">IFERROR(VLOOKUP($A19,LASTYR,'2017'!$N$3,FALSE),"N/A")</f>
        <v>7.3382254836557706E-2</v>
      </c>
      <c r="I19" s="80">
        <f t="shared" ca="1" si="6"/>
        <v>6.534738918685655E-2</v>
      </c>
      <c r="J19" s="80">
        <f t="shared" ca="1" si="6"/>
        <v>6.9767441860465115E-2</v>
      </c>
      <c r="K19" s="80">
        <f t="shared" ca="1" si="6"/>
        <v>7.0355441553682674E-2</v>
      </c>
      <c r="L19" s="80">
        <f t="shared" ca="1" si="6"/>
        <v>7.1208165202943277E-2</v>
      </c>
      <c r="M19" s="80">
        <f t="shared" ca="1" si="6"/>
        <v>7.0943331326855277E-2</v>
      </c>
      <c r="N19" s="80">
        <f t="shared" ca="1" si="6"/>
        <v>7.2611094975312221E-2</v>
      </c>
      <c r="O19" s="80">
        <f t="shared" ca="1" si="6"/>
        <v>7.1263885977782437E-2</v>
      </c>
      <c r="P19" s="80">
        <f t="shared" ca="1" si="6"/>
        <v>6.6871300153475116E-2</v>
      </c>
      <c r="Q19" s="80">
        <f t="shared" ca="1" si="6"/>
        <v>6.4043387952919459E-2</v>
      </c>
      <c r="R19" s="80">
        <f t="shared" ca="1" si="6"/>
        <v>6.21614967996061E-2</v>
      </c>
      <c r="S19" s="80">
        <f t="shared" ca="1" si="6"/>
        <v>6.0894890124437384E-2</v>
      </c>
      <c r="T19" s="63"/>
      <c r="U19" s="63"/>
      <c r="V19" s="63"/>
      <c r="W19" s="63"/>
    </row>
    <row r="20" spans="1:23" x14ac:dyDescent="0.2">
      <c r="A20" s="45" t="s">
        <v>200</v>
      </c>
      <c r="B20" s="46">
        <f t="shared" ca="1" si="3"/>
        <v>64</v>
      </c>
      <c r="C20" s="1">
        <f ca="1">IF(ISERROR(D20),"",IF(D20="","",MAX($C$12:C19)+1))</f>
        <v>8</v>
      </c>
      <c r="D20" t="str">
        <f t="shared" ca="1" si="4"/>
        <v>Southwest Gas</v>
      </c>
      <c r="E20" s="15"/>
      <c r="F20" s="80">
        <f t="shared" ca="1" si="7"/>
        <v>4.3506874866519857E-2</v>
      </c>
      <c r="G20" s="80">
        <f t="shared" si="5"/>
        <v>5.1485148514851489E-2</v>
      </c>
      <c r="H20" s="80">
        <f ca="1">IFERROR(VLOOKUP($A20,LASTYR,'2017'!$N$3,FALSE),"N/A")</f>
        <v>5.2468399713808726E-2</v>
      </c>
      <c r="I20" s="80">
        <f t="shared" ca="1" si="6"/>
        <v>5.1378660729576982E-2</v>
      </c>
      <c r="J20" s="80">
        <f t="shared" ca="1" si="6"/>
        <v>4.8201374631795059E-2</v>
      </c>
      <c r="K20" s="80">
        <f t="shared" ca="1" si="6"/>
        <v>4.5700691770745296E-2</v>
      </c>
      <c r="L20" s="80">
        <f t="shared" ca="1" si="6"/>
        <v>4.3324143363528952E-2</v>
      </c>
      <c r="M20" s="80">
        <f t="shared" ca="1" si="6"/>
        <v>4.1615235408217245E-2</v>
      </c>
      <c r="N20" s="80">
        <f t="shared" ca="1" si="6"/>
        <v>3.9764414600292605E-2</v>
      </c>
      <c r="O20" s="80">
        <f t="shared" ca="1" si="6"/>
        <v>3.9039625219597897E-2</v>
      </c>
      <c r="P20" s="80">
        <f t="shared" ca="1" si="6"/>
        <v>3.8869113375066489E-2</v>
      </c>
      <c r="Q20" s="80">
        <f t="shared" ca="1" si="6"/>
        <v>3.8322333404300621E-2</v>
      </c>
      <c r="R20" s="80">
        <f t="shared" ca="1" si="6"/>
        <v>3.7423846823324627E-2</v>
      </c>
      <c r="S20" s="80">
        <f t="shared" ca="1" si="6"/>
        <v>3.7996385709652004E-2</v>
      </c>
      <c r="T20" s="63"/>
      <c r="U20" s="63"/>
      <c r="V20" s="63"/>
      <c r="W20" s="63"/>
    </row>
    <row r="21" spans="1:23" x14ac:dyDescent="0.2">
      <c r="A21" s="45" t="s">
        <v>244</v>
      </c>
      <c r="B21" s="46">
        <f t="shared" ca="1" si="3"/>
        <v>65</v>
      </c>
      <c r="C21" s="1">
        <f ca="1">IF(ISERROR(D21),"",IF(D21="","",MAX($C$12:C20)+1))</f>
        <v>9</v>
      </c>
      <c r="D21" t="str">
        <f t="shared" ca="1" si="4"/>
        <v>Spire Inc.</v>
      </c>
      <c r="E21" s="15"/>
      <c r="F21" s="80">
        <f t="shared" ca="1" si="7"/>
        <v>5.9795680469325527E-2</v>
      </c>
      <c r="G21" s="80">
        <f t="shared" si="5"/>
        <v>5.0550438103796905E-2</v>
      </c>
      <c r="H21" s="80">
        <f ca="1">IFERROR(VLOOKUP($A21,LASTYR,'2017'!$N$3,FALSE),"N/A")</f>
        <v>5.0897985893986766E-2</v>
      </c>
      <c r="I21" s="80">
        <f t="shared" ca="1" si="6"/>
        <v>5.0602845119149052E-2</v>
      </c>
      <c r="J21" s="80">
        <f t="shared" ca="1" si="6"/>
        <v>5.0694291381970472E-2</v>
      </c>
      <c r="K21" s="80">
        <f t="shared" ca="1" si="6"/>
        <v>5.0386487260234758E-2</v>
      </c>
      <c r="L21" s="80">
        <f t="shared" ca="1" si="6"/>
        <v>5.3126660208131504E-2</v>
      </c>
      <c r="M21" s="80">
        <f t="shared" ca="1" si="6"/>
        <v>6.2232885956361998E-2</v>
      </c>
      <c r="N21" s="80">
        <f t="shared" ca="1" si="6"/>
        <v>6.2989045383411588E-2</v>
      </c>
      <c r="O21" s="80">
        <f t="shared" ca="1" si="6"/>
        <v>6.5348595213319469E-2</v>
      </c>
      <c r="P21" s="80">
        <f t="shared" ca="1" si="6"/>
        <v>6.560048021266561E-2</v>
      </c>
      <c r="Q21" s="80">
        <f t="shared" ca="1" si="6"/>
        <v>6.7362900673629003E-2</v>
      </c>
      <c r="R21" s="80">
        <f t="shared" ca="1" si="6"/>
        <v>7.3276733373761879E-2</v>
      </c>
      <c r="S21" s="80">
        <f t="shared" ca="1" si="6"/>
        <v>7.4274497320812774E-2</v>
      </c>
      <c r="T21" s="63"/>
      <c r="U21" s="63"/>
      <c r="V21" s="63"/>
      <c r="W21" s="63"/>
    </row>
    <row r="22" spans="1:23" x14ac:dyDescent="0.2">
      <c r="A22" s="45" t="s">
        <v>204</v>
      </c>
      <c r="B22" s="46">
        <f t="shared" ca="1" si="3"/>
        <v>67</v>
      </c>
      <c r="C22" s="1">
        <f ca="1">IF(ISERROR(D22),"",IF(D22="","",MAX($C$12:C21)+1))</f>
        <v>10</v>
      </c>
      <c r="D22" t="str">
        <f t="shared" ca="1" si="4"/>
        <v>UGI Corp.</v>
      </c>
      <c r="E22" s="15"/>
      <c r="F22" s="80">
        <f t="shared" ca="1" si="7"/>
        <v>5.5344272689359791E-2</v>
      </c>
      <c r="G22" s="80">
        <f t="shared" si="5"/>
        <v>5.1256281407035177E-2</v>
      </c>
      <c r="H22" s="80">
        <f ca="1">IFERROR(VLOOKUP($A22,LASTYR,'2017'!$N$3,FALSE),"N/A")</f>
        <v>5.2802376106924807E-2</v>
      </c>
      <c r="I22" s="80">
        <f t="shared" ca="1" si="6"/>
        <v>5.6483449741876711E-2</v>
      </c>
      <c r="J22" s="80">
        <f t="shared" ca="1" si="6"/>
        <v>5.7234726688102894E-2</v>
      </c>
      <c r="K22" s="80">
        <f t="shared" ca="1" si="6"/>
        <v>5.1383655969858388E-2</v>
      </c>
      <c r="L22" s="80">
        <f t="shared" ca="1" si="6"/>
        <v>5.0733580145344848E-2</v>
      </c>
      <c r="M22" s="80">
        <f t="shared" ca="1" si="6"/>
        <v>5.3524112347641761E-2</v>
      </c>
      <c r="N22" s="80">
        <f t="shared" ca="1" si="6"/>
        <v>5.7680888964288753E-2</v>
      </c>
      <c r="O22" s="80">
        <f t="shared" ca="1" si="6"/>
        <v>5.4058924227407872E-2</v>
      </c>
      <c r="P22" s="80">
        <f t="shared" ca="1" si="6"/>
        <v>5.3498363338788872E-2</v>
      </c>
      <c r="Q22" s="80">
        <f t="shared" ca="1" si="6"/>
        <v>5.7159090909090902E-2</v>
      </c>
      <c r="R22" s="80">
        <f t="shared" ca="1" si="6"/>
        <v>5.8211303400701922E-2</v>
      </c>
      <c r="S22" s="80">
        <f t="shared" ca="1" si="6"/>
        <v>6.5448791714614499E-2</v>
      </c>
      <c r="T22" s="63"/>
      <c r="U22" s="63"/>
      <c r="V22" s="63"/>
      <c r="W22" s="63"/>
    </row>
    <row r="23" spans="1:23" x14ac:dyDescent="0.2">
      <c r="A23" s="45" t="s">
        <v>206</v>
      </c>
      <c r="B23" s="46">
        <f t="shared" ca="1" si="3"/>
        <v>74</v>
      </c>
      <c r="C23" s="1">
        <f ca="1">IF(ISERROR(D23),"",IF(D23="","",MAX($C$12:C22)+1))</f>
        <v>11</v>
      </c>
      <c r="D23" t="str">
        <f t="shared" ca="1" si="4"/>
        <v>WGL Holdings Inc.</v>
      </c>
      <c r="E23" s="15"/>
      <c r="F23" s="80">
        <f t="shared" ca="1" si="7"/>
        <v>6.8629805320809353E-2</v>
      </c>
      <c r="G23" s="80" t="str">
        <f t="shared" si="5"/>
        <v>N/A</v>
      </c>
      <c r="H23" s="80">
        <f ca="1">IFERROR(VLOOKUP($A23,LASTYR,'2017'!$N$3,FALSE),"N/A")</f>
        <v>6.8831567110777925E-2</v>
      </c>
      <c r="I23" s="80">
        <f t="shared" ca="1" si="6"/>
        <v>7.2074090671446711E-2</v>
      </c>
      <c r="J23" s="80">
        <f t="shared" ref="J23:S32" ca="1" si="8">IFERROR(INDEX(DIV_BV_WP,$B23,J$12),"N/A")</f>
        <v>7.3279141472790618E-2</v>
      </c>
      <c r="K23" s="80">
        <f t="shared" ca="1" si="8"/>
        <v>7.1416708188008632E-2</v>
      </c>
      <c r="L23" s="80">
        <f t="shared" ca="1" si="8"/>
        <v>6.733187312403667E-2</v>
      </c>
      <c r="M23" s="80">
        <f t="shared" ca="1" si="8"/>
        <v>6.4526602004788769E-2</v>
      </c>
      <c r="N23" s="80">
        <f t="shared" ca="1" si="8"/>
        <v>6.5977099561571537E-2</v>
      </c>
      <c r="O23" s="80">
        <f t="shared" ca="1" si="8"/>
        <v>6.572605380772939E-2</v>
      </c>
      <c r="P23" s="80">
        <f t="shared" ca="1" si="8"/>
        <v>6.7150883924900651E-2</v>
      </c>
      <c r="Q23" s="80">
        <f t="shared" ca="1" si="8"/>
        <v>6.7092347279138473E-2</v>
      </c>
      <c r="R23" s="80">
        <f t="shared" ca="1" si="8"/>
        <v>6.8821216093576693E-2</v>
      </c>
      <c r="S23" s="80">
        <f t="shared" ca="1" si="8"/>
        <v>7.1330080610946117E-2</v>
      </c>
      <c r="T23" s="63"/>
      <c r="U23" s="63"/>
      <c r="V23" s="63"/>
      <c r="W23" s="63"/>
    </row>
    <row r="24" spans="1:23" hidden="1" x14ac:dyDescent="0.2">
      <c r="A24" s="45"/>
      <c r="B24" s="46" t="str">
        <f t="shared" ca="1" si="3"/>
        <v/>
      </c>
      <c r="C24" s="1" t="str">
        <f>IF(ISERROR(D24),"",IF(D24="","",MAX($C$12:C23)+1))</f>
        <v/>
      </c>
      <c r="D24" t="e">
        <f t="shared" si="4"/>
        <v>#N/A</v>
      </c>
      <c r="E24" s="15"/>
      <c r="F24" s="80" t="str">
        <f t="shared" ca="1" si="7"/>
        <v>N/A</v>
      </c>
      <c r="G24" s="80" t="str">
        <f t="shared" si="5"/>
        <v>N/A</v>
      </c>
      <c r="H24" s="80" t="str">
        <f ca="1">IFERROR(VLOOKUP($A24,LASTYR,'2017'!$N$3,FALSE),"N/A")</f>
        <v>N/A</v>
      </c>
      <c r="I24" s="80" t="str">
        <f t="shared" ca="1" si="6"/>
        <v>N/A</v>
      </c>
      <c r="J24" s="80" t="str">
        <f t="shared" ca="1" si="8"/>
        <v>N/A</v>
      </c>
      <c r="K24" s="80" t="str">
        <f t="shared" ca="1" si="8"/>
        <v>N/A</v>
      </c>
      <c r="L24" s="80" t="str">
        <f t="shared" ca="1" si="8"/>
        <v>N/A</v>
      </c>
      <c r="M24" s="80" t="str">
        <f t="shared" ca="1" si="8"/>
        <v>N/A</v>
      </c>
      <c r="N24" s="80" t="str">
        <f t="shared" ca="1" si="8"/>
        <v>N/A</v>
      </c>
      <c r="O24" s="80" t="str">
        <f t="shared" ca="1" si="8"/>
        <v>N/A</v>
      </c>
      <c r="P24" s="80" t="str">
        <f t="shared" ca="1" si="8"/>
        <v>N/A</v>
      </c>
      <c r="Q24" s="80" t="str">
        <f t="shared" ca="1" si="8"/>
        <v>N/A</v>
      </c>
      <c r="R24" s="80" t="str">
        <f t="shared" ca="1" si="8"/>
        <v>N/A</v>
      </c>
      <c r="S24" s="80" t="str">
        <f t="shared" ca="1" si="8"/>
        <v>N/A</v>
      </c>
      <c r="T24" s="63"/>
      <c r="U24" s="63"/>
      <c r="V24" s="63"/>
      <c r="W24" s="63"/>
    </row>
    <row r="25" spans="1:23" hidden="1" x14ac:dyDescent="0.2">
      <c r="A25" s="45"/>
      <c r="B25" s="46" t="str">
        <f t="shared" ca="1" si="3"/>
        <v/>
      </c>
      <c r="C25" s="1" t="str">
        <f>IF(ISERROR(D25),"",IF(D25="","",MAX($C$12:C24)+1))</f>
        <v/>
      </c>
      <c r="D25" t="e">
        <f t="shared" si="4"/>
        <v>#N/A</v>
      </c>
      <c r="E25" s="15"/>
      <c r="F25" s="80" t="str">
        <f t="shared" ca="1" si="7"/>
        <v>N/A</v>
      </c>
      <c r="G25" s="80" t="str">
        <f t="shared" si="5"/>
        <v>N/A</v>
      </c>
      <c r="H25" s="80" t="str">
        <f ca="1">IFERROR(VLOOKUP($A25,LASTYR,'2017'!$N$3,FALSE),"N/A")</f>
        <v>N/A</v>
      </c>
      <c r="I25" s="80" t="str">
        <f t="shared" ca="1" si="6"/>
        <v>N/A</v>
      </c>
      <c r="J25" s="80" t="str">
        <f t="shared" ca="1" si="8"/>
        <v>N/A</v>
      </c>
      <c r="K25" s="80" t="str">
        <f t="shared" ca="1" si="8"/>
        <v>N/A</v>
      </c>
      <c r="L25" s="80" t="str">
        <f t="shared" ca="1" si="8"/>
        <v>N/A</v>
      </c>
      <c r="M25" s="80" t="str">
        <f t="shared" ca="1" si="8"/>
        <v>N/A</v>
      </c>
      <c r="N25" s="80" t="str">
        <f t="shared" ca="1" si="8"/>
        <v>N/A</v>
      </c>
      <c r="O25" s="80" t="str">
        <f t="shared" ca="1" si="8"/>
        <v>N/A</v>
      </c>
      <c r="P25" s="80" t="str">
        <f t="shared" ca="1" si="8"/>
        <v>N/A</v>
      </c>
      <c r="Q25" s="80" t="str">
        <f t="shared" ca="1" si="8"/>
        <v>N/A</v>
      </c>
      <c r="R25" s="80" t="str">
        <f t="shared" ca="1" si="8"/>
        <v>N/A</v>
      </c>
      <c r="S25" s="80" t="str">
        <f t="shared" ca="1" si="8"/>
        <v>N/A</v>
      </c>
      <c r="T25" s="63"/>
      <c r="U25" s="63"/>
      <c r="V25" s="63"/>
      <c r="W25" s="63"/>
    </row>
    <row r="26" spans="1:23" hidden="1" x14ac:dyDescent="0.2">
      <c r="A26" s="45"/>
      <c r="B26" s="46" t="str">
        <f t="shared" ca="1" si="3"/>
        <v/>
      </c>
      <c r="C26" s="1" t="str">
        <f>IF(ISERROR(D26),"",IF(D26="","",MAX($C$12:C25)+1))</f>
        <v/>
      </c>
      <c r="D26" t="e">
        <f t="shared" si="4"/>
        <v>#N/A</v>
      </c>
      <c r="E26" s="15"/>
      <c r="F26" s="80" t="str">
        <f t="shared" ca="1" si="7"/>
        <v>N/A</v>
      </c>
      <c r="G26" s="80" t="str">
        <f t="shared" si="5"/>
        <v>N/A</v>
      </c>
      <c r="H26" s="80" t="str">
        <f ca="1">IFERROR(VLOOKUP($A26,LASTYR,'2017'!$N$3,FALSE),"N/A")</f>
        <v>N/A</v>
      </c>
      <c r="I26" s="80" t="str">
        <f t="shared" ca="1" si="6"/>
        <v>N/A</v>
      </c>
      <c r="J26" s="80" t="str">
        <f t="shared" ca="1" si="8"/>
        <v>N/A</v>
      </c>
      <c r="K26" s="80" t="str">
        <f t="shared" ca="1" si="8"/>
        <v>N/A</v>
      </c>
      <c r="L26" s="80" t="str">
        <f t="shared" ca="1" si="8"/>
        <v>N/A</v>
      </c>
      <c r="M26" s="80" t="str">
        <f t="shared" ca="1" si="8"/>
        <v>N/A</v>
      </c>
      <c r="N26" s="80" t="str">
        <f t="shared" ca="1" si="8"/>
        <v>N/A</v>
      </c>
      <c r="O26" s="80" t="str">
        <f t="shared" ca="1" si="8"/>
        <v>N/A</v>
      </c>
      <c r="P26" s="80" t="str">
        <f t="shared" ca="1" si="8"/>
        <v>N/A</v>
      </c>
      <c r="Q26" s="80" t="str">
        <f t="shared" ca="1" si="8"/>
        <v>N/A</v>
      </c>
      <c r="R26" s="80" t="str">
        <f t="shared" ca="1" si="8"/>
        <v>N/A</v>
      </c>
      <c r="S26" s="80" t="str">
        <f t="shared" ca="1" si="8"/>
        <v>N/A</v>
      </c>
      <c r="T26" s="63"/>
      <c r="U26" s="63"/>
      <c r="V26" s="63"/>
      <c r="W26" s="63"/>
    </row>
    <row r="27" spans="1:23" hidden="1" x14ac:dyDescent="0.2">
      <c r="A27" s="45"/>
      <c r="B27" s="46" t="str">
        <f t="shared" ca="1" si="3"/>
        <v/>
      </c>
      <c r="C27" s="1" t="str">
        <f>IF(ISERROR(D27),"",IF(D27="","",MAX($C$12:C26)+1))</f>
        <v/>
      </c>
      <c r="D27" t="e">
        <f t="shared" si="4"/>
        <v>#N/A</v>
      </c>
      <c r="E27" s="15"/>
      <c r="F27" s="80" t="str">
        <f t="shared" ca="1" si="7"/>
        <v>N/A</v>
      </c>
      <c r="G27" s="80" t="str">
        <f t="shared" si="5"/>
        <v>N/A</v>
      </c>
      <c r="H27" s="80" t="str">
        <f ca="1">IFERROR(VLOOKUP($A27,LASTYR,'2017'!$N$3,FALSE),"N/A")</f>
        <v>N/A</v>
      </c>
      <c r="I27" s="80" t="str">
        <f t="shared" ca="1" si="6"/>
        <v>N/A</v>
      </c>
      <c r="J27" s="80" t="str">
        <f t="shared" ca="1" si="8"/>
        <v>N/A</v>
      </c>
      <c r="K27" s="80" t="str">
        <f t="shared" ca="1" si="8"/>
        <v>N/A</v>
      </c>
      <c r="L27" s="80" t="str">
        <f t="shared" ca="1" si="8"/>
        <v>N/A</v>
      </c>
      <c r="M27" s="80" t="str">
        <f t="shared" ca="1" si="8"/>
        <v>N/A</v>
      </c>
      <c r="N27" s="80" t="str">
        <f t="shared" ca="1" si="8"/>
        <v>N/A</v>
      </c>
      <c r="O27" s="80" t="str">
        <f t="shared" ca="1" si="8"/>
        <v>N/A</v>
      </c>
      <c r="P27" s="80" t="str">
        <f t="shared" ca="1" si="8"/>
        <v>N/A</v>
      </c>
      <c r="Q27" s="80" t="str">
        <f t="shared" ca="1" si="8"/>
        <v>N/A</v>
      </c>
      <c r="R27" s="80" t="str">
        <f t="shared" ca="1" si="8"/>
        <v>N/A</v>
      </c>
      <c r="S27" s="80" t="str">
        <f t="shared" ca="1" si="8"/>
        <v>N/A</v>
      </c>
      <c r="T27" s="63"/>
      <c r="U27" s="63"/>
      <c r="V27" s="63"/>
      <c r="W27" s="63"/>
    </row>
    <row r="28" spans="1:23" hidden="1" x14ac:dyDescent="0.2">
      <c r="A28" s="45"/>
      <c r="B28" s="46" t="str">
        <f t="shared" ca="1" si="3"/>
        <v/>
      </c>
      <c r="C28" s="1" t="str">
        <f>IF(ISERROR(D28),"",IF(D28="","",MAX($C$12:C27)+1))</f>
        <v/>
      </c>
      <c r="D28" t="e">
        <f t="shared" si="4"/>
        <v>#N/A</v>
      </c>
      <c r="E28" s="15"/>
      <c r="F28" s="80" t="str">
        <f t="shared" ca="1" si="7"/>
        <v>N/A</v>
      </c>
      <c r="G28" s="80" t="str">
        <f t="shared" si="5"/>
        <v>N/A</v>
      </c>
      <c r="H28" s="80" t="str">
        <f ca="1">IFERROR(VLOOKUP($A28,LASTYR,'2017'!$N$3,FALSE),"N/A")</f>
        <v>N/A</v>
      </c>
      <c r="I28" s="80" t="str">
        <f t="shared" ca="1" si="6"/>
        <v>N/A</v>
      </c>
      <c r="J28" s="80" t="str">
        <f t="shared" ca="1" si="8"/>
        <v>N/A</v>
      </c>
      <c r="K28" s="80" t="str">
        <f t="shared" ca="1" si="8"/>
        <v>N/A</v>
      </c>
      <c r="L28" s="80" t="str">
        <f t="shared" ca="1" si="8"/>
        <v>N/A</v>
      </c>
      <c r="M28" s="80" t="str">
        <f t="shared" ca="1" si="8"/>
        <v>N/A</v>
      </c>
      <c r="N28" s="80" t="str">
        <f t="shared" ca="1" si="8"/>
        <v>N/A</v>
      </c>
      <c r="O28" s="80" t="str">
        <f t="shared" ca="1" si="8"/>
        <v>N/A</v>
      </c>
      <c r="P28" s="80" t="str">
        <f t="shared" ca="1" si="8"/>
        <v>N/A</v>
      </c>
      <c r="Q28" s="80" t="str">
        <f t="shared" ca="1" si="8"/>
        <v>N/A</v>
      </c>
      <c r="R28" s="80" t="str">
        <f t="shared" ca="1" si="8"/>
        <v>N/A</v>
      </c>
      <c r="S28" s="80" t="str">
        <f t="shared" ca="1" si="8"/>
        <v>N/A</v>
      </c>
      <c r="T28" s="63"/>
      <c r="U28" s="63"/>
      <c r="V28" s="63"/>
      <c r="W28" s="63"/>
    </row>
    <row r="29" spans="1:23" hidden="1" x14ac:dyDescent="0.2">
      <c r="A29" s="45"/>
      <c r="B29" s="46" t="str">
        <f t="shared" ca="1" si="3"/>
        <v/>
      </c>
      <c r="C29" s="1" t="str">
        <f>IF(ISERROR(D29),"",IF(D29="","",MAX($C$12:C28)+1))</f>
        <v/>
      </c>
      <c r="D29" t="e">
        <f t="shared" si="4"/>
        <v>#N/A</v>
      </c>
      <c r="E29" s="15"/>
      <c r="F29" s="80" t="str">
        <f t="shared" ca="1" si="7"/>
        <v>N/A</v>
      </c>
      <c r="G29" s="80" t="str">
        <f t="shared" si="5"/>
        <v>N/A</v>
      </c>
      <c r="H29" s="80" t="str">
        <f ca="1">IFERROR(VLOOKUP($A29,LASTYR,'2017'!$N$3,FALSE),"N/A")</f>
        <v>N/A</v>
      </c>
      <c r="I29" s="80" t="str">
        <f t="shared" ref="I29:I57" ca="1" si="9">IFERROR(INDEX(DIV_BV_WP,$B29,I$12),"N/A")</f>
        <v>N/A</v>
      </c>
      <c r="J29" s="80" t="str">
        <f t="shared" ca="1" si="8"/>
        <v>N/A</v>
      </c>
      <c r="K29" s="80" t="str">
        <f t="shared" ca="1" si="8"/>
        <v>N/A</v>
      </c>
      <c r="L29" s="80" t="str">
        <f t="shared" ca="1" si="8"/>
        <v>N/A</v>
      </c>
      <c r="M29" s="80" t="str">
        <f t="shared" ca="1" si="8"/>
        <v>N/A</v>
      </c>
      <c r="N29" s="80" t="str">
        <f t="shared" ca="1" si="8"/>
        <v>N/A</v>
      </c>
      <c r="O29" s="80" t="str">
        <f t="shared" ca="1" si="8"/>
        <v>N/A</v>
      </c>
      <c r="P29" s="80" t="str">
        <f t="shared" ca="1" si="8"/>
        <v>N/A</v>
      </c>
      <c r="Q29" s="80" t="str">
        <f t="shared" ca="1" si="8"/>
        <v>N/A</v>
      </c>
      <c r="R29" s="80" t="str">
        <f t="shared" ca="1" si="8"/>
        <v>N/A</v>
      </c>
      <c r="S29" s="80" t="str">
        <f t="shared" ca="1" si="8"/>
        <v>N/A</v>
      </c>
      <c r="T29" s="63"/>
      <c r="U29" s="63"/>
      <c r="V29" s="63"/>
      <c r="W29" s="63"/>
    </row>
    <row r="30" spans="1:23" hidden="1" x14ac:dyDescent="0.2">
      <c r="A30" s="45"/>
      <c r="B30" s="46" t="str">
        <f t="shared" ca="1" si="3"/>
        <v/>
      </c>
      <c r="C30" s="1" t="str">
        <f>IF(ISERROR(D30),"",IF(D30="","",MAX($C$12:C29)+1))</f>
        <v/>
      </c>
      <c r="D30" t="e">
        <f t="shared" si="4"/>
        <v>#N/A</v>
      </c>
      <c r="E30" s="15"/>
      <c r="F30" s="80" t="str">
        <f t="shared" ca="1" si="7"/>
        <v>N/A</v>
      </c>
      <c r="G30" s="80" t="str">
        <f t="shared" si="5"/>
        <v>N/A</v>
      </c>
      <c r="H30" s="80" t="str">
        <f ca="1">IFERROR(VLOOKUP($A30,LASTYR,'2017'!$N$3,FALSE),"N/A")</f>
        <v>N/A</v>
      </c>
      <c r="I30" s="80" t="str">
        <f t="shared" ca="1" si="9"/>
        <v>N/A</v>
      </c>
      <c r="J30" s="80" t="str">
        <f t="shared" ca="1" si="8"/>
        <v>N/A</v>
      </c>
      <c r="K30" s="80" t="str">
        <f t="shared" ca="1" si="8"/>
        <v>N/A</v>
      </c>
      <c r="L30" s="80" t="str">
        <f t="shared" ca="1" si="8"/>
        <v>N/A</v>
      </c>
      <c r="M30" s="80" t="str">
        <f t="shared" ca="1" si="8"/>
        <v>N/A</v>
      </c>
      <c r="N30" s="80" t="str">
        <f t="shared" ca="1" si="8"/>
        <v>N/A</v>
      </c>
      <c r="O30" s="80" t="str">
        <f t="shared" ca="1" si="8"/>
        <v>N/A</v>
      </c>
      <c r="P30" s="80" t="str">
        <f t="shared" ca="1" si="8"/>
        <v>N/A</v>
      </c>
      <c r="Q30" s="80" t="str">
        <f t="shared" ca="1" si="8"/>
        <v>N/A</v>
      </c>
      <c r="R30" s="80" t="str">
        <f t="shared" ca="1" si="8"/>
        <v>N/A</v>
      </c>
      <c r="S30" s="80" t="str">
        <f t="shared" ca="1" si="8"/>
        <v>N/A</v>
      </c>
      <c r="T30" s="63"/>
      <c r="U30" s="63"/>
      <c r="V30" s="63"/>
      <c r="W30" s="63"/>
    </row>
    <row r="31" spans="1:23" hidden="1" x14ac:dyDescent="0.2">
      <c r="A31" s="45"/>
      <c r="B31" s="46" t="str">
        <f t="shared" ca="1" si="3"/>
        <v/>
      </c>
      <c r="C31" s="1" t="str">
        <f>IF(ISERROR(D31),"",IF(D31="","",MAX($C$12:C30)+1))</f>
        <v/>
      </c>
      <c r="D31" t="e">
        <f t="shared" si="4"/>
        <v>#N/A</v>
      </c>
      <c r="E31" s="15"/>
      <c r="F31" s="80" t="str">
        <f t="shared" ca="1" si="7"/>
        <v>N/A</v>
      </c>
      <c r="G31" s="80" t="str">
        <f t="shared" si="5"/>
        <v>N/A</v>
      </c>
      <c r="H31" s="80" t="str">
        <f ca="1">IFERROR(VLOOKUP($A31,LASTYR,'2017'!$N$3,FALSE),"N/A")</f>
        <v>N/A</v>
      </c>
      <c r="I31" s="80" t="str">
        <f t="shared" ca="1" si="9"/>
        <v>N/A</v>
      </c>
      <c r="J31" s="80" t="str">
        <f t="shared" ca="1" si="8"/>
        <v>N/A</v>
      </c>
      <c r="K31" s="80" t="str">
        <f t="shared" ca="1" si="8"/>
        <v>N/A</v>
      </c>
      <c r="L31" s="80" t="str">
        <f t="shared" ca="1" si="8"/>
        <v>N/A</v>
      </c>
      <c r="M31" s="80" t="str">
        <f t="shared" ca="1" si="8"/>
        <v>N/A</v>
      </c>
      <c r="N31" s="80" t="str">
        <f t="shared" ca="1" si="8"/>
        <v>N/A</v>
      </c>
      <c r="O31" s="80" t="str">
        <f t="shared" ca="1" si="8"/>
        <v>N/A</v>
      </c>
      <c r="P31" s="80" t="str">
        <f t="shared" ca="1" si="8"/>
        <v>N/A</v>
      </c>
      <c r="Q31" s="80" t="str">
        <f t="shared" ca="1" si="8"/>
        <v>N/A</v>
      </c>
      <c r="R31" s="80" t="str">
        <f t="shared" ca="1" si="8"/>
        <v>N/A</v>
      </c>
      <c r="S31" s="80" t="str">
        <f t="shared" ca="1" si="8"/>
        <v>N/A</v>
      </c>
      <c r="T31" s="63"/>
      <c r="U31" s="63"/>
      <c r="V31" s="63"/>
      <c r="W31" s="63"/>
    </row>
    <row r="32" spans="1:23" hidden="1" x14ac:dyDescent="0.2">
      <c r="A32" s="45"/>
      <c r="B32" s="46" t="str">
        <f t="shared" ca="1" si="3"/>
        <v/>
      </c>
      <c r="C32" s="1" t="str">
        <f>IF(ISERROR(D32),"",IF(D32="","",MAX($C$12:C31)+1))</f>
        <v/>
      </c>
      <c r="D32" t="e">
        <f t="shared" si="4"/>
        <v>#N/A</v>
      </c>
      <c r="E32" s="15"/>
      <c r="F32" s="80" t="str">
        <f t="shared" ca="1" si="7"/>
        <v>N/A</v>
      </c>
      <c r="G32" s="80" t="str">
        <f t="shared" si="5"/>
        <v>N/A</v>
      </c>
      <c r="H32" s="80" t="str">
        <f ca="1">IFERROR(VLOOKUP($A32,LASTYR,'2017'!$N$3,FALSE),"N/A")</f>
        <v>N/A</v>
      </c>
      <c r="I32" s="80" t="str">
        <f t="shared" ca="1" si="9"/>
        <v>N/A</v>
      </c>
      <c r="J32" s="80" t="str">
        <f t="shared" ca="1" si="8"/>
        <v>N/A</v>
      </c>
      <c r="K32" s="80" t="str">
        <f t="shared" ca="1" si="8"/>
        <v>N/A</v>
      </c>
      <c r="L32" s="80" t="str">
        <f t="shared" ca="1" si="8"/>
        <v>N/A</v>
      </c>
      <c r="M32" s="80" t="str">
        <f t="shared" ca="1" si="8"/>
        <v>N/A</v>
      </c>
      <c r="N32" s="80" t="str">
        <f t="shared" ca="1" si="8"/>
        <v>N/A</v>
      </c>
      <c r="O32" s="80" t="str">
        <f t="shared" ca="1" si="8"/>
        <v>N/A</v>
      </c>
      <c r="P32" s="80" t="str">
        <f t="shared" ca="1" si="8"/>
        <v>N/A</v>
      </c>
      <c r="Q32" s="80" t="str">
        <f t="shared" ca="1" si="8"/>
        <v>N/A</v>
      </c>
      <c r="R32" s="80" t="str">
        <f t="shared" ca="1" si="8"/>
        <v>N/A</v>
      </c>
      <c r="S32" s="80" t="str">
        <f t="shared" ca="1" si="8"/>
        <v>N/A</v>
      </c>
      <c r="T32" s="63"/>
      <c r="U32" s="63"/>
      <c r="V32" s="63"/>
      <c r="W32" s="63"/>
    </row>
    <row r="33" spans="1:23" hidden="1" x14ac:dyDescent="0.2">
      <c r="A33" s="45"/>
      <c r="B33" s="46" t="str">
        <f t="shared" ca="1" si="3"/>
        <v/>
      </c>
      <c r="C33" s="1" t="str">
        <f>IF(ISERROR(D33),"",IF(D33="","",MAX($C$12:C32)+1))</f>
        <v/>
      </c>
      <c r="D33" t="e">
        <f t="shared" si="4"/>
        <v>#N/A</v>
      </c>
      <c r="E33" s="15"/>
      <c r="F33" s="80" t="str">
        <f t="shared" ca="1" si="7"/>
        <v>N/A</v>
      </c>
      <c r="G33" s="80" t="str">
        <f t="shared" si="5"/>
        <v>N/A</v>
      </c>
      <c r="H33" s="80" t="str">
        <f ca="1">IFERROR(VLOOKUP($A33,LASTYR,'2017'!$N$3,FALSE),"N/A")</f>
        <v>N/A</v>
      </c>
      <c r="I33" s="80" t="str">
        <f t="shared" ca="1" si="9"/>
        <v>N/A</v>
      </c>
      <c r="J33" s="80" t="str">
        <f t="shared" ref="J33:S42" ca="1" si="10">IFERROR(INDEX(DIV_BV_WP,$B33,J$12),"N/A")</f>
        <v>N/A</v>
      </c>
      <c r="K33" s="80" t="str">
        <f t="shared" ca="1" si="10"/>
        <v>N/A</v>
      </c>
      <c r="L33" s="80" t="str">
        <f t="shared" ca="1" si="10"/>
        <v>N/A</v>
      </c>
      <c r="M33" s="80" t="str">
        <f t="shared" ca="1" si="10"/>
        <v>N/A</v>
      </c>
      <c r="N33" s="80" t="str">
        <f t="shared" ca="1" si="10"/>
        <v>N/A</v>
      </c>
      <c r="O33" s="80" t="str">
        <f t="shared" ca="1" si="10"/>
        <v>N/A</v>
      </c>
      <c r="P33" s="80" t="str">
        <f t="shared" ca="1" si="10"/>
        <v>N/A</v>
      </c>
      <c r="Q33" s="80" t="str">
        <f t="shared" ca="1" si="10"/>
        <v>N/A</v>
      </c>
      <c r="R33" s="80" t="str">
        <f t="shared" ca="1" si="10"/>
        <v>N/A</v>
      </c>
      <c r="S33" s="80" t="str">
        <f t="shared" ca="1" si="10"/>
        <v>N/A</v>
      </c>
      <c r="T33" s="63"/>
      <c r="U33" s="63"/>
      <c r="V33" s="63"/>
      <c r="W33" s="63"/>
    </row>
    <row r="34" spans="1:23" hidden="1" x14ac:dyDescent="0.2">
      <c r="A34" s="45"/>
      <c r="B34" s="46" t="str">
        <f t="shared" ca="1" si="3"/>
        <v/>
      </c>
      <c r="C34" s="1" t="str">
        <f>IF(ISERROR(D34),"",IF(D34="","",MAX($C$12:C33)+1))</f>
        <v/>
      </c>
      <c r="D34" t="e">
        <f t="shared" si="4"/>
        <v>#N/A</v>
      </c>
      <c r="E34" s="15"/>
      <c r="F34" s="80" t="str">
        <f t="shared" ca="1" si="7"/>
        <v>N/A</v>
      </c>
      <c r="G34" s="80" t="str">
        <f t="shared" si="5"/>
        <v>N/A</v>
      </c>
      <c r="H34" s="80" t="str">
        <f ca="1">IFERROR(VLOOKUP($A34,LASTYR,'2017'!$N$3,FALSE),"N/A")</f>
        <v>N/A</v>
      </c>
      <c r="I34" s="80" t="str">
        <f t="shared" ca="1" si="9"/>
        <v>N/A</v>
      </c>
      <c r="J34" s="80" t="str">
        <f t="shared" ca="1" si="10"/>
        <v>N/A</v>
      </c>
      <c r="K34" s="80" t="str">
        <f t="shared" ca="1" si="10"/>
        <v>N/A</v>
      </c>
      <c r="L34" s="80" t="str">
        <f t="shared" ca="1" si="10"/>
        <v>N/A</v>
      </c>
      <c r="M34" s="80" t="str">
        <f t="shared" ca="1" si="10"/>
        <v>N/A</v>
      </c>
      <c r="N34" s="80" t="str">
        <f t="shared" ca="1" si="10"/>
        <v>N/A</v>
      </c>
      <c r="O34" s="80" t="str">
        <f t="shared" ca="1" si="10"/>
        <v>N/A</v>
      </c>
      <c r="P34" s="80" t="str">
        <f t="shared" ca="1" si="10"/>
        <v>N/A</v>
      </c>
      <c r="Q34" s="80" t="str">
        <f t="shared" ca="1" si="10"/>
        <v>N/A</v>
      </c>
      <c r="R34" s="80" t="str">
        <f t="shared" ca="1" si="10"/>
        <v>N/A</v>
      </c>
      <c r="S34" s="80" t="str">
        <f t="shared" ca="1" si="10"/>
        <v>N/A</v>
      </c>
      <c r="T34" s="63"/>
      <c r="U34" s="63"/>
      <c r="V34" s="63"/>
      <c r="W34" s="63"/>
    </row>
    <row r="35" spans="1:23" hidden="1" x14ac:dyDescent="0.2">
      <c r="A35" s="45"/>
      <c r="B35" s="46" t="str">
        <f t="shared" ca="1" si="3"/>
        <v/>
      </c>
      <c r="C35" s="1" t="str">
        <f>IF(ISERROR(D35),"",IF(D35="","",MAX($C$12:C34)+1))</f>
        <v/>
      </c>
      <c r="D35" t="e">
        <f t="shared" si="4"/>
        <v>#N/A</v>
      </c>
      <c r="E35" s="15"/>
      <c r="F35" s="80" t="str">
        <f t="shared" ca="1" si="7"/>
        <v>N/A</v>
      </c>
      <c r="G35" s="80" t="str">
        <f t="shared" si="5"/>
        <v>N/A</v>
      </c>
      <c r="H35" s="80" t="str">
        <f ca="1">IFERROR(VLOOKUP($A35,LASTYR,'2017'!$N$3,FALSE),"N/A")</f>
        <v>N/A</v>
      </c>
      <c r="I35" s="80" t="str">
        <f t="shared" ca="1" si="9"/>
        <v>N/A</v>
      </c>
      <c r="J35" s="80" t="str">
        <f t="shared" ca="1" si="10"/>
        <v>N/A</v>
      </c>
      <c r="K35" s="80" t="str">
        <f t="shared" ca="1" si="10"/>
        <v>N/A</v>
      </c>
      <c r="L35" s="80" t="str">
        <f t="shared" ca="1" si="10"/>
        <v>N/A</v>
      </c>
      <c r="M35" s="80" t="str">
        <f t="shared" ca="1" si="10"/>
        <v>N/A</v>
      </c>
      <c r="N35" s="80" t="str">
        <f t="shared" ca="1" si="10"/>
        <v>N/A</v>
      </c>
      <c r="O35" s="80" t="str">
        <f t="shared" ca="1" si="10"/>
        <v>N/A</v>
      </c>
      <c r="P35" s="80" t="str">
        <f t="shared" ca="1" si="10"/>
        <v>N/A</v>
      </c>
      <c r="Q35" s="80" t="str">
        <f t="shared" ca="1" si="10"/>
        <v>N/A</v>
      </c>
      <c r="R35" s="80" t="str">
        <f t="shared" ca="1" si="10"/>
        <v>N/A</v>
      </c>
      <c r="S35" s="80" t="str">
        <f t="shared" ca="1" si="10"/>
        <v>N/A</v>
      </c>
      <c r="T35" s="63"/>
      <c r="U35" s="63"/>
      <c r="V35" s="63"/>
      <c r="W35" s="63"/>
    </row>
    <row r="36" spans="1:23" hidden="1" x14ac:dyDescent="0.2">
      <c r="A36" s="45"/>
      <c r="B36" s="46" t="str">
        <f t="shared" ca="1" si="3"/>
        <v/>
      </c>
      <c r="C36" s="1" t="str">
        <f>IF(ISERROR(D36),"",IF(D36="","",MAX($C$12:C35)+1))</f>
        <v/>
      </c>
      <c r="D36" t="e">
        <f t="shared" si="4"/>
        <v>#N/A</v>
      </c>
      <c r="E36" s="15"/>
      <c r="F36" s="80" t="str">
        <f t="shared" ca="1" si="7"/>
        <v>N/A</v>
      </c>
      <c r="G36" s="80" t="str">
        <f t="shared" si="5"/>
        <v>N/A</v>
      </c>
      <c r="H36" s="80" t="str">
        <f ca="1">IFERROR(VLOOKUP($A36,LASTYR,'2017'!$N$3,FALSE),"N/A")</f>
        <v>N/A</v>
      </c>
      <c r="I36" s="80" t="str">
        <f t="shared" ca="1" si="9"/>
        <v>N/A</v>
      </c>
      <c r="J36" s="80" t="str">
        <f t="shared" ca="1" si="10"/>
        <v>N/A</v>
      </c>
      <c r="K36" s="80" t="str">
        <f t="shared" ca="1" si="10"/>
        <v>N/A</v>
      </c>
      <c r="L36" s="80" t="str">
        <f t="shared" ca="1" si="10"/>
        <v>N/A</v>
      </c>
      <c r="M36" s="80" t="str">
        <f t="shared" ca="1" si="10"/>
        <v>N/A</v>
      </c>
      <c r="N36" s="80" t="str">
        <f t="shared" ca="1" si="10"/>
        <v>N/A</v>
      </c>
      <c r="O36" s="80" t="str">
        <f t="shared" ca="1" si="10"/>
        <v>N/A</v>
      </c>
      <c r="P36" s="80" t="str">
        <f t="shared" ca="1" si="10"/>
        <v>N/A</v>
      </c>
      <c r="Q36" s="80" t="str">
        <f t="shared" ca="1" si="10"/>
        <v>N/A</v>
      </c>
      <c r="R36" s="80" t="str">
        <f t="shared" ca="1" si="10"/>
        <v>N/A</v>
      </c>
      <c r="S36" s="80" t="str">
        <f t="shared" ca="1" si="10"/>
        <v>N/A</v>
      </c>
      <c r="T36" s="63"/>
      <c r="U36" s="63"/>
      <c r="V36" s="63"/>
      <c r="W36" s="63"/>
    </row>
    <row r="37" spans="1:23" hidden="1" x14ac:dyDescent="0.2">
      <c r="A37" s="45"/>
      <c r="B37" s="46" t="str">
        <f t="shared" ca="1" si="3"/>
        <v/>
      </c>
      <c r="C37" s="1" t="str">
        <f>IF(ISERROR(D37),"",IF(D37="","",MAX($C$12:C36)+1))</f>
        <v/>
      </c>
      <c r="D37" t="e">
        <f t="shared" si="4"/>
        <v>#N/A</v>
      </c>
      <c r="E37" s="15"/>
      <c r="F37" s="80" t="str">
        <f t="shared" ca="1" si="7"/>
        <v>N/A</v>
      </c>
      <c r="G37" s="80" t="str">
        <f t="shared" si="5"/>
        <v>N/A</v>
      </c>
      <c r="H37" s="80" t="str">
        <f ca="1">IFERROR(VLOOKUP($A37,LASTYR,'2017'!$N$3,FALSE),"N/A")</f>
        <v>N/A</v>
      </c>
      <c r="I37" s="80" t="str">
        <f t="shared" ca="1" si="9"/>
        <v>N/A</v>
      </c>
      <c r="J37" s="80" t="str">
        <f t="shared" ca="1" si="10"/>
        <v>N/A</v>
      </c>
      <c r="K37" s="80" t="str">
        <f t="shared" ca="1" si="10"/>
        <v>N/A</v>
      </c>
      <c r="L37" s="80" t="str">
        <f t="shared" ca="1" si="10"/>
        <v>N/A</v>
      </c>
      <c r="M37" s="80" t="str">
        <f t="shared" ca="1" si="10"/>
        <v>N/A</v>
      </c>
      <c r="N37" s="80" t="str">
        <f t="shared" ca="1" si="10"/>
        <v>N/A</v>
      </c>
      <c r="O37" s="80" t="str">
        <f t="shared" ca="1" si="10"/>
        <v>N/A</v>
      </c>
      <c r="P37" s="80" t="str">
        <f t="shared" ca="1" si="10"/>
        <v>N/A</v>
      </c>
      <c r="Q37" s="80" t="str">
        <f t="shared" ca="1" si="10"/>
        <v>N/A</v>
      </c>
      <c r="R37" s="80" t="str">
        <f t="shared" ca="1" si="10"/>
        <v>N/A</v>
      </c>
      <c r="S37" s="80" t="str">
        <f t="shared" ca="1" si="10"/>
        <v>N/A</v>
      </c>
      <c r="T37" s="63"/>
      <c r="U37" s="63"/>
      <c r="V37" s="63"/>
      <c r="W37" s="63"/>
    </row>
    <row r="38" spans="1:23" hidden="1" x14ac:dyDescent="0.2">
      <c r="A38" s="45"/>
      <c r="B38" s="46" t="str">
        <f t="shared" ca="1" si="3"/>
        <v/>
      </c>
      <c r="C38" s="1" t="str">
        <f>IF(ISERROR(D38),"",IF(D38="","",MAX($C$12:C37)+1))</f>
        <v/>
      </c>
      <c r="D38" t="e">
        <f t="shared" si="4"/>
        <v>#N/A</v>
      </c>
      <c r="E38" s="15"/>
      <c r="F38" s="80" t="str">
        <f t="shared" ca="1" si="7"/>
        <v>N/A</v>
      </c>
      <c r="G38" s="80" t="str">
        <f t="shared" si="5"/>
        <v>N/A</v>
      </c>
      <c r="H38" s="80" t="str">
        <f ca="1">IFERROR(VLOOKUP($A38,LASTYR,'2017'!$N$3,FALSE),"N/A")</f>
        <v>N/A</v>
      </c>
      <c r="I38" s="80" t="str">
        <f t="shared" ca="1" si="9"/>
        <v>N/A</v>
      </c>
      <c r="J38" s="80" t="str">
        <f t="shared" ca="1" si="10"/>
        <v>N/A</v>
      </c>
      <c r="K38" s="80" t="str">
        <f t="shared" ca="1" si="10"/>
        <v>N/A</v>
      </c>
      <c r="L38" s="80" t="str">
        <f t="shared" ca="1" si="10"/>
        <v>N/A</v>
      </c>
      <c r="M38" s="80" t="str">
        <f t="shared" ca="1" si="10"/>
        <v>N/A</v>
      </c>
      <c r="N38" s="80" t="str">
        <f t="shared" ca="1" si="10"/>
        <v>N/A</v>
      </c>
      <c r="O38" s="80" t="str">
        <f t="shared" ca="1" si="10"/>
        <v>N/A</v>
      </c>
      <c r="P38" s="80" t="str">
        <f t="shared" ca="1" si="10"/>
        <v>N/A</v>
      </c>
      <c r="Q38" s="80" t="str">
        <f t="shared" ca="1" si="10"/>
        <v>N/A</v>
      </c>
      <c r="R38" s="80" t="str">
        <f t="shared" ca="1" si="10"/>
        <v>N/A</v>
      </c>
      <c r="S38" s="80" t="str">
        <f t="shared" ca="1" si="10"/>
        <v>N/A</v>
      </c>
      <c r="T38" s="63"/>
      <c r="U38" s="63"/>
      <c r="V38" s="63"/>
      <c r="W38" s="63"/>
    </row>
    <row r="39" spans="1:23" hidden="1" x14ac:dyDescent="0.2">
      <c r="A39" s="45"/>
      <c r="B39" s="46" t="str">
        <f t="shared" ca="1" si="3"/>
        <v/>
      </c>
      <c r="C39" s="1" t="str">
        <f>IF(ISERROR(D39),"",IF(D39="","",MAX($C$12:C38)+1))</f>
        <v/>
      </c>
      <c r="D39" t="e">
        <f t="shared" si="4"/>
        <v>#N/A</v>
      </c>
      <c r="E39" s="15"/>
      <c r="F39" s="80" t="str">
        <f t="shared" ca="1" si="7"/>
        <v>N/A</v>
      </c>
      <c r="G39" s="80" t="str">
        <f t="shared" si="5"/>
        <v>N/A</v>
      </c>
      <c r="H39" s="80" t="str">
        <f ca="1">IFERROR(VLOOKUP($A39,LASTYR,'2017'!$N$3,FALSE),"N/A")</f>
        <v>N/A</v>
      </c>
      <c r="I39" s="80" t="str">
        <f t="shared" ca="1" si="9"/>
        <v>N/A</v>
      </c>
      <c r="J39" s="80" t="str">
        <f t="shared" ca="1" si="10"/>
        <v>N/A</v>
      </c>
      <c r="K39" s="80" t="str">
        <f t="shared" ca="1" si="10"/>
        <v>N/A</v>
      </c>
      <c r="L39" s="80" t="str">
        <f t="shared" ca="1" si="10"/>
        <v>N/A</v>
      </c>
      <c r="M39" s="80" t="str">
        <f t="shared" ca="1" si="10"/>
        <v>N/A</v>
      </c>
      <c r="N39" s="80" t="str">
        <f t="shared" ca="1" si="10"/>
        <v>N/A</v>
      </c>
      <c r="O39" s="80" t="str">
        <f t="shared" ca="1" si="10"/>
        <v>N/A</v>
      </c>
      <c r="P39" s="80" t="str">
        <f t="shared" ca="1" si="10"/>
        <v>N/A</v>
      </c>
      <c r="Q39" s="80" t="str">
        <f t="shared" ca="1" si="10"/>
        <v>N/A</v>
      </c>
      <c r="R39" s="80" t="str">
        <f t="shared" ca="1" si="10"/>
        <v>N/A</v>
      </c>
      <c r="S39" s="80" t="str">
        <f t="shared" ca="1" si="10"/>
        <v>N/A</v>
      </c>
      <c r="T39" s="63"/>
      <c r="U39" s="63"/>
      <c r="V39" s="63"/>
      <c r="W39" s="63"/>
    </row>
    <row r="40" spans="1:23" hidden="1" x14ac:dyDescent="0.2">
      <c r="A40" s="45"/>
      <c r="B40" s="46" t="str">
        <f t="shared" ca="1" si="3"/>
        <v/>
      </c>
      <c r="C40" s="1" t="str">
        <f>IF(ISERROR(D40),"",IF(D40="","",MAX($C$12:C39)+1))</f>
        <v/>
      </c>
      <c r="D40" t="e">
        <f t="shared" si="4"/>
        <v>#N/A</v>
      </c>
      <c r="E40" s="15"/>
      <c r="F40" s="80" t="str">
        <f t="shared" ca="1" si="7"/>
        <v>N/A</v>
      </c>
      <c r="G40" s="80" t="str">
        <f t="shared" si="5"/>
        <v>N/A</v>
      </c>
      <c r="H40" s="80" t="str">
        <f ca="1">IFERROR(VLOOKUP($A40,LASTYR,'2017'!$N$3,FALSE),"N/A")</f>
        <v>N/A</v>
      </c>
      <c r="I40" s="80" t="str">
        <f t="shared" ca="1" si="9"/>
        <v>N/A</v>
      </c>
      <c r="J40" s="80" t="str">
        <f t="shared" ca="1" si="10"/>
        <v>N/A</v>
      </c>
      <c r="K40" s="80" t="str">
        <f t="shared" ca="1" si="10"/>
        <v>N/A</v>
      </c>
      <c r="L40" s="80" t="str">
        <f t="shared" ca="1" si="10"/>
        <v>N/A</v>
      </c>
      <c r="M40" s="80" t="str">
        <f t="shared" ca="1" si="10"/>
        <v>N/A</v>
      </c>
      <c r="N40" s="80" t="str">
        <f t="shared" ca="1" si="10"/>
        <v>N/A</v>
      </c>
      <c r="O40" s="80" t="str">
        <f t="shared" ca="1" si="10"/>
        <v>N/A</v>
      </c>
      <c r="P40" s="80" t="str">
        <f t="shared" ca="1" si="10"/>
        <v>N/A</v>
      </c>
      <c r="Q40" s="80" t="str">
        <f t="shared" ca="1" si="10"/>
        <v>N/A</v>
      </c>
      <c r="R40" s="80" t="str">
        <f t="shared" ca="1" si="10"/>
        <v>N/A</v>
      </c>
      <c r="S40" s="80" t="str">
        <f t="shared" ca="1" si="10"/>
        <v>N/A</v>
      </c>
      <c r="T40" s="63"/>
      <c r="U40" s="63"/>
      <c r="V40" s="63"/>
      <c r="W40" s="63"/>
    </row>
    <row r="41" spans="1:23" hidden="1" x14ac:dyDescent="0.2">
      <c r="A41" s="45"/>
      <c r="B41" s="46" t="str">
        <f t="shared" ca="1" si="3"/>
        <v/>
      </c>
      <c r="C41" s="1" t="str">
        <f>IF(ISERROR(D41),"",IF(D41="","",MAX($C$12:C40)+1))</f>
        <v/>
      </c>
      <c r="D41" t="e">
        <f t="shared" si="4"/>
        <v>#N/A</v>
      </c>
      <c r="E41" s="15"/>
      <c r="F41" s="80" t="str">
        <f t="shared" ca="1" si="7"/>
        <v>N/A</v>
      </c>
      <c r="G41" s="80" t="str">
        <f t="shared" si="5"/>
        <v>N/A</v>
      </c>
      <c r="H41" s="80" t="str">
        <f ca="1">IFERROR(VLOOKUP($A41,LASTYR,'2017'!$N$3,FALSE),"N/A")</f>
        <v>N/A</v>
      </c>
      <c r="I41" s="80" t="str">
        <f t="shared" ca="1" si="9"/>
        <v>N/A</v>
      </c>
      <c r="J41" s="80" t="str">
        <f t="shared" ca="1" si="10"/>
        <v>N/A</v>
      </c>
      <c r="K41" s="80" t="str">
        <f t="shared" ca="1" si="10"/>
        <v>N/A</v>
      </c>
      <c r="L41" s="80" t="str">
        <f t="shared" ca="1" si="10"/>
        <v>N/A</v>
      </c>
      <c r="M41" s="80" t="str">
        <f t="shared" ca="1" si="10"/>
        <v>N/A</v>
      </c>
      <c r="N41" s="80" t="str">
        <f t="shared" ca="1" si="10"/>
        <v>N/A</v>
      </c>
      <c r="O41" s="80" t="str">
        <f t="shared" ca="1" si="10"/>
        <v>N/A</v>
      </c>
      <c r="P41" s="80" t="str">
        <f t="shared" ca="1" si="10"/>
        <v>N/A</v>
      </c>
      <c r="Q41" s="80" t="str">
        <f t="shared" ca="1" si="10"/>
        <v>N/A</v>
      </c>
      <c r="R41" s="80" t="str">
        <f t="shared" ca="1" si="10"/>
        <v>N/A</v>
      </c>
      <c r="S41" s="80" t="str">
        <f t="shared" ca="1" si="10"/>
        <v>N/A</v>
      </c>
      <c r="T41" s="63"/>
      <c r="U41" s="63"/>
      <c r="V41" s="63"/>
      <c r="W41" s="63"/>
    </row>
    <row r="42" spans="1:23" hidden="1" x14ac:dyDescent="0.2">
      <c r="A42" s="45"/>
      <c r="B42" s="46" t="str">
        <f t="shared" ca="1" si="3"/>
        <v/>
      </c>
      <c r="C42" s="1" t="str">
        <f>IF(ISERROR(D42),"",IF(D42="","",MAX($C$12:C41)+1))</f>
        <v/>
      </c>
      <c r="D42" t="e">
        <f t="shared" si="4"/>
        <v>#N/A</v>
      </c>
      <c r="E42" s="15"/>
      <c r="F42" s="80" t="str">
        <f t="shared" ca="1" si="7"/>
        <v>N/A</v>
      </c>
      <c r="G42" s="80" t="str">
        <f t="shared" si="5"/>
        <v>N/A</v>
      </c>
      <c r="H42" s="80" t="str">
        <f ca="1">IFERROR(VLOOKUP($A42,LASTYR,'2017'!$N$3,FALSE),"N/A")</f>
        <v>N/A</v>
      </c>
      <c r="I42" s="80" t="str">
        <f t="shared" ca="1" si="9"/>
        <v>N/A</v>
      </c>
      <c r="J42" s="80" t="str">
        <f t="shared" ca="1" si="10"/>
        <v>N/A</v>
      </c>
      <c r="K42" s="80" t="str">
        <f t="shared" ca="1" si="10"/>
        <v>N/A</v>
      </c>
      <c r="L42" s="80" t="str">
        <f t="shared" ca="1" si="10"/>
        <v>N/A</v>
      </c>
      <c r="M42" s="80" t="str">
        <f t="shared" ca="1" si="10"/>
        <v>N/A</v>
      </c>
      <c r="N42" s="80" t="str">
        <f t="shared" ca="1" si="10"/>
        <v>N/A</v>
      </c>
      <c r="O42" s="80" t="str">
        <f t="shared" ca="1" si="10"/>
        <v>N/A</v>
      </c>
      <c r="P42" s="80" t="str">
        <f t="shared" ca="1" si="10"/>
        <v>N/A</v>
      </c>
      <c r="Q42" s="80" t="str">
        <f t="shared" ca="1" si="10"/>
        <v>N/A</v>
      </c>
      <c r="R42" s="80" t="str">
        <f t="shared" ca="1" si="10"/>
        <v>N/A</v>
      </c>
      <c r="S42" s="80" t="str">
        <f t="shared" ca="1" si="10"/>
        <v>N/A</v>
      </c>
      <c r="T42" s="63"/>
      <c r="U42" s="63"/>
      <c r="V42" s="63"/>
      <c r="W42" s="63"/>
    </row>
    <row r="43" spans="1:23" hidden="1" x14ac:dyDescent="0.2">
      <c r="A43" s="45"/>
      <c r="B43" s="46" t="str">
        <f t="shared" ca="1" si="3"/>
        <v/>
      </c>
      <c r="C43" s="1" t="str">
        <f>IF(ISERROR(D43),"",IF(D43="","",MAX($C$12:C42)+1))</f>
        <v/>
      </c>
      <c r="D43" t="e">
        <f t="shared" si="4"/>
        <v>#N/A</v>
      </c>
      <c r="E43" s="15"/>
      <c r="F43" s="80" t="str">
        <f t="shared" ca="1" si="7"/>
        <v>N/A</v>
      </c>
      <c r="G43" s="80" t="str">
        <f t="shared" si="5"/>
        <v>N/A</v>
      </c>
      <c r="H43" s="80" t="str">
        <f ca="1">IFERROR(VLOOKUP($A43,LASTYR,'2017'!$N$3,FALSE),"N/A")</f>
        <v>N/A</v>
      </c>
      <c r="I43" s="80" t="str">
        <f t="shared" ca="1" si="9"/>
        <v>N/A</v>
      </c>
      <c r="J43" s="80" t="str">
        <f t="shared" ref="J43:S57" ca="1" si="11">IFERROR(INDEX(DIV_BV_WP,$B43,J$12),"N/A")</f>
        <v>N/A</v>
      </c>
      <c r="K43" s="80" t="str">
        <f t="shared" ca="1" si="11"/>
        <v>N/A</v>
      </c>
      <c r="L43" s="80" t="str">
        <f t="shared" ca="1" si="11"/>
        <v>N/A</v>
      </c>
      <c r="M43" s="80" t="str">
        <f t="shared" ca="1" si="11"/>
        <v>N/A</v>
      </c>
      <c r="N43" s="80" t="str">
        <f t="shared" ca="1" si="11"/>
        <v>N/A</v>
      </c>
      <c r="O43" s="80" t="str">
        <f t="shared" ca="1" si="11"/>
        <v>N/A</v>
      </c>
      <c r="P43" s="80" t="str">
        <f t="shared" ca="1" si="11"/>
        <v>N/A</v>
      </c>
      <c r="Q43" s="80" t="str">
        <f t="shared" ca="1" si="11"/>
        <v>N/A</v>
      </c>
      <c r="R43" s="80" t="str">
        <f t="shared" ca="1" si="11"/>
        <v>N/A</v>
      </c>
      <c r="S43" s="80" t="str">
        <f t="shared" ca="1" si="11"/>
        <v>N/A</v>
      </c>
      <c r="T43" s="63"/>
      <c r="U43" s="63"/>
      <c r="V43" s="63"/>
      <c r="W43" s="63"/>
    </row>
    <row r="44" spans="1:23" hidden="1" x14ac:dyDescent="0.2">
      <c r="A44" s="45"/>
      <c r="B44" s="46" t="str">
        <f t="shared" ca="1" si="3"/>
        <v/>
      </c>
      <c r="C44" s="1" t="str">
        <f>IF(ISERROR(D44),"",IF(D44="","",MAX($C$12:C43)+1))</f>
        <v/>
      </c>
      <c r="D44" t="e">
        <f t="shared" si="4"/>
        <v>#N/A</v>
      </c>
      <c r="E44" s="15"/>
      <c r="F44" s="80" t="str">
        <f t="shared" ca="1" si="7"/>
        <v>N/A</v>
      </c>
      <c r="G44" s="80" t="str">
        <f t="shared" si="5"/>
        <v>N/A</v>
      </c>
      <c r="H44" s="80" t="str">
        <f ca="1">IFERROR(VLOOKUP($A44,LASTYR,'2017'!$N$3,FALSE),"N/A")</f>
        <v>N/A</v>
      </c>
      <c r="I44" s="80" t="str">
        <f t="shared" ca="1" si="9"/>
        <v>N/A</v>
      </c>
      <c r="J44" s="80" t="str">
        <f t="shared" ca="1" si="11"/>
        <v>N/A</v>
      </c>
      <c r="K44" s="80" t="str">
        <f t="shared" ca="1" si="11"/>
        <v>N/A</v>
      </c>
      <c r="L44" s="80" t="str">
        <f t="shared" ca="1" si="11"/>
        <v>N/A</v>
      </c>
      <c r="M44" s="80" t="str">
        <f t="shared" ca="1" si="11"/>
        <v>N/A</v>
      </c>
      <c r="N44" s="80" t="str">
        <f t="shared" ca="1" si="11"/>
        <v>N/A</v>
      </c>
      <c r="O44" s="80" t="str">
        <f t="shared" ca="1" si="11"/>
        <v>N/A</v>
      </c>
      <c r="P44" s="80" t="str">
        <f t="shared" ca="1" si="11"/>
        <v>N/A</v>
      </c>
      <c r="Q44" s="80" t="str">
        <f t="shared" ca="1" si="11"/>
        <v>N/A</v>
      </c>
      <c r="R44" s="80" t="str">
        <f t="shared" ca="1" si="11"/>
        <v>N/A</v>
      </c>
      <c r="S44" s="80" t="str">
        <f t="shared" ca="1" si="11"/>
        <v>N/A</v>
      </c>
      <c r="T44" s="63"/>
      <c r="U44" s="63"/>
      <c r="V44" s="63"/>
      <c r="W44" s="63"/>
    </row>
    <row r="45" spans="1:23" hidden="1" x14ac:dyDescent="0.2">
      <c r="A45" s="45"/>
      <c r="B45" s="46" t="str">
        <f t="shared" ca="1" si="3"/>
        <v/>
      </c>
      <c r="C45" s="1" t="str">
        <f>IF(ISERROR(D45),"",IF(D45="","",MAX($C$12:C44)+1))</f>
        <v/>
      </c>
      <c r="D45" t="e">
        <f t="shared" si="4"/>
        <v>#N/A</v>
      </c>
      <c r="E45" s="15"/>
      <c r="F45" s="80" t="str">
        <f t="shared" ca="1" si="7"/>
        <v>N/A</v>
      </c>
      <c r="G45" s="80" t="str">
        <f t="shared" si="5"/>
        <v>N/A</v>
      </c>
      <c r="H45" s="80" t="str">
        <f ca="1">IFERROR(VLOOKUP($A45,LASTYR,'2017'!$N$3,FALSE),"N/A")</f>
        <v>N/A</v>
      </c>
      <c r="I45" s="80" t="str">
        <f t="shared" ca="1" si="9"/>
        <v>N/A</v>
      </c>
      <c r="J45" s="80" t="str">
        <f t="shared" ca="1" si="11"/>
        <v>N/A</v>
      </c>
      <c r="K45" s="80" t="str">
        <f t="shared" ca="1" si="11"/>
        <v>N/A</v>
      </c>
      <c r="L45" s="80" t="str">
        <f t="shared" ca="1" si="11"/>
        <v>N/A</v>
      </c>
      <c r="M45" s="80" t="str">
        <f t="shared" ca="1" si="11"/>
        <v>N/A</v>
      </c>
      <c r="N45" s="80" t="str">
        <f t="shared" ca="1" si="11"/>
        <v>N/A</v>
      </c>
      <c r="O45" s="80" t="str">
        <f t="shared" ca="1" si="11"/>
        <v>N/A</v>
      </c>
      <c r="P45" s="80" t="str">
        <f t="shared" ca="1" si="11"/>
        <v>N/A</v>
      </c>
      <c r="Q45" s="80" t="str">
        <f t="shared" ca="1" si="11"/>
        <v>N/A</v>
      </c>
      <c r="R45" s="80" t="str">
        <f t="shared" ca="1" si="11"/>
        <v>N/A</v>
      </c>
      <c r="S45" s="80" t="str">
        <f t="shared" ca="1" si="11"/>
        <v>N/A</v>
      </c>
      <c r="T45" s="63"/>
      <c r="U45" s="63"/>
      <c r="V45" s="63"/>
      <c r="W45" s="63"/>
    </row>
    <row r="46" spans="1:23" hidden="1" x14ac:dyDescent="0.2">
      <c r="A46" s="45"/>
      <c r="B46" s="46" t="str">
        <f t="shared" ca="1" si="3"/>
        <v/>
      </c>
      <c r="C46" s="1" t="str">
        <f>IF(ISERROR(D46),"",IF(D46="","",MAX($C$12:C45)+1))</f>
        <v/>
      </c>
      <c r="D46" t="e">
        <f>VLOOKUP(A46,LUCurYr,2,FALSE)</f>
        <v>#N/A</v>
      </c>
      <c r="E46" s="15"/>
      <c r="F46" s="80" t="str">
        <f t="shared" ca="1" si="7"/>
        <v>N/A</v>
      </c>
      <c r="G46" s="80" t="str">
        <f t="shared" si="5"/>
        <v>N/A</v>
      </c>
      <c r="H46" s="80" t="str">
        <f ca="1">IFERROR(VLOOKUP($A46,LASTYR,'2017'!$N$3,FALSE),"N/A")</f>
        <v>N/A</v>
      </c>
      <c r="I46" s="80" t="str">
        <f t="shared" ca="1" si="9"/>
        <v>N/A</v>
      </c>
      <c r="J46" s="80" t="str">
        <f t="shared" ca="1" si="11"/>
        <v>N/A</v>
      </c>
      <c r="K46" s="80" t="str">
        <f t="shared" ca="1" si="11"/>
        <v>N/A</v>
      </c>
      <c r="L46" s="80" t="str">
        <f t="shared" ca="1" si="11"/>
        <v>N/A</v>
      </c>
      <c r="M46" s="80" t="str">
        <f t="shared" ca="1" si="11"/>
        <v>N/A</v>
      </c>
      <c r="N46" s="80" t="str">
        <f t="shared" ca="1" si="11"/>
        <v>N/A</v>
      </c>
      <c r="O46" s="80" t="str">
        <f t="shared" ca="1" si="11"/>
        <v>N/A</v>
      </c>
      <c r="P46" s="80" t="str">
        <f t="shared" ca="1" si="11"/>
        <v>N/A</v>
      </c>
      <c r="Q46" s="80" t="str">
        <f t="shared" ca="1" si="11"/>
        <v>N/A</v>
      </c>
      <c r="R46" s="80" t="str">
        <f t="shared" ca="1" si="11"/>
        <v>N/A</v>
      </c>
      <c r="S46" s="80" t="str">
        <f t="shared" ca="1" si="11"/>
        <v>N/A</v>
      </c>
      <c r="T46" s="63"/>
      <c r="U46" s="63"/>
      <c r="V46" s="63"/>
      <c r="W46" s="63"/>
    </row>
    <row r="47" spans="1:23" hidden="1" x14ac:dyDescent="0.2">
      <c r="A47" s="45"/>
      <c r="B47" s="46" t="str">
        <f t="shared" ca="1" si="3"/>
        <v/>
      </c>
      <c r="C47" s="1" t="str">
        <f>IF(ISERROR(D47),"",IF(D47="","",MAX($C$12:C46)+1))</f>
        <v/>
      </c>
      <c r="D47" t="e">
        <f t="shared" si="4"/>
        <v>#N/A</v>
      </c>
      <c r="E47" s="15"/>
      <c r="F47" s="80" t="str">
        <f t="shared" ca="1" si="7"/>
        <v>N/A</v>
      </c>
      <c r="G47" s="80" t="str">
        <f t="shared" si="5"/>
        <v>N/A</v>
      </c>
      <c r="H47" s="80" t="str">
        <f ca="1">IFERROR(VLOOKUP($A47,LASTYR,'2017'!$N$3,FALSE),"N/A")</f>
        <v>N/A</v>
      </c>
      <c r="I47" s="80" t="str">
        <f t="shared" ca="1" si="9"/>
        <v>N/A</v>
      </c>
      <c r="J47" s="80" t="str">
        <f t="shared" ca="1" si="11"/>
        <v>N/A</v>
      </c>
      <c r="K47" s="80" t="str">
        <f t="shared" ca="1" si="11"/>
        <v>N/A</v>
      </c>
      <c r="L47" s="80" t="str">
        <f t="shared" ca="1" si="11"/>
        <v>N/A</v>
      </c>
      <c r="M47" s="80" t="str">
        <f t="shared" ca="1" si="11"/>
        <v>N/A</v>
      </c>
      <c r="N47" s="80" t="str">
        <f t="shared" ca="1" si="11"/>
        <v>N/A</v>
      </c>
      <c r="O47" s="80" t="str">
        <f t="shared" ca="1" si="11"/>
        <v>N/A</v>
      </c>
      <c r="P47" s="80" t="str">
        <f t="shared" ca="1" si="11"/>
        <v>N/A</v>
      </c>
      <c r="Q47" s="80" t="str">
        <f t="shared" ca="1" si="11"/>
        <v>N/A</v>
      </c>
      <c r="R47" s="80" t="str">
        <f t="shared" ca="1" si="11"/>
        <v>N/A</v>
      </c>
      <c r="S47" s="80" t="str">
        <f t="shared" ca="1" si="11"/>
        <v>N/A</v>
      </c>
      <c r="T47" s="63"/>
      <c r="U47" s="63"/>
      <c r="V47" s="63"/>
      <c r="W47" s="63"/>
    </row>
    <row r="48" spans="1:23" hidden="1" x14ac:dyDescent="0.2">
      <c r="A48" s="45"/>
      <c r="B48" s="46" t="str">
        <f t="shared" ca="1" si="3"/>
        <v/>
      </c>
      <c r="C48" s="1" t="str">
        <f>IF(ISERROR(D48),"",IF(D48="","",MAX($C$12:C47)+1))</f>
        <v/>
      </c>
      <c r="D48" t="e">
        <f t="shared" si="4"/>
        <v>#N/A</v>
      </c>
      <c r="E48" s="15"/>
      <c r="F48" s="80" t="str">
        <f t="shared" ca="1" si="7"/>
        <v>N/A</v>
      </c>
      <c r="G48" s="80" t="str">
        <f t="shared" si="5"/>
        <v>N/A</v>
      </c>
      <c r="H48" s="80" t="str">
        <f ca="1">IFERROR(VLOOKUP($A48,LASTYR,'2017'!$N$3,FALSE),"N/A")</f>
        <v>N/A</v>
      </c>
      <c r="I48" s="80" t="str">
        <f t="shared" ca="1" si="9"/>
        <v>N/A</v>
      </c>
      <c r="J48" s="80" t="str">
        <f t="shared" ca="1" si="11"/>
        <v>N/A</v>
      </c>
      <c r="K48" s="80" t="str">
        <f t="shared" ca="1" si="11"/>
        <v>N/A</v>
      </c>
      <c r="L48" s="80" t="str">
        <f t="shared" ca="1" si="11"/>
        <v>N/A</v>
      </c>
      <c r="M48" s="80" t="str">
        <f t="shared" ca="1" si="11"/>
        <v>N/A</v>
      </c>
      <c r="N48" s="80" t="str">
        <f t="shared" ca="1" si="11"/>
        <v>N/A</v>
      </c>
      <c r="O48" s="80" t="str">
        <f t="shared" ca="1" si="11"/>
        <v>N/A</v>
      </c>
      <c r="P48" s="80" t="str">
        <f t="shared" ca="1" si="11"/>
        <v>N/A</v>
      </c>
      <c r="Q48" s="80" t="str">
        <f t="shared" ca="1" si="11"/>
        <v>N/A</v>
      </c>
      <c r="R48" s="80" t="str">
        <f t="shared" ca="1" si="11"/>
        <v>N/A</v>
      </c>
      <c r="S48" s="80" t="str">
        <f t="shared" ca="1" si="11"/>
        <v>N/A</v>
      </c>
      <c r="T48" s="63"/>
      <c r="U48" s="63"/>
      <c r="V48" s="63"/>
      <c r="W48" s="63"/>
    </row>
    <row r="49" spans="1:23" hidden="1" x14ac:dyDescent="0.2">
      <c r="A49" s="45"/>
      <c r="B49" s="46" t="str">
        <f t="shared" ca="1" si="3"/>
        <v/>
      </c>
      <c r="C49" s="1" t="str">
        <f>IF(ISERROR(D49),"",IF(D49="","",MAX($C$12:C48)+1))</f>
        <v/>
      </c>
      <c r="D49" t="e">
        <f t="shared" si="4"/>
        <v>#N/A</v>
      </c>
      <c r="E49" s="15"/>
      <c r="F49" s="80" t="str">
        <f t="shared" ca="1" si="7"/>
        <v>N/A</v>
      </c>
      <c r="G49" s="80" t="str">
        <f t="shared" si="5"/>
        <v>N/A</v>
      </c>
      <c r="H49" s="80" t="str">
        <f ca="1">IFERROR(VLOOKUP($A49,LASTYR,'2017'!$N$3,FALSE),"N/A")</f>
        <v>N/A</v>
      </c>
      <c r="I49" s="80" t="str">
        <f t="shared" ca="1" si="9"/>
        <v>N/A</v>
      </c>
      <c r="J49" s="80" t="str">
        <f t="shared" ca="1" si="11"/>
        <v>N/A</v>
      </c>
      <c r="K49" s="80" t="str">
        <f t="shared" ca="1" si="11"/>
        <v>N/A</v>
      </c>
      <c r="L49" s="80" t="str">
        <f t="shared" ca="1" si="11"/>
        <v>N/A</v>
      </c>
      <c r="M49" s="80" t="str">
        <f t="shared" ca="1" si="11"/>
        <v>N/A</v>
      </c>
      <c r="N49" s="80" t="str">
        <f t="shared" ca="1" si="11"/>
        <v>N/A</v>
      </c>
      <c r="O49" s="80" t="str">
        <f t="shared" ca="1" si="11"/>
        <v>N/A</v>
      </c>
      <c r="P49" s="80" t="str">
        <f t="shared" ca="1" si="11"/>
        <v>N/A</v>
      </c>
      <c r="Q49" s="80" t="str">
        <f t="shared" ca="1" si="11"/>
        <v>N/A</v>
      </c>
      <c r="R49" s="80" t="str">
        <f t="shared" ca="1" si="11"/>
        <v>N/A</v>
      </c>
      <c r="S49" s="80" t="str">
        <f t="shared" ca="1" si="11"/>
        <v>N/A</v>
      </c>
      <c r="T49" s="63"/>
      <c r="U49" s="63"/>
      <c r="V49" s="63"/>
      <c r="W49" s="63"/>
    </row>
    <row r="50" spans="1:23" hidden="1" x14ac:dyDescent="0.2">
      <c r="A50" s="45"/>
      <c r="B50" s="46" t="str">
        <f t="shared" ca="1" si="3"/>
        <v/>
      </c>
      <c r="C50" s="1" t="str">
        <f>IF(ISERROR(D50),"",IF(D50="","",MAX($C$12:C49)+1))</f>
        <v/>
      </c>
      <c r="D50" t="e">
        <f t="shared" si="4"/>
        <v>#N/A</v>
      </c>
      <c r="E50" s="15"/>
      <c r="F50" s="80" t="str">
        <f t="shared" ca="1" si="7"/>
        <v>N/A</v>
      </c>
      <c r="G50" s="80" t="str">
        <f t="shared" si="5"/>
        <v>N/A</v>
      </c>
      <c r="H50" s="80" t="str">
        <f ca="1">IFERROR(VLOOKUP($A50,LASTYR,'2017'!$N$3,FALSE),"N/A")</f>
        <v>N/A</v>
      </c>
      <c r="I50" s="80" t="str">
        <f t="shared" ca="1" si="9"/>
        <v>N/A</v>
      </c>
      <c r="J50" s="80" t="str">
        <f t="shared" ca="1" si="11"/>
        <v>N/A</v>
      </c>
      <c r="K50" s="80" t="str">
        <f t="shared" ca="1" si="11"/>
        <v>N/A</v>
      </c>
      <c r="L50" s="80" t="str">
        <f t="shared" ca="1" si="11"/>
        <v>N/A</v>
      </c>
      <c r="M50" s="80" t="str">
        <f t="shared" ca="1" si="11"/>
        <v>N/A</v>
      </c>
      <c r="N50" s="80" t="str">
        <f t="shared" ca="1" si="11"/>
        <v>N/A</v>
      </c>
      <c r="O50" s="80" t="str">
        <f t="shared" ca="1" si="11"/>
        <v>N/A</v>
      </c>
      <c r="P50" s="80" t="str">
        <f t="shared" ca="1" si="11"/>
        <v>N/A</v>
      </c>
      <c r="Q50" s="80" t="str">
        <f t="shared" ca="1" si="11"/>
        <v>N/A</v>
      </c>
      <c r="R50" s="80" t="str">
        <f t="shared" ca="1" si="11"/>
        <v>N/A</v>
      </c>
      <c r="S50" s="80" t="str">
        <f t="shared" ca="1" si="11"/>
        <v>N/A</v>
      </c>
      <c r="T50" s="63"/>
      <c r="U50" s="63"/>
      <c r="V50" s="63"/>
      <c r="W50" s="63"/>
    </row>
    <row r="51" spans="1:23" hidden="1" x14ac:dyDescent="0.2">
      <c r="A51" s="45"/>
      <c r="B51" s="46" t="str">
        <f t="shared" ca="1" si="3"/>
        <v/>
      </c>
      <c r="C51" s="1" t="str">
        <f>IF(ISERROR(D51),"",IF(D51="","",MAX($C$12:C50)+1))</f>
        <v/>
      </c>
      <c r="D51" t="e">
        <f t="shared" si="4"/>
        <v>#N/A</v>
      </c>
      <c r="E51" s="15"/>
      <c r="F51" s="80" t="str">
        <f t="shared" ca="1" si="7"/>
        <v>N/A</v>
      </c>
      <c r="G51" s="80" t="str">
        <f t="shared" si="5"/>
        <v>N/A</v>
      </c>
      <c r="H51" s="80" t="str">
        <f ca="1">IFERROR(VLOOKUP($A51,LASTYR,'2017'!$N$3,FALSE),"N/A")</f>
        <v>N/A</v>
      </c>
      <c r="I51" s="80" t="str">
        <f t="shared" ca="1" si="9"/>
        <v>N/A</v>
      </c>
      <c r="J51" s="80" t="str">
        <f t="shared" ca="1" si="11"/>
        <v>N/A</v>
      </c>
      <c r="K51" s="80" t="str">
        <f t="shared" ca="1" si="11"/>
        <v>N/A</v>
      </c>
      <c r="L51" s="80" t="str">
        <f t="shared" ca="1" si="11"/>
        <v>N/A</v>
      </c>
      <c r="M51" s="80" t="str">
        <f t="shared" ca="1" si="11"/>
        <v>N/A</v>
      </c>
      <c r="N51" s="80" t="str">
        <f t="shared" ca="1" si="11"/>
        <v>N/A</v>
      </c>
      <c r="O51" s="80" t="str">
        <f t="shared" ca="1" si="11"/>
        <v>N/A</v>
      </c>
      <c r="P51" s="80" t="str">
        <f t="shared" ca="1" si="11"/>
        <v>N/A</v>
      </c>
      <c r="Q51" s="80" t="str">
        <f t="shared" ca="1" si="11"/>
        <v>N/A</v>
      </c>
      <c r="R51" s="80" t="str">
        <f t="shared" ca="1" si="11"/>
        <v>N/A</v>
      </c>
      <c r="S51" s="80" t="str">
        <f t="shared" ca="1" si="11"/>
        <v>N/A</v>
      </c>
      <c r="T51" s="63"/>
      <c r="U51" s="63"/>
      <c r="V51" s="63"/>
      <c r="W51" s="63"/>
    </row>
    <row r="52" spans="1:23" hidden="1" x14ac:dyDescent="0.2">
      <c r="A52" s="45"/>
      <c r="B52" s="46" t="str">
        <f t="shared" ca="1" si="3"/>
        <v/>
      </c>
      <c r="C52" s="1" t="str">
        <f>IF(ISERROR(D52),"",IF(D52="","",MAX($C$12:C51)+1))</f>
        <v/>
      </c>
      <c r="D52" t="e">
        <f t="shared" si="4"/>
        <v>#N/A</v>
      </c>
      <c r="E52" s="15"/>
      <c r="F52" s="80" t="str">
        <f t="shared" ca="1" si="7"/>
        <v>N/A</v>
      </c>
      <c r="G52" s="80" t="str">
        <f t="shared" si="5"/>
        <v>N/A</v>
      </c>
      <c r="H52" s="80" t="str">
        <f ca="1">IFERROR(VLOOKUP($A52,LASTYR,'2017'!$N$3,FALSE),"N/A")</f>
        <v>N/A</v>
      </c>
      <c r="I52" s="80" t="str">
        <f t="shared" ca="1" si="9"/>
        <v>N/A</v>
      </c>
      <c r="J52" s="80" t="str">
        <f t="shared" ca="1" si="11"/>
        <v>N/A</v>
      </c>
      <c r="K52" s="80" t="str">
        <f t="shared" ca="1" si="11"/>
        <v>N/A</v>
      </c>
      <c r="L52" s="80" t="str">
        <f t="shared" ca="1" si="11"/>
        <v>N/A</v>
      </c>
      <c r="M52" s="80" t="str">
        <f t="shared" ca="1" si="11"/>
        <v>N/A</v>
      </c>
      <c r="N52" s="80" t="str">
        <f t="shared" ca="1" si="11"/>
        <v>N/A</v>
      </c>
      <c r="O52" s="80" t="str">
        <f t="shared" ca="1" si="11"/>
        <v>N/A</v>
      </c>
      <c r="P52" s="80" t="str">
        <f t="shared" ca="1" si="11"/>
        <v>N/A</v>
      </c>
      <c r="Q52" s="80" t="str">
        <f t="shared" ca="1" si="11"/>
        <v>N/A</v>
      </c>
      <c r="R52" s="80" t="str">
        <f t="shared" ca="1" si="11"/>
        <v>N/A</v>
      </c>
      <c r="S52" s="80" t="str">
        <f t="shared" ca="1" si="11"/>
        <v>N/A</v>
      </c>
      <c r="T52" s="63"/>
      <c r="U52" s="63"/>
      <c r="V52" s="63"/>
      <c r="W52" s="63"/>
    </row>
    <row r="53" spans="1:23" hidden="1" x14ac:dyDescent="0.2">
      <c r="A53" s="45"/>
      <c r="B53" s="46" t="str">
        <f t="shared" ca="1" si="3"/>
        <v/>
      </c>
      <c r="C53" s="1" t="str">
        <f>IF(ISERROR(D53),"",IF(D53="","",MAX($C$12:C52)+1))</f>
        <v/>
      </c>
      <c r="D53" t="e">
        <f t="shared" si="4"/>
        <v>#N/A</v>
      </c>
      <c r="E53" s="15"/>
      <c r="F53" s="80" t="str">
        <f t="shared" ca="1" si="7"/>
        <v>N/A</v>
      </c>
      <c r="G53" s="80" t="str">
        <f t="shared" si="5"/>
        <v>N/A</v>
      </c>
      <c r="H53" s="80" t="str">
        <f ca="1">IFERROR(VLOOKUP($A53,LASTYR,'2017'!$N$3,FALSE),"N/A")</f>
        <v>N/A</v>
      </c>
      <c r="I53" s="80" t="str">
        <f t="shared" ca="1" si="9"/>
        <v>N/A</v>
      </c>
      <c r="J53" s="80" t="str">
        <f t="shared" ca="1" si="11"/>
        <v>N/A</v>
      </c>
      <c r="K53" s="80" t="str">
        <f t="shared" ca="1" si="11"/>
        <v>N/A</v>
      </c>
      <c r="L53" s="80" t="str">
        <f t="shared" ca="1" si="11"/>
        <v>N/A</v>
      </c>
      <c r="M53" s="80" t="str">
        <f t="shared" ca="1" si="11"/>
        <v>N/A</v>
      </c>
      <c r="N53" s="80" t="str">
        <f t="shared" ca="1" si="11"/>
        <v>N/A</v>
      </c>
      <c r="O53" s="80" t="str">
        <f t="shared" ca="1" si="11"/>
        <v>N/A</v>
      </c>
      <c r="P53" s="80" t="str">
        <f t="shared" ca="1" si="11"/>
        <v>N/A</v>
      </c>
      <c r="Q53" s="80" t="str">
        <f t="shared" ca="1" si="11"/>
        <v>N/A</v>
      </c>
      <c r="R53" s="80" t="str">
        <f t="shared" ca="1" si="11"/>
        <v>N/A</v>
      </c>
      <c r="S53" s="80" t="str">
        <f t="shared" ca="1" si="11"/>
        <v>N/A</v>
      </c>
      <c r="T53" s="63"/>
      <c r="U53" s="63"/>
      <c r="V53" s="63"/>
      <c r="W53" s="63"/>
    </row>
    <row r="54" spans="1:23" hidden="1" x14ac:dyDescent="0.2">
      <c r="A54" s="45"/>
      <c r="B54" s="46" t="str">
        <f t="shared" ca="1" si="3"/>
        <v/>
      </c>
      <c r="C54" s="1" t="str">
        <f>IF(ISERROR(D54),"",IF(D54="","",MAX($C$12:C53)+1))</f>
        <v/>
      </c>
      <c r="D54" t="e">
        <f t="shared" si="4"/>
        <v>#N/A</v>
      </c>
      <c r="E54" s="15"/>
      <c r="F54" s="80" t="str">
        <f t="shared" ca="1" si="7"/>
        <v>N/A</v>
      </c>
      <c r="G54" s="80" t="str">
        <f t="shared" si="5"/>
        <v>N/A</v>
      </c>
      <c r="H54" s="80" t="str">
        <f ca="1">IFERROR(VLOOKUP($A54,LASTYR,'2017'!$N$3,FALSE),"N/A")</f>
        <v>N/A</v>
      </c>
      <c r="I54" s="80" t="str">
        <f t="shared" ca="1" si="9"/>
        <v>N/A</v>
      </c>
      <c r="J54" s="80" t="str">
        <f t="shared" ca="1" si="11"/>
        <v>N/A</v>
      </c>
      <c r="K54" s="80" t="str">
        <f t="shared" ca="1" si="11"/>
        <v>N/A</v>
      </c>
      <c r="L54" s="80" t="str">
        <f t="shared" ca="1" si="11"/>
        <v>N/A</v>
      </c>
      <c r="M54" s="80" t="str">
        <f t="shared" ca="1" si="11"/>
        <v>N/A</v>
      </c>
      <c r="N54" s="80" t="str">
        <f t="shared" ca="1" si="11"/>
        <v>N/A</v>
      </c>
      <c r="O54" s="80" t="str">
        <f t="shared" ca="1" si="11"/>
        <v>N/A</v>
      </c>
      <c r="P54" s="80" t="str">
        <f t="shared" ca="1" si="11"/>
        <v>N/A</v>
      </c>
      <c r="Q54" s="80" t="str">
        <f t="shared" ca="1" si="11"/>
        <v>N/A</v>
      </c>
      <c r="R54" s="80" t="str">
        <f t="shared" ca="1" si="11"/>
        <v>N/A</v>
      </c>
      <c r="S54" s="80" t="str">
        <f t="shared" ca="1" si="11"/>
        <v>N/A</v>
      </c>
      <c r="T54" s="63"/>
      <c r="U54" s="63"/>
      <c r="V54" s="63"/>
      <c r="W54" s="63"/>
    </row>
    <row r="55" spans="1:23" hidden="1" x14ac:dyDescent="0.2">
      <c r="A55" s="51"/>
      <c r="B55" s="46" t="str">
        <f t="shared" ca="1" si="3"/>
        <v/>
      </c>
      <c r="C55" s="1" t="str">
        <f>IF(ISERROR(D55),"",IF(D55="","",MAX($C$12:C54)+1))</f>
        <v/>
      </c>
      <c r="D55" t="e">
        <f t="shared" si="4"/>
        <v>#N/A</v>
      </c>
      <c r="F55" s="80" t="str">
        <f t="shared" ca="1" si="7"/>
        <v>N/A</v>
      </c>
      <c r="G55" s="80" t="str">
        <f t="shared" si="5"/>
        <v>N/A</v>
      </c>
      <c r="H55" s="80" t="str">
        <f ca="1">IFERROR(VLOOKUP($A55,LASTYR,'2017'!$N$3,FALSE),"N/A")</f>
        <v>N/A</v>
      </c>
      <c r="I55" s="80" t="str">
        <f t="shared" ca="1" si="9"/>
        <v>N/A</v>
      </c>
      <c r="J55" s="80" t="str">
        <f t="shared" ca="1" si="11"/>
        <v>N/A</v>
      </c>
      <c r="K55" s="80" t="str">
        <f t="shared" ca="1" si="11"/>
        <v>N/A</v>
      </c>
      <c r="L55" s="80" t="str">
        <f t="shared" ca="1" si="11"/>
        <v>N/A</v>
      </c>
      <c r="M55" s="80" t="str">
        <f t="shared" ca="1" si="11"/>
        <v>N/A</v>
      </c>
      <c r="N55" s="80" t="str">
        <f t="shared" ca="1" si="11"/>
        <v>N/A</v>
      </c>
      <c r="O55" s="80" t="str">
        <f t="shared" ca="1" si="11"/>
        <v>N/A</v>
      </c>
      <c r="P55" s="80" t="str">
        <f t="shared" ca="1" si="11"/>
        <v>N/A</v>
      </c>
      <c r="Q55" s="80" t="str">
        <f t="shared" ca="1" si="11"/>
        <v>N/A</v>
      </c>
      <c r="R55" s="80" t="str">
        <f t="shared" ca="1" si="11"/>
        <v>N/A</v>
      </c>
      <c r="S55" s="80" t="str">
        <f t="shared" ca="1" si="11"/>
        <v>N/A</v>
      </c>
      <c r="T55" s="63"/>
      <c r="U55" s="63"/>
      <c r="V55" s="63"/>
      <c r="W55" s="63"/>
    </row>
    <row r="56" spans="1:23" hidden="1" x14ac:dyDescent="0.2">
      <c r="A56" s="51"/>
      <c r="B56" s="46" t="str">
        <f t="shared" ca="1" si="3"/>
        <v/>
      </c>
      <c r="C56" s="1" t="str">
        <f>IF(ISERROR(D56),"",IF(D56="","",MAX($C$12:C55)+1))</f>
        <v/>
      </c>
      <c r="D56" t="e">
        <f t="shared" si="4"/>
        <v>#N/A</v>
      </c>
      <c r="F56" s="80" t="str">
        <f t="shared" ca="1" si="7"/>
        <v>N/A</v>
      </c>
      <c r="G56" s="80" t="str">
        <f t="shared" si="5"/>
        <v>N/A</v>
      </c>
      <c r="H56" s="80" t="str">
        <f ca="1">IFERROR(VLOOKUP($A56,LASTYR,'2017'!$N$3,FALSE),"N/A")</f>
        <v>N/A</v>
      </c>
      <c r="I56" s="80" t="str">
        <f t="shared" ca="1" si="9"/>
        <v>N/A</v>
      </c>
      <c r="J56" s="80" t="str">
        <f t="shared" ca="1" si="11"/>
        <v>N/A</v>
      </c>
      <c r="K56" s="80" t="str">
        <f t="shared" ca="1" si="11"/>
        <v>N/A</v>
      </c>
      <c r="L56" s="80" t="str">
        <f t="shared" ca="1" si="11"/>
        <v>N/A</v>
      </c>
      <c r="M56" s="80" t="str">
        <f t="shared" ca="1" si="11"/>
        <v>N/A</v>
      </c>
      <c r="N56" s="80" t="str">
        <f t="shared" ca="1" si="11"/>
        <v>N/A</v>
      </c>
      <c r="O56" s="80" t="str">
        <f t="shared" ca="1" si="11"/>
        <v>N/A</v>
      </c>
      <c r="P56" s="80" t="str">
        <f t="shared" ca="1" si="11"/>
        <v>N/A</v>
      </c>
      <c r="Q56" s="80" t="str">
        <f t="shared" ca="1" si="11"/>
        <v>N/A</v>
      </c>
      <c r="R56" s="80" t="str">
        <f t="shared" ca="1" si="11"/>
        <v>N/A</v>
      </c>
      <c r="S56" s="80" t="str">
        <f t="shared" ca="1" si="11"/>
        <v>N/A</v>
      </c>
      <c r="T56" s="63"/>
      <c r="U56" s="63"/>
      <c r="V56" s="63"/>
      <c r="W56" s="63"/>
    </row>
    <row r="57" spans="1:23" hidden="1" x14ac:dyDescent="0.2">
      <c r="A57" s="51"/>
      <c r="B57" s="46" t="str">
        <f t="shared" ca="1" si="3"/>
        <v/>
      </c>
      <c r="C57" s="1" t="str">
        <f>IF(ISERROR(D57),"",IF(D57="","",MAX($C$12:C56)+1))</f>
        <v/>
      </c>
      <c r="D57" t="e">
        <f t="shared" si="4"/>
        <v>#N/A</v>
      </c>
      <c r="F57" s="80" t="str">
        <f t="shared" ca="1" si="7"/>
        <v>N/A</v>
      </c>
      <c r="G57" s="80" t="str">
        <f t="shared" si="5"/>
        <v>N/A</v>
      </c>
      <c r="H57" s="80" t="str">
        <f ca="1">IFERROR(VLOOKUP($A57,LASTYR,'2017'!$N$3,FALSE),"N/A")</f>
        <v>N/A</v>
      </c>
      <c r="I57" s="80" t="str">
        <f t="shared" ca="1" si="9"/>
        <v>N/A</v>
      </c>
      <c r="J57" s="80" t="str">
        <f t="shared" ca="1" si="11"/>
        <v>N/A</v>
      </c>
      <c r="K57" s="80" t="str">
        <f t="shared" ca="1" si="11"/>
        <v>N/A</v>
      </c>
      <c r="L57" s="80" t="str">
        <f t="shared" ca="1" si="11"/>
        <v>N/A</v>
      </c>
      <c r="M57" s="80" t="str">
        <f t="shared" ca="1" si="11"/>
        <v>N/A</v>
      </c>
      <c r="N57" s="80" t="str">
        <f t="shared" ca="1" si="11"/>
        <v>N/A</v>
      </c>
      <c r="O57" s="80" t="str">
        <f t="shared" ca="1" si="11"/>
        <v>N/A</v>
      </c>
      <c r="P57" s="80" t="str">
        <f t="shared" ca="1" si="11"/>
        <v>N/A</v>
      </c>
      <c r="Q57" s="80" t="str">
        <f t="shared" ca="1" si="11"/>
        <v>N/A</v>
      </c>
      <c r="R57" s="80" t="str">
        <f t="shared" ca="1" si="11"/>
        <v>N/A</v>
      </c>
      <c r="S57" s="80" t="str">
        <f t="shared" ca="1" si="11"/>
        <v>N/A</v>
      </c>
      <c r="T57" s="63"/>
      <c r="U57" s="63"/>
      <c r="V57" s="63"/>
      <c r="W57" s="63"/>
    </row>
    <row r="58" spans="1:23" x14ac:dyDescent="0.2">
      <c r="A58" s="31"/>
      <c r="B58" s="31"/>
      <c r="C58" s="1" t="str">
        <f>IF(ISERROR(D58),"",IF(D58="","",MAX($C$12:C57)+1))</f>
        <v/>
      </c>
      <c r="F58" s="80"/>
      <c r="G58" s="80"/>
      <c r="H58" s="80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63"/>
      <c r="U58" s="63"/>
      <c r="V58" s="63"/>
      <c r="W58" s="63"/>
    </row>
    <row r="59" spans="1:23" x14ac:dyDescent="0.2">
      <c r="A59" s="31"/>
      <c r="B59" s="31"/>
      <c r="C59" s="1">
        <f ca="1">IF(ISERROR(D59),"",IF(D59="","",MAX($C$12:C58)+1))</f>
        <v>12</v>
      </c>
      <c r="D59" t="s">
        <v>98</v>
      </c>
      <c r="F59" s="80">
        <f ca="1">AVERAGE(G59:S59)</f>
        <v>5.8661054769056378E-2</v>
      </c>
      <c r="G59" s="80">
        <f t="shared" ref="G59:S59" si="12">AVERAGE(G13:G58)</f>
        <v>5.6251337294109617E-2</v>
      </c>
      <c r="H59" s="80">
        <f t="shared" ref="H59" ca="1" si="13">AVERAGE(H13:H58)</f>
        <v>5.7680740112671144E-2</v>
      </c>
      <c r="I59" s="80">
        <f t="shared" ca="1" si="12"/>
        <v>5.5860139298355843E-2</v>
      </c>
      <c r="J59" s="80">
        <f t="shared" ca="1" si="12"/>
        <v>5.7848890085144794E-2</v>
      </c>
      <c r="K59" s="80">
        <f t="shared" ca="1" si="12"/>
        <v>5.5099540345077781E-2</v>
      </c>
      <c r="L59" s="80">
        <f t="shared" ca="1" si="12"/>
        <v>5.8160373302139669E-2</v>
      </c>
      <c r="M59" s="80">
        <f t="shared" ca="1" si="12"/>
        <v>5.9630626733741886E-2</v>
      </c>
      <c r="N59" s="80">
        <f t="shared" ca="1" si="12"/>
        <v>6.0207146273320689E-2</v>
      </c>
      <c r="O59" s="80">
        <f t="shared" ca="1" si="12"/>
        <v>5.9963363021982484E-2</v>
      </c>
      <c r="P59" s="80">
        <f t="shared" ca="1" si="12"/>
        <v>5.9560346212076051E-2</v>
      </c>
      <c r="Q59" s="80">
        <f t="shared" ca="1" si="12"/>
        <v>6.0033350687327638E-2</v>
      </c>
      <c r="R59" s="80">
        <f t="shared" ca="1" si="12"/>
        <v>6.036913447615154E-2</v>
      </c>
      <c r="S59" s="80">
        <f t="shared" ca="1" si="12"/>
        <v>6.1928724155633733E-2</v>
      </c>
      <c r="T59" s="63"/>
      <c r="U59" s="63"/>
      <c r="V59" s="63"/>
      <c r="W59" s="63"/>
    </row>
    <row r="60" spans="1:23" x14ac:dyDescent="0.2">
      <c r="A60" s="31"/>
      <c r="B60" s="31"/>
      <c r="C60" s="1">
        <f ca="1">IF(ISERROR(D60),"",IF(D60="","",MAX($C$12:C59)+1))</f>
        <v>13</v>
      </c>
      <c r="D60" t="s">
        <v>257</v>
      </c>
      <c r="F60" s="80">
        <f ca="1">AVERAGE(G60:S60)</f>
        <v>5.743720505150874E-2</v>
      </c>
      <c r="G60" s="80">
        <f>MEDIAN(G13:G58)</f>
        <v>5.1370714960943337E-2</v>
      </c>
      <c r="H60" s="80">
        <f t="shared" ref="H60" ca="1" si="14">MEDIAN(H13:H58)</f>
        <v>5.2802376106924807E-2</v>
      </c>
      <c r="I60" s="80">
        <f t="shared" ref="I60:S60" ca="1" si="15">MEDIAN(I13:I58)</f>
        <v>5.1378660729576982E-2</v>
      </c>
      <c r="J60" s="80">
        <f t="shared" ca="1" si="15"/>
        <v>5.7234726688102894E-2</v>
      </c>
      <c r="K60" s="80">
        <f t="shared" ca="1" si="15"/>
        <v>5.1831341688526184E-2</v>
      </c>
      <c r="L60" s="80">
        <f t="shared" ca="1" si="15"/>
        <v>5.2831352093485939E-2</v>
      </c>
      <c r="M60" s="80">
        <f t="shared" ca="1" si="15"/>
        <v>5.8046425024859627E-2</v>
      </c>
      <c r="N60" s="80">
        <f t="shared" ca="1" si="15"/>
        <v>6.0334967173850174E-2</v>
      </c>
      <c r="O60" s="80">
        <f t="shared" ca="1" si="15"/>
        <v>5.9940377036525418E-2</v>
      </c>
      <c r="P60" s="80">
        <f t="shared" ca="1" si="15"/>
        <v>6.0218050884799375E-2</v>
      </c>
      <c r="Q60" s="80">
        <f t="shared" ca="1" si="15"/>
        <v>6.4074327775118581E-2</v>
      </c>
      <c r="R60" s="80">
        <f t="shared" ca="1" si="15"/>
        <v>6.3049490074609915E-2</v>
      </c>
      <c r="S60" s="80">
        <f t="shared" ca="1" si="15"/>
        <v>6.3570855432290393E-2</v>
      </c>
      <c r="T60" s="63"/>
      <c r="U60" s="63"/>
      <c r="V60" s="63"/>
      <c r="W60" s="63"/>
    </row>
    <row r="61" spans="1:23" x14ac:dyDescent="0.2">
      <c r="A61" s="31"/>
      <c r="B61" s="31"/>
      <c r="C61" s="1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</row>
    <row r="62" spans="1:23" x14ac:dyDescent="0.2">
      <c r="A62" s="31"/>
      <c r="B62" s="31"/>
      <c r="C62" s="1"/>
    </row>
    <row r="63" spans="1:23" ht="17.25" x14ac:dyDescent="0.25">
      <c r="A63" s="31"/>
      <c r="B63" s="31"/>
      <c r="C63" s="6"/>
      <c r="D63" s="6"/>
      <c r="E63" s="19"/>
      <c r="F63" s="235" t="s">
        <v>327</v>
      </c>
      <c r="G63" s="235"/>
      <c r="H63" s="235"/>
      <c r="I63" s="235"/>
      <c r="J63" s="235"/>
      <c r="K63" s="235"/>
      <c r="L63" s="235"/>
      <c r="M63" s="235"/>
      <c r="N63" s="235"/>
      <c r="O63" s="235"/>
      <c r="P63" s="235"/>
      <c r="Q63" s="235"/>
      <c r="R63" s="235"/>
      <c r="S63" s="235"/>
      <c r="T63" s="235"/>
      <c r="U63" s="235"/>
      <c r="V63" s="235"/>
      <c r="W63" s="235"/>
    </row>
    <row r="64" spans="1:23" ht="15" x14ac:dyDescent="0.25">
      <c r="A64" s="31"/>
      <c r="B64" s="31"/>
      <c r="C64" s="6"/>
      <c r="D64" s="7"/>
      <c r="E64" s="7"/>
      <c r="F64" s="8" t="s">
        <v>429</v>
      </c>
      <c r="G64" s="8"/>
      <c r="H64" s="8"/>
      <c r="I64" s="8"/>
      <c r="J64" s="8"/>
      <c r="K64" s="8"/>
      <c r="L64" s="8"/>
      <c r="M64" s="8"/>
      <c r="N64" s="8"/>
      <c r="O64" s="8"/>
      <c r="P64" s="7"/>
      <c r="Q64" s="7"/>
      <c r="R64" s="7"/>
      <c r="S64" s="7"/>
      <c r="T64" s="7"/>
      <c r="U64" s="7"/>
      <c r="V64" s="7"/>
    </row>
    <row r="65" spans="1:23" ht="17.25" x14ac:dyDescent="0.25">
      <c r="A65" s="31"/>
      <c r="B65" s="31"/>
      <c r="C65" s="9" t="s">
        <v>96</v>
      </c>
      <c r="D65" s="234" t="s">
        <v>97</v>
      </c>
      <c r="E65" s="234"/>
      <c r="F65" s="10" t="s">
        <v>98</v>
      </c>
      <c r="G65" s="10" t="s">
        <v>424</v>
      </c>
      <c r="H65" s="41">
        <v>2017</v>
      </c>
      <c r="I65" s="41">
        <v>2016</v>
      </c>
      <c r="J65" s="41">
        <v>2015</v>
      </c>
      <c r="K65" s="41">
        <v>2014</v>
      </c>
      <c r="L65" s="41">
        <v>2013</v>
      </c>
      <c r="M65" s="41">
        <v>2012</v>
      </c>
      <c r="N65" s="41">
        <v>2011</v>
      </c>
      <c r="O65" s="41">
        <v>2010</v>
      </c>
      <c r="P65" s="41">
        <v>2009</v>
      </c>
      <c r="Q65" s="41">
        <v>2008</v>
      </c>
      <c r="R65" s="41">
        <v>2007</v>
      </c>
      <c r="S65" s="41">
        <v>2006</v>
      </c>
      <c r="T65" s="41">
        <v>2005</v>
      </c>
      <c r="U65" s="41">
        <v>2004</v>
      </c>
      <c r="V65" s="41">
        <v>2003</v>
      </c>
      <c r="W65" s="41">
        <v>2002</v>
      </c>
    </row>
    <row r="66" spans="1:23" ht="15" x14ac:dyDescent="0.25">
      <c r="A66" s="42"/>
      <c r="B66" s="42"/>
      <c r="C66" s="9"/>
      <c r="D66" s="11"/>
      <c r="E66" s="11"/>
      <c r="F66" s="12">
        <v>-1</v>
      </c>
      <c r="G66" s="12">
        <f t="shared" ref="G66:W66" si="16">+F66-1</f>
        <v>-2</v>
      </c>
      <c r="H66" s="12">
        <f t="shared" ref="H66" si="17">+G66-1</f>
        <v>-3</v>
      </c>
      <c r="I66" s="12">
        <f t="shared" ref="I66" si="18">+H66-1</f>
        <v>-4</v>
      </c>
      <c r="J66" s="12">
        <f t="shared" ref="J66" si="19">+I66-1</f>
        <v>-5</v>
      </c>
      <c r="K66" s="12">
        <f t="shared" ref="K66" si="20">+J66-1</f>
        <v>-6</v>
      </c>
      <c r="L66" s="12">
        <f t="shared" ref="L66" si="21">+K66-1</f>
        <v>-7</v>
      </c>
      <c r="M66" s="12">
        <f t="shared" ref="M66" si="22">+L66-1</f>
        <v>-8</v>
      </c>
      <c r="N66" s="12">
        <f t="shared" ref="N66" si="23">+M66-1</f>
        <v>-9</v>
      </c>
      <c r="O66" s="12">
        <f t="shared" ref="O66" si="24">+N66-1</f>
        <v>-10</v>
      </c>
      <c r="P66" s="12">
        <f t="shared" ref="P66" si="25">+O66-1</f>
        <v>-11</v>
      </c>
      <c r="Q66" s="12">
        <f t="shared" ref="Q66" si="26">+P66-1</f>
        <v>-12</v>
      </c>
      <c r="R66" s="12">
        <f t="shared" ref="R66" si="27">+Q66-1</f>
        <v>-13</v>
      </c>
      <c r="S66" s="12">
        <f t="shared" ref="S66" si="28">+R66-1</f>
        <v>-14</v>
      </c>
      <c r="T66" s="12">
        <f t="shared" si="16"/>
        <v>-15</v>
      </c>
      <c r="U66" s="12">
        <f t="shared" si="16"/>
        <v>-16</v>
      </c>
      <c r="V66" s="12">
        <f t="shared" si="16"/>
        <v>-17</v>
      </c>
      <c r="W66" s="12">
        <f t="shared" si="16"/>
        <v>-18</v>
      </c>
    </row>
    <row r="67" spans="1:23" x14ac:dyDescent="0.2">
      <c r="A67" s="43"/>
      <c r="B67" s="44"/>
      <c r="C67" s="6"/>
      <c r="E67" s="22"/>
      <c r="F67" s="36"/>
      <c r="G67" s="36"/>
      <c r="H67" s="36"/>
      <c r="I67" s="16">
        <f t="shared" ref="I67:S67" ca="1" si="29">MATCH(VALUE(LEFT(I65,4)),OFFSET(DIV_EARN_WP,-1,0,1,),0)</f>
        <v>6</v>
      </c>
      <c r="J67" s="16">
        <f t="shared" ca="1" si="29"/>
        <v>7</v>
      </c>
      <c r="K67" s="16">
        <f t="shared" ca="1" si="29"/>
        <v>8</v>
      </c>
      <c r="L67" s="16">
        <f t="shared" ca="1" si="29"/>
        <v>9</v>
      </c>
      <c r="M67" s="16">
        <f t="shared" ca="1" si="29"/>
        <v>10</v>
      </c>
      <c r="N67" s="16">
        <f t="shared" ca="1" si="29"/>
        <v>11</v>
      </c>
      <c r="O67" s="16">
        <f t="shared" ca="1" si="29"/>
        <v>12</v>
      </c>
      <c r="P67" s="16">
        <f t="shared" ca="1" si="29"/>
        <v>13</v>
      </c>
      <c r="Q67" s="16">
        <f t="shared" ca="1" si="29"/>
        <v>14</v>
      </c>
      <c r="R67" s="16">
        <f t="shared" ca="1" si="29"/>
        <v>15</v>
      </c>
      <c r="S67" s="16">
        <f t="shared" ca="1" si="29"/>
        <v>16</v>
      </c>
      <c r="T67" s="16">
        <f t="shared" ref="T67:W67" ca="1" si="30">MATCH(VALUE(LEFT(T65,4)),OFFSET(MP_CF_WP,-1,0,1,),0)</f>
        <v>17</v>
      </c>
      <c r="U67" s="16">
        <f t="shared" ca="1" si="30"/>
        <v>18</v>
      </c>
      <c r="V67" s="16">
        <f t="shared" ca="1" si="30"/>
        <v>19</v>
      </c>
      <c r="W67" s="16">
        <f t="shared" ca="1" si="30"/>
        <v>20</v>
      </c>
    </row>
    <row r="68" spans="1:23" x14ac:dyDescent="0.2">
      <c r="A68" s="51" t="str">
        <f t="shared" ref="A68:A112" si="31">A13</f>
        <v>ATO</v>
      </c>
      <c r="B68" s="46">
        <f t="shared" ref="B68:B112" ca="1" si="32">IFERROR(MATCH(A68,OFFSET(DIV_EARN_WP,0,0,,1),0),"")</f>
        <v>9</v>
      </c>
      <c r="C68" s="1">
        <f ca="1">IF(ISERROR(D68),"",IF(D68="","",MAX($C$66:C67)+1))</f>
        <v>1</v>
      </c>
      <c r="D68" t="str">
        <f t="shared" ref="D68:D112" ca="1" si="33">D13</f>
        <v>Atmos Energy</v>
      </c>
      <c r="E68" s="22"/>
      <c r="F68" s="63">
        <f ca="1">IFERROR(AVERAGE(G68:S68),"N/A")</f>
        <v>0.57969411568633411</v>
      </c>
      <c r="G68" s="63">
        <f t="shared" ref="G68:G112" si="34">IFERROR(IF(VLOOKUP(A68,LUCurYr,20,FALSE)=0,"",VLOOKUP(A68,LUCurYr,20,FALSE)),"N/A")</f>
        <v>0.48499999999999999</v>
      </c>
      <c r="H68" s="63">
        <f ca="1">IFERROR(VLOOKUP($A68,LASTYR,'2017'!$O$3,FALSE),"N/A")</f>
        <v>0.5</v>
      </c>
      <c r="I68" s="63">
        <f t="shared" ref="I68:S83" ca="1" si="35">IFERROR(IF(INDEX(DIV_EARN_WP,$B68,I$67)=0,"N/A",INDEX(DIV_EARN_WP,$B68,I$67)),"N/A")</f>
        <v>0.49704142011834318</v>
      </c>
      <c r="J68" s="63">
        <f t="shared" ca="1" si="35"/>
        <v>0.50485436893203883</v>
      </c>
      <c r="K68" s="63">
        <f t="shared" ca="1" si="35"/>
        <v>0.5</v>
      </c>
      <c r="L68" s="63">
        <f t="shared" ca="1" si="35"/>
        <v>0.55999999999999994</v>
      </c>
      <c r="M68" s="63">
        <f t="shared" ca="1" si="35"/>
        <v>0.65714285714285703</v>
      </c>
      <c r="N68" s="63">
        <f t="shared" ca="1" si="35"/>
        <v>0.60176991150442483</v>
      </c>
      <c r="O68" s="63">
        <f t="shared" ca="1" si="35"/>
        <v>0.62037037037037035</v>
      </c>
      <c r="P68" s="63">
        <f t="shared" ca="1" si="35"/>
        <v>0.67005076142131981</v>
      </c>
      <c r="Q68" s="63">
        <f t="shared" ca="1" si="35"/>
        <v>0.65</v>
      </c>
      <c r="R68" s="63">
        <f t="shared" ca="1" si="35"/>
        <v>0.65979381443298968</v>
      </c>
      <c r="S68" s="63">
        <f t="shared" ca="1" si="35"/>
        <v>0.63</v>
      </c>
      <c r="T68" s="63"/>
      <c r="U68" s="63"/>
      <c r="V68" s="63"/>
      <c r="W68" s="63"/>
    </row>
    <row r="69" spans="1:23" x14ac:dyDescent="0.2">
      <c r="A69" s="51" t="str">
        <f t="shared" si="31"/>
        <v>CPK</v>
      </c>
      <c r="B69" s="46">
        <f t="shared" ca="1" si="32"/>
        <v>16</v>
      </c>
      <c r="C69" s="1">
        <f ca="1">IF(ISERROR(D69),"",IF(D69="","",MAX($C$66:C68)+1))</f>
        <v>2</v>
      </c>
      <c r="D69" t="str">
        <f t="shared" ca="1" si="33"/>
        <v>Chesapeake Utilities</v>
      </c>
      <c r="E69" s="22"/>
      <c r="F69" s="63">
        <f t="shared" ref="F69:F112" ca="1" si="36">IFERROR(AVERAGE(G69:S69),"N/A")</f>
        <v>0.49991939537613184</v>
      </c>
      <c r="G69" s="63">
        <f t="shared" si="34"/>
        <v>0.44126984126984126</v>
      </c>
      <c r="H69" s="63">
        <f ca="1">IFERROR(VLOOKUP($A69,LASTYR,'2017'!$O$3,FALSE),"N/A")</f>
        <v>0.47014925373134325</v>
      </c>
      <c r="I69" s="63">
        <f t="shared" ca="1" si="35"/>
        <v>0.41608391608391609</v>
      </c>
      <c r="J69" s="63">
        <f t="shared" ca="1" si="35"/>
        <v>0.41791044776119407</v>
      </c>
      <c r="K69" s="63">
        <f t="shared" ca="1" si="35"/>
        <v>0.43198380566801614</v>
      </c>
      <c r="L69" s="63">
        <f t="shared" ca="1" si="35"/>
        <v>0.44823008849557522</v>
      </c>
      <c r="M69" s="63">
        <f t="shared" ca="1" si="35"/>
        <v>0.48168590065228295</v>
      </c>
      <c r="N69" s="63">
        <f t="shared" ca="1" si="35"/>
        <v>0.47569262937794043</v>
      </c>
      <c r="O69" s="63">
        <f t="shared" ca="1" si="35"/>
        <v>0.47802197802197799</v>
      </c>
      <c r="P69" s="63">
        <f t="shared" ca="1" si="35"/>
        <v>0.58129797627355195</v>
      </c>
      <c r="Q69" s="63">
        <f t="shared" ca="1" si="35"/>
        <v>0.57974137931034486</v>
      </c>
      <c r="R69" s="63">
        <f t="shared" ca="1" si="35"/>
        <v>0.60556844547563815</v>
      </c>
      <c r="S69" s="63">
        <f t="shared" ca="1" si="35"/>
        <v>0.67131647776809067</v>
      </c>
      <c r="T69" s="63"/>
      <c r="U69" s="63"/>
      <c r="V69" s="63"/>
      <c r="W69" s="63"/>
    </row>
    <row r="70" spans="1:23" x14ac:dyDescent="0.2">
      <c r="A70" s="51" t="str">
        <f t="shared" si="31"/>
        <v>NJR</v>
      </c>
      <c r="B70" s="46">
        <f t="shared" ca="1" si="32"/>
        <v>42</v>
      </c>
      <c r="C70" s="1">
        <f ca="1">IF(ISERROR(D70),"",IF(D70="","",MAX($C$66:C69)+1))</f>
        <v>3</v>
      </c>
      <c r="D70" t="str">
        <f t="shared" ca="1" si="33"/>
        <v>New Jersey Resources</v>
      </c>
      <c r="E70" s="22"/>
      <c r="F70" s="63">
        <f t="shared" ca="1" si="36"/>
        <v>0.53171195392606063</v>
      </c>
      <c r="G70" s="63">
        <f t="shared" si="34"/>
        <v>0.40145985401459855</v>
      </c>
      <c r="H70" s="63">
        <f ca="1">IFERROR(VLOOKUP($A70,LASTYR,'2017'!$O$3,FALSE),"N/A")</f>
        <v>0.60115606936416188</v>
      </c>
      <c r="I70" s="63">
        <f t="shared" ca="1" si="35"/>
        <v>0.60869565217391297</v>
      </c>
      <c r="J70" s="63">
        <f t="shared" ca="1" si="35"/>
        <v>0.52247191011235961</v>
      </c>
      <c r="K70" s="63">
        <f t="shared" ca="1" si="35"/>
        <v>0.41105769230769229</v>
      </c>
      <c r="L70" s="63">
        <f t="shared" ca="1" si="35"/>
        <v>0.59340659340659341</v>
      </c>
      <c r="M70" s="63">
        <f t="shared" ca="1" si="35"/>
        <v>0.56826568265682664</v>
      </c>
      <c r="N70" s="63">
        <f t="shared" ca="1" si="35"/>
        <v>0.55813953488372092</v>
      </c>
      <c r="O70" s="63">
        <f t="shared" ca="1" si="35"/>
        <v>0.55284552845528456</v>
      </c>
      <c r="P70" s="63">
        <f t="shared" ca="1" si="35"/>
        <v>0.51666666666666672</v>
      </c>
      <c r="Q70" s="63">
        <f t="shared" ca="1" si="35"/>
        <v>0.41111111111111109</v>
      </c>
      <c r="R70" s="63">
        <f t="shared" ca="1" si="35"/>
        <v>0.65250965250965254</v>
      </c>
      <c r="S70" s="63">
        <f t="shared" ca="1" si="35"/>
        <v>0.51446945337620575</v>
      </c>
      <c r="T70" s="63"/>
      <c r="U70" s="63"/>
      <c r="V70" s="63"/>
      <c r="W70" s="63"/>
    </row>
    <row r="71" spans="1:23" x14ac:dyDescent="0.2">
      <c r="A71" s="51" t="str">
        <f t="shared" si="31"/>
        <v>NI</v>
      </c>
      <c r="B71" s="46">
        <f t="shared" ca="1" si="32"/>
        <v>44</v>
      </c>
      <c r="C71" s="1">
        <f ca="1">IF(ISERROR(D71),"",IF(D71="","",MAX($C$66:C70)+1))</f>
        <v>4</v>
      </c>
      <c r="D71" t="str">
        <f t="shared" ca="1" si="33"/>
        <v>NiSource Inc.</v>
      </c>
      <c r="E71" s="22"/>
      <c r="F71" s="63">
        <f t="shared" ca="1" si="36"/>
        <v>0.8779539319686237</v>
      </c>
      <c r="G71" s="63">
        <f t="shared" si="34"/>
        <v>0.6</v>
      </c>
      <c r="H71" s="63">
        <f ca="1">IFERROR(VLOOKUP($A71,LASTYR,'2017'!$O$3,FALSE),"N/A")</f>
        <v>1.7948717948717947</v>
      </c>
      <c r="I71" s="63">
        <f t="shared" ca="1" si="35"/>
        <v>0.64</v>
      </c>
      <c r="J71" s="63">
        <f t="shared" ca="1" si="35"/>
        <v>1.3174603174603174</v>
      </c>
      <c r="K71" s="63">
        <f t="shared" ca="1" si="35"/>
        <v>0.6107784431137725</v>
      </c>
      <c r="L71" s="63">
        <f t="shared" ca="1" si="35"/>
        <v>0.62420382165605093</v>
      </c>
      <c r="M71" s="63">
        <f t="shared" ca="1" si="35"/>
        <v>0.68613138686131381</v>
      </c>
      <c r="N71" s="63">
        <f t="shared" ca="1" si="35"/>
        <v>0.87619047619047619</v>
      </c>
      <c r="O71" s="63">
        <f t="shared" ca="1" si="35"/>
        <v>0.86792452830188682</v>
      </c>
      <c r="P71" s="63">
        <f t="shared" ca="1" si="35"/>
        <v>1.0952380952380953</v>
      </c>
      <c r="Q71" s="63">
        <f t="shared" ca="1" si="35"/>
        <v>0.68656716417910446</v>
      </c>
      <c r="R71" s="63">
        <f t="shared" ca="1" si="35"/>
        <v>0.80701754385964919</v>
      </c>
      <c r="S71" s="63">
        <f t="shared" ca="1" si="35"/>
        <v>0.80701754385964919</v>
      </c>
      <c r="T71" s="63"/>
      <c r="U71" s="63"/>
      <c r="V71" s="63"/>
      <c r="W71" s="63"/>
    </row>
    <row r="72" spans="1:23" x14ac:dyDescent="0.2">
      <c r="A72" s="51" t="str">
        <f t="shared" si="31"/>
        <v>NWN</v>
      </c>
      <c r="B72" s="46">
        <f t="shared" ca="1" si="32"/>
        <v>45</v>
      </c>
      <c r="C72" s="1">
        <f ca="1">IF(ISERROR(D72),"",IF(D72="","",MAX($C$66:C71)+1))</f>
        <v>5</v>
      </c>
      <c r="D72" t="str">
        <f t="shared" ca="1" si="33"/>
        <v>Northwest Nat. Gas</v>
      </c>
      <c r="E72" s="22"/>
      <c r="F72" s="63">
        <f t="shared" ca="1" si="36"/>
        <v>0.60142055964412278</v>
      </c>
      <c r="G72" s="63">
        <f t="shared" si="34"/>
        <v>0.85909090909090902</v>
      </c>
      <c r="H72" s="63">
        <f ca="1">IFERROR(VLOOKUP($A72,LASTYR,'2017'!$O$3,FALSE),"N/A")</f>
        <v>-0.96907216494845361</v>
      </c>
      <c r="I72" s="63">
        <f t="shared" ca="1" si="35"/>
        <v>0.88207547169811318</v>
      </c>
      <c r="J72" s="63">
        <f t="shared" ca="1" si="35"/>
        <v>0.94897959183673475</v>
      </c>
      <c r="K72" s="63">
        <f t="shared" ca="1" si="35"/>
        <v>0.85648148148148151</v>
      </c>
      <c r="L72" s="63">
        <f t="shared" ca="1" si="35"/>
        <v>0.8169642857142857</v>
      </c>
      <c r="M72" s="63">
        <f t="shared" ca="1" si="35"/>
        <v>0.80630630630630629</v>
      </c>
      <c r="N72" s="63">
        <f t="shared" ca="1" si="35"/>
        <v>0.73221757322175729</v>
      </c>
      <c r="O72" s="63">
        <f t="shared" ca="1" si="35"/>
        <v>0.61538461538461542</v>
      </c>
      <c r="P72" s="63">
        <f t="shared" ca="1" si="35"/>
        <v>0.56537102473498235</v>
      </c>
      <c r="Q72" s="63">
        <f t="shared" ca="1" si="35"/>
        <v>0.59143968871595332</v>
      </c>
      <c r="R72" s="63">
        <f t="shared" ca="1" si="35"/>
        <v>0.52173913043478259</v>
      </c>
      <c r="S72" s="63">
        <f t="shared" ca="1" si="35"/>
        <v>0.59148936170212763</v>
      </c>
      <c r="T72" s="63"/>
      <c r="U72" s="63"/>
      <c r="V72" s="63"/>
      <c r="W72" s="63"/>
    </row>
    <row r="73" spans="1:23" x14ac:dyDescent="0.2">
      <c r="A73" s="51" t="str">
        <f t="shared" si="31"/>
        <v>OGS</v>
      </c>
      <c r="B73" s="46">
        <f t="shared" ca="1" si="32"/>
        <v>48</v>
      </c>
      <c r="C73" s="1">
        <f ca="1">IF(ISERROR(D73),"",IF(D73="","",MAX($C$66:C72)+1))</f>
        <v>6</v>
      </c>
      <c r="D73" t="str">
        <f t="shared" ca="1" si="33"/>
        <v>ONE Gas Inc.</v>
      </c>
      <c r="E73" s="22"/>
      <c r="F73" s="63">
        <f t="shared" ca="1" si="36"/>
        <v>0.51573144344740862</v>
      </c>
      <c r="G73" s="63">
        <f t="shared" si="34"/>
        <v>0.55255255255255253</v>
      </c>
      <c r="H73" s="63">
        <f ca="1">IFERROR(VLOOKUP($A73,LASTYR,'2017'!$O$3,FALSE),"N/A")</f>
        <v>0.55629139072847678</v>
      </c>
      <c r="I73" s="63">
        <f t="shared" ca="1" si="35"/>
        <v>0.52830188679245282</v>
      </c>
      <c r="J73" s="63">
        <f t="shared" ca="1" si="35"/>
        <v>0.5357142857142857</v>
      </c>
      <c r="K73" s="63">
        <f t="shared" ca="1" si="35"/>
        <v>0.40579710144927539</v>
      </c>
      <c r="L73" s="63" t="str">
        <f t="shared" ca="1" si="35"/>
        <v>N/A</v>
      </c>
      <c r="M73" s="63" t="str">
        <f t="shared" ca="1" si="35"/>
        <v>N/A</v>
      </c>
      <c r="N73" s="63" t="str">
        <f t="shared" ca="1" si="35"/>
        <v>N/A</v>
      </c>
      <c r="O73" s="63" t="str">
        <f t="shared" ca="1" si="35"/>
        <v>N/A</v>
      </c>
      <c r="P73" s="63" t="str">
        <f t="shared" ca="1" si="35"/>
        <v>N/A</v>
      </c>
      <c r="Q73" s="63" t="str">
        <f t="shared" ca="1" si="35"/>
        <v>N/A</v>
      </c>
      <c r="R73" s="63" t="str">
        <f t="shared" ca="1" si="35"/>
        <v>N/A</v>
      </c>
      <c r="S73" s="63" t="str">
        <f t="shared" ca="1" si="35"/>
        <v>N/A</v>
      </c>
      <c r="T73" s="63"/>
      <c r="U73" s="63"/>
      <c r="V73" s="63"/>
      <c r="W73" s="63"/>
    </row>
    <row r="74" spans="1:23" x14ac:dyDescent="0.2">
      <c r="A74" s="51" t="str">
        <f t="shared" si="31"/>
        <v>SJI</v>
      </c>
      <c r="B74" s="46">
        <f t="shared" ca="1" si="32"/>
        <v>61</v>
      </c>
      <c r="C74" s="1">
        <f ca="1">IF(ISERROR(D74),"",IF(D74="","",MAX($C$66:C73)+1))</f>
        <v>7</v>
      </c>
      <c r="D74" t="str">
        <f t="shared" ca="1" si="33"/>
        <v>South Jersey Inds.</v>
      </c>
      <c r="E74" s="22"/>
      <c r="F74" s="63">
        <f t="shared" ca="1" si="36"/>
        <v>0.59516615289028896</v>
      </c>
      <c r="G74" s="63">
        <f t="shared" si="34"/>
        <v>0.70987654320987648</v>
      </c>
      <c r="H74" s="63">
        <f ca="1">IFERROR(VLOOKUP($A74,LASTYR,'2017'!$O$3,FALSE),"N/A")</f>
        <v>0.89430894308943099</v>
      </c>
      <c r="I74" s="63">
        <f t="shared" ca="1" si="35"/>
        <v>0.79104477611940294</v>
      </c>
      <c r="J74" s="63">
        <f t="shared" ca="1" si="35"/>
        <v>0.70833333333333337</v>
      </c>
      <c r="K74" s="63">
        <f t="shared" ca="1" si="35"/>
        <v>0.61341853035143767</v>
      </c>
      <c r="L74" s="63">
        <f t="shared" ca="1" si="35"/>
        <v>0.59405940594059414</v>
      </c>
      <c r="M74" s="63">
        <f t="shared" ca="1" si="35"/>
        <v>0.54455445544554459</v>
      </c>
      <c r="N74" s="63">
        <f t="shared" ca="1" si="35"/>
        <v>0.51903114186851207</v>
      </c>
      <c r="O74" s="63">
        <f t="shared" ca="1" si="35"/>
        <v>0.50370370370370365</v>
      </c>
      <c r="P74" s="63">
        <f t="shared" ca="1" si="35"/>
        <v>0.51260504201680679</v>
      </c>
      <c r="Q74" s="63">
        <f t="shared" ca="1" si="35"/>
        <v>0.48898678414096919</v>
      </c>
      <c r="R74" s="63">
        <f t="shared" ca="1" si="35"/>
        <v>0.48325358851674644</v>
      </c>
      <c r="S74" s="63">
        <f t="shared" ca="1" si="35"/>
        <v>0.37398373983739841</v>
      </c>
      <c r="T74" s="63"/>
      <c r="U74" s="63"/>
      <c r="V74" s="63"/>
      <c r="W74" s="63"/>
    </row>
    <row r="75" spans="1:23" x14ac:dyDescent="0.2">
      <c r="A75" s="51" t="str">
        <f t="shared" si="31"/>
        <v>SWX</v>
      </c>
      <c r="B75" s="46">
        <f t="shared" ca="1" si="32"/>
        <v>63</v>
      </c>
      <c r="C75" s="1">
        <f ca="1">IF(ISERROR(D75),"",IF(D75="","",MAX($C$66:C74)+1))</f>
        <v>8</v>
      </c>
      <c r="D75" t="str">
        <f t="shared" ca="1" si="33"/>
        <v>Southwest Gas</v>
      </c>
      <c r="E75" s="22"/>
      <c r="F75" s="63">
        <f t="shared" ca="1" si="36"/>
        <v>0.49119483259157709</v>
      </c>
      <c r="G75" s="63">
        <f t="shared" si="34"/>
        <v>0.52658227848101269</v>
      </c>
      <c r="H75" s="63">
        <f ca="1">IFERROR(VLOOKUP($A75,LASTYR,'2017'!$O$3,FALSE),"N/A")</f>
        <v>0.54696132596685076</v>
      </c>
      <c r="I75" s="63">
        <f t="shared" ca="1" si="35"/>
        <v>0.56603773584905659</v>
      </c>
      <c r="J75" s="63">
        <f t="shared" ca="1" si="35"/>
        <v>0.5547945205479452</v>
      </c>
      <c r="K75" s="63">
        <f t="shared" ca="1" si="35"/>
        <v>0.4850498338870432</v>
      </c>
      <c r="L75" s="63">
        <f t="shared" ca="1" si="35"/>
        <v>0.42443729903536981</v>
      </c>
      <c r="M75" s="63">
        <f t="shared" ca="1" si="35"/>
        <v>0.41258741258741261</v>
      </c>
      <c r="N75" s="63">
        <f t="shared" ca="1" si="35"/>
        <v>0.43621399176954734</v>
      </c>
      <c r="O75" s="63">
        <f t="shared" ca="1" si="35"/>
        <v>0.44052863436123346</v>
      </c>
      <c r="P75" s="63">
        <f t="shared" ca="1" si="35"/>
        <v>0.48969072164948452</v>
      </c>
      <c r="Q75" s="63">
        <f t="shared" ca="1" si="35"/>
        <v>0.64748201438848929</v>
      </c>
      <c r="R75" s="63">
        <f t="shared" ca="1" si="35"/>
        <v>0.44102564102564101</v>
      </c>
      <c r="S75" s="63">
        <f t="shared" ca="1" si="35"/>
        <v>0.41414141414141414</v>
      </c>
      <c r="T75" s="63"/>
      <c r="U75" s="63"/>
      <c r="V75" s="63"/>
      <c r="W75" s="63"/>
    </row>
    <row r="76" spans="1:23" x14ac:dyDescent="0.2">
      <c r="A76" s="51" t="str">
        <f t="shared" si="31"/>
        <v>SR</v>
      </c>
      <c r="B76" s="46">
        <f t="shared" ca="1" si="32"/>
        <v>64</v>
      </c>
      <c r="C76" s="1">
        <f ca="1">IF(ISERROR(D76),"",IF(D76="","",MAX($C$66:C75)+1))</f>
        <v>9</v>
      </c>
      <c r="D76" t="str">
        <f t="shared" ca="1" si="33"/>
        <v>Spire Inc.</v>
      </c>
      <c r="E76" s="22"/>
      <c r="F76" s="63">
        <f t="shared" ca="1" si="36"/>
        <v>0.61695473926005584</v>
      </c>
      <c r="G76" s="63">
        <f t="shared" si="34"/>
        <v>0.51963048498845266</v>
      </c>
      <c r="H76" s="63">
        <f ca="1">IFERROR(VLOOKUP($A76,LASTYR,'2017'!$O$3,FALSE),"N/A")</f>
        <v>0.61224489795918369</v>
      </c>
      <c r="I76" s="63">
        <f t="shared" ca="1" si="35"/>
        <v>0.60493827160493818</v>
      </c>
      <c r="J76" s="63">
        <f t="shared" ca="1" si="35"/>
        <v>0.58227848101265822</v>
      </c>
      <c r="K76" s="63">
        <f t="shared" ca="1" si="35"/>
        <v>0.74893617021276593</v>
      </c>
      <c r="L76" s="63">
        <f t="shared" ca="1" si="35"/>
        <v>0.84158415841584155</v>
      </c>
      <c r="M76" s="63">
        <f t="shared" ca="1" si="35"/>
        <v>0.59498207885304655</v>
      </c>
      <c r="N76" s="63">
        <f t="shared" ca="1" si="35"/>
        <v>0.56293706293706303</v>
      </c>
      <c r="O76" s="63">
        <f t="shared" ca="1" si="35"/>
        <v>0.64609053497942381</v>
      </c>
      <c r="P76" s="63">
        <f t="shared" ca="1" si="35"/>
        <v>0.52397260273972601</v>
      </c>
      <c r="Q76" s="63">
        <f t="shared" ca="1" si="35"/>
        <v>0.56439393939393934</v>
      </c>
      <c r="R76" s="63">
        <f t="shared" ca="1" si="35"/>
        <v>0.62770562770562766</v>
      </c>
      <c r="S76" s="63">
        <f t="shared" ca="1" si="35"/>
        <v>0.59071729957805896</v>
      </c>
      <c r="T76" s="63"/>
      <c r="U76" s="63"/>
      <c r="V76" s="63"/>
      <c r="W76" s="63"/>
    </row>
    <row r="77" spans="1:23" x14ac:dyDescent="0.2">
      <c r="A77" s="51" t="str">
        <f t="shared" si="31"/>
        <v>UGI</v>
      </c>
      <c r="B77" s="46">
        <f t="shared" ca="1" si="32"/>
        <v>66</v>
      </c>
      <c r="C77" s="1">
        <f ca="1">IF(ISERROR(D77),"",IF(D77="","",MAX($C$66:C76)+1))</f>
        <v>10</v>
      </c>
      <c r="D77" t="str">
        <f t="shared" ca="1" si="33"/>
        <v>UGI Corp.</v>
      </c>
      <c r="E77" s="22"/>
      <c r="F77" s="63">
        <f t="shared" ca="1" si="36"/>
        <v>0.42722897253496861</v>
      </c>
      <c r="G77" s="63">
        <f t="shared" si="34"/>
        <v>0.3529411764705882</v>
      </c>
      <c r="H77" s="63">
        <f ca="1">IFERROR(VLOOKUP($A77,LASTYR,'2017'!$O$3,FALSE),"N/A")</f>
        <v>0.41921397379912662</v>
      </c>
      <c r="I77" s="63">
        <f t="shared" ca="1" si="35"/>
        <v>0.45365853658536592</v>
      </c>
      <c r="J77" s="63">
        <f t="shared" ca="1" si="35"/>
        <v>0.44278606965174133</v>
      </c>
      <c r="K77" s="63">
        <f t="shared" ca="1" si="35"/>
        <v>0.41197916666666667</v>
      </c>
      <c r="L77" s="63">
        <f t="shared" ca="1" si="35"/>
        <v>0.46453232893910862</v>
      </c>
      <c r="M77" s="63">
        <f t="shared" ca="1" si="35"/>
        <v>0.60272804774083544</v>
      </c>
      <c r="N77" s="63">
        <f t="shared" ca="1" si="35"/>
        <v>0.49526584122359801</v>
      </c>
      <c r="O77" s="63">
        <f t="shared" ca="1" si="35"/>
        <v>0.3780718336483932</v>
      </c>
      <c r="P77" s="63">
        <f t="shared" ca="1" si="35"/>
        <v>0.3324856961220598</v>
      </c>
      <c r="Q77" s="63">
        <f t="shared" ca="1" si="35"/>
        <v>0.37905048982667672</v>
      </c>
      <c r="R77" s="63">
        <f t="shared" ca="1" si="35"/>
        <v>0.40762711864406781</v>
      </c>
      <c r="S77" s="63">
        <f t="shared" ca="1" si="35"/>
        <v>0.41363636363636364</v>
      </c>
      <c r="T77" s="63"/>
      <c r="U77" s="63"/>
      <c r="V77" s="63"/>
      <c r="W77" s="63"/>
    </row>
    <row r="78" spans="1:23" x14ac:dyDescent="0.2">
      <c r="A78" s="51" t="str">
        <f t="shared" si="31"/>
        <v>WGL</v>
      </c>
      <c r="B78" s="46">
        <f t="shared" ca="1" si="32"/>
        <v>73</v>
      </c>
      <c r="C78" s="1">
        <f ca="1">IF(ISERROR(D78),"",IF(D78="","",MAX($C$66:C77)+1))</f>
        <v>11</v>
      </c>
      <c r="D78" t="str">
        <f t="shared" ca="1" si="33"/>
        <v>WGL Holdings Inc.</v>
      </c>
      <c r="E78" s="22"/>
      <c r="F78" s="63">
        <f t="shared" ca="1" si="36"/>
        <v>0.63555856061321858</v>
      </c>
      <c r="G78" s="63" t="str">
        <f t="shared" si="34"/>
        <v>N/A</v>
      </c>
      <c r="H78" s="63">
        <f ca="1">IFERROR(VLOOKUP($A78,LASTYR,'2017'!$O$3,FALSE),"N/A")</f>
        <v>0.64951768488745987</v>
      </c>
      <c r="I78" s="63">
        <f t="shared" ca="1" si="35"/>
        <v>0.5902140672782874</v>
      </c>
      <c r="J78" s="63">
        <f t="shared" ref="J78:S87" ca="1" si="37">IFERROR(IF(INDEX(DIV_EARN_WP,$B78,J$67)=0,"N/A",INDEX(DIV_EARN_WP,$B78,J$67)),"N/A")</f>
        <v>0.57911392405063289</v>
      </c>
      <c r="K78" s="63">
        <f t="shared" ca="1" si="37"/>
        <v>0.64179104477611937</v>
      </c>
      <c r="L78" s="63">
        <f t="shared" ca="1" si="37"/>
        <v>0.7186147186147186</v>
      </c>
      <c r="M78" s="63">
        <f t="shared" ca="1" si="37"/>
        <v>0.59328358208955223</v>
      </c>
      <c r="N78" s="63">
        <f t="shared" ca="1" si="37"/>
        <v>0.68888888888888888</v>
      </c>
      <c r="O78" s="63">
        <f t="shared" ca="1" si="37"/>
        <v>0.66079295154185025</v>
      </c>
      <c r="P78" s="63">
        <f t="shared" ca="1" si="37"/>
        <v>0.58102766798418981</v>
      </c>
      <c r="Q78" s="63">
        <f t="shared" ca="1" si="37"/>
        <v>0.57704918032786878</v>
      </c>
      <c r="R78" s="63">
        <f t="shared" ca="1" si="37"/>
        <v>0.65311004784688997</v>
      </c>
      <c r="S78" s="63">
        <f t="shared" ca="1" si="37"/>
        <v>0.69329896907216493</v>
      </c>
      <c r="T78" s="63" t="str">
        <f t="shared" ref="T78:W83" ca="1" si="38">IFERROR(IF(INDEX(MP_CF_WP,$B78,T$67)=0,"N/A",INDEX(MP_CF_WP,$B78,T$67)),"N/A")</f>
        <v>N/A</v>
      </c>
      <c r="U78" s="63" t="str">
        <f t="shared" ca="1" si="38"/>
        <v>N/A</v>
      </c>
      <c r="V78" s="63" t="str">
        <f t="shared" ca="1" si="38"/>
        <v>N/A</v>
      </c>
      <c r="W78" s="63" t="str">
        <f t="shared" ca="1" si="38"/>
        <v>N/A</v>
      </c>
    </row>
    <row r="79" spans="1:23" hidden="1" x14ac:dyDescent="0.2">
      <c r="A79" s="51">
        <f t="shared" si="31"/>
        <v>0</v>
      </c>
      <c r="B79" s="46" t="str">
        <f t="shared" ca="1" si="32"/>
        <v/>
      </c>
      <c r="C79" s="1" t="str">
        <f>IF(ISERROR(D79),"",IF(D79="","",MAX($C$66:C78)+1))</f>
        <v/>
      </c>
      <c r="D79" t="e">
        <f t="shared" si="33"/>
        <v>#N/A</v>
      </c>
      <c r="E79" s="22"/>
      <c r="F79" s="63" t="str">
        <f t="shared" ca="1" si="36"/>
        <v>N/A</v>
      </c>
      <c r="G79" s="63" t="str">
        <f t="shared" si="34"/>
        <v>N/A</v>
      </c>
      <c r="H79" s="63" t="str">
        <f ca="1">IFERROR(VLOOKUP($A79,LASTYR,'2017'!$O$3,FALSE),"N/A")</f>
        <v>N/A</v>
      </c>
      <c r="I79" s="63" t="str">
        <f t="shared" ca="1" si="35"/>
        <v>N/A</v>
      </c>
      <c r="J79" s="63" t="str">
        <f t="shared" ca="1" si="37"/>
        <v>N/A</v>
      </c>
      <c r="K79" s="63" t="str">
        <f t="shared" ca="1" si="37"/>
        <v>N/A</v>
      </c>
      <c r="L79" s="63" t="str">
        <f t="shared" ca="1" si="37"/>
        <v>N/A</v>
      </c>
      <c r="M79" s="63" t="str">
        <f t="shared" ca="1" si="37"/>
        <v>N/A</v>
      </c>
      <c r="N79" s="63" t="str">
        <f t="shared" ca="1" si="37"/>
        <v>N/A</v>
      </c>
      <c r="O79" s="63" t="str">
        <f t="shared" ca="1" si="37"/>
        <v>N/A</v>
      </c>
      <c r="P79" s="63" t="str">
        <f t="shared" ca="1" si="37"/>
        <v>N/A</v>
      </c>
      <c r="Q79" s="63" t="str">
        <f t="shared" ca="1" si="37"/>
        <v>N/A</v>
      </c>
      <c r="R79" s="63" t="str">
        <f t="shared" ca="1" si="37"/>
        <v>N/A</v>
      </c>
      <c r="S79" s="63" t="str">
        <f t="shared" ca="1" si="37"/>
        <v>N/A</v>
      </c>
      <c r="T79" s="63" t="str">
        <f t="shared" ca="1" si="38"/>
        <v>N/A</v>
      </c>
      <c r="U79" s="63" t="str">
        <f t="shared" ca="1" si="38"/>
        <v>N/A</v>
      </c>
      <c r="V79" s="63" t="str">
        <f t="shared" ca="1" si="38"/>
        <v>N/A</v>
      </c>
      <c r="W79" s="63" t="str">
        <f t="shared" ca="1" si="38"/>
        <v>N/A</v>
      </c>
    </row>
    <row r="80" spans="1:23" hidden="1" x14ac:dyDescent="0.2">
      <c r="A80" s="51">
        <f t="shared" si="31"/>
        <v>0</v>
      </c>
      <c r="B80" s="46" t="str">
        <f t="shared" ca="1" si="32"/>
        <v/>
      </c>
      <c r="C80" s="1" t="str">
        <f>IF(ISERROR(D80),"",IF(D80="","",MAX($C$66:C79)+1))</f>
        <v/>
      </c>
      <c r="D80" t="e">
        <f t="shared" si="33"/>
        <v>#N/A</v>
      </c>
      <c r="E80" s="22"/>
      <c r="F80" s="63" t="str">
        <f t="shared" ca="1" si="36"/>
        <v>N/A</v>
      </c>
      <c r="G80" s="63" t="str">
        <f t="shared" si="34"/>
        <v>N/A</v>
      </c>
      <c r="H80" s="63" t="str">
        <f ca="1">IFERROR(VLOOKUP($A80,LASTYR,'2017'!$O$3,FALSE),"N/A")</f>
        <v>N/A</v>
      </c>
      <c r="I80" s="63" t="str">
        <f t="shared" ca="1" si="35"/>
        <v>N/A</v>
      </c>
      <c r="J80" s="63" t="str">
        <f t="shared" ca="1" si="37"/>
        <v>N/A</v>
      </c>
      <c r="K80" s="63" t="str">
        <f t="shared" ca="1" si="37"/>
        <v>N/A</v>
      </c>
      <c r="L80" s="63" t="str">
        <f t="shared" ca="1" si="37"/>
        <v>N/A</v>
      </c>
      <c r="M80" s="63" t="str">
        <f t="shared" ca="1" si="37"/>
        <v>N/A</v>
      </c>
      <c r="N80" s="63" t="str">
        <f t="shared" ca="1" si="37"/>
        <v>N/A</v>
      </c>
      <c r="O80" s="63" t="str">
        <f t="shared" ca="1" si="37"/>
        <v>N/A</v>
      </c>
      <c r="P80" s="63" t="str">
        <f t="shared" ca="1" si="37"/>
        <v>N/A</v>
      </c>
      <c r="Q80" s="63" t="str">
        <f t="shared" ca="1" si="37"/>
        <v>N/A</v>
      </c>
      <c r="R80" s="63" t="str">
        <f t="shared" ca="1" si="37"/>
        <v>N/A</v>
      </c>
      <c r="S80" s="63" t="str">
        <f t="shared" ca="1" si="37"/>
        <v>N/A</v>
      </c>
      <c r="T80" s="63" t="str">
        <f t="shared" ca="1" si="38"/>
        <v>N/A</v>
      </c>
      <c r="U80" s="63" t="str">
        <f t="shared" ca="1" si="38"/>
        <v>N/A</v>
      </c>
      <c r="V80" s="63" t="str">
        <f t="shared" ca="1" si="38"/>
        <v>N/A</v>
      </c>
      <c r="W80" s="63" t="str">
        <f t="shared" ca="1" si="38"/>
        <v>N/A</v>
      </c>
    </row>
    <row r="81" spans="1:23" hidden="1" x14ac:dyDescent="0.2">
      <c r="A81" s="51">
        <f t="shared" si="31"/>
        <v>0</v>
      </c>
      <c r="B81" s="46" t="str">
        <f t="shared" ca="1" si="32"/>
        <v/>
      </c>
      <c r="C81" s="1" t="str">
        <f>IF(ISERROR(D81),"",IF(D81="","",MAX($C$66:C80)+1))</f>
        <v/>
      </c>
      <c r="D81" t="e">
        <f t="shared" si="33"/>
        <v>#N/A</v>
      </c>
      <c r="E81" s="22"/>
      <c r="F81" s="63" t="str">
        <f t="shared" ca="1" si="36"/>
        <v>N/A</v>
      </c>
      <c r="G81" s="63" t="str">
        <f t="shared" si="34"/>
        <v>N/A</v>
      </c>
      <c r="H81" s="63" t="str">
        <f ca="1">IFERROR(VLOOKUP($A81,LASTYR,'2017'!$O$3,FALSE),"N/A")</f>
        <v>N/A</v>
      </c>
      <c r="I81" s="63" t="str">
        <f t="shared" ca="1" si="35"/>
        <v>N/A</v>
      </c>
      <c r="J81" s="63" t="str">
        <f t="shared" ca="1" si="37"/>
        <v>N/A</v>
      </c>
      <c r="K81" s="63" t="str">
        <f t="shared" ca="1" si="37"/>
        <v>N/A</v>
      </c>
      <c r="L81" s="63" t="str">
        <f t="shared" ca="1" si="37"/>
        <v>N/A</v>
      </c>
      <c r="M81" s="63" t="str">
        <f t="shared" ca="1" si="37"/>
        <v>N/A</v>
      </c>
      <c r="N81" s="63" t="str">
        <f t="shared" ca="1" si="37"/>
        <v>N/A</v>
      </c>
      <c r="O81" s="63" t="str">
        <f t="shared" ca="1" si="37"/>
        <v>N/A</v>
      </c>
      <c r="P81" s="63" t="str">
        <f t="shared" ca="1" si="37"/>
        <v>N/A</v>
      </c>
      <c r="Q81" s="63" t="str">
        <f t="shared" ca="1" si="37"/>
        <v>N/A</v>
      </c>
      <c r="R81" s="63" t="str">
        <f t="shared" ca="1" si="37"/>
        <v>N/A</v>
      </c>
      <c r="S81" s="63" t="str">
        <f t="shared" ca="1" si="37"/>
        <v>N/A</v>
      </c>
      <c r="T81" s="63" t="str">
        <f t="shared" ca="1" si="38"/>
        <v>N/A</v>
      </c>
      <c r="U81" s="63" t="str">
        <f t="shared" ca="1" si="38"/>
        <v>N/A</v>
      </c>
      <c r="V81" s="63" t="str">
        <f t="shared" ca="1" si="38"/>
        <v>N/A</v>
      </c>
      <c r="W81" s="63" t="str">
        <f t="shared" ca="1" si="38"/>
        <v>N/A</v>
      </c>
    </row>
    <row r="82" spans="1:23" hidden="1" x14ac:dyDescent="0.2">
      <c r="A82" s="51">
        <f t="shared" si="31"/>
        <v>0</v>
      </c>
      <c r="B82" s="46" t="str">
        <f t="shared" ca="1" si="32"/>
        <v/>
      </c>
      <c r="C82" s="1" t="str">
        <f>IF(ISERROR(D82),"",IF(D82="","",MAX($C$66:C81)+1))</f>
        <v/>
      </c>
      <c r="D82" t="e">
        <f t="shared" si="33"/>
        <v>#N/A</v>
      </c>
      <c r="E82" s="22"/>
      <c r="F82" s="63" t="str">
        <f t="shared" ca="1" si="36"/>
        <v>N/A</v>
      </c>
      <c r="G82" s="63" t="str">
        <f t="shared" si="34"/>
        <v>N/A</v>
      </c>
      <c r="H82" s="63" t="str">
        <f ca="1">IFERROR(VLOOKUP($A82,LASTYR,'2017'!$O$3,FALSE),"N/A")</f>
        <v>N/A</v>
      </c>
      <c r="I82" s="63" t="str">
        <f t="shared" ca="1" si="35"/>
        <v>N/A</v>
      </c>
      <c r="J82" s="63" t="str">
        <f t="shared" ca="1" si="37"/>
        <v>N/A</v>
      </c>
      <c r="K82" s="63" t="str">
        <f t="shared" ca="1" si="37"/>
        <v>N/A</v>
      </c>
      <c r="L82" s="63" t="str">
        <f t="shared" ca="1" si="37"/>
        <v>N/A</v>
      </c>
      <c r="M82" s="63" t="str">
        <f t="shared" ca="1" si="37"/>
        <v>N/A</v>
      </c>
      <c r="N82" s="63" t="str">
        <f t="shared" ca="1" si="37"/>
        <v>N/A</v>
      </c>
      <c r="O82" s="63" t="str">
        <f t="shared" ca="1" si="37"/>
        <v>N/A</v>
      </c>
      <c r="P82" s="63" t="str">
        <f t="shared" ca="1" si="37"/>
        <v>N/A</v>
      </c>
      <c r="Q82" s="63" t="str">
        <f t="shared" ca="1" si="37"/>
        <v>N/A</v>
      </c>
      <c r="R82" s="63" t="str">
        <f t="shared" ca="1" si="37"/>
        <v>N/A</v>
      </c>
      <c r="S82" s="63" t="str">
        <f t="shared" ca="1" si="37"/>
        <v>N/A</v>
      </c>
      <c r="T82" s="63" t="str">
        <f t="shared" ca="1" si="38"/>
        <v>N/A</v>
      </c>
      <c r="U82" s="63" t="str">
        <f t="shared" ca="1" si="38"/>
        <v>N/A</v>
      </c>
      <c r="V82" s="63" t="str">
        <f t="shared" ca="1" si="38"/>
        <v>N/A</v>
      </c>
      <c r="W82" s="63" t="str">
        <f t="shared" ca="1" si="38"/>
        <v>N/A</v>
      </c>
    </row>
    <row r="83" spans="1:23" hidden="1" x14ac:dyDescent="0.2">
      <c r="A83" s="51">
        <f t="shared" si="31"/>
        <v>0</v>
      </c>
      <c r="B83" s="46" t="str">
        <f t="shared" ca="1" si="32"/>
        <v/>
      </c>
      <c r="C83" s="1" t="str">
        <f>IF(ISERROR(D83),"",IF(D83="","",MAX($C$66:C82)+1))</f>
        <v/>
      </c>
      <c r="D83" t="e">
        <f t="shared" si="33"/>
        <v>#N/A</v>
      </c>
      <c r="E83" s="22"/>
      <c r="F83" s="63" t="str">
        <f t="shared" ca="1" si="36"/>
        <v>N/A</v>
      </c>
      <c r="G83" s="63" t="str">
        <f t="shared" si="34"/>
        <v>N/A</v>
      </c>
      <c r="H83" s="63" t="str">
        <f ca="1">IFERROR(VLOOKUP($A83,LASTYR,'2017'!$O$3,FALSE),"N/A")</f>
        <v>N/A</v>
      </c>
      <c r="I83" s="63" t="str">
        <f t="shared" ca="1" si="35"/>
        <v>N/A</v>
      </c>
      <c r="J83" s="63" t="str">
        <f t="shared" ca="1" si="37"/>
        <v>N/A</v>
      </c>
      <c r="K83" s="63" t="str">
        <f t="shared" ca="1" si="37"/>
        <v>N/A</v>
      </c>
      <c r="L83" s="63" t="str">
        <f t="shared" ca="1" si="37"/>
        <v>N/A</v>
      </c>
      <c r="M83" s="63" t="str">
        <f t="shared" ca="1" si="37"/>
        <v>N/A</v>
      </c>
      <c r="N83" s="63" t="str">
        <f t="shared" ca="1" si="37"/>
        <v>N/A</v>
      </c>
      <c r="O83" s="63" t="str">
        <f t="shared" ca="1" si="37"/>
        <v>N/A</v>
      </c>
      <c r="P83" s="63" t="str">
        <f t="shared" ca="1" si="37"/>
        <v>N/A</v>
      </c>
      <c r="Q83" s="63" t="str">
        <f t="shared" ca="1" si="37"/>
        <v>N/A</v>
      </c>
      <c r="R83" s="63" t="str">
        <f t="shared" ca="1" si="37"/>
        <v>N/A</v>
      </c>
      <c r="S83" s="63" t="str">
        <f t="shared" ca="1" si="37"/>
        <v>N/A</v>
      </c>
      <c r="T83" s="63" t="str">
        <f t="shared" ca="1" si="38"/>
        <v>N/A</v>
      </c>
      <c r="U83" s="63" t="str">
        <f t="shared" ca="1" si="38"/>
        <v>N/A</v>
      </c>
      <c r="V83" s="63" t="str">
        <f t="shared" ca="1" si="38"/>
        <v>N/A</v>
      </c>
      <c r="W83" s="63" t="str">
        <f t="shared" ca="1" si="38"/>
        <v>N/A</v>
      </c>
    </row>
    <row r="84" spans="1:23" hidden="1" x14ac:dyDescent="0.2">
      <c r="A84" s="51">
        <f t="shared" si="31"/>
        <v>0</v>
      </c>
      <c r="B84" s="46" t="str">
        <f t="shared" ca="1" si="32"/>
        <v/>
      </c>
      <c r="C84" s="1" t="str">
        <f>IF(ISERROR(D84),"",IF(D84="","",MAX($C$66:C83)+1))</f>
        <v/>
      </c>
      <c r="D84" t="e">
        <f t="shared" si="33"/>
        <v>#N/A</v>
      </c>
      <c r="E84" s="22"/>
      <c r="F84" s="63" t="str">
        <f t="shared" ca="1" si="36"/>
        <v>N/A</v>
      </c>
      <c r="G84" s="63" t="str">
        <f t="shared" si="34"/>
        <v>N/A</v>
      </c>
      <c r="H84" s="63" t="str">
        <f ca="1">IFERROR(VLOOKUP($A84,LASTYR,'2017'!$O$3,FALSE),"N/A")</f>
        <v>N/A</v>
      </c>
      <c r="I84" s="63" t="str">
        <f t="shared" ref="I84:I112" ca="1" si="39">IFERROR(IF(INDEX(DIV_EARN_WP,$B84,I$67)=0,"N/A",INDEX(DIV_EARN_WP,$B84,I$67)),"N/A")</f>
        <v>N/A</v>
      </c>
      <c r="J84" s="63" t="str">
        <f t="shared" ca="1" si="37"/>
        <v>N/A</v>
      </c>
      <c r="K84" s="63" t="str">
        <f t="shared" ca="1" si="37"/>
        <v>N/A</v>
      </c>
      <c r="L84" s="63" t="str">
        <f t="shared" ca="1" si="37"/>
        <v>N/A</v>
      </c>
      <c r="M84" s="63" t="str">
        <f t="shared" ca="1" si="37"/>
        <v>N/A</v>
      </c>
      <c r="N84" s="63" t="str">
        <f t="shared" ca="1" si="37"/>
        <v>N/A</v>
      </c>
      <c r="O84" s="63" t="str">
        <f t="shared" ca="1" si="37"/>
        <v>N/A</v>
      </c>
      <c r="P84" s="63" t="str">
        <f t="shared" ca="1" si="37"/>
        <v>N/A</v>
      </c>
      <c r="Q84" s="63" t="str">
        <f t="shared" ca="1" si="37"/>
        <v>N/A</v>
      </c>
      <c r="R84" s="63" t="str">
        <f t="shared" ca="1" si="37"/>
        <v>N/A</v>
      </c>
      <c r="S84" s="63" t="str">
        <f t="shared" ca="1" si="37"/>
        <v>N/A</v>
      </c>
      <c r="T84" s="63" t="str">
        <f t="shared" ref="T84:W101" ca="1" si="40">IFERROR(IF(INDEX(MP_CF_WP,$B84,T$67)=0,"N/A",INDEX(MP_CF_WP,$B84,T$67)),"N/A")</f>
        <v>N/A</v>
      </c>
      <c r="U84" s="63" t="str">
        <f t="shared" ca="1" si="40"/>
        <v>N/A</v>
      </c>
      <c r="V84" s="63" t="str">
        <f t="shared" ca="1" si="40"/>
        <v>N/A</v>
      </c>
      <c r="W84" s="63" t="str">
        <f t="shared" ca="1" si="40"/>
        <v>N/A</v>
      </c>
    </row>
    <row r="85" spans="1:23" hidden="1" x14ac:dyDescent="0.2">
      <c r="A85" s="51">
        <f t="shared" si="31"/>
        <v>0</v>
      </c>
      <c r="B85" s="46" t="str">
        <f t="shared" ca="1" si="32"/>
        <v/>
      </c>
      <c r="C85" s="1" t="str">
        <f>IF(ISERROR(D85),"",IF(D85="","",MAX($C$66:C84)+1))</f>
        <v/>
      </c>
      <c r="D85" t="e">
        <f t="shared" si="33"/>
        <v>#N/A</v>
      </c>
      <c r="E85" s="22"/>
      <c r="F85" s="63" t="str">
        <f t="shared" ca="1" si="36"/>
        <v>N/A</v>
      </c>
      <c r="G85" s="63" t="str">
        <f t="shared" si="34"/>
        <v>N/A</v>
      </c>
      <c r="H85" s="63" t="str">
        <f ca="1">IFERROR(VLOOKUP($A85,LASTYR,'2017'!$O$3,FALSE),"N/A")</f>
        <v>N/A</v>
      </c>
      <c r="I85" s="63" t="str">
        <f t="shared" ca="1" si="39"/>
        <v>N/A</v>
      </c>
      <c r="J85" s="63" t="str">
        <f t="shared" ca="1" si="37"/>
        <v>N/A</v>
      </c>
      <c r="K85" s="63" t="str">
        <f t="shared" ca="1" si="37"/>
        <v>N/A</v>
      </c>
      <c r="L85" s="63" t="str">
        <f t="shared" ca="1" si="37"/>
        <v>N/A</v>
      </c>
      <c r="M85" s="63" t="str">
        <f t="shared" ca="1" si="37"/>
        <v>N/A</v>
      </c>
      <c r="N85" s="63" t="str">
        <f t="shared" ca="1" si="37"/>
        <v>N/A</v>
      </c>
      <c r="O85" s="63" t="str">
        <f t="shared" ca="1" si="37"/>
        <v>N/A</v>
      </c>
      <c r="P85" s="63" t="str">
        <f t="shared" ca="1" si="37"/>
        <v>N/A</v>
      </c>
      <c r="Q85" s="63" t="str">
        <f t="shared" ca="1" si="37"/>
        <v>N/A</v>
      </c>
      <c r="R85" s="63" t="str">
        <f t="shared" ca="1" si="37"/>
        <v>N/A</v>
      </c>
      <c r="S85" s="63" t="str">
        <f t="shared" ca="1" si="37"/>
        <v>N/A</v>
      </c>
      <c r="T85" s="63" t="str">
        <f t="shared" ca="1" si="40"/>
        <v>N/A</v>
      </c>
      <c r="U85" s="63" t="str">
        <f t="shared" ca="1" si="40"/>
        <v>N/A</v>
      </c>
      <c r="V85" s="63" t="str">
        <f t="shared" ca="1" si="40"/>
        <v>N/A</v>
      </c>
      <c r="W85" s="63" t="str">
        <f t="shared" ca="1" si="40"/>
        <v>N/A</v>
      </c>
    </row>
    <row r="86" spans="1:23" hidden="1" x14ac:dyDescent="0.2">
      <c r="A86" s="51">
        <f t="shared" si="31"/>
        <v>0</v>
      </c>
      <c r="B86" s="46" t="str">
        <f t="shared" ca="1" si="32"/>
        <v/>
      </c>
      <c r="C86" s="1" t="str">
        <f>IF(ISERROR(D86),"",IF(D86="","",MAX($C$66:C85)+1))</f>
        <v/>
      </c>
      <c r="D86" t="e">
        <f t="shared" si="33"/>
        <v>#N/A</v>
      </c>
      <c r="E86" s="22"/>
      <c r="F86" s="63" t="str">
        <f t="shared" ca="1" si="36"/>
        <v>N/A</v>
      </c>
      <c r="G86" s="63" t="str">
        <f t="shared" si="34"/>
        <v>N/A</v>
      </c>
      <c r="H86" s="63" t="str">
        <f ca="1">IFERROR(VLOOKUP($A86,LASTYR,'2017'!$O$3,FALSE),"N/A")</f>
        <v>N/A</v>
      </c>
      <c r="I86" s="63" t="str">
        <f t="shared" ca="1" si="39"/>
        <v>N/A</v>
      </c>
      <c r="J86" s="63" t="str">
        <f t="shared" ca="1" si="37"/>
        <v>N/A</v>
      </c>
      <c r="K86" s="63" t="str">
        <f t="shared" ca="1" si="37"/>
        <v>N/A</v>
      </c>
      <c r="L86" s="63" t="str">
        <f t="shared" ca="1" si="37"/>
        <v>N/A</v>
      </c>
      <c r="M86" s="63" t="str">
        <f t="shared" ca="1" si="37"/>
        <v>N/A</v>
      </c>
      <c r="N86" s="63" t="str">
        <f t="shared" ca="1" si="37"/>
        <v>N/A</v>
      </c>
      <c r="O86" s="63" t="str">
        <f t="shared" ca="1" si="37"/>
        <v>N/A</v>
      </c>
      <c r="P86" s="63" t="str">
        <f t="shared" ca="1" si="37"/>
        <v>N/A</v>
      </c>
      <c r="Q86" s="63" t="str">
        <f t="shared" ca="1" si="37"/>
        <v>N/A</v>
      </c>
      <c r="R86" s="63" t="str">
        <f t="shared" ca="1" si="37"/>
        <v>N/A</v>
      </c>
      <c r="S86" s="63" t="str">
        <f t="shared" ca="1" si="37"/>
        <v>N/A</v>
      </c>
      <c r="T86" s="63" t="str">
        <f t="shared" ca="1" si="40"/>
        <v>N/A</v>
      </c>
      <c r="U86" s="63" t="str">
        <f t="shared" ca="1" si="40"/>
        <v>N/A</v>
      </c>
      <c r="V86" s="63" t="str">
        <f t="shared" ca="1" si="40"/>
        <v>N/A</v>
      </c>
      <c r="W86" s="63" t="str">
        <f t="shared" ca="1" si="40"/>
        <v>N/A</v>
      </c>
    </row>
    <row r="87" spans="1:23" hidden="1" x14ac:dyDescent="0.2">
      <c r="A87" s="51">
        <f t="shared" si="31"/>
        <v>0</v>
      </c>
      <c r="B87" s="46" t="str">
        <f t="shared" ca="1" si="32"/>
        <v/>
      </c>
      <c r="C87" s="1" t="str">
        <f>IF(ISERROR(D87),"",IF(D87="","",MAX($C$66:C86)+1))</f>
        <v/>
      </c>
      <c r="D87" t="e">
        <f t="shared" si="33"/>
        <v>#N/A</v>
      </c>
      <c r="E87" s="22"/>
      <c r="F87" s="63" t="str">
        <f t="shared" ca="1" si="36"/>
        <v>N/A</v>
      </c>
      <c r="G87" s="63" t="str">
        <f t="shared" si="34"/>
        <v>N/A</v>
      </c>
      <c r="H87" s="63" t="str">
        <f ca="1">IFERROR(VLOOKUP($A87,LASTYR,'2017'!$O$3,FALSE),"N/A")</f>
        <v>N/A</v>
      </c>
      <c r="I87" s="63" t="str">
        <f t="shared" ca="1" si="39"/>
        <v>N/A</v>
      </c>
      <c r="J87" s="63" t="str">
        <f t="shared" ca="1" si="37"/>
        <v>N/A</v>
      </c>
      <c r="K87" s="63" t="str">
        <f t="shared" ca="1" si="37"/>
        <v>N/A</v>
      </c>
      <c r="L87" s="63" t="str">
        <f t="shared" ca="1" si="37"/>
        <v>N/A</v>
      </c>
      <c r="M87" s="63" t="str">
        <f t="shared" ca="1" si="37"/>
        <v>N/A</v>
      </c>
      <c r="N87" s="63" t="str">
        <f t="shared" ca="1" si="37"/>
        <v>N/A</v>
      </c>
      <c r="O87" s="63" t="str">
        <f t="shared" ca="1" si="37"/>
        <v>N/A</v>
      </c>
      <c r="P87" s="63" t="str">
        <f t="shared" ca="1" si="37"/>
        <v>N/A</v>
      </c>
      <c r="Q87" s="63" t="str">
        <f t="shared" ca="1" si="37"/>
        <v>N/A</v>
      </c>
      <c r="R87" s="63" t="str">
        <f t="shared" ca="1" si="37"/>
        <v>N/A</v>
      </c>
      <c r="S87" s="63" t="str">
        <f t="shared" ca="1" si="37"/>
        <v>N/A</v>
      </c>
      <c r="T87" s="63" t="str">
        <f t="shared" ca="1" si="40"/>
        <v>N/A</v>
      </c>
      <c r="U87" s="63" t="str">
        <f t="shared" ca="1" si="40"/>
        <v>N/A</v>
      </c>
      <c r="V87" s="63" t="str">
        <f t="shared" ca="1" si="40"/>
        <v>N/A</v>
      </c>
      <c r="W87" s="63" t="str">
        <f t="shared" ca="1" si="40"/>
        <v>N/A</v>
      </c>
    </row>
    <row r="88" spans="1:23" hidden="1" x14ac:dyDescent="0.2">
      <c r="A88" s="51">
        <f t="shared" si="31"/>
        <v>0</v>
      </c>
      <c r="B88" s="46" t="str">
        <f t="shared" ca="1" si="32"/>
        <v/>
      </c>
      <c r="C88" s="1" t="str">
        <f>IF(ISERROR(D88),"",IF(D88="","",MAX($C$66:C87)+1))</f>
        <v/>
      </c>
      <c r="D88" t="e">
        <f t="shared" si="33"/>
        <v>#N/A</v>
      </c>
      <c r="E88" s="22"/>
      <c r="F88" s="63" t="str">
        <f t="shared" ca="1" si="36"/>
        <v>N/A</v>
      </c>
      <c r="G88" s="63" t="str">
        <f t="shared" si="34"/>
        <v>N/A</v>
      </c>
      <c r="H88" s="63" t="str">
        <f ca="1">IFERROR(VLOOKUP($A88,LASTYR,'2017'!$O$3,FALSE),"N/A")</f>
        <v>N/A</v>
      </c>
      <c r="I88" s="63" t="str">
        <f t="shared" ca="1" si="39"/>
        <v>N/A</v>
      </c>
      <c r="J88" s="63" t="str">
        <f t="shared" ref="J88:S97" ca="1" si="41">IFERROR(IF(INDEX(DIV_EARN_WP,$B88,J$67)=0,"N/A",INDEX(DIV_EARN_WP,$B88,J$67)),"N/A")</f>
        <v>N/A</v>
      </c>
      <c r="K88" s="63" t="str">
        <f t="shared" ca="1" si="41"/>
        <v>N/A</v>
      </c>
      <c r="L88" s="63" t="str">
        <f t="shared" ca="1" si="41"/>
        <v>N/A</v>
      </c>
      <c r="M88" s="63" t="str">
        <f t="shared" ca="1" si="41"/>
        <v>N/A</v>
      </c>
      <c r="N88" s="63" t="str">
        <f t="shared" ca="1" si="41"/>
        <v>N/A</v>
      </c>
      <c r="O88" s="63" t="str">
        <f t="shared" ca="1" si="41"/>
        <v>N/A</v>
      </c>
      <c r="P88" s="63" t="str">
        <f t="shared" ca="1" si="41"/>
        <v>N/A</v>
      </c>
      <c r="Q88" s="63" t="str">
        <f t="shared" ca="1" si="41"/>
        <v>N/A</v>
      </c>
      <c r="R88" s="63" t="str">
        <f t="shared" ca="1" si="41"/>
        <v>N/A</v>
      </c>
      <c r="S88" s="63" t="str">
        <f t="shared" ca="1" si="41"/>
        <v>N/A</v>
      </c>
      <c r="T88" s="63" t="str">
        <f t="shared" ca="1" si="40"/>
        <v>N/A</v>
      </c>
      <c r="U88" s="63" t="str">
        <f t="shared" ca="1" si="40"/>
        <v>N/A</v>
      </c>
      <c r="V88" s="63" t="str">
        <f t="shared" ca="1" si="40"/>
        <v>N/A</v>
      </c>
      <c r="W88" s="63" t="str">
        <f t="shared" ca="1" si="40"/>
        <v>N/A</v>
      </c>
    </row>
    <row r="89" spans="1:23" hidden="1" x14ac:dyDescent="0.2">
      <c r="A89" s="51">
        <f t="shared" si="31"/>
        <v>0</v>
      </c>
      <c r="B89" s="46" t="str">
        <f t="shared" ca="1" si="32"/>
        <v/>
      </c>
      <c r="C89" s="1" t="str">
        <f>IF(ISERROR(D89),"",IF(D89="","",MAX($C$66:C88)+1))</f>
        <v/>
      </c>
      <c r="D89" t="e">
        <f t="shared" si="33"/>
        <v>#N/A</v>
      </c>
      <c r="E89" s="22"/>
      <c r="F89" s="63" t="str">
        <f t="shared" ca="1" si="36"/>
        <v>N/A</v>
      </c>
      <c r="G89" s="63" t="str">
        <f t="shared" si="34"/>
        <v>N/A</v>
      </c>
      <c r="H89" s="63" t="str">
        <f ca="1">IFERROR(VLOOKUP($A89,LASTYR,'2017'!$O$3,FALSE),"N/A")</f>
        <v>N/A</v>
      </c>
      <c r="I89" s="63" t="str">
        <f t="shared" ca="1" si="39"/>
        <v>N/A</v>
      </c>
      <c r="J89" s="63" t="str">
        <f t="shared" ca="1" si="41"/>
        <v>N/A</v>
      </c>
      <c r="K89" s="63" t="str">
        <f t="shared" ca="1" si="41"/>
        <v>N/A</v>
      </c>
      <c r="L89" s="63" t="str">
        <f t="shared" ca="1" si="41"/>
        <v>N/A</v>
      </c>
      <c r="M89" s="63" t="str">
        <f t="shared" ca="1" si="41"/>
        <v>N/A</v>
      </c>
      <c r="N89" s="63" t="str">
        <f t="shared" ca="1" si="41"/>
        <v>N/A</v>
      </c>
      <c r="O89" s="63" t="str">
        <f t="shared" ca="1" si="41"/>
        <v>N/A</v>
      </c>
      <c r="P89" s="63" t="str">
        <f t="shared" ca="1" si="41"/>
        <v>N/A</v>
      </c>
      <c r="Q89" s="63" t="str">
        <f t="shared" ca="1" si="41"/>
        <v>N/A</v>
      </c>
      <c r="R89" s="63" t="str">
        <f t="shared" ca="1" si="41"/>
        <v>N/A</v>
      </c>
      <c r="S89" s="63" t="str">
        <f t="shared" ca="1" si="41"/>
        <v>N/A</v>
      </c>
      <c r="T89" s="63" t="str">
        <f t="shared" ca="1" si="40"/>
        <v>N/A</v>
      </c>
      <c r="U89" s="63" t="str">
        <f t="shared" ca="1" si="40"/>
        <v>N/A</v>
      </c>
      <c r="V89" s="63" t="str">
        <f t="shared" ca="1" si="40"/>
        <v>N/A</v>
      </c>
      <c r="W89" s="63" t="str">
        <f t="shared" ca="1" si="40"/>
        <v>N/A</v>
      </c>
    </row>
    <row r="90" spans="1:23" hidden="1" x14ac:dyDescent="0.2">
      <c r="A90" s="51">
        <f t="shared" si="31"/>
        <v>0</v>
      </c>
      <c r="B90" s="46" t="str">
        <f t="shared" ca="1" si="32"/>
        <v/>
      </c>
      <c r="C90" s="1" t="str">
        <f>IF(ISERROR(D90),"",IF(D90="","",MAX($C$66:C89)+1))</f>
        <v/>
      </c>
      <c r="D90" t="e">
        <f t="shared" si="33"/>
        <v>#N/A</v>
      </c>
      <c r="E90" s="22"/>
      <c r="F90" s="63" t="str">
        <f t="shared" ca="1" si="36"/>
        <v>N/A</v>
      </c>
      <c r="G90" s="63" t="str">
        <f t="shared" si="34"/>
        <v>N/A</v>
      </c>
      <c r="H90" s="63" t="str">
        <f ca="1">IFERROR(VLOOKUP($A90,LASTYR,'2017'!$O$3,FALSE),"N/A")</f>
        <v>N/A</v>
      </c>
      <c r="I90" s="63" t="str">
        <f t="shared" ca="1" si="39"/>
        <v>N/A</v>
      </c>
      <c r="J90" s="63" t="str">
        <f t="shared" ca="1" si="41"/>
        <v>N/A</v>
      </c>
      <c r="K90" s="63" t="str">
        <f t="shared" ca="1" si="41"/>
        <v>N/A</v>
      </c>
      <c r="L90" s="63" t="str">
        <f t="shared" ca="1" si="41"/>
        <v>N/A</v>
      </c>
      <c r="M90" s="63" t="str">
        <f t="shared" ca="1" si="41"/>
        <v>N/A</v>
      </c>
      <c r="N90" s="63" t="str">
        <f t="shared" ca="1" si="41"/>
        <v>N/A</v>
      </c>
      <c r="O90" s="63" t="str">
        <f t="shared" ca="1" si="41"/>
        <v>N/A</v>
      </c>
      <c r="P90" s="63" t="str">
        <f t="shared" ca="1" si="41"/>
        <v>N/A</v>
      </c>
      <c r="Q90" s="63" t="str">
        <f t="shared" ca="1" si="41"/>
        <v>N/A</v>
      </c>
      <c r="R90" s="63" t="str">
        <f t="shared" ca="1" si="41"/>
        <v>N/A</v>
      </c>
      <c r="S90" s="63" t="str">
        <f t="shared" ca="1" si="41"/>
        <v>N/A</v>
      </c>
      <c r="T90" s="63" t="str">
        <f t="shared" ca="1" si="40"/>
        <v>N/A</v>
      </c>
      <c r="U90" s="63" t="str">
        <f t="shared" ca="1" si="40"/>
        <v>N/A</v>
      </c>
      <c r="V90" s="63" t="str">
        <f t="shared" ca="1" si="40"/>
        <v>N/A</v>
      </c>
      <c r="W90" s="63" t="str">
        <f t="shared" ca="1" si="40"/>
        <v>N/A</v>
      </c>
    </row>
    <row r="91" spans="1:23" hidden="1" x14ac:dyDescent="0.2">
      <c r="A91" s="51">
        <f t="shared" si="31"/>
        <v>0</v>
      </c>
      <c r="B91" s="46" t="str">
        <f t="shared" ca="1" si="32"/>
        <v/>
      </c>
      <c r="C91" s="1" t="str">
        <f>IF(ISERROR(D91),"",IF(D91="","",MAX($C$66:C90)+1))</f>
        <v/>
      </c>
      <c r="D91" t="e">
        <f t="shared" si="33"/>
        <v>#N/A</v>
      </c>
      <c r="E91" s="22"/>
      <c r="F91" s="63" t="str">
        <f t="shared" ca="1" si="36"/>
        <v>N/A</v>
      </c>
      <c r="G91" s="63" t="str">
        <f t="shared" si="34"/>
        <v>N/A</v>
      </c>
      <c r="H91" s="63" t="str">
        <f ca="1">IFERROR(VLOOKUP($A91,LASTYR,'2017'!$O$3,FALSE),"N/A")</f>
        <v>N/A</v>
      </c>
      <c r="I91" s="63" t="str">
        <f t="shared" ca="1" si="39"/>
        <v>N/A</v>
      </c>
      <c r="J91" s="63" t="str">
        <f t="shared" ca="1" si="41"/>
        <v>N/A</v>
      </c>
      <c r="K91" s="63" t="str">
        <f t="shared" ca="1" si="41"/>
        <v>N/A</v>
      </c>
      <c r="L91" s="63" t="str">
        <f t="shared" ca="1" si="41"/>
        <v>N/A</v>
      </c>
      <c r="M91" s="63" t="str">
        <f t="shared" ca="1" si="41"/>
        <v>N/A</v>
      </c>
      <c r="N91" s="63" t="str">
        <f t="shared" ca="1" si="41"/>
        <v>N/A</v>
      </c>
      <c r="O91" s="63" t="str">
        <f t="shared" ca="1" si="41"/>
        <v>N/A</v>
      </c>
      <c r="P91" s="63" t="str">
        <f t="shared" ca="1" si="41"/>
        <v>N/A</v>
      </c>
      <c r="Q91" s="63" t="str">
        <f t="shared" ca="1" si="41"/>
        <v>N/A</v>
      </c>
      <c r="R91" s="63" t="str">
        <f t="shared" ca="1" si="41"/>
        <v>N/A</v>
      </c>
      <c r="S91" s="63" t="str">
        <f t="shared" ca="1" si="41"/>
        <v>N/A</v>
      </c>
      <c r="T91" s="63" t="str">
        <f t="shared" ca="1" si="40"/>
        <v>N/A</v>
      </c>
      <c r="U91" s="63" t="str">
        <f t="shared" ca="1" si="40"/>
        <v>N/A</v>
      </c>
      <c r="V91" s="63" t="str">
        <f t="shared" ca="1" si="40"/>
        <v>N/A</v>
      </c>
      <c r="W91" s="63" t="str">
        <f t="shared" ca="1" si="40"/>
        <v>N/A</v>
      </c>
    </row>
    <row r="92" spans="1:23" hidden="1" x14ac:dyDescent="0.2">
      <c r="A92" s="51">
        <f t="shared" si="31"/>
        <v>0</v>
      </c>
      <c r="B92" s="46" t="str">
        <f t="shared" ca="1" si="32"/>
        <v/>
      </c>
      <c r="C92" s="1" t="str">
        <f>IF(ISERROR(D92),"",IF(D92="","",MAX($C$66:C91)+1))</f>
        <v/>
      </c>
      <c r="D92" t="e">
        <f t="shared" si="33"/>
        <v>#N/A</v>
      </c>
      <c r="E92" s="22"/>
      <c r="F92" s="63" t="str">
        <f t="shared" ca="1" si="36"/>
        <v>N/A</v>
      </c>
      <c r="G92" s="63" t="str">
        <f t="shared" si="34"/>
        <v>N/A</v>
      </c>
      <c r="H92" s="63" t="str">
        <f ca="1">IFERROR(VLOOKUP($A92,LASTYR,'2017'!$O$3,FALSE),"N/A")</f>
        <v>N/A</v>
      </c>
      <c r="I92" s="63" t="str">
        <f t="shared" ca="1" si="39"/>
        <v>N/A</v>
      </c>
      <c r="J92" s="63" t="str">
        <f t="shared" ca="1" si="41"/>
        <v>N/A</v>
      </c>
      <c r="K92" s="63" t="str">
        <f t="shared" ca="1" si="41"/>
        <v>N/A</v>
      </c>
      <c r="L92" s="63" t="str">
        <f t="shared" ca="1" si="41"/>
        <v>N/A</v>
      </c>
      <c r="M92" s="63" t="str">
        <f t="shared" ca="1" si="41"/>
        <v>N/A</v>
      </c>
      <c r="N92" s="63" t="str">
        <f t="shared" ca="1" si="41"/>
        <v>N/A</v>
      </c>
      <c r="O92" s="63" t="str">
        <f t="shared" ca="1" si="41"/>
        <v>N/A</v>
      </c>
      <c r="P92" s="63" t="str">
        <f t="shared" ca="1" si="41"/>
        <v>N/A</v>
      </c>
      <c r="Q92" s="63" t="str">
        <f t="shared" ca="1" si="41"/>
        <v>N/A</v>
      </c>
      <c r="R92" s="63" t="str">
        <f t="shared" ca="1" si="41"/>
        <v>N/A</v>
      </c>
      <c r="S92" s="63" t="str">
        <f t="shared" ca="1" si="41"/>
        <v>N/A</v>
      </c>
      <c r="T92" s="63" t="str">
        <f t="shared" ca="1" si="40"/>
        <v>N/A</v>
      </c>
      <c r="U92" s="63" t="str">
        <f t="shared" ca="1" si="40"/>
        <v>N/A</v>
      </c>
      <c r="V92" s="63" t="str">
        <f t="shared" ca="1" si="40"/>
        <v>N/A</v>
      </c>
      <c r="W92" s="63" t="str">
        <f t="shared" ca="1" si="40"/>
        <v>N/A</v>
      </c>
    </row>
    <row r="93" spans="1:23" hidden="1" x14ac:dyDescent="0.2">
      <c r="A93" s="51">
        <f t="shared" si="31"/>
        <v>0</v>
      </c>
      <c r="B93" s="46" t="str">
        <f t="shared" ca="1" si="32"/>
        <v/>
      </c>
      <c r="C93" s="1" t="str">
        <f>IF(ISERROR(D93),"",IF(D93="","",MAX($C$66:C92)+1))</f>
        <v/>
      </c>
      <c r="D93" t="e">
        <f t="shared" si="33"/>
        <v>#N/A</v>
      </c>
      <c r="E93" s="22"/>
      <c r="F93" s="63" t="str">
        <f t="shared" ca="1" si="36"/>
        <v>N/A</v>
      </c>
      <c r="G93" s="63" t="str">
        <f t="shared" si="34"/>
        <v>N/A</v>
      </c>
      <c r="H93" s="63" t="str">
        <f ca="1">IFERROR(VLOOKUP($A93,LASTYR,'2017'!$O$3,FALSE),"N/A")</f>
        <v>N/A</v>
      </c>
      <c r="I93" s="63" t="str">
        <f t="shared" ca="1" si="39"/>
        <v>N/A</v>
      </c>
      <c r="J93" s="63" t="str">
        <f t="shared" ca="1" si="41"/>
        <v>N/A</v>
      </c>
      <c r="K93" s="63" t="str">
        <f t="shared" ca="1" si="41"/>
        <v>N/A</v>
      </c>
      <c r="L93" s="63" t="str">
        <f t="shared" ca="1" si="41"/>
        <v>N/A</v>
      </c>
      <c r="M93" s="63" t="str">
        <f t="shared" ca="1" si="41"/>
        <v>N/A</v>
      </c>
      <c r="N93" s="63" t="str">
        <f t="shared" ca="1" si="41"/>
        <v>N/A</v>
      </c>
      <c r="O93" s="63" t="str">
        <f t="shared" ca="1" si="41"/>
        <v>N/A</v>
      </c>
      <c r="P93" s="63" t="str">
        <f t="shared" ca="1" si="41"/>
        <v>N/A</v>
      </c>
      <c r="Q93" s="63" t="str">
        <f t="shared" ca="1" si="41"/>
        <v>N/A</v>
      </c>
      <c r="R93" s="63" t="str">
        <f t="shared" ca="1" si="41"/>
        <v>N/A</v>
      </c>
      <c r="S93" s="63" t="str">
        <f t="shared" ca="1" si="41"/>
        <v>N/A</v>
      </c>
      <c r="T93" s="63" t="str">
        <f t="shared" ca="1" si="40"/>
        <v>N/A</v>
      </c>
      <c r="U93" s="63" t="str">
        <f t="shared" ca="1" si="40"/>
        <v>N/A</v>
      </c>
      <c r="V93" s="63" t="str">
        <f t="shared" ca="1" si="40"/>
        <v>N/A</v>
      </c>
      <c r="W93" s="63" t="str">
        <f t="shared" ca="1" si="40"/>
        <v>N/A</v>
      </c>
    </row>
    <row r="94" spans="1:23" hidden="1" x14ac:dyDescent="0.2">
      <c r="A94" s="51">
        <f t="shared" si="31"/>
        <v>0</v>
      </c>
      <c r="B94" s="46" t="str">
        <f t="shared" ca="1" si="32"/>
        <v/>
      </c>
      <c r="C94" s="1" t="str">
        <f>IF(ISERROR(D94),"",IF(D94="","",MAX($C$66:C93)+1))</f>
        <v/>
      </c>
      <c r="D94" t="e">
        <f t="shared" si="33"/>
        <v>#N/A</v>
      </c>
      <c r="E94" s="22"/>
      <c r="F94" s="63" t="str">
        <f t="shared" ca="1" si="36"/>
        <v>N/A</v>
      </c>
      <c r="G94" s="63" t="str">
        <f t="shared" si="34"/>
        <v>N/A</v>
      </c>
      <c r="H94" s="63" t="str">
        <f ca="1">IFERROR(VLOOKUP($A94,LASTYR,'2017'!$O$3,FALSE),"N/A")</f>
        <v>N/A</v>
      </c>
      <c r="I94" s="63" t="str">
        <f t="shared" ca="1" si="39"/>
        <v>N/A</v>
      </c>
      <c r="J94" s="63" t="str">
        <f t="shared" ca="1" si="41"/>
        <v>N/A</v>
      </c>
      <c r="K94" s="63" t="str">
        <f t="shared" ca="1" si="41"/>
        <v>N/A</v>
      </c>
      <c r="L94" s="63" t="str">
        <f t="shared" ca="1" si="41"/>
        <v>N/A</v>
      </c>
      <c r="M94" s="63" t="str">
        <f t="shared" ca="1" si="41"/>
        <v>N/A</v>
      </c>
      <c r="N94" s="63" t="str">
        <f t="shared" ca="1" si="41"/>
        <v>N/A</v>
      </c>
      <c r="O94" s="63" t="str">
        <f t="shared" ca="1" si="41"/>
        <v>N/A</v>
      </c>
      <c r="P94" s="63" t="str">
        <f t="shared" ca="1" si="41"/>
        <v>N/A</v>
      </c>
      <c r="Q94" s="63" t="str">
        <f t="shared" ca="1" si="41"/>
        <v>N/A</v>
      </c>
      <c r="R94" s="63" t="str">
        <f t="shared" ca="1" si="41"/>
        <v>N/A</v>
      </c>
      <c r="S94" s="63" t="str">
        <f t="shared" ca="1" si="41"/>
        <v>N/A</v>
      </c>
      <c r="T94" s="63" t="str">
        <f t="shared" ca="1" si="40"/>
        <v>N/A</v>
      </c>
      <c r="U94" s="63" t="str">
        <f t="shared" ca="1" si="40"/>
        <v>N/A</v>
      </c>
      <c r="V94" s="63" t="str">
        <f t="shared" ca="1" si="40"/>
        <v>N/A</v>
      </c>
      <c r="W94" s="63" t="str">
        <f t="shared" ca="1" si="40"/>
        <v>N/A</v>
      </c>
    </row>
    <row r="95" spans="1:23" hidden="1" x14ac:dyDescent="0.2">
      <c r="A95" s="51">
        <f t="shared" si="31"/>
        <v>0</v>
      </c>
      <c r="B95" s="46" t="str">
        <f t="shared" ca="1" si="32"/>
        <v/>
      </c>
      <c r="C95" s="1" t="str">
        <f>IF(ISERROR(D95),"",IF(D95="","",MAX($C$66:C94)+1))</f>
        <v/>
      </c>
      <c r="D95" t="e">
        <f t="shared" si="33"/>
        <v>#N/A</v>
      </c>
      <c r="E95" s="22"/>
      <c r="F95" s="63" t="str">
        <f t="shared" ca="1" si="36"/>
        <v>N/A</v>
      </c>
      <c r="G95" s="63" t="str">
        <f t="shared" si="34"/>
        <v>N/A</v>
      </c>
      <c r="H95" s="63" t="str">
        <f ca="1">IFERROR(VLOOKUP($A95,LASTYR,'2017'!$O$3,FALSE),"N/A")</f>
        <v>N/A</v>
      </c>
      <c r="I95" s="63" t="str">
        <f t="shared" ca="1" si="39"/>
        <v>N/A</v>
      </c>
      <c r="J95" s="63" t="str">
        <f t="shared" ca="1" si="41"/>
        <v>N/A</v>
      </c>
      <c r="K95" s="63" t="str">
        <f t="shared" ca="1" si="41"/>
        <v>N/A</v>
      </c>
      <c r="L95" s="63" t="str">
        <f t="shared" ca="1" si="41"/>
        <v>N/A</v>
      </c>
      <c r="M95" s="63" t="str">
        <f t="shared" ca="1" si="41"/>
        <v>N/A</v>
      </c>
      <c r="N95" s="63" t="str">
        <f t="shared" ca="1" si="41"/>
        <v>N/A</v>
      </c>
      <c r="O95" s="63" t="str">
        <f t="shared" ca="1" si="41"/>
        <v>N/A</v>
      </c>
      <c r="P95" s="63" t="str">
        <f t="shared" ca="1" si="41"/>
        <v>N/A</v>
      </c>
      <c r="Q95" s="63" t="str">
        <f t="shared" ca="1" si="41"/>
        <v>N/A</v>
      </c>
      <c r="R95" s="63" t="str">
        <f t="shared" ca="1" si="41"/>
        <v>N/A</v>
      </c>
      <c r="S95" s="63" t="str">
        <f t="shared" ca="1" si="41"/>
        <v>N/A</v>
      </c>
      <c r="T95" s="63" t="str">
        <f t="shared" ca="1" si="40"/>
        <v>N/A</v>
      </c>
      <c r="U95" s="63" t="str">
        <f t="shared" ca="1" si="40"/>
        <v>N/A</v>
      </c>
      <c r="V95" s="63" t="str">
        <f t="shared" ca="1" si="40"/>
        <v>N/A</v>
      </c>
      <c r="W95" s="63" t="str">
        <f t="shared" ca="1" si="40"/>
        <v>N/A</v>
      </c>
    </row>
    <row r="96" spans="1:23" hidden="1" x14ac:dyDescent="0.2">
      <c r="A96" s="51">
        <f t="shared" si="31"/>
        <v>0</v>
      </c>
      <c r="B96" s="46" t="str">
        <f t="shared" ca="1" si="32"/>
        <v/>
      </c>
      <c r="C96" s="1" t="str">
        <f>IF(ISERROR(D96),"",IF(D96="","",MAX($C$66:C95)+1))</f>
        <v/>
      </c>
      <c r="D96" t="e">
        <f t="shared" si="33"/>
        <v>#N/A</v>
      </c>
      <c r="E96" s="22"/>
      <c r="F96" s="63" t="str">
        <f t="shared" ca="1" si="36"/>
        <v>N/A</v>
      </c>
      <c r="G96" s="63" t="str">
        <f t="shared" si="34"/>
        <v>N/A</v>
      </c>
      <c r="H96" s="63" t="str">
        <f ca="1">IFERROR(VLOOKUP($A96,LASTYR,'2017'!$O$3,FALSE),"N/A")</f>
        <v>N/A</v>
      </c>
      <c r="I96" s="63" t="str">
        <f t="shared" ca="1" si="39"/>
        <v>N/A</v>
      </c>
      <c r="J96" s="63" t="str">
        <f t="shared" ca="1" si="41"/>
        <v>N/A</v>
      </c>
      <c r="K96" s="63" t="str">
        <f t="shared" ca="1" si="41"/>
        <v>N/A</v>
      </c>
      <c r="L96" s="63" t="str">
        <f t="shared" ca="1" si="41"/>
        <v>N/A</v>
      </c>
      <c r="M96" s="63" t="str">
        <f t="shared" ca="1" si="41"/>
        <v>N/A</v>
      </c>
      <c r="N96" s="63" t="str">
        <f t="shared" ca="1" si="41"/>
        <v>N/A</v>
      </c>
      <c r="O96" s="63" t="str">
        <f t="shared" ca="1" si="41"/>
        <v>N/A</v>
      </c>
      <c r="P96" s="63" t="str">
        <f t="shared" ca="1" si="41"/>
        <v>N/A</v>
      </c>
      <c r="Q96" s="63" t="str">
        <f t="shared" ca="1" si="41"/>
        <v>N/A</v>
      </c>
      <c r="R96" s="63" t="str">
        <f t="shared" ca="1" si="41"/>
        <v>N/A</v>
      </c>
      <c r="S96" s="63" t="str">
        <f t="shared" ca="1" si="41"/>
        <v>N/A</v>
      </c>
      <c r="T96" s="63" t="str">
        <f t="shared" ca="1" si="40"/>
        <v>N/A</v>
      </c>
      <c r="U96" s="63" t="str">
        <f t="shared" ca="1" si="40"/>
        <v>N/A</v>
      </c>
      <c r="V96" s="63" t="str">
        <f t="shared" ca="1" si="40"/>
        <v>N/A</v>
      </c>
      <c r="W96" s="63" t="str">
        <f t="shared" ca="1" si="40"/>
        <v>N/A</v>
      </c>
    </row>
    <row r="97" spans="1:23" hidden="1" x14ac:dyDescent="0.2">
      <c r="A97" s="51">
        <f t="shared" si="31"/>
        <v>0</v>
      </c>
      <c r="B97" s="46" t="str">
        <f t="shared" ca="1" si="32"/>
        <v/>
      </c>
      <c r="C97" s="1" t="str">
        <f>IF(ISERROR(D97),"",IF(D97="","",MAX($C$66:C96)+1))</f>
        <v/>
      </c>
      <c r="D97" t="e">
        <f t="shared" si="33"/>
        <v>#N/A</v>
      </c>
      <c r="E97" s="22"/>
      <c r="F97" s="63" t="str">
        <f t="shared" ca="1" si="36"/>
        <v>N/A</v>
      </c>
      <c r="G97" s="63" t="str">
        <f t="shared" si="34"/>
        <v>N/A</v>
      </c>
      <c r="H97" s="63" t="str">
        <f ca="1">IFERROR(VLOOKUP($A97,LASTYR,'2017'!$O$3,FALSE),"N/A")</f>
        <v>N/A</v>
      </c>
      <c r="I97" s="63" t="str">
        <f t="shared" ca="1" si="39"/>
        <v>N/A</v>
      </c>
      <c r="J97" s="63" t="str">
        <f t="shared" ca="1" si="41"/>
        <v>N/A</v>
      </c>
      <c r="K97" s="63" t="str">
        <f t="shared" ca="1" si="41"/>
        <v>N/A</v>
      </c>
      <c r="L97" s="63" t="str">
        <f t="shared" ca="1" si="41"/>
        <v>N/A</v>
      </c>
      <c r="M97" s="63" t="str">
        <f t="shared" ca="1" si="41"/>
        <v>N/A</v>
      </c>
      <c r="N97" s="63" t="str">
        <f t="shared" ca="1" si="41"/>
        <v>N/A</v>
      </c>
      <c r="O97" s="63" t="str">
        <f t="shared" ca="1" si="41"/>
        <v>N/A</v>
      </c>
      <c r="P97" s="63" t="str">
        <f t="shared" ca="1" si="41"/>
        <v>N/A</v>
      </c>
      <c r="Q97" s="63" t="str">
        <f t="shared" ca="1" si="41"/>
        <v>N/A</v>
      </c>
      <c r="R97" s="63" t="str">
        <f t="shared" ca="1" si="41"/>
        <v>N/A</v>
      </c>
      <c r="S97" s="63" t="str">
        <f t="shared" ca="1" si="41"/>
        <v>N/A</v>
      </c>
      <c r="T97" s="63" t="str">
        <f t="shared" ca="1" si="40"/>
        <v>N/A</v>
      </c>
      <c r="U97" s="63" t="str">
        <f t="shared" ca="1" si="40"/>
        <v>N/A</v>
      </c>
      <c r="V97" s="63" t="str">
        <f t="shared" ca="1" si="40"/>
        <v>N/A</v>
      </c>
      <c r="W97" s="63" t="str">
        <f t="shared" ca="1" si="40"/>
        <v>N/A</v>
      </c>
    </row>
    <row r="98" spans="1:23" hidden="1" x14ac:dyDescent="0.2">
      <c r="A98" s="51">
        <f t="shared" si="31"/>
        <v>0</v>
      </c>
      <c r="B98" s="46" t="str">
        <f t="shared" ca="1" si="32"/>
        <v/>
      </c>
      <c r="C98" s="1" t="str">
        <f>IF(ISERROR(D98),"",IF(D98="","",MAX($C$66:C97)+1))</f>
        <v/>
      </c>
      <c r="D98" t="e">
        <f t="shared" si="33"/>
        <v>#N/A</v>
      </c>
      <c r="E98" s="22"/>
      <c r="F98" s="63" t="str">
        <f t="shared" ca="1" si="36"/>
        <v>N/A</v>
      </c>
      <c r="G98" s="63" t="str">
        <f t="shared" si="34"/>
        <v>N/A</v>
      </c>
      <c r="H98" s="63" t="str">
        <f ca="1">IFERROR(VLOOKUP($A98,LASTYR,'2017'!$O$3,FALSE),"N/A")</f>
        <v>N/A</v>
      </c>
      <c r="I98" s="63" t="str">
        <f t="shared" ca="1" si="39"/>
        <v>N/A</v>
      </c>
      <c r="J98" s="63" t="str">
        <f t="shared" ref="J98:S112" ca="1" si="42">IFERROR(IF(INDEX(DIV_EARN_WP,$B98,J$67)=0,"N/A",INDEX(DIV_EARN_WP,$B98,J$67)),"N/A")</f>
        <v>N/A</v>
      </c>
      <c r="K98" s="63" t="str">
        <f t="shared" ca="1" si="42"/>
        <v>N/A</v>
      </c>
      <c r="L98" s="63" t="str">
        <f t="shared" ca="1" si="42"/>
        <v>N/A</v>
      </c>
      <c r="M98" s="63" t="str">
        <f t="shared" ca="1" si="42"/>
        <v>N/A</v>
      </c>
      <c r="N98" s="63" t="str">
        <f t="shared" ca="1" si="42"/>
        <v>N/A</v>
      </c>
      <c r="O98" s="63" t="str">
        <f t="shared" ca="1" si="42"/>
        <v>N/A</v>
      </c>
      <c r="P98" s="63" t="str">
        <f t="shared" ca="1" si="42"/>
        <v>N/A</v>
      </c>
      <c r="Q98" s="63" t="str">
        <f t="shared" ca="1" si="42"/>
        <v>N/A</v>
      </c>
      <c r="R98" s="63" t="str">
        <f t="shared" ca="1" si="42"/>
        <v>N/A</v>
      </c>
      <c r="S98" s="63" t="str">
        <f t="shared" ca="1" si="42"/>
        <v>N/A</v>
      </c>
      <c r="T98" s="63" t="str">
        <f t="shared" ca="1" si="40"/>
        <v>N/A</v>
      </c>
      <c r="U98" s="63" t="str">
        <f t="shared" ca="1" si="40"/>
        <v>N/A</v>
      </c>
      <c r="V98" s="63" t="str">
        <f t="shared" ca="1" si="40"/>
        <v>N/A</v>
      </c>
      <c r="W98" s="63" t="str">
        <f t="shared" ca="1" si="40"/>
        <v>N/A</v>
      </c>
    </row>
    <row r="99" spans="1:23" hidden="1" x14ac:dyDescent="0.2">
      <c r="A99" s="51">
        <f t="shared" si="31"/>
        <v>0</v>
      </c>
      <c r="B99" s="46" t="str">
        <f t="shared" ca="1" si="32"/>
        <v/>
      </c>
      <c r="C99" s="1" t="str">
        <f>IF(ISERROR(D99),"",IF(D99="","",MAX($C$66:C98)+1))</f>
        <v/>
      </c>
      <c r="D99" t="e">
        <f t="shared" si="33"/>
        <v>#N/A</v>
      </c>
      <c r="E99" s="22"/>
      <c r="F99" s="63" t="str">
        <f t="shared" ca="1" si="36"/>
        <v>N/A</v>
      </c>
      <c r="G99" s="63" t="str">
        <f t="shared" si="34"/>
        <v>N/A</v>
      </c>
      <c r="H99" s="63" t="str">
        <f ca="1">IFERROR(VLOOKUP($A99,LASTYR,'2017'!$O$3,FALSE),"N/A")</f>
        <v>N/A</v>
      </c>
      <c r="I99" s="63" t="str">
        <f t="shared" ca="1" si="39"/>
        <v>N/A</v>
      </c>
      <c r="J99" s="63" t="str">
        <f t="shared" ca="1" si="42"/>
        <v>N/A</v>
      </c>
      <c r="K99" s="63" t="str">
        <f t="shared" ca="1" si="42"/>
        <v>N/A</v>
      </c>
      <c r="L99" s="63" t="str">
        <f t="shared" ca="1" si="42"/>
        <v>N/A</v>
      </c>
      <c r="M99" s="63" t="str">
        <f t="shared" ca="1" si="42"/>
        <v>N/A</v>
      </c>
      <c r="N99" s="63" t="str">
        <f t="shared" ca="1" si="42"/>
        <v>N/A</v>
      </c>
      <c r="O99" s="63" t="str">
        <f t="shared" ca="1" si="42"/>
        <v>N/A</v>
      </c>
      <c r="P99" s="63" t="str">
        <f t="shared" ca="1" si="42"/>
        <v>N/A</v>
      </c>
      <c r="Q99" s="63" t="str">
        <f t="shared" ca="1" si="42"/>
        <v>N/A</v>
      </c>
      <c r="R99" s="63" t="str">
        <f t="shared" ca="1" si="42"/>
        <v>N/A</v>
      </c>
      <c r="S99" s="63" t="str">
        <f t="shared" ca="1" si="42"/>
        <v>N/A</v>
      </c>
      <c r="T99" s="63" t="str">
        <f t="shared" ca="1" si="40"/>
        <v>N/A</v>
      </c>
      <c r="U99" s="63" t="str">
        <f t="shared" ca="1" si="40"/>
        <v>N/A</v>
      </c>
      <c r="V99" s="63" t="str">
        <f t="shared" ca="1" si="40"/>
        <v>N/A</v>
      </c>
      <c r="W99" s="63" t="str">
        <f t="shared" ca="1" si="40"/>
        <v>N/A</v>
      </c>
    </row>
    <row r="100" spans="1:23" hidden="1" x14ac:dyDescent="0.2">
      <c r="A100" s="51">
        <f t="shared" si="31"/>
        <v>0</v>
      </c>
      <c r="B100" s="46" t="str">
        <f t="shared" ca="1" si="32"/>
        <v/>
      </c>
      <c r="C100" s="1" t="str">
        <f>IF(ISERROR(D100),"",IF(D100="","",MAX($C$66:C99)+1))</f>
        <v/>
      </c>
      <c r="D100" t="e">
        <f t="shared" si="33"/>
        <v>#N/A</v>
      </c>
      <c r="E100" s="22"/>
      <c r="F100" s="63" t="str">
        <f t="shared" ca="1" si="36"/>
        <v>N/A</v>
      </c>
      <c r="G100" s="63" t="str">
        <f t="shared" si="34"/>
        <v>N/A</v>
      </c>
      <c r="H100" s="63" t="str">
        <f ca="1">IFERROR(VLOOKUP($A100,LASTYR,'2017'!$O$3,FALSE),"N/A")</f>
        <v>N/A</v>
      </c>
      <c r="I100" s="63" t="str">
        <f t="shared" ca="1" si="39"/>
        <v>N/A</v>
      </c>
      <c r="J100" s="63" t="str">
        <f t="shared" ca="1" si="42"/>
        <v>N/A</v>
      </c>
      <c r="K100" s="63" t="str">
        <f t="shared" ca="1" si="42"/>
        <v>N/A</v>
      </c>
      <c r="L100" s="63" t="str">
        <f t="shared" ca="1" si="42"/>
        <v>N/A</v>
      </c>
      <c r="M100" s="63" t="str">
        <f t="shared" ca="1" si="42"/>
        <v>N/A</v>
      </c>
      <c r="N100" s="63" t="str">
        <f t="shared" ca="1" si="42"/>
        <v>N/A</v>
      </c>
      <c r="O100" s="63" t="str">
        <f t="shared" ca="1" si="42"/>
        <v>N/A</v>
      </c>
      <c r="P100" s="63" t="str">
        <f t="shared" ca="1" si="42"/>
        <v>N/A</v>
      </c>
      <c r="Q100" s="63" t="str">
        <f t="shared" ca="1" si="42"/>
        <v>N/A</v>
      </c>
      <c r="R100" s="63" t="str">
        <f t="shared" ca="1" si="42"/>
        <v>N/A</v>
      </c>
      <c r="S100" s="63" t="str">
        <f t="shared" ca="1" si="42"/>
        <v>N/A</v>
      </c>
      <c r="T100" s="63" t="str">
        <f t="shared" ca="1" si="40"/>
        <v>N/A</v>
      </c>
      <c r="U100" s="63" t="str">
        <f t="shared" ca="1" si="40"/>
        <v>N/A</v>
      </c>
      <c r="V100" s="63" t="str">
        <f t="shared" ca="1" si="40"/>
        <v>N/A</v>
      </c>
      <c r="W100" s="63" t="str">
        <f t="shared" ca="1" si="40"/>
        <v>N/A</v>
      </c>
    </row>
    <row r="101" spans="1:23" hidden="1" x14ac:dyDescent="0.2">
      <c r="A101" s="51">
        <f t="shared" si="31"/>
        <v>0</v>
      </c>
      <c r="B101" s="46" t="str">
        <f t="shared" ca="1" si="32"/>
        <v/>
      </c>
      <c r="C101" s="1" t="str">
        <f>IF(ISERROR(D101),"",IF(D101="","",MAX($C$66:C100)+1))</f>
        <v/>
      </c>
      <c r="D101" t="e">
        <f t="shared" si="33"/>
        <v>#N/A</v>
      </c>
      <c r="E101" s="22"/>
      <c r="F101" s="63" t="str">
        <f t="shared" ca="1" si="36"/>
        <v>N/A</v>
      </c>
      <c r="G101" s="63" t="str">
        <f t="shared" si="34"/>
        <v>N/A</v>
      </c>
      <c r="H101" s="63" t="str">
        <f ca="1">IFERROR(VLOOKUP($A101,LASTYR,'2017'!$O$3,FALSE),"N/A")</f>
        <v>N/A</v>
      </c>
      <c r="I101" s="63" t="str">
        <f t="shared" ca="1" si="39"/>
        <v>N/A</v>
      </c>
      <c r="J101" s="63" t="str">
        <f t="shared" ca="1" si="42"/>
        <v>N/A</v>
      </c>
      <c r="K101" s="63" t="str">
        <f t="shared" ca="1" si="42"/>
        <v>N/A</v>
      </c>
      <c r="L101" s="63" t="str">
        <f t="shared" ca="1" si="42"/>
        <v>N/A</v>
      </c>
      <c r="M101" s="63" t="str">
        <f t="shared" ca="1" si="42"/>
        <v>N/A</v>
      </c>
      <c r="N101" s="63" t="str">
        <f t="shared" ca="1" si="42"/>
        <v>N/A</v>
      </c>
      <c r="O101" s="63" t="str">
        <f t="shared" ca="1" si="42"/>
        <v>N/A</v>
      </c>
      <c r="P101" s="63" t="str">
        <f t="shared" ca="1" si="42"/>
        <v>N/A</v>
      </c>
      <c r="Q101" s="63" t="str">
        <f t="shared" ca="1" si="42"/>
        <v>N/A</v>
      </c>
      <c r="R101" s="63" t="str">
        <f t="shared" ca="1" si="42"/>
        <v>N/A</v>
      </c>
      <c r="S101" s="63" t="str">
        <f t="shared" ca="1" si="42"/>
        <v>N/A</v>
      </c>
      <c r="T101" s="63" t="str">
        <f t="shared" ca="1" si="40"/>
        <v>N/A</v>
      </c>
      <c r="U101" s="63" t="str">
        <f t="shared" ca="1" si="40"/>
        <v>N/A</v>
      </c>
      <c r="V101" s="63" t="str">
        <f t="shared" ca="1" si="40"/>
        <v>N/A</v>
      </c>
      <c r="W101" s="63" t="str">
        <f t="shared" ca="1" si="40"/>
        <v>N/A</v>
      </c>
    </row>
    <row r="102" spans="1:23" hidden="1" x14ac:dyDescent="0.2">
      <c r="A102" s="51">
        <f t="shared" si="31"/>
        <v>0</v>
      </c>
      <c r="B102" s="46" t="str">
        <f t="shared" ca="1" si="32"/>
        <v/>
      </c>
      <c r="C102" s="1" t="str">
        <f>IF(ISERROR(D102),"",IF(D102="","",MAX($C$66:C101)+1))</f>
        <v/>
      </c>
      <c r="D102" t="e">
        <f t="shared" si="33"/>
        <v>#N/A</v>
      </c>
      <c r="E102" s="22"/>
      <c r="F102" s="63" t="str">
        <f t="shared" ca="1" si="36"/>
        <v>N/A</v>
      </c>
      <c r="G102" s="63" t="str">
        <f t="shared" si="34"/>
        <v>N/A</v>
      </c>
      <c r="H102" s="63" t="str">
        <f ca="1">IFERROR(VLOOKUP($A102,LASTYR,'2017'!$O$3,FALSE),"N/A")</f>
        <v>N/A</v>
      </c>
      <c r="I102" s="63" t="str">
        <f t="shared" ca="1" si="39"/>
        <v>N/A</v>
      </c>
      <c r="J102" s="63" t="str">
        <f t="shared" ca="1" si="42"/>
        <v>N/A</v>
      </c>
      <c r="K102" s="63" t="str">
        <f t="shared" ca="1" si="42"/>
        <v>N/A</v>
      </c>
      <c r="L102" s="63" t="str">
        <f t="shared" ca="1" si="42"/>
        <v>N/A</v>
      </c>
      <c r="M102" s="63" t="str">
        <f t="shared" ca="1" si="42"/>
        <v>N/A</v>
      </c>
      <c r="N102" s="63" t="str">
        <f t="shared" ca="1" si="42"/>
        <v>N/A</v>
      </c>
      <c r="O102" s="63" t="str">
        <f t="shared" ca="1" si="42"/>
        <v>N/A</v>
      </c>
      <c r="P102" s="63" t="str">
        <f t="shared" ca="1" si="42"/>
        <v>N/A</v>
      </c>
      <c r="Q102" s="63" t="str">
        <f t="shared" ca="1" si="42"/>
        <v>N/A</v>
      </c>
      <c r="R102" s="63" t="str">
        <f t="shared" ca="1" si="42"/>
        <v>N/A</v>
      </c>
      <c r="S102" s="63" t="str">
        <f t="shared" ca="1" si="42"/>
        <v>N/A</v>
      </c>
      <c r="T102" s="63" t="str">
        <f t="shared" ref="T102:W102" ca="1" si="43">IFERROR(IF(INDEX(MP_CF_WP,$B102,T$67)=0,"N/A",INDEX(MP_CF_WP,$B102,T$67)),"N/A")</f>
        <v>N/A</v>
      </c>
      <c r="U102" s="63" t="str">
        <f t="shared" ca="1" si="43"/>
        <v>N/A</v>
      </c>
      <c r="V102" s="63" t="str">
        <f t="shared" ca="1" si="43"/>
        <v>N/A</v>
      </c>
      <c r="W102" s="63" t="str">
        <f t="shared" ca="1" si="43"/>
        <v>N/A</v>
      </c>
    </row>
    <row r="103" spans="1:23" hidden="1" x14ac:dyDescent="0.2">
      <c r="A103" s="51">
        <f t="shared" si="31"/>
        <v>0</v>
      </c>
      <c r="B103" s="46" t="str">
        <f t="shared" ca="1" si="32"/>
        <v/>
      </c>
      <c r="C103" s="1" t="str">
        <f>IF(ISERROR(D103),"",IF(D103="","",MAX($C$66:C102)+1))</f>
        <v/>
      </c>
      <c r="D103" t="e">
        <f t="shared" si="33"/>
        <v>#N/A</v>
      </c>
      <c r="E103" s="22"/>
      <c r="F103" s="63" t="str">
        <f t="shared" ca="1" si="36"/>
        <v>N/A</v>
      </c>
      <c r="G103" s="63" t="str">
        <f t="shared" si="34"/>
        <v>N/A</v>
      </c>
      <c r="H103" s="63" t="str">
        <f ca="1">IFERROR(VLOOKUP($A103,LASTYR,'2017'!$O$3,FALSE),"N/A")</f>
        <v>N/A</v>
      </c>
      <c r="I103" s="63" t="str">
        <f t="shared" ca="1" si="39"/>
        <v>N/A</v>
      </c>
      <c r="J103" s="63" t="str">
        <f t="shared" ca="1" si="42"/>
        <v>N/A</v>
      </c>
      <c r="K103" s="63" t="str">
        <f t="shared" ca="1" si="42"/>
        <v>N/A</v>
      </c>
      <c r="L103" s="63" t="str">
        <f t="shared" ca="1" si="42"/>
        <v>N/A</v>
      </c>
      <c r="M103" s="63" t="str">
        <f t="shared" ca="1" si="42"/>
        <v>N/A</v>
      </c>
      <c r="N103" s="63" t="str">
        <f t="shared" ca="1" si="42"/>
        <v>N/A</v>
      </c>
      <c r="O103" s="63" t="str">
        <f t="shared" ca="1" si="42"/>
        <v>N/A</v>
      </c>
      <c r="P103" s="63" t="str">
        <f t="shared" ca="1" si="42"/>
        <v>N/A</v>
      </c>
      <c r="Q103" s="63" t="str">
        <f t="shared" ca="1" si="42"/>
        <v>N/A</v>
      </c>
      <c r="R103" s="63" t="str">
        <f t="shared" ca="1" si="42"/>
        <v>N/A</v>
      </c>
      <c r="S103" s="63" t="str">
        <f t="shared" ca="1" si="42"/>
        <v>N/A</v>
      </c>
      <c r="T103" s="63" t="str">
        <f t="shared" ref="T103:W112" ca="1" si="44">IFERROR(IF(INDEX(MP_CF_WP,$B103,T$67)=0,"N/A",INDEX(MP_CF_WP,$B103,T$67)),"N/A")</f>
        <v>N/A</v>
      </c>
      <c r="U103" s="63" t="str">
        <f t="shared" ca="1" si="44"/>
        <v>N/A</v>
      </c>
      <c r="V103" s="63" t="str">
        <f t="shared" ca="1" si="44"/>
        <v>N/A</v>
      </c>
      <c r="W103" s="63" t="str">
        <f t="shared" ca="1" si="44"/>
        <v>N/A</v>
      </c>
    </row>
    <row r="104" spans="1:23" hidden="1" x14ac:dyDescent="0.2">
      <c r="A104" s="51">
        <f t="shared" si="31"/>
        <v>0</v>
      </c>
      <c r="B104" s="46" t="str">
        <f t="shared" ca="1" si="32"/>
        <v/>
      </c>
      <c r="C104" s="1" t="str">
        <f>IF(ISERROR(D104),"",IF(D104="","",MAX($C$66:C103)+1))</f>
        <v/>
      </c>
      <c r="D104" t="e">
        <f t="shared" si="33"/>
        <v>#N/A</v>
      </c>
      <c r="E104" s="22"/>
      <c r="F104" s="63" t="str">
        <f t="shared" ca="1" si="36"/>
        <v>N/A</v>
      </c>
      <c r="G104" s="63" t="str">
        <f t="shared" si="34"/>
        <v>N/A</v>
      </c>
      <c r="H104" s="63" t="str">
        <f ca="1">IFERROR(VLOOKUP($A104,LASTYR,'2017'!$O$3,FALSE),"N/A")</f>
        <v>N/A</v>
      </c>
      <c r="I104" s="63" t="str">
        <f t="shared" ca="1" si="39"/>
        <v>N/A</v>
      </c>
      <c r="J104" s="63" t="str">
        <f t="shared" ca="1" si="42"/>
        <v>N/A</v>
      </c>
      <c r="K104" s="63" t="str">
        <f t="shared" ca="1" si="42"/>
        <v>N/A</v>
      </c>
      <c r="L104" s="63" t="str">
        <f t="shared" ca="1" si="42"/>
        <v>N/A</v>
      </c>
      <c r="M104" s="63" t="str">
        <f t="shared" ca="1" si="42"/>
        <v>N/A</v>
      </c>
      <c r="N104" s="63" t="str">
        <f t="shared" ca="1" si="42"/>
        <v>N/A</v>
      </c>
      <c r="O104" s="63" t="str">
        <f t="shared" ca="1" si="42"/>
        <v>N/A</v>
      </c>
      <c r="P104" s="63" t="str">
        <f t="shared" ca="1" si="42"/>
        <v>N/A</v>
      </c>
      <c r="Q104" s="63" t="str">
        <f t="shared" ca="1" si="42"/>
        <v>N/A</v>
      </c>
      <c r="R104" s="63" t="str">
        <f t="shared" ca="1" si="42"/>
        <v>N/A</v>
      </c>
      <c r="S104" s="63" t="str">
        <f t="shared" ca="1" si="42"/>
        <v>N/A</v>
      </c>
      <c r="T104" s="63" t="str">
        <f t="shared" ca="1" si="44"/>
        <v>N/A</v>
      </c>
      <c r="U104" s="63" t="str">
        <f t="shared" ca="1" si="44"/>
        <v>N/A</v>
      </c>
      <c r="V104" s="63" t="str">
        <f t="shared" ca="1" si="44"/>
        <v>N/A</v>
      </c>
      <c r="W104" s="63" t="str">
        <f t="shared" ca="1" si="44"/>
        <v>N/A</v>
      </c>
    </row>
    <row r="105" spans="1:23" hidden="1" x14ac:dyDescent="0.2">
      <c r="A105" s="51">
        <f t="shared" si="31"/>
        <v>0</v>
      </c>
      <c r="B105" s="46" t="str">
        <f t="shared" ca="1" si="32"/>
        <v/>
      </c>
      <c r="C105" s="1" t="str">
        <f>IF(ISERROR(D105),"",IF(D105="","",MAX($C$66:C104)+1))</f>
        <v/>
      </c>
      <c r="D105" t="e">
        <f t="shared" si="33"/>
        <v>#N/A</v>
      </c>
      <c r="E105" s="22"/>
      <c r="F105" s="63" t="str">
        <f t="shared" ca="1" si="36"/>
        <v>N/A</v>
      </c>
      <c r="G105" s="63" t="str">
        <f t="shared" si="34"/>
        <v>N/A</v>
      </c>
      <c r="H105" s="63" t="str">
        <f ca="1">IFERROR(VLOOKUP($A105,LASTYR,'2017'!$O$3,FALSE),"N/A")</f>
        <v>N/A</v>
      </c>
      <c r="I105" s="63" t="str">
        <f t="shared" ca="1" si="39"/>
        <v>N/A</v>
      </c>
      <c r="J105" s="63" t="str">
        <f t="shared" ca="1" si="42"/>
        <v>N/A</v>
      </c>
      <c r="K105" s="63" t="str">
        <f t="shared" ca="1" si="42"/>
        <v>N/A</v>
      </c>
      <c r="L105" s="63" t="str">
        <f t="shared" ca="1" si="42"/>
        <v>N/A</v>
      </c>
      <c r="M105" s="63" t="str">
        <f t="shared" ca="1" si="42"/>
        <v>N/A</v>
      </c>
      <c r="N105" s="63" t="str">
        <f t="shared" ca="1" si="42"/>
        <v>N/A</v>
      </c>
      <c r="O105" s="63" t="str">
        <f t="shared" ca="1" si="42"/>
        <v>N/A</v>
      </c>
      <c r="P105" s="63" t="str">
        <f t="shared" ca="1" si="42"/>
        <v>N/A</v>
      </c>
      <c r="Q105" s="63" t="str">
        <f t="shared" ca="1" si="42"/>
        <v>N/A</v>
      </c>
      <c r="R105" s="63" t="str">
        <f t="shared" ca="1" si="42"/>
        <v>N/A</v>
      </c>
      <c r="S105" s="63" t="str">
        <f t="shared" ca="1" si="42"/>
        <v>N/A</v>
      </c>
      <c r="T105" s="63" t="str">
        <f t="shared" ca="1" si="44"/>
        <v>N/A</v>
      </c>
      <c r="U105" s="63" t="str">
        <f t="shared" ca="1" si="44"/>
        <v>N/A</v>
      </c>
      <c r="V105" s="63" t="str">
        <f t="shared" ca="1" si="44"/>
        <v>N/A</v>
      </c>
      <c r="W105" s="63" t="str">
        <f t="shared" ca="1" si="44"/>
        <v>N/A</v>
      </c>
    </row>
    <row r="106" spans="1:23" hidden="1" x14ac:dyDescent="0.2">
      <c r="A106" s="51">
        <f t="shared" si="31"/>
        <v>0</v>
      </c>
      <c r="B106" s="46" t="str">
        <f t="shared" ca="1" si="32"/>
        <v/>
      </c>
      <c r="C106" s="1" t="str">
        <f>IF(ISERROR(D106),"",IF(D106="","",MAX($C$66:C105)+1))</f>
        <v/>
      </c>
      <c r="D106" t="e">
        <f t="shared" si="33"/>
        <v>#N/A</v>
      </c>
      <c r="E106" s="22"/>
      <c r="F106" s="63" t="str">
        <f t="shared" ca="1" si="36"/>
        <v>N/A</v>
      </c>
      <c r="G106" s="63" t="str">
        <f t="shared" si="34"/>
        <v>N/A</v>
      </c>
      <c r="H106" s="63" t="str">
        <f ca="1">IFERROR(VLOOKUP($A106,LASTYR,'2017'!$O$3,FALSE),"N/A")</f>
        <v>N/A</v>
      </c>
      <c r="I106" s="63" t="str">
        <f t="shared" ca="1" si="39"/>
        <v>N/A</v>
      </c>
      <c r="J106" s="63" t="str">
        <f t="shared" ca="1" si="42"/>
        <v>N/A</v>
      </c>
      <c r="K106" s="63" t="str">
        <f t="shared" ca="1" si="42"/>
        <v>N/A</v>
      </c>
      <c r="L106" s="63" t="str">
        <f t="shared" ca="1" si="42"/>
        <v>N/A</v>
      </c>
      <c r="M106" s="63" t="str">
        <f t="shared" ca="1" si="42"/>
        <v>N/A</v>
      </c>
      <c r="N106" s="63" t="str">
        <f t="shared" ca="1" si="42"/>
        <v>N/A</v>
      </c>
      <c r="O106" s="63" t="str">
        <f t="shared" ca="1" si="42"/>
        <v>N/A</v>
      </c>
      <c r="P106" s="63" t="str">
        <f t="shared" ca="1" si="42"/>
        <v>N/A</v>
      </c>
      <c r="Q106" s="63" t="str">
        <f t="shared" ca="1" si="42"/>
        <v>N/A</v>
      </c>
      <c r="R106" s="63" t="str">
        <f t="shared" ca="1" si="42"/>
        <v>N/A</v>
      </c>
      <c r="S106" s="63" t="str">
        <f t="shared" ca="1" si="42"/>
        <v>N/A</v>
      </c>
      <c r="T106" s="63" t="str">
        <f t="shared" ca="1" si="44"/>
        <v>N/A</v>
      </c>
      <c r="U106" s="63" t="str">
        <f t="shared" ca="1" si="44"/>
        <v>N/A</v>
      </c>
      <c r="V106" s="63" t="str">
        <f t="shared" ca="1" si="44"/>
        <v>N/A</v>
      </c>
      <c r="W106" s="63" t="str">
        <f t="shared" ca="1" si="44"/>
        <v>N/A</v>
      </c>
    </row>
    <row r="107" spans="1:23" hidden="1" x14ac:dyDescent="0.2">
      <c r="A107" s="51">
        <f t="shared" si="31"/>
        <v>0</v>
      </c>
      <c r="B107" s="46" t="str">
        <f t="shared" ca="1" si="32"/>
        <v/>
      </c>
      <c r="C107" s="1" t="str">
        <f>IF(ISERROR(D107),"",IF(D107="","",MAX($C$66:C106)+1))</f>
        <v/>
      </c>
      <c r="D107" t="e">
        <f t="shared" si="33"/>
        <v>#N/A</v>
      </c>
      <c r="E107" s="22"/>
      <c r="F107" s="63" t="str">
        <f t="shared" ca="1" si="36"/>
        <v>N/A</v>
      </c>
      <c r="G107" s="63" t="str">
        <f t="shared" si="34"/>
        <v>N/A</v>
      </c>
      <c r="H107" s="63" t="str">
        <f ca="1">IFERROR(VLOOKUP($A107,LASTYR,'2017'!$O$3,FALSE),"N/A")</f>
        <v>N/A</v>
      </c>
      <c r="I107" s="63" t="str">
        <f t="shared" ca="1" si="39"/>
        <v>N/A</v>
      </c>
      <c r="J107" s="63" t="str">
        <f t="shared" ca="1" si="42"/>
        <v>N/A</v>
      </c>
      <c r="K107" s="63" t="str">
        <f t="shared" ca="1" si="42"/>
        <v>N/A</v>
      </c>
      <c r="L107" s="63" t="str">
        <f t="shared" ca="1" si="42"/>
        <v>N/A</v>
      </c>
      <c r="M107" s="63" t="str">
        <f t="shared" ca="1" si="42"/>
        <v>N/A</v>
      </c>
      <c r="N107" s="63" t="str">
        <f t="shared" ca="1" si="42"/>
        <v>N/A</v>
      </c>
      <c r="O107" s="63" t="str">
        <f t="shared" ca="1" si="42"/>
        <v>N/A</v>
      </c>
      <c r="P107" s="63" t="str">
        <f t="shared" ca="1" si="42"/>
        <v>N/A</v>
      </c>
      <c r="Q107" s="63" t="str">
        <f t="shared" ca="1" si="42"/>
        <v>N/A</v>
      </c>
      <c r="R107" s="63" t="str">
        <f t="shared" ca="1" si="42"/>
        <v>N/A</v>
      </c>
      <c r="S107" s="63" t="str">
        <f t="shared" ca="1" si="42"/>
        <v>N/A</v>
      </c>
      <c r="T107" s="63" t="str">
        <f t="shared" ca="1" si="44"/>
        <v>N/A</v>
      </c>
      <c r="U107" s="63" t="str">
        <f t="shared" ca="1" si="44"/>
        <v>N/A</v>
      </c>
      <c r="V107" s="63" t="str">
        <f t="shared" ca="1" si="44"/>
        <v>N/A</v>
      </c>
      <c r="W107" s="63" t="str">
        <f t="shared" ca="1" si="44"/>
        <v>N/A</v>
      </c>
    </row>
    <row r="108" spans="1:23" hidden="1" x14ac:dyDescent="0.2">
      <c r="A108" s="51">
        <f t="shared" si="31"/>
        <v>0</v>
      </c>
      <c r="B108" s="46" t="str">
        <f t="shared" ca="1" si="32"/>
        <v/>
      </c>
      <c r="C108" s="1" t="str">
        <f>IF(ISERROR(D108),"",IF(D108="","",MAX($C$66:C107)+1))</f>
        <v/>
      </c>
      <c r="D108" t="e">
        <f t="shared" si="33"/>
        <v>#N/A</v>
      </c>
      <c r="E108" s="22"/>
      <c r="F108" s="63" t="str">
        <f t="shared" ca="1" si="36"/>
        <v>N/A</v>
      </c>
      <c r="G108" s="63" t="str">
        <f t="shared" si="34"/>
        <v>N/A</v>
      </c>
      <c r="H108" s="63" t="str">
        <f ca="1">IFERROR(VLOOKUP($A108,LASTYR,'2017'!$O$3,FALSE),"N/A")</f>
        <v>N/A</v>
      </c>
      <c r="I108" s="63" t="str">
        <f t="shared" ca="1" si="39"/>
        <v>N/A</v>
      </c>
      <c r="J108" s="63" t="str">
        <f t="shared" ca="1" si="42"/>
        <v>N/A</v>
      </c>
      <c r="K108" s="63" t="str">
        <f t="shared" ca="1" si="42"/>
        <v>N/A</v>
      </c>
      <c r="L108" s="63" t="str">
        <f t="shared" ca="1" si="42"/>
        <v>N/A</v>
      </c>
      <c r="M108" s="63" t="str">
        <f t="shared" ca="1" si="42"/>
        <v>N/A</v>
      </c>
      <c r="N108" s="63" t="str">
        <f t="shared" ca="1" si="42"/>
        <v>N/A</v>
      </c>
      <c r="O108" s="63" t="str">
        <f t="shared" ca="1" si="42"/>
        <v>N/A</v>
      </c>
      <c r="P108" s="63" t="str">
        <f t="shared" ca="1" si="42"/>
        <v>N/A</v>
      </c>
      <c r="Q108" s="63" t="str">
        <f t="shared" ca="1" si="42"/>
        <v>N/A</v>
      </c>
      <c r="R108" s="63" t="str">
        <f t="shared" ca="1" si="42"/>
        <v>N/A</v>
      </c>
      <c r="S108" s="63" t="str">
        <f t="shared" ca="1" si="42"/>
        <v>N/A</v>
      </c>
      <c r="T108" s="63" t="str">
        <f t="shared" ca="1" si="44"/>
        <v>N/A</v>
      </c>
      <c r="U108" s="63" t="str">
        <f t="shared" ca="1" si="44"/>
        <v>N/A</v>
      </c>
      <c r="V108" s="63" t="str">
        <f t="shared" ca="1" si="44"/>
        <v>N/A</v>
      </c>
      <c r="W108" s="63" t="str">
        <f t="shared" ca="1" si="44"/>
        <v>N/A</v>
      </c>
    </row>
    <row r="109" spans="1:23" hidden="1" x14ac:dyDescent="0.2">
      <c r="A109" s="51">
        <f t="shared" si="31"/>
        <v>0</v>
      </c>
      <c r="B109" s="46" t="str">
        <f t="shared" ca="1" si="32"/>
        <v/>
      </c>
      <c r="C109" s="1" t="str">
        <f>IF(ISERROR(D109),"",IF(D109="","",MAX($C$66:C108)+1))</f>
        <v/>
      </c>
      <c r="D109" t="e">
        <f t="shared" si="33"/>
        <v>#N/A</v>
      </c>
      <c r="E109" s="22"/>
      <c r="F109" s="63" t="str">
        <f t="shared" ca="1" si="36"/>
        <v>N/A</v>
      </c>
      <c r="G109" s="63" t="str">
        <f t="shared" si="34"/>
        <v>N/A</v>
      </c>
      <c r="H109" s="63" t="str">
        <f ca="1">IFERROR(VLOOKUP($A109,LASTYR,'2017'!$O$3,FALSE),"N/A")</f>
        <v>N/A</v>
      </c>
      <c r="I109" s="63" t="str">
        <f t="shared" ca="1" si="39"/>
        <v>N/A</v>
      </c>
      <c r="J109" s="63" t="str">
        <f t="shared" ca="1" si="42"/>
        <v>N/A</v>
      </c>
      <c r="K109" s="63" t="str">
        <f t="shared" ca="1" si="42"/>
        <v>N/A</v>
      </c>
      <c r="L109" s="63" t="str">
        <f t="shared" ca="1" si="42"/>
        <v>N/A</v>
      </c>
      <c r="M109" s="63" t="str">
        <f t="shared" ca="1" si="42"/>
        <v>N/A</v>
      </c>
      <c r="N109" s="63" t="str">
        <f t="shared" ca="1" si="42"/>
        <v>N/A</v>
      </c>
      <c r="O109" s="63" t="str">
        <f t="shared" ca="1" si="42"/>
        <v>N/A</v>
      </c>
      <c r="P109" s="63" t="str">
        <f t="shared" ca="1" si="42"/>
        <v>N/A</v>
      </c>
      <c r="Q109" s="63" t="str">
        <f t="shared" ca="1" si="42"/>
        <v>N/A</v>
      </c>
      <c r="R109" s="63" t="str">
        <f t="shared" ca="1" si="42"/>
        <v>N/A</v>
      </c>
      <c r="S109" s="63" t="str">
        <f t="shared" ca="1" si="42"/>
        <v>N/A</v>
      </c>
      <c r="T109" s="63" t="str">
        <f t="shared" ca="1" si="44"/>
        <v>N/A</v>
      </c>
      <c r="U109" s="63" t="str">
        <f t="shared" ca="1" si="44"/>
        <v>N/A</v>
      </c>
      <c r="V109" s="63" t="str">
        <f t="shared" ca="1" si="44"/>
        <v>N/A</v>
      </c>
      <c r="W109" s="63" t="str">
        <f t="shared" ca="1" si="44"/>
        <v>N/A</v>
      </c>
    </row>
    <row r="110" spans="1:23" hidden="1" x14ac:dyDescent="0.2">
      <c r="A110" s="51">
        <f t="shared" si="31"/>
        <v>0</v>
      </c>
      <c r="B110" s="46" t="str">
        <f t="shared" ca="1" si="32"/>
        <v/>
      </c>
      <c r="C110" s="1" t="str">
        <f>IF(ISERROR(D110),"",IF(D110="","",MAX($C$66:C109)+1))</f>
        <v/>
      </c>
      <c r="D110" t="e">
        <f t="shared" si="33"/>
        <v>#N/A</v>
      </c>
      <c r="F110" s="63" t="str">
        <f t="shared" ca="1" si="36"/>
        <v>N/A</v>
      </c>
      <c r="G110" s="63" t="str">
        <f t="shared" si="34"/>
        <v>N/A</v>
      </c>
      <c r="H110" s="63" t="str">
        <f ca="1">IFERROR(VLOOKUP($A110,LASTYR,'2017'!$O$3,FALSE),"N/A")</f>
        <v>N/A</v>
      </c>
      <c r="I110" s="63" t="str">
        <f t="shared" ca="1" si="39"/>
        <v>N/A</v>
      </c>
      <c r="J110" s="63" t="str">
        <f t="shared" ca="1" si="42"/>
        <v>N/A</v>
      </c>
      <c r="K110" s="63" t="str">
        <f t="shared" ca="1" si="42"/>
        <v>N/A</v>
      </c>
      <c r="L110" s="63" t="str">
        <f t="shared" ca="1" si="42"/>
        <v>N/A</v>
      </c>
      <c r="M110" s="63" t="str">
        <f t="shared" ca="1" si="42"/>
        <v>N/A</v>
      </c>
      <c r="N110" s="63" t="str">
        <f t="shared" ca="1" si="42"/>
        <v>N/A</v>
      </c>
      <c r="O110" s="63" t="str">
        <f t="shared" ca="1" si="42"/>
        <v>N/A</v>
      </c>
      <c r="P110" s="63" t="str">
        <f t="shared" ca="1" si="42"/>
        <v>N/A</v>
      </c>
      <c r="Q110" s="63" t="str">
        <f t="shared" ca="1" si="42"/>
        <v>N/A</v>
      </c>
      <c r="R110" s="63" t="str">
        <f t="shared" ca="1" si="42"/>
        <v>N/A</v>
      </c>
      <c r="S110" s="63" t="str">
        <f t="shared" ca="1" si="42"/>
        <v>N/A</v>
      </c>
      <c r="T110" s="63" t="str">
        <f t="shared" ca="1" si="44"/>
        <v>N/A</v>
      </c>
      <c r="U110" s="63" t="str">
        <f t="shared" ca="1" si="44"/>
        <v>N/A</v>
      </c>
      <c r="V110" s="63" t="str">
        <f t="shared" ca="1" si="44"/>
        <v>N/A</v>
      </c>
      <c r="W110" s="63" t="str">
        <f t="shared" ca="1" si="44"/>
        <v>N/A</v>
      </c>
    </row>
    <row r="111" spans="1:23" hidden="1" x14ac:dyDescent="0.2">
      <c r="A111" s="51">
        <f t="shared" si="31"/>
        <v>0</v>
      </c>
      <c r="B111" s="46" t="str">
        <f t="shared" ca="1" si="32"/>
        <v/>
      </c>
      <c r="C111" s="1" t="str">
        <f>IF(ISERROR(D111),"",IF(D111="","",MAX($C$66:C110)+1))</f>
        <v/>
      </c>
      <c r="D111" t="e">
        <f t="shared" si="33"/>
        <v>#N/A</v>
      </c>
      <c r="F111" s="63" t="str">
        <f t="shared" ca="1" si="36"/>
        <v>N/A</v>
      </c>
      <c r="G111" s="63" t="str">
        <f t="shared" si="34"/>
        <v>N/A</v>
      </c>
      <c r="H111" s="63" t="str">
        <f ca="1">IFERROR(VLOOKUP($A111,LASTYR,'2017'!$O$3,FALSE),"N/A")</f>
        <v>N/A</v>
      </c>
      <c r="I111" s="63" t="str">
        <f t="shared" ca="1" si="39"/>
        <v>N/A</v>
      </c>
      <c r="J111" s="63" t="str">
        <f t="shared" ca="1" si="42"/>
        <v>N/A</v>
      </c>
      <c r="K111" s="63" t="str">
        <f t="shared" ca="1" si="42"/>
        <v>N/A</v>
      </c>
      <c r="L111" s="63" t="str">
        <f t="shared" ca="1" si="42"/>
        <v>N/A</v>
      </c>
      <c r="M111" s="63" t="str">
        <f t="shared" ca="1" si="42"/>
        <v>N/A</v>
      </c>
      <c r="N111" s="63" t="str">
        <f t="shared" ca="1" si="42"/>
        <v>N/A</v>
      </c>
      <c r="O111" s="63" t="str">
        <f t="shared" ca="1" si="42"/>
        <v>N/A</v>
      </c>
      <c r="P111" s="63" t="str">
        <f t="shared" ca="1" si="42"/>
        <v>N/A</v>
      </c>
      <c r="Q111" s="63" t="str">
        <f t="shared" ca="1" si="42"/>
        <v>N/A</v>
      </c>
      <c r="R111" s="63" t="str">
        <f t="shared" ca="1" si="42"/>
        <v>N/A</v>
      </c>
      <c r="S111" s="63" t="str">
        <f t="shared" ca="1" si="42"/>
        <v>N/A</v>
      </c>
      <c r="T111" s="63" t="str">
        <f t="shared" ca="1" si="44"/>
        <v>N/A</v>
      </c>
      <c r="U111" s="63" t="str">
        <f t="shared" ca="1" si="44"/>
        <v>N/A</v>
      </c>
      <c r="V111" s="63" t="str">
        <f t="shared" ca="1" si="44"/>
        <v>N/A</v>
      </c>
      <c r="W111" s="63" t="str">
        <f t="shared" ca="1" si="44"/>
        <v>N/A</v>
      </c>
    </row>
    <row r="112" spans="1:23" hidden="1" x14ac:dyDescent="0.2">
      <c r="A112" s="51">
        <f t="shared" si="31"/>
        <v>0</v>
      </c>
      <c r="B112" s="46" t="str">
        <f t="shared" ca="1" si="32"/>
        <v/>
      </c>
      <c r="C112" s="1" t="str">
        <f>IF(ISERROR(D112),"",IF(D112="","",MAX($C$66:C111)+1))</f>
        <v/>
      </c>
      <c r="D112" t="e">
        <f t="shared" si="33"/>
        <v>#N/A</v>
      </c>
      <c r="F112" s="63" t="str">
        <f t="shared" ca="1" si="36"/>
        <v>N/A</v>
      </c>
      <c r="G112" s="63" t="str">
        <f t="shared" si="34"/>
        <v>N/A</v>
      </c>
      <c r="H112" s="63" t="str">
        <f ca="1">IFERROR(VLOOKUP($A112,LASTYR,'2017'!$O$3,FALSE),"N/A")</f>
        <v>N/A</v>
      </c>
      <c r="I112" s="63" t="str">
        <f t="shared" ca="1" si="39"/>
        <v>N/A</v>
      </c>
      <c r="J112" s="63" t="str">
        <f t="shared" ca="1" si="42"/>
        <v>N/A</v>
      </c>
      <c r="K112" s="63" t="str">
        <f t="shared" ca="1" si="42"/>
        <v>N/A</v>
      </c>
      <c r="L112" s="63" t="str">
        <f t="shared" ca="1" si="42"/>
        <v>N/A</v>
      </c>
      <c r="M112" s="63" t="str">
        <f t="shared" ca="1" si="42"/>
        <v>N/A</v>
      </c>
      <c r="N112" s="63" t="str">
        <f t="shared" ca="1" si="42"/>
        <v>N/A</v>
      </c>
      <c r="O112" s="63" t="str">
        <f t="shared" ca="1" si="42"/>
        <v>N/A</v>
      </c>
      <c r="P112" s="63" t="str">
        <f t="shared" ca="1" si="42"/>
        <v>N/A</v>
      </c>
      <c r="Q112" s="63" t="str">
        <f t="shared" ca="1" si="42"/>
        <v>N/A</v>
      </c>
      <c r="R112" s="63" t="str">
        <f t="shared" ca="1" si="42"/>
        <v>N/A</v>
      </c>
      <c r="S112" s="63" t="str">
        <f t="shared" ca="1" si="42"/>
        <v>N/A</v>
      </c>
      <c r="T112" s="63" t="str">
        <f t="shared" ca="1" si="44"/>
        <v>N/A</v>
      </c>
      <c r="U112" s="63" t="str">
        <f t="shared" ca="1" si="44"/>
        <v>N/A</v>
      </c>
      <c r="V112" s="63" t="str">
        <f t="shared" ca="1" si="44"/>
        <v>N/A</v>
      </c>
      <c r="W112" s="63" t="str">
        <f t="shared" ca="1" si="44"/>
        <v>N/A</v>
      </c>
    </row>
    <row r="113" spans="1:23" x14ac:dyDescent="0.2">
      <c r="A113" s="31"/>
      <c r="B113" s="31"/>
      <c r="C113" s="1" t="str">
        <f>IF(ISERROR(D113),"",IF(D113="","",MAX($C$66:C112)+1))</f>
        <v/>
      </c>
      <c r="F113" s="63"/>
      <c r="G113" s="63"/>
      <c r="H113" s="63"/>
      <c r="I113" s="63"/>
      <c r="J113" s="63"/>
      <c r="K113" s="63"/>
      <c r="L113" s="63"/>
      <c r="M113" s="63"/>
      <c r="N113" s="63"/>
      <c r="O113" s="63"/>
      <c r="P113" s="63"/>
      <c r="Q113" s="63"/>
      <c r="R113" s="63"/>
      <c r="S113" s="63"/>
      <c r="T113" s="63"/>
      <c r="U113" s="63"/>
      <c r="V113" s="63"/>
      <c r="W113" s="63"/>
    </row>
    <row r="114" spans="1:23" x14ac:dyDescent="0.2">
      <c r="A114" s="31"/>
      <c r="B114" s="31"/>
      <c r="C114" s="1">
        <f ca="1">IF(ISERROR(D114),"",IF(D114="","",MAX($C$66:C113)+1))</f>
        <v>12</v>
      </c>
      <c r="D114" t="s">
        <v>98</v>
      </c>
      <c r="F114" s="63">
        <f ca="1">AVERAGE(G114:S114)</f>
        <v>0.58252534228744679</v>
      </c>
      <c r="G114" s="63">
        <f t="shared" ref="G114:S114" si="45">AVERAGE(G68:G113)</f>
        <v>0.54484036400778302</v>
      </c>
      <c r="H114" s="63">
        <f t="shared" ref="H114" ca="1" si="46">AVERAGE(H68:H113)</f>
        <v>0.55233119722267043</v>
      </c>
      <c r="I114" s="63">
        <f t="shared" ca="1" si="45"/>
        <v>0.5980083394821627</v>
      </c>
      <c r="J114" s="63">
        <f t="shared" ca="1" si="45"/>
        <v>0.64679065912847644</v>
      </c>
      <c r="K114" s="63">
        <f t="shared" ca="1" si="45"/>
        <v>0.55611575181038819</v>
      </c>
      <c r="L114" s="63">
        <f t="shared" ca="1" si="45"/>
        <v>0.6086032700218138</v>
      </c>
      <c r="M114" s="63">
        <f t="shared" ca="1" si="45"/>
        <v>0.59476677103359776</v>
      </c>
      <c r="N114" s="63">
        <f t="shared" ca="1" si="45"/>
        <v>0.594634705186593</v>
      </c>
      <c r="O114" s="63">
        <f t="shared" ca="1" si="45"/>
        <v>0.57637346787687394</v>
      </c>
      <c r="P114" s="63">
        <f t="shared" ca="1" si="45"/>
        <v>0.58684062548468829</v>
      </c>
      <c r="Q114" s="63">
        <f t="shared" ca="1" si="45"/>
        <v>0.55758217513944575</v>
      </c>
      <c r="R114" s="63">
        <f t="shared" ca="1" si="45"/>
        <v>0.58593506104516846</v>
      </c>
      <c r="S114" s="63">
        <f t="shared" ca="1" si="45"/>
        <v>0.57000706229714737</v>
      </c>
      <c r="T114" s="63"/>
      <c r="U114" s="63"/>
      <c r="V114" s="63"/>
      <c r="W114" s="63"/>
    </row>
    <row r="115" spans="1:23" x14ac:dyDescent="0.2">
      <c r="A115" s="31"/>
      <c r="B115" s="31"/>
      <c r="C115" s="1">
        <f ca="1">IF(ISERROR(D115),"",IF(D115="","",MAX($C$66:C114)+1))</f>
        <v>13</v>
      </c>
      <c r="D115" t="s">
        <v>257</v>
      </c>
      <c r="F115" s="63">
        <f ca="1">AVERAGE(G115:S115)</f>
        <v>0.56828715554245113</v>
      </c>
      <c r="G115" s="63">
        <f>MEDIAN(G68:G113)</f>
        <v>0.52310638173473267</v>
      </c>
      <c r="H115" s="63">
        <f t="shared" ref="H115" ca="1" si="47">MEDIAN(H68:H113)</f>
        <v>0.55629139072847678</v>
      </c>
      <c r="I115" s="63">
        <f t="shared" ref="I115:S115" ca="1" si="48">MEDIAN(I68:I113)</f>
        <v>0.5902140672782874</v>
      </c>
      <c r="J115" s="63">
        <f t="shared" ca="1" si="48"/>
        <v>0.5547945205479452</v>
      </c>
      <c r="K115" s="63">
        <f t="shared" ca="1" si="48"/>
        <v>0.5</v>
      </c>
      <c r="L115" s="63">
        <f t="shared" ca="1" si="48"/>
        <v>0.59373299967359383</v>
      </c>
      <c r="M115" s="63">
        <f t="shared" ca="1" si="48"/>
        <v>0.59413283047129939</v>
      </c>
      <c r="N115" s="63">
        <f t="shared" ca="1" si="48"/>
        <v>0.56053829891039197</v>
      </c>
      <c r="O115" s="63">
        <f t="shared" ca="1" si="48"/>
        <v>0.58411507191994994</v>
      </c>
      <c r="P115" s="63">
        <f t="shared" ca="1" si="48"/>
        <v>0.54467181373735418</v>
      </c>
      <c r="Q115" s="63">
        <f t="shared" ca="1" si="48"/>
        <v>0.57839527981910677</v>
      </c>
      <c r="R115" s="63">
        <f t="shared" ca="1" si="48"/>
        <v>0.61663703659063285</v>
      </c>
      <c r="S115" s="63">
        <f t="shared" ca="1" si="48"/>
        <v>0.59110333064009324</v>
      </c>
      <c r="T115" s="63"/>
      <c r="U115" s="63"/>
      <c r="V115" s="63"/>
      <c r="W115" s="63"/>
    </row>
    <row r="116" spans="1:23" x14ac:dyDescent="0.2">
      <c r="A116" s="31"/>
      <c r="B116" s="31"/>
      <c r="C116" s="1"/>
    </row>
    <row r="117" spans="1:23" x14ac:dyDescent="0.2">
      <c r="A117" s="31"/>
      <c r="B117" s="31"/>
      <c r="C117" s="1"/>
    </row>
    <row r="118" spans="1:23" ht="17.25" x14ac:dyDescent="0.25">
      <c r="A118" s="31"/>
      <c r="B118" s="31"/>
      <c r="C118" s="6"/>
      <c r="D118" s="6"/>
      <c r="E118" s="19"/>
      <c r="F118" s="235" t="s">
        <v>328</v>
      </c>
      <c r="G118" s="235"/>
      <c r="H118" s="235"/>
      <c r="I118" s="235"/>
      <c r="J118" s="235"/>
      <c r="K118" s="235"/>
      <c r="L118" s="235"/>
      <c r="M118" s="235"/>
      <c r="N118" s="235"/>
      <c r="O118" s="235"/>
      <c r="P118" s="235"/>
      <c r="Q118" s="235"/>
      <c r="R118" s="235"/>
      <c r="S118" s="235"/>
      <c r="T118" s="235"/>
      <c r="U118" s="235"/>
      <c r="V118" s="235"/>
      <c r="W118" s="235"/>
    </row>
    <row r="119" spans="1:23" ht="15" x14ac:dyDescent="0.25">
      <c r="A119" s="31"/>
      <c r="B119" s="31"/>
      <c r="C119" s="6"/>
      <c r="D119" s="7"/>
      <c r="E119" s="7"/>
      <c r="F119" s="8" t="s">
        <v>429</v>
      </c>
      <c r="G119" s="8"/>
      <c r="H119" s="8"/>
      <c r="I119" s="8"/>
      <c r="J119" s="8"/>
      <c r="K119" s="8"/>
      <c r="L119" s="8"/>
      <c r="M119" s="8"/>
      <c r="N119" s="8"/>
      <c r="O119" s="8"/>
      <c r="P119" s="7"/>
      <c r="Q119" s="7"/>
      <c r="R119" s="7"/>
      <c r="S119" s="7"/>
      <c r="T119" s="7"/>
      <c r="U119" s="7"/>
      <c r="V119" s="7"/>
    </row>
    <row r="120" spans="1:23" ht="17.25" x14ac:dyDescent="0.25">
      <c r="A120" s="31"/>
      <c r="B120" s="31"/>
      <c r="C120" s="9" t="s">
        <v>96</v>
      </c>
      <c r="D120" s="234" t="s">
        <v>97</v>
      </c>
      <c r="E120" s="234"/>
      <c r="F120" s="10" t="s">
        <v>98</v>
      </c>
      <c r="G120" s="10" t="s">
        <v>434</v>
      </c>
      <c r="H120" s="41">
        <v>2017</v>
      </c>
      <c r="I120" s="41">
        <v>2016</v>
      </c>
      <c r="J120" s="41">
        <v>2015</v>
      </c>
      <c r="K120" s="41">
        <v>2014</v>
      </c>
      <c r="L120" s="41">
        <v>2013</v>
      </c>
      <c r="M120" s="41">
        <v>2012</v>
      </c>
      <c r="N120" s="41">
        <v>2011</v>
      </c>
      <c r="O120" s="41">
        <v>2010</v>
      </c>
      <c r="P120" s="41">
        <v>2009</v>
      </c>
      <c r="Q120" s="41">
        <v>2008</v>
      </c>
      <c r="R120" s="41">
        <v>2007</v>
      </c>
      <c r="S120" s="41">
        <v>2006</v>
      </c>
      <c r="T120" s="41">
        <v>2005</v>
      </c>
      <c r="U120" s="41"/>
      <c r="V120" s="41"/>
      <c r="W120" s="41"/>
    </row>
    <row r="121" spans="1:23" ht="15" x14ac:dyDescent="0.25">
      <c r="A121" s="42"/>
      <c r="B121" s="42"/>
      <c r="C121" s="9"/>
      <c r="D121" s="11"/>
      <c r="E121" s="11"/>
      <c r="F121" s="12">
        <v>-1</v>
      </c>
      <c r="G121" s="12">
        <f t="shared" ref="G121:T121" si="49">+F121-1</f>
        <v>-2</v>
      </c>
      <c r="H121" s="12">
        <f t="shared" ref="H121" si="50">+G121-1</f>
        <v>-3</v>
      </c>
      <c r="I121" s="12">
        <f t="shared" ref="I121" si="51">+H121-1</f>
        <v>-4</v>
      </c>
      <c r="J121" s="12">
        <f t="shared" ref="J121" si="52">+I121-1</f>
        <v>-5</v>
      </c>
      <c r="K121" s="12">
        <f t="shared" ref="K121" si="53">+J121-1</f>
        <v>-6</v>
      </c>
      <c r="L121" s="12">
        <f t="shared" ref="L121" si="54">+K121-1</f>
        <v>-7</v>
      </c>
      <c r="M121" s="12">
        <f t="shared" ref="M121" si="55">+L121-1</f>
        <v>-8</v>
      </c>
      <c r="N121" s="12">
        <f t="shared" ref="N121" si="56">+M121-1</f>
        <v>-9</v>
      </c>
      <c r="O121" s="12">
        <f t="shared" ref="O121" si="57">+N121-1</f>
        <v>-10</v>
      </c>
      <c r="P121" s="12">
        <f t="shared" ref="P121" si="58">+O121-1</f>
        <v>-11</v>
      </c>
      <c r="Q121" s="12">
        <f t="shared" ref="Q121" si="59">+P121-1</f>
        <v>-12</v>
      </c>
      <c r="R121" s="12">
        <f t="shared" ref="R121" si="60">+Q121-1</f>
        <v>-13</v>
      </c>
      <c r="S121" s="12">
        <f t="shared" ref="S121" si="61">+R121-1</f>
        <v>-14</v>
      </c>
      <c r="T121" s="12">
        <f t="shared" si="49"/>
        <v>-15</v>
      </c>
      <c r="U121" s="12"/>
      <c r="V121" s="12"/>
      <c r="W121" s="12"/>
    </row>
    <row r="122" spans="1:23" x14ac:dyDescent="0.2">
      <c r="A122" s="43"/>
      <c r="B122" s="44"/>
      <c r="C122" s="6"/>
      <c r="E122" s="22"/>
      <c r="F122" s="36"/>
      <c r="G122" s="36"/>
      <c r="H122" s="36"/>
      <c r="I122" s="16">
        <f t="shared" ref="I122:W122" ca="1" si="62">MATCH(VALUE(LEFT(I120,4)),OFFSET(CF_CAP_WP,-1,0,1,),0)</f>
        <v>6</v>
      </c>
      <c r="J122" s="16">
        <f t="shared" ca="1" si="62"/>
        <v>7</v>
      </c>
      <c r="K122" s="16">
        <f t="shared" ca="1" si="62"/>
        <v>8</v>
      </c>
      <c r="L122" s="16">
        <f t="shared" ca="1" si="62"/>
        <v>9</v>
      </c>
      <c r="M122" s="16">
        <f t="shared" ca="1" si="62"/>
        <v>10</v>
      </c>
      <c r="N122" s="16">
        <f t="shared" ca="1" si="62"/>
        <v>11</v>
      </c>
      <c r="O122" s="16">
        <f t="shared" ca="1" si="62"/>
        <v>12</v>
      </c>
      <c r="P122" s="16">
        <f t="shared" ca="1" si="62"/>
        <v>13</v>
      </c>
      <c r="Q122" s="16">
        <f t="shared" ca="1" si="62"/>
        <v>14</v>
      </c>
      <c r="R122" s="16">
        <f t="shared" ca="1" si="62"/>
        <v>15</v>
      </c>
      <c r="S122" s="16">
        <f t="shared" ca="1" si="62"/>
        <v>16</v>
      </c>
      <c r="T122" s="16" t="e">
        <f t="shared" ca="1" si="62"/>
        <v>#N/A</v>
      </c>
      <c r="U122" s="16" t="e">
        <f t="shared" ca="1" si="62"/>
        <v>#VALUE!</v>
      </c>
      <c r="V122" s="16" t="e">
        <f t="shared" ca="1" si="62"/>
        <v>#VALUE!</v>
      </c>
      <c r="W122" s="16" t="e">
        <f t="shared" ca="1" si="62"/>
        <v>#VALUE!</v>
      </c>
    </row>
    <row r="123" spans="1:23" x14ac:dyDescent="0.2">
      <c r="A123" s="51" t="str">
        <f t="shared" ref="A123:A167" si="63">A13</f>
        <v>ATO</v>
      </c>
      <c r="B123" s="46">
        <f t="shared" ref="B123:B167" ca="1" si="64">MATCH(A123,OFFSET(CF_CAP_WP,0,0,,1),0)</f>
        <v>9</v>
      </c>
      <c r="C123" s="1">
        <f ca="1">IF(ISERROR(D123),"",IF(D123="","",MAX($C$121:C122)+1))</f>
        <v>1</v>
      </c>
      <c r="D123" t="str">
        <f t="shared" ref="D123:D167" ca="1" si="65">D13</f>
        <v>Atmos Energy</v>
      </c>
      <c r="E123" s="22"/>
      <c r="F123" s="63">
        <f ca="1">AVERAGE(G123:S123)</f>
        <v>0.68802223007993035</v>
      </c>
      <c r="G123" s="63">
        <f t="shared" ref="G123:G167" si="66">IFERROR(IF(VLOOKUP(A123,LUCurYr,21,FALSE)=0,"",VLOOKUP(A123,LUCurYr,21,FALSE)),"N/A")</f>
        <v>0.54166666666666674</v>
      </c>
      <c r="H123" s="63">
        <f ca="1">IFERROR(VLOOKUP($A123,LASTYR,'2017'!$P$3,FALSE),"N/A")</f>
        <v>0.61752356069795655</v>
      </c>
      <c r="I123" s="63">
        <f t="shared" ref="I123:S138" ca="1" si="67">IFERROR(IF(INDEX(CF_CAP_WP,$B123,I$122)=0,"N/A",INDEX(CF_CAP_WP,$B123,I$122)),"N/A")</f>
        <v>0.5917957544463569</v>
      </c>
      <c r="J123" s="63">
        <f t="shared" ca="1" si="67"/>
        <v>0.60495368924966175</v>
      </c>
      <c r="K123" s="63">
        <f t="shared" ca="1" si="67"/>
        <v>0.6510817307692307</v>
      </c>
      <c r="L123" s="63">
        <f t="shared" ca="1" si="67"/>
        <v>0.55121741928563772</v>
      </c>
      <c r="M123" s="63">
        <f t="shared" ca="1" si="67"/>
        <v>0.58638098756310786</v>
      </c>
      <c r="N123" s="63">
        <f t="shared" ca="1" si="67"/>
        <v>0.68444702130743595</v>
      </c>
      <c r="O123" s="63">
        <f t="shared" ca="1" si="67"/>
        <v>0.77068793619142573</v>
      </c>
      <c r="P123" s="63">
        <f t="shared" ca="1" si="67"/>
        <v>0.77892824704813812</v>
      </c>
      <c r="Q123" s="63">
        <f t="shared" ca="1" si="67"/>
        <v>0.80634615384615371</v>
      </c>
      <c r="R123" s="63">
        <f t="shared" ca="1" si="67"/>
        <v>0.94127020259503758</v>
      </c>
      <c r="S123" s="63">
        <f t="shared" ca="1" si="67"/>
        <v>0.81798962137228526</v>
      </c>
      <c r="T123" s="63"/>
      <c r="U123" s="17"/>
      <c r="V123" s="17"/>
      <c r="W123" s="17"/>
    </row>
    <row r="124" spans="1:23" x14ac:dyDescent="0.2">
      <c r="A124" s="51" t="str">
        <f t="shared" si="63"/>
        <v>CPK</v>
      </c>
      <c r="B124" s="46">
        <f t="shared" ca="1" si="64"/>
        <v>16</v>
      </c>
      <c r="C124" s="1">
        <f ca="1">IF(ISERROR(D124),"",IF(D124="","",MAX($C$121:C123)+1))</f>
        <v>2</v>
      </c>
      <c r="D124" t="str">
        <f t="shared" ca="1" si="65"/>
        <v>Chesapeake Utilities</v>
      </c>
      <c r="E124" s="22"/>
      <c r="F124" s="63">
        <f t="shared" ref="F124:F167" ca="1" si="68">AVERAGE(G124:S124)</f>
        <v>0.74007954618846139</v>
      </c>
      <c r="G124" s="63">
        <f t="shared" si="66"/>
        <v>0.47843137254901957</v>
      </c>
      <c r="H124" s="63">
        <f ca="1">IFERROR(VLOOKUP($A124,LASTYR,'2017'!$P$3,FALSE),"N/A")</f>
        <v>0.50498741493427801</v>
      </c>
      <c r="I124" s="63">
        <f t="shared" ca="1" si="67"/>
        <v>0.4955369997120645</v>
      </c>
      <c r="J124" s="63">
        <f t="shared" ca="1" si="67"/>
        <v>0.53347412882787748</v>
      </c>
      <c r="K124" s="63">
        <f t="shared" ca="1" si="67"/>
        <v>0.71006006006006006</v>
      </c>
      <c r="L124" s="63">
        <f t="shared" ca="1" si="67"/>
        <v>0.64736528728788334</v>
      </c>
      <c r="M124" s="63">
        <f t="shared" ca="1" si="67"/>
        <v>0.79048380647740912</v>
      </c>
      <c r="N124" s="63">
        <f t="shared" ca="1" si="67"/>
        <v>1.1244661378889567</v>
      </c>
      <c r="O124" s="63">
        <f t="shared" ca="1" si="67"/>
        <v>1.0997168921044354</v>
      </c>
      <c r="P124" s="63">
        <f t="shared" ca="1" si="67"/>
        <v>1.1377118644067798</v>
      </c>
      <c r="Q124" s="63">
        <f t="shared" ca="1" si="67"/>
        <v>0.83250083250083251</v>
      </c>
      <c r="R124" s="63">
        <f t="shared" ca="1" si="67"/>
        <v>0.81897952551186226</v>
      </c>
      <c r="S124" s="63">
        <f t="shared" ca="1" si="67"/>
        <v>0.44731977818853974</v>
      </c>
      <c r="T124" s="63"/>
      <c r="U124" s="17"/>
      <c r="V124" s="17"/>
      <c r="W124" s="17"/>
    </row>
    <row r="125" spans="1:23" x14ac:dyDescent="0.2">
      <c r="A125" s="51" t="str">
        <f t="shared" si="63"/>
        <v>NJR</v>
      </c>
      <c r="B125" s="46">
        <f t="shared" ca="1" si="64"/>
        <v>42</v>
      </c>
      <c r="C125" s="1">
        <f ca="1">IF(ISERROR(D125),"",IF(D125="","",MAX($C$121:C124)+1))</f>
        <v>3</v>
      </c>
      <c r="D125" t="str">
        <f t="shared" ca="1" si="65"/>
        <v>New Jersey Resources</v>
      </c>
      <c r="E125" s="22"/>
      <c r="F125" s="63">
        <f t="shared" ca="1" si="68"/>
        <v>1.4667869711468364</v>
      </c>
      <c r="G125" s="63">
        <f t="shared" si="66"/>
        <v>1.6590909090909089</v>
      </c>
      <c r="H125" s="63">
        <f ca="1">IFERROR(VLOOKUP($A125,LASTYR,'2017'!$P$3,FALSE),"N/A")</f>
        <v>0.70481452249408039</v>
      </c>
      <c r="I125" s="63">
        <f t="shared" ca="1" si="67"/>
        <v>0.59213699951760734</v>
      </c>
      <c r="J125" s="63">
        <f t="shared" ca="1" si="67"/>
        <v>0.67207878626563744</v>
      </c>
      <c r="K125" s="63">
        <f t="shared" ca="1" si="67"/>
        <v>1.7905449770190414</v>
      </c>
      <c r="L125" s="63">
        <f t="shared" ca="1" si="67"/>
        <v>1.4577677224736048</v>
      </c>
      <c r="M125" s="63">
        <f t="shared" ca="1" si="67"/>
        <v>1.4769108280254777</v>
      </c>
      <c r="N125" s="63">
        <f t="shared" ca="1" si="67"/>
        <v>1.5057573073516386</v>
      </c>
      <c r="O125" s="63">
        <f t="shared" ca="1" si="67"/>
        <v>1.547528517110266</v>
      </c>
      <c r="P125" s="63">
        <f t="shared" ca="1" si="67"/>
        <v>1.7486157253599113</v>
      </c>
      <c r="Q125" s="63">
        <f t="shared" ca="1" si="67"/>
        <v>2.1058139534883722</v>
      </c>
      <c r="R125" s="63">
        <f t="shared" ca="1" si="67"/>
        <v>1.6712328767123288</v>
      </c>
      <c r="S125" s="63">
        <f t="shared" ca="1" si="67"/>
        <v>2.1359374999999998</v>
      </c>
      <c r="T125" s="63"/>
      <c r="U125" s="17"/>
      <c r="V125" s="17"/>
      <c r="W125" s="17"/>
    </row>
    <row r="126" spans="1:23" x14ac:dyDescent="0.2">
      <c r="A126" s="51" t="str">
        <f t="shared" si="63"/>
        <v>NI</v>
      </c>
      <c r="B126" s="46">
        <f t="shared" ca="1" si="64"/>
        <v>44</v>
      </c>
      <c r="C126" s="1">
        <f ca="1">IF(ISERROR(D126),"",IF(D126="","",MAX($C$121:C125)+1))</f>
        <v>4</v>
      </c>
      <c r="D126" t="str">
        <f t="shared" ca="1" si="65"/>
        <v>NiSource Inc.</v>
      </c>
      <c r="E126" s="22"/>
      <c r="F126" s="63">
        <f t="shared" ca="1" si="68"/>
        <v>0.78693802193490547</v>
      </c>
      <c r="G126" s="63">
        <f t="shared" si="66"/>
        <v>0.58585858585858586</v>
      </c>
      <c r="H126" s="63">
        <f ca="1">IFERROR(VLOOKUP($A126,LASTYR,'2017'!$P$3,FALSE),"N/A")</f>
        <v>0.41216216216216212</v>
      </c>
      <c r="I126" s="63">
        <f t="shared" ca="1" si="67"/>
        <v>0.59320920043811609</v>
      </c>
      <c r="J126" s="63">
        <f t="shared" ca="1" si="67"/>
        <v>0.53142589118198869</v>
      </c>
      <c r="K126" s="63">
        <f t="shared" ca="1" si="67"/>
        <v>0.56005608350210323</v>
      </c>
      <c r="L126" s="63">
        <f t="shared" ca="1" si="67"/>
        <v>0.56816285666611044</v>
      </c>
      <c r="M126" s="63">
        <f t="shared" ca="1" si="67"/>
        <v>0.64886128364389228</v>
      </c>
      <c r="N126" s="63">
        <f t="shared" ca="1" si="67"/>
        <v>0.74824473420260784</v>
      </c>
      <c r="O126" s="63">
        <f t="shared" ca="1" si="67"/>
        <v>1.108408617095205</v>
      </c>
      <c r="P126" s="63">
        <f t="shared" ca="1" si="67"/>
        <v>1.0551994301994303</v>
      </c>
      <c r="Q126" s="63">
        <f t="shared" ca="1" si="67"/>
        <v>0.93834841628959276</v>
      </c>
      <c r="R126" s="63">
        <f t="shared" ca="1" si="67"/>
        <v>1.1144347826086958</v>
      </c>
      <c r="S126" s="63">
        <f t="shared" ca="1" si="67"/>
        <v>1.3658222413052812</v>
      </c>
      <c r="T126" s="63"/>
      <c r="U126" s="17"/>
      <c r="V126" s="17"/>
      <c r="W126" s="17"/>
    </row>
    <row r="127" spans="1:23" x14ac:dyDescent="0.2">
      <c r="A127" s="51" t="str">
        <f t="shared" si="63"/>
        <v>NWN</v>
      </c>
      <c r="B127" s="46">
        <f t="shared" ca="1" si="64"/>
        <v>45</v>
      </c>
      <c r="C127" s="1">
        <f ca="1">IF(ISERROR(D127),"",IF(D127="","",MAX($C$121:C126)+1))</f>
        <v>5</v>
      </c>
      <c r="D127" t="str">
        <f t="shared" ca="1" si="65"/>
        <v>Northwest Nat. Gas</v>
      </c>
      <c r="E127" s="22"/>
      <c r="F127" s="63">
        <f t="shared" ca="1" si="68"/>
        <v>0.99339548172104075</v>
      </c>
      <c r="G127" s="63">
        <f t="shared" si="66"/>
        <v>0.69852941176470595</v>
      </c>
      <c r="H127" s="63">
        <f ca="1">IFERROR(VLOOKUP($A127,LASTYR,'2017'!$P$3,FALSE),"N/A")</f>
        <v>0.14018565854971077</v>
      </c>
      <c r="I127" s="63">
        <f t="shared" ca="1" si="67"/>
        <v>1.0119023189000615</v>
      </c>
      <c r="J127" s="63">
        <f t="shared" ca="1" si="67"/>
        <v>1.1233409610983982</v>
      </c>
      <c r="K127" s="63">
        <f t="shared" ca="1" si="67"/>
        <v>1.1481144934120855</v>
      </c>
      <c r="L127" s="63">
        <f t="shared" ca="1" si="67"/>
        <v>0.98206977197427392</v>
      </c>
      <c r="M127" s="63">
        <f t="shared" ca="1" si="67"/>
        <v>1.0063200815494393</v>
      </c>
      <c r="N127" s="63">
        <f t="shared" ca="1" si="67"/>
        <v>1.3321799307958477</v>
      </c>
      <c r="O127" s="63">
        <f t="shared" ca="1" si="67"/>
        <v>0.55448615121377387</v>
      </c>
      <c r="P127" s="63">
        <f t="shared" ca="1" si="67"/>
        <v>1.0208128804241114</v>
      </c>
      <c r="Q127" s="63">
        <f t="shared" ca="1" si="67"/>
        <v>1.3524464831804281</v>
      </c>
      <c r="R127" s="63">
        <f t="shared" ca="1" si="67"/>
        <v>1.2081751172660262</v>
      </c>
      <c r="S127" s="63">
        <f t="shared" ca="1" si="67"/>
        <v>1.3355780022446688</v>
      </c>
      <c r="T127" s="63"/>
      <c r="U127" s="17"/>
      <c r="V127" s="17"/>
      <c r="W127" s="17"/>
    </row>
    <row r="128" spans="1:23" x14ac:dyDescent="0.2">
      <c r="A128" s="51" t="str">
        <f t="shared" si="63"/>
        <v>OGS</v>
      </c>
      <c r="B128" s="46">
        <f t="shared" ca="1" si="64"/>
        <v>48</v>
      </c>
      <c r="C128" s="1">
        <f ca="1">IF(ISERROR(D128),"",IF(D128="","",MAX($C$121:C127)+1))</f>
        <v>6</v>
      </c>
      <c r="D128" t="str">
        <f t="shared" ca="1" si="65"/>
        <v>ONE Gas Inc.</v>
      </c>
      <c r="E128" s="22"/>
      <c r="F128" s="63">
        <f t="shared" ca="1" si="68"/>
        <v>0.86251264012633067</v>
      </c>
      <c r="G128" s="63">
        <f t="shared" si="66"/>
        <v>0.86986301369863006</v>
      </c>
      <c r="H128" s="63">
        <f ca="1">IFERROR(VLOOKUP($A128,LASTYR,'2017'!$P$3,FALSE),"N/A")</f>
        <v>0.87492660011743972</v>
      </c>
      <c r="I128" s="63">
        <f t="shared" ca="1" si="67"/>
        <v>0.91864005412719896</v>
      </c>
      <c r="J128" s="63">
        <f t="shared" ca="1" si="67"/>
        <v>0.85635653409090917</v>
      </c>
      <c r="K128" s="63">
        <f t="shared" ca="1" si="67"/>
        <v>0.79277699859747552</v>
      </c>
      <c r="L128" s="63" t="str">
        <f t="shared" ca="1" si="67"/>
        <v>N/A</v>
      </c>
      <c r="M128" s="63" t="str">
        <f t="shared" ca="1" si="67"/>
        <v>N/A</v>
      </c>
      <c r="N128" s="63" t="str">
        <f t="shared" ca="1" si="67"/>
        <v>N/A</v>
      </c>
      <c r="O128" s="63" t="str">
        <f t="shared" ca="1" si="67"/>
        <v>N/A</v>
      </c>
      <c r="P128" s="63" t="str">
        <f t="shared" ca="1" si="67"/>
        <v>N/A</v>
      </c>
      <c r="Q128" s="63" t="str">
        <f t="shared" ca="1" si="67"/>
        <v>N/A</v>
      </c>
      <c r="R128" s="63" t="str">
        <f t="shared" ca="1" si="67"/>
        <v>N/A</v>
      </c>
      <c r="S128" s="63" t="str">
        <f t="shared" ca="1" si="67"/>
        <v>N/A</v>
      </c>
      <c r="T128" s="63"/>
      <c r="U128" s="17"/>
      <c r="V128" s="17"/>
      <c r="W128" s="17"/>
    </row>
    <row r="129" spans="1:23" x14ac:dyDescent="0.2">
      <c r="A129" s="51" t="str">
        <f t="shared" si="63"/>
        <v>SJI</v>
      </c>
      <c r="B129" s="46">
        <f t="shared" ca="1" si="64"/>
        <v>61</v>
      </c>
      <c r="C129" s="1">
        <f ca="1">IF(ISERROR(D129),"",IF(D129="","",MAX($C$121:C128)+1))</f>
        <v>7</v>
      </c>
      <c r="D129" t="str">
        <f t="shared" ca="1" si="65"/>
        <v>South Jersey Inds.</v>
      </c>
      <c r="E129" s="22"/>
      <c r="F129" s="63">
        <f t="shared" ca="1" si="68"/>
        <v>0.90992789655282103</v>
      </c>
      <c r="G129" s="63">
        <f t="shared" si="66"/>
        <v>0.89473684210526305</v>
      </c>
      <c r="H129" s="63">
        <f ca="1">IFERROR(VLOOKUP($A129,LASTYR,'2017'!$P$3,FALSE),"N/A")</f>
        <v>0.8117167006703585</v>
      </c>
      <c r="I129" s="63">
        <f t="shared" ca="1" si="67"/>
        <v>0.76472269868496279</v>
      </c>
      <c r="J129" s="63">
        <f t="shared" ca="1" si="67"/>
        <v>0.49609856262833674</v>
      </c>
      <c r="K129" s="63">
        <f t="shared" ca="1" si="67"/>
        <v>0.53281468182724911</v>
      </c>
      <c r="L129" s="63">
        <f t="shared" ca="1" si="67"/>
        <v>0.51167596610870014</v>
      </c>
      <c r="M129" s="63">
        <f t="shared" ca="1" si="67"/>
        <v>0.5845386533665835</v>
      </c>
      <c r="N129" s="63">
        <f t="shared" ca="1" si="67"/>
        <v>0.69774718397997493</v>
      </c>
      <c r="O129" s="63">
        <f t="shared" ca="1" si="67"/>
        <v>0.753042233357194</v>
      </c>
      <c r="P129" s="63">
        <f t="shared" ca="1" si="67"/>
        <v>1.0136314067611778</v>
      </c>
      <c r="Q129" s="63">
        <f t="shared" ca="1" si="67"/>
        <v>1.6679462571976966</v>
      </c>
      <c r="R129" s="63">
        <f t="shared" ca="1" si="67"/>
        <v>1.7046908315565032</v>
      </c>
      <c r="S129" s="63">
        <f t="shared" ca="1" si="67"/>
        <v>1.395700636942675</v>
      </c>
      <c r="T129" s="63"/>
      <c r="U129" s="17"/>
      <c r="V129" s="17"/>
      <c r="W129" s="17"/>
    </row>
    <row r="130" spans="1:23" x14ac:dyDescent="0.2">
      <c r="A130" s="51" t="str">
        <f t="shared" si="63"/>
        <v>SWX</v>
      </c>
      <c r="B130" s="46">
        <f t="shared" ca="1" si="64"/>
        <v>63</v>
      </c>
      <c r="C130" s="1">
        <f ca="1">IF(ISERROR(D130),"",IF(D130="","",MAX($C$121:C129)+1))</f>
        <v>8</v>
      </c>
      <c r="D130" t="str">
        <f t="shared" ca="1" si="65"/>
        <v>Southwest Gas</v>
      </c>
      <c r="E130" s="22"/>
      <c r="F130" s="63">
        <f t="shared" ca="1" si="68"/>
        <v>0.90201215487326158</v>
      </c>
      <c r="G130" s="63">
        <f t="shared" si="66"/>
        <v>0.61433447098976113</v>
      </c>
      <c r="H130" s="63">
        <f ca="1">IFERROR(VLOOKUP($A130,LASTYR,'2017'!$P$3,FALSE),"N/A")</f>
        <v>0.6811381863047502</v>
      </c>
      <c r="I130" s="63">
        <f t="shared" ca="1" si="67"/>
        <v>0.83312410329985664</v>
      </c>
      <c r="J130" s="63">
        <f t="shared" ca="1" si="67"/>
        <v>0.83699029126213587</v>
      </c>
      <c r="K130" s="63">
        <f t="shared" ca="1" si="67"/>
        <v>0.99308404641894255</v>
      </c>
      <c r="L130" s="63">
        <f t="shared" ca="1" si="67"/>
        <v>1.0491219139730212</v>
      </c>
      <c r="M130" s="63">
        <f t="shared" ca="1" si="67"/>
        <v>0.9015743440233237</v>
      </c>
      <c r="N130" s="63">
        <f t="shared" ca="1" si="67"/>
        <v>0.82098914354644159</v>
      </c>
      <c r="O130" s="63">
        <f t="shared" ca="1" si="67"/>
        <v>1.3662507929794883</v>
      </c>
      <c r="P130" s="63">
        <f t="shared" ca="1" si="67"/>
        <v>1.2793017456359101</v>
      </c>
      <c r="Q130" s="63">
        <f t="shared" ca="1" si="67"/>
        <v>0.84824845451869302</v>
      </c>
      <c r="R130" s="63">
        <f t="shared" ca="1" si="67"/>
        <v>0.77973125706392055</v>
      </c>
      <c r="S130" s="63">
        <f t="shared" ca="1" si="67"/>
        <v>0.72226926333615582</v>
      </c>
      <c r="T130" s="63"/>
      <c r="U130" s="17"/>
      <c r="V130" s="17"/>
      <c r="W130" s="17"/>
    </row>
    <row r="131" spans="1:23" x14ac:dyDescent="0.2">
      <c r="A131" s="51" t="str">
        <f t="shared" si="63"/>
        <v>SR</v>
      </c>
      <c r="B131" s="46">
        <f t="shared" ca="1" si="64"/>
        <v>64</v>
      </c>
      <c r="C131" s="1">
        <f ca="1">IF(ISERROR(D131),"",IF(D131="","",MAX($C$121:C130)+1))</f>
        <v>9</v>
      </c>
      <c r="D131" t="str">
        <f t="shared" ca="1" si="65"/>
        <v>Spire Inc.</v>
      </c>
      <c r="E131" s="22"/>
      <c r="F131" s="63">
        <f t="shared" ca="1" si="68"/>
        <v>1.1912513723882661</v>
      </c>
      <c r="G131" s="63">
        <f t="shared" si="66"/>
        <v>0.76572008113590262</v>
      </c>
      <c r="H131" s="63">
        <f ca="1">IFERROR(VLOOKUP($A131,LASTYR,'2017'!$P$3,FALSE),"N/A")</f>
        <v>0.72061253718188834</v>
      </c>
      <c r="I131" s="63">
        <f t="shared" ca="1" si="67"/>
        <v>0.95844357976653705</v>
      </c>
      <c r="J131" s="63">
        <f t="shared" ca="1" si="67"/>
        <v>0.92070616397366845</v>
      </c>
      <c r="K131" s="63">
        <f t="shared" ca="1" si="67"/>
        <v>0.97651515151515156</v>
      </c>
      <c r="L131" s="63">
        <f t="shared" ca="1" si="67"/>
        <v>0.78025</v>
      </c>
      <c r="M131" s="63">
        <f t="shared" ca="1" si="67"/>
        <v>0.94985495234148365</v>
      </c>
      <c r="N131" s="63">
        <f t="shared" ca="1" si="67"/>
        <v>1.5316749585406302</v>
      </c>
      <c r="O131" s="63">
        <f t="shared" ca="1" si="67"/>
        <v>1.6069612827532265</v>
      </c>
      <c r="P131" s="63">
        <f t="shared" ca="1" si="67"/>
        <v>1.9284807448159123</v>
      </c>
      <c r="Q131" s="63">
        <f t="shared" ca="1" si="67"/>
        <v>1.63986013986014</v>
      </c>
      <c r="R131" s="63">
        <f t="shared" ca="1" si="67"/>
        <v>1.424264705882353</v>
      </c>
      <c r="S131" s="63">
        <f t="shared" ca="1" si="67"/>
        <v>1.2829235432805659</v>
      </c>
      <c r="T131" s="63"/>
      <c r="U131" s="17"/>
      <c r="V131" s="17"/>
      <c r="W131" s="17"/>
    </row>
    <row r="132" spans="1:23" x14ac:dyDescent="0.2">
      <c r="A132" s="51" t="str">
        <f t="shared" si="63"/>
        <v>UGI</v>
      </c>
      <c r="B132" s="46">
        <f t="shared" ca="1" si="64"/>
        <v>66</v>
      </c>
      <c r="C132" s="1">
        <f ca="1">IF(ISERROR(D132),"",IF(D132="","",MAX($C$121:C131)+1))</f>
        <v>10</v>
      </c>
      <c r="D132" t="str">
        <f t="shared" ca="1" si="65"/>
        <v>UGI Corp.</v>
      </c>
      <c r="E132" s="22"/>
      <c r="F132" s="63">
        <f t="shared" ca="1" si="68"/>
        <v>1.4679371070468317</v>
      </c>
      <c r="G132" s="63">
        <f t="shared" si="66"/>
        <v>1.4</v>
      </c>
      <c r="H132" s="63">
        <f ca="1">IFERROR(VLOOKUP($A132,LASTYR,'2017'!$P$3,FALSE),"N/A")</f>
        <v>1.2878540305010893</v>
      </c>
      <c r="I132" s="63">
        <f t="shared" ca="1" si="67"/>
        <v>1.3495085995085996</v>
      </c>
      <c r="J132" s="63">
        <f t="shared" ca="1" si="67"/>
        <v>1.4837685250529287</v>
      </c>
      <c r="K132" s="63">
        <f t="shared" ca="1" si="67"/>
        <v>1.5323251417769377</v>
      </c>
      <c r="L132" s="63">
        <f t="shared" ca="1" si="67"/>
        <v>1.319268635724332</v>
      </c>
      <c r="M132" s="63">
        <f t="shared" ca="1" si="67"/>
        <v>1.518426294820717</v>
      </c>
      <c r="N132" s="63">
        <f t="shared" ca="1" si="67"/>
        <v>1.2776744186046511</v>
      </c>
      <c r="O132" s="63">
        <f t="shared" ca="1" si="67"/>
        <v>1.3563653573118788</v>
      </c>
      <c r="P132" s="63">
        <f t="shared" ca="1" si="67"/>
        <v>1.5229357798165137</v>
      </c>
      <c r="Q132" s="63">
        <f t="shared" ca="1" si="67"/>
        <v>1.7224149895905623</v>
      </c>
      <c r="R132" s="63">
        <f t="shared" ca="1" si="67"/>
        <v>1.6179211469534052</v>
      </c>
      <c r="S132" s="63">
        <f t="shared" ca="1" si="67"/>
        <v>1.6947194719471945</v>
      </c>
      <c r="T132" s="63"/>
      <c r="U132" s="17"/>
      <c r="V132" s="17"/>
      <c r="W132" s="17"/>
    </row>
    <row r="133" spans="1:23" x14ac:dyDescent="0.2">
      <c r="A133" s="51" t="str">
        <f t="shared" si="63"/>
        <v>WGL</v>
      </c>
      <c r="B133" s="46">
        <f t="shared" ca="1" si="64"/>
        <v>73</v>
      </c>
      <c r="C133" s="1">
        <f ca="1">IF(ISERROR(D133),"",IF(D133="","",MAX($C$121:C132)+1))</f>
        <v>11</v>
      </c>
      <c r="D133" t="str">
        <f t="shared" ca="1" si="65"/>
        <v>WGL Holdings Inc.</v>
      </c>
      <c r="E133" s="22"/>
      <c r="F133" s="63">
        <f t="shared" ca="1" si="68"/>
        <v>1.0169180253577632</v>
      </c>
      <c r="G133" s="63" t="str">
        <f t="shared" si="66"/>
        <v>N/A</v>
      </c>
      <c r="H133" s="63">
        <f ca="1">IFERROR(VLOOKUP($A133,LASTYR,'2017'!$P$3,FALSE),"N/A")</f>
        <v>0.60606661379857263</v>
      </c>
      <c r="I133" s="63">
        <f t="shared" ca="1" si="67"/>
        <v>0.55874092009685239</v>
      </c>
      <c r="J133" s="63">
        <f t="shared" ref="J133:S142" ca="1" si="69">IFERROR(IF(INDEX(CF_CAP_WP,$B133,J$122)=0,"N/A",INDEX(CF_CAP_WP,$B133,J$122)),"N/A")</f>
        <v>0.60057902637786831</v>
      </c>
      <c r="K133" s="63">
        <f t="shared" ca="1" si="69"/>
        <v>0.62934312311524843</v>
      </c>
      <c r="L133" s="63">
        <f t="shared" ca="1" si="69"/>
        <v>0.70953326713008935</v>
      </c>
      <c r="M133" s="63">
        <f t="shared" ca="1" si="69"/>
        <v>0.93003693065244164</v>
      </c>
      <c r="N133" s="63">
        <f t="shared" ca="1" si="69"/>
        <v>1.0193040386080772</v>
      </c>
      <c r="O133" s="63">
        <f t="shared" ca="1" si="69"/>
        <v>1.5971250971250972</v>
      </c>
      <c r="P133" s="63">
        <f t="shared" ca="1" si="69"/>
        <v>1.6039711191335739</v>
      </c>
      <c r="Q133" s="63">
        <f t="shared" ca="1" si="69"/>
        <v>1.6046597633136095</v>
      </c>
      <c r="R133" s="63">
        <f t="shared" ca="1" si="69"/>
        <v>1.1683198076345056</v>
      </c>
      <c r="S133" s="63">
        <f t="shared" ca="1" si="69"/>
        <v>1.1753365973072216</v>
      </c>
      <c r="T133" s="63"/>
      <c r="U133" s="17"/>
      <c r="V133" s="17"/>
      <c r="W133" s="17"/>
    </row>
    <row r="134" spans="1:23" hidden="1" x14ac:dyDescent="0.2">
      <c r="A134" s="51">
        <f t="shared" si="63"/>
        <v>0</v>
      </c>
      <c r="B134" s="46" t="e">
        <f t="shared" ca="1" si="64"/>
        <v>#N/A</v>
      </c>
      <c r="C134" s="1" t="str">
        <f>IF(ISERROR(D134),"",IF(D134="","",MAX($C$121:C133)+1))</f>
        <v/>
      </c>
      <c r="D134" t="e">
        <f t="shared" si="65"/>
        <v>#N/A</v>
      </c>
      <c r="E134" s="22"/>
      <c r="F134" s="63" t="e">
        <f t="shared" ca="1" si="68"/>
        <v>#DIV/0!</v>
      </c>
      <c r="G134" s="63" t="str">
        <f t="shared" si="66"/>
        <v>N/A</v>
      </c>
      <c r="H134" s="63"/>
      <c r="I134" s="63" t="str">
        <f t="shared" ca="1" si="67"/>
        <v>N/A</v>
      </c>
      <c r="J134" s="63" t="str">
        <f t="shared" ca="1" si="69"/>
        <v>N/A</v>
      </c>
      <c r="K134" s="63" t="str">
        <f t="shared" ca="1" si="69"/>
        <v>N/A</v>
      </c>
      <c r="L134" s="63" t="str">
        <f t="shared" ca="1" si="69"/>
        <v>N/A</v>
      </c>
      <c r="M134" s="63" t="str">
        <f t="shared" ca="1" si="69"/>
        <v>N/A</v>
      </c>
      <c r="N134" s="63" t="str">
        <f t="shared" ca="1" si="69"/>
        <v>N/A</v>
      </c>
      <c r="O134" s="63" t="str">
        <f t="shared" ca="1" si="69"/>
        <v>N/A</v>
      </c>
      <c r="P134" s="63" t="str">
        <f t="shared" ca="1" si="69"/>
        <v>N/A</v>
      </c>
      <c r="Q134" s="63" t="str">
        <f t="shared" ca="1" si="69"/>
        <v>N/A</v>
      </c>
      <c r="R134" s="63" t="str">
        <f t="shared" ca="1" si="69"/>
        <v>N/A</v>
      </c>
      <c r="S134" s="63" t="str">
        <f t="shared" ca="1" si="69"/>
        <v>N/A</v>
      </c>
      <c r="T134" s="63"/>
      <c r="U134" s="17"/>
      <c r="V134" s="17"/>
      <c r="W134" s="17"/>
    </row>
    <row r="135" spans="1:23" hidden="1" x14ac:dyDescent="0.2">
      <c r="A135" s="51">
        <f t="shared" si="63"/>
        <v>0</v>
      </c>
      <c r="B135" s="46" t="e">
        <f t="shared" ca="1" si="64"/>
        <v>#N/A</v>
      </c>
      <c r="C135" s="1" t="str">
        <f>IF(ISERROR(D135),"",IF(D135="","",MAX($C$121:C134)+1))</f>
        <v/>
      </c>
      <c r="D135" t="e">
        <f t="shared" si="65"/>
        <v>#N/A</v>
      </c>
      <c r="E135" s="22"/>
      <c r="F135" s="63" t="e">
        <f t="shared" ca="1" si="68"/>
        <v>#DIV/0!</v>
      </c>
      <c r="G135" s="63" t="str">
        <f t="shared" si="66"/>
        <v>N/A</v>
      </c>
      <c r="H135" s="63"/>
      <c r="I135" s="63" t="str">
        <f t="shared" ca="1" si="67"/>
        <v>N/A</v>
      </c>
      <c r="J135" s="63" t="str">
        <f t="shared" ca="1" si="69"/>
        <v>N/A</v>
      </c>
      <c r="K135" s="63" t="str">
        <f t="shared" ca="1" si="69"/>
        <v>N/A</v>
      </c>
      <c r="L135" s="63" t="str">
        <f t="shared" ca="1" si="69"/>
        <v>N/A</v>
      </c>
      <c r="M135" s="63" t="str">
        <f t="shared" ca="1" si="69"/>
        <v>N/A</v>
      </c>
      <c r="N135" s="63" t="str">
        <f t="shared" ca="1" si="69"/>
        <v>N/A</v>
      </c>
      <c r="O135" s="63" t="str">
        <f t="shared" ca="1" si="69"/>
        <v>N/A</v>
      </c>
      <c r="P135" s="63" t="str">
        <f t="shared" ca="1" si="69"/>
        <v>N/A</v>
      </c>
      <c r="Q135" s="63" t="str">
        <f t="shared" ca="1" si="69"/>
        <v>N/A</v>
      </c>
      <c r="R135" s="63" t="str">
        <f t="shared" ca="1" si="69"/>
        <v>N/A</v>
      </c>
      <c r="S135" s="63" t="str">
        <f t="shared" ca="1" si="69"/>
        <v>N/A</v>
      </c>
      <c r="T135" s="63"/>
      <c r="U135" s="17"/>
      <c r="V135" s="17"/>
      <c r="W135" s="17"/>
    </row>
    <row r="136" spans="1:23" hidden="1" x14ac:dyDescent="0.2">
      <c r="A136" s="51">
        <f t="shared" si="63"/>
        <v>0</v>
      </c>
      <c r="B136" s="46" t="e">
        <f t="shared" ca="1" si="64"/>
        <v>#N/A</v>
      </c>
      <c r="C136" s="1" t="str">
        <f>IF(ISERROR(D136),"",IF(D136="","",MAX($C$121:C135)+1))</f>
        <v/>
      </c>
      <c r="D136" t="e">
        <f t="shared" si="65"/>
        <v>#N/A</v>
      </c>
      <c r="E136" s="22"/>
      <c r="F136" s="63" t="e">
        <f t="shared" ca="1" si="68"/>
        <v>#DIV/0!</v>
      </c>
      <c r="G136" s="63" t="str">
        <f t="shared" si="66"/>
        <v>N/A</v>
      </c>
      <c r="H136" s="63"/>
      <c r="I136" s="63" t="str">
        <f t="shared" ca="1" si="67"/>
        <v>N/A</v>
      </c>
      <c r="J136" s="63" t="str">
        <f t="shared" ca="1" si="69"/>
        <v>N/A</v>
      </c>
      <c r="K136" s="63" t="str">
        <f t="shared" ca="1" si="69"/>
        <v>N/A</v>
      </c>
      <c r="L136" s="63" t="str">
        <f t="shared" ca="1" si="69"/>
        <v>N/A</v>
      </c>
      <c r="M136" s="63" t="str">
        <f t="shared" ca="1" si="69"/>
        <v>N/A</v>
      </c>
      <c r="N136" s="63" t="str">
        <f t="shared" ca="1" si="69"/>
        <v>N/A</v>
      </c>
      <c r="O136" s="63" t="str">
        <f t="shared" ca="1" si="69"/>
        <v>N/A</v>
      </c>
      <c r="P136" s="63" t="str">
        <f t="shared" ca="1" si="69"/>
        <v>N/A</v>
      </c>
      <c r="Q136" s="63" t="str">
        <f t="shared" ca="1" si="69"/>
        <v>N/A</v>
      </c>
      <c r="R136" s="63" t="str">
        <f t="shared" ca="1" si="69"/>
        <v>N/A</v>
      </c>
      <c r="S136" s="63" t="str">
        <f t="shared" ca="1" si="69"/>
        <v>N/A</v>
      </c>
      <c r="T136" s="63"/>
      <c r="U136" s="17"/>
      <c r="V136" s="17"/>
      <c r="W136" s="17"/>
    </row>
    <row r="137" spans="1:23" hidden="1" x14ac:dyDescent="0.2">
      <c r="A137" s="51">
        <f t="shared" si="63"/>
        <v>0</v>
      </c>
      <c r="B137" s="46" t="e">
        <f t="shared" ca="1" si="64"/>
        <v>#N/A</v>
      </c>
      <c r="C137" s="1" t="str">
        <f>IF(ISERROR(D137),"",IF(D137="","",MAX($C$121:C136)+1))</f>
        <v/>
      </c>
      <c r="D137" t="e">
        <f t="shared" si="65"/>
        <v>#N/A</v>
      </c>
      <c r="E137" s="22"/>
      <c r="F137" s="63" t="e">
        <f t="shared" ca="1" si="68"/>
        <v>#DIV/0!</v>
      </c>
      <c r="G137" s="63" t="str">
        <f t="shared" si="66"/>
        <v>N/A</v>
      </c>
      <c r="H137" s="63"/>
      <c r="I137" s="63" t="str">
        <f t="shared" ca="1" si="67"/>
        <v>N/A</v>
      </c>
      <c r="J137" s="63" t="str">
        <f t="shared" ca="1" si="69"/>
        <v>N/A</v>
      </c>
      <c r="K137" s="63" t="str">
        <f t="shared" ca="1" si="69"/>
        <v>N/A</v>
      </c>
      <c r="L137" s="63" t="str">
        <f t="shared" ca="1" si="69"/>
        <v>N/A</v>
      </c>
      <c r="M137" s="63" t="str">
        <f t="shared" ca="1" si="69"/>
        <v>N/A</v>
      </c>
      <c r="N137" s="63" t="str">
        <f t="shared" ca="1" si="69"/>
        <v>N/A</v>
      </c>
      <c r="O137" s="63" t="str">
        <f t="shared" ca="1" si="69"/>
        <v>N/A</v>
      </c>
      <c r="P137" s="63" t="str">
        <f t="shared" ca="1" si="69"/>
        <v>N/A</v>
      </c>
      <c r="Q137" s="63" t="str">
        <f t="shared" ca="1" si="69"/>
        <v>N/A</v>
      </c>
      <c r="R137" s="63" t="str">
        <f t="shared" ca="1" si="69"/>
        <v>N/A</v>
      </c>
      <c r="S137" s="63" t="str">
        <f t="shared" ca="1" si="69"/>
        <v>N/A</v>
      </c>
      <c r="T137" s="63"/>
      <c r="U137" s="17"/>
      <c r="V137" s="17"/>
      <c r="W137" s="17"/>
    </row>
    <row r="138" spans="1:23" hidden="1" x14ac:dyDescent="0.2">
      <c r="A138" s="51">
        <f t="shared" si="63"/>
        <v>0</v>
      </c>
      <c r="B138" s="46" t="e">
        <f t="shared" ca="1" si="64"/>
        <v>#N/A</v>
      </c>
      <c r="C138" s="1" t="str">
        <f>IF(ISERROR(D138),"",IF(D138="","",MAX($C$121:C137)+1))</f>
        <v/>
      </c>
      <c r="D138" t="e">
        <f t="shared" si="65"/>
        <v>#N/A</v>
      </c>
      <c r="E138" s="22"/>
      <c r="F138" s="63" t="e">
        <f t="shared" ca="1" si="68"/>
        <v>#DIV/0!</v>
      </c>
      <c r="G138" s="63" t="str">
        <f t="shared" si="66"/>
        <v>N/A</v>
      </c>
      <c r="H138" s="63"/>
      <c r="I138" s="63" t="str">
        <f t="shared" ca="1" si="67"/>
        <v>N/A</v>
      </c>
      <c r="J138" s="63" t="str">
        <f t="shared" ca="1" si="69"/>
        <v>N/A</v>
      </c>
      <c r="K138" s="63" t="str">
        <f t="shared" ca="1" si="69"/>
        <v>N/A</v>
      </c>
      <c r="L138" s="63" t="str">
        <f t="shared" ca="1" si="69"/>
        <v>N/A</v>
      </c>
      <c r="M138" s="63" t="str">
        <f t="shared" ca="1" si="69"/>
        <v>N/A</v>
      </c>
      <c r="N138" s="63" t="str">
        <f t="shared" ca="1" si="69"/>
        <v>N/A</v>
      </c>
      <c r="O138" s="63" t="str">
        <f t="shared" ca="1" si="69"/>
        <v>N/A</v>
      </c>
      <c r="P138" s="63" t="str">
        <f t="shared" ca="1" si="69"/>
        <v>N/A</v>
      </c>
      <c r="Q138" s="63" t="str">
        <f t="shared" ca="1" si="69"/>
        <v>N/A</v>
      </c>
      <c r="R138" s="63" t="str">
        <f t="shared" ca="1" si="69"/>
        <v>N/A</v>
      </c>
      <c r="S138" s="63" t="str">
        <f t="shared" ca="1" si="69"/>
        <v>N/A</v>
      </c>
      <c r="T138" s="63"/>
      <c r="U138" s="17"/>
      <c r="V138" s="17"/>
      <c r="W138" s="17"/>
    </row>
    <row r="139" spans="1:23" hidden="1" x14ac:dyDescent="0.2">
      <c r="A139" s="51">
        <f t="shared" si="63"/>
        <v>0</v>
      </c>
      <c r="B139" s="46" t="e">
        <f t="shared" ca="1" si="64"/>
        <v>#N/A</v>
      </c>
      <c r="C139" s="1" t="str">
        <f>IF(ISERROR(D139),"",IF(D139="","",MAX($C$121:C138)+1))</f>
        <v/>
      </c>
      <c r="D139" t="e">
        <f t="shared" si="65"/>
        <v>#N/A</v>
      </c>
      <c r="E139" s="22"/>
      <c r="F139" s="63" t="e">
        <f t="shared" ca="1" si="68"/>
        <v>#DIV/0!</v>
      </c>
      <c r="G139" s="63" t="str">
        <f t="shared" si="66"/>
        <v>N/A</v>
      </c>
      <c r="H139" s="63"/>
      <c r="I139" s="63" t="str">
        <f t="shared" ref="I139:I167" ca="1" si="70">IFERROR(IF(INDEX(CF_CAP_WP,$B139,I$122)=0,"N/A",INDEX(CF_CAP_WP,$B139,I$122)),"N/A")</f>
        <v>N/A</v>
      </c>
      <c r="J139" s="63" t="str">
        <f t="shared" ca="1" si="69"/>
        <v>N/A</v>
      </c>
      <c r="K139" s="63" t="str">
        <f t="shared" ca="1" si="69"/>
        <v>N/A</v>
      </c>
      <c r="L139" s="63" t="str">
        <f t="shared" ca="1" si="69"/>
        <v>N/A</v>
      </c>
      <c r="M139" s="63" t="str">
        <f t="shared" ca="1" si="69"/>
        <v>N/A</v>
      </c>
      <c r="N139" s="63" t="str">
        <f t="shared" ca="1" si="69"/>
        <v>N/A</v>
      </c>
      <c r="O139" s="63" t="str">
        <f t="shared" ca="1" si="69"/>
        <v>N/A</v>
      </c>
      <c r="P139" s="63" t="str">
        <f t="shared" ca="1" si="69"/>
        <v>N/A</v>
      </c>
      <c r="Q139" s="63" t="str">
        <f t="shared" ca="1" si="69"/>
        <v>N/A</v>
      </c>
      <c r="R139" s="63" t="str">
        <f t="shared" ca="1" si="69"/>
        <v>N/A</v>
      </c>
      <c r="S139" s="63" t="str">
        <f t="shared" ca="1" si="69"/>
        <v>N/A</v>
      </c>
      <c r="T139" s="63"/>
      <c r="U139" s="17"/>
      <c r="V139" s="17"/>
      <c r="W139" s="17"/>
    </row>
    <row r="140" spans="1:23" hidden="1" x14ac:dyDescent="0.2">
      <c r="A140" s="51">
        <f t="shared" si="63"/>
        <v>0</v>
      </c>
      <c r="B140" s="46" t="e">
        <f t="shared" ca="1" si="64"/>
        <v>#N/A</v>
      </c>
      <c r="C140" s="1" t="str">
        <f>IF(ISERROR(D140),"",IF(D140="","",MAX($C$121:C139)+1))</f>
        <v/>
      </c>
      <c r="D140" t="e">
        <f t="shared" si="65"/>
        <v>#N/A</v>
      </c>
      <c r="E140" s="22"/>
      <c r="F140" s="63" t="e">
        <f t="shared" ca="1" si="68"/>
        <v>#DIV/0!</v>
      </c>
      <c r="G140" s="63" t="str">
        <f t="shared" si="66"/>
        <v>N/A</v>
      </c>
      <c r="H140" s="63"/>
      <c r="I140" s="63" t="str">
        <f t="shared" ca="1" si="70"/>
        <v>N/A</v>
      </c>
      <c r="J140" s="63" t="str">
        <f t="shared" ca="1" si="69"/>
        <v>N/A</v>
      </c>
      <c r="K140" s="63" t="str">
        <f t="shared" ca="1" si="69"/>
        <v>N/A</v>
      </c>
      <c r="L140" s="63" t="str">
        <f t="shared" ca="1" si="69"/>
        <v>N/A</v>
      </c>
      <c r="M140" s="63" t="str">
        <f t="shared" ca="1" si="69"/>
        <v>N/A</v>
      </c>
      <c r="N140" s="63" t="str">
        <f t="shared" ca="1" si="69"/>
        <v>N/A</v>
      </c>
      <c r="O140" s="63" t="str">
        <f t="shared" ca="1" si="69"/>
        <v>N/A</v>
      </c>
      <c r="P140" s="63" t="str">
        <f t="shared" ca="1" si="69"/>
        <v>N/A</v>
      </c>
      <c r="Q140" s="63" t="str">
        <f t="shared" ca="1" si="69"/>
        <v>N/A</v>
      </c>
      <c r="R140" s="63" t="str">
        <f t="shared" ca="1" si="69"/>
        <v>N/A</v>
      </c>
      <c r="S140" s="63" t="str">
        <f t="shared" ca="1" si="69"/>
        <v>N/A</v>
      </c>
      <c r="T140" s="63"/>
      <c r="U140" s="17"/>
      <c r="V140" s="17"/>
      <c r="W140" s="17"/>
    </row>
    <row r="141" spans="1:23" hidden="1" x14ac:dyDescent="0.2">
      <c r="A141" s="51">
        <f t="shared" si="63"/>
        <v>0</v>
      </c>
      <c r="B141" s="46" t="e">
        <f t="shared" ca="1" si="64"/>
        <v>#N/A</v>
      </c>
      <c r="C141" s="1" t="str">
        <f>IF(ISERROR(D141),"",IF(D141="","",MAX($C$121:C140)+1))</f>
        <v/>
      </c>
      <c r="D141" t="e">
        <f t="shared" si="65"/>
        <v>#N/A</v>
      </c>
      <c r="E141" s="22"/>
      <c r="F141" s="63" t="e">
        <f t="shared" ca="1" si="68"/>
        <v>#DIV/0!</v>
      </c>
      <c r="G141" s="63" t="str">
        <f t="shared" si="66"/>
        <v>N/A</v>
      </c>
      <c r="H141" s="63"/>
      <c r="I141" s="63" t="str">
        <f t="shared" ca="1" si="70"/>
        <v>N/A</v>
      </c>
      <c r="J141" s="63" t="str">
        <f t="shared" ca="1" si="69"/>
        <v>N/A</v>
      </c>
      <c r="K141" s="63" t="str">
        <f t="shared" ca="1" si="69"/>
        <v>N/A</v>
      </c>
      <c r="L141" s="63" t="str">
        <f t="shared" ca="1" si="69"/>
        <v>N/A</v>
      </c>
      <c r="M141" s="63" t="str">
        <f t="shared" ca="1" si="69"/>
        <v>N/A</v>
      </c>
      <c r="N141" s="63" t="str">
        <f t="shared" ca="1" si="69"/>
        <v>N/A</v>
      </c>
      <c r="O141" s="63" t="str">
        <f t="shared" ca="1" si="69"/>
        <v>N/A</v>
      </c>
      <c r="P141" s="63" t="str">
        <f t="shared" ca="1" si="69"/>
        <v>N/A</v>
      </c>
      <c r="Q141" s="63" t="str">
        <f t="shared" ca="1" si="69"/>
        <v>N/A</v>
      </c>
      <c r="R141" s="63" t="str">
        <f t="shared" ca="1" si="69"/>
        <v>N/A</v>
      </c>
      <c r="S141" s="63" t="str">
        <f t="shared" ca="1" si="69"/>
        <v>N/A</v>
      </c>
      <c r="T141" s="63"/>
      <c r="U141" s="17"/>
      <c r="V141" s="17"/>
      <c r="W141" s="17"/>
    </row>
    <row r="142" spans="1:23" hidden="1" x14ac:dyDescent="0.2">
      <c r="A142" s="51">
        <f t="shared" si="63"/>
        <v>0</v>
      </c>
      <c r="B142" s="46" t="e">
        <f t="shared" ca="1" si="64"/>
        <v>#N/A</v>
      </c>
      <c r="C142" s="1" t="str">
        <f>IF(ISERROR(D142),"",IF(D142="","",MAX($C$121:C141)+1))</f>
        <v/>
      </c>
      <c r="D142" t="e">
        <f t="shared" si="65"/>
        <v>#N/A</v>
      </c>
      <c r="E142" s="22"/>
      <c r="F142" s="63" t="e">
        <f t="shared" ca="1" si="68"/>
        <v>#DIV/0!</v>
      </c>
      <c r="G142" s="63" t="str">
        <f t="shared" si="66"/>
        <v>N/A</v>
      </c>
      <c r="H142" s="63"/>
      <c r="I142" s="63" t="str">
        <f t="shared" ca="1" si="70"/>
        <v>N/A</v>
      </c>
      <c r="J142" s="63" t="str">
        <f t="shared" ca="1" si="69"/>
        <v>N/A</v>
      </c>
      <c r="K142" s="63" t="str">
        <f t="shared" ca="1" si="69"/>
        <v>N/A</v>
      </c>
      <c r="L142" s="63" t="str">
        <f t="shared" ca="1" si="69"/>
        <v>N/A</v>
      </c>
      <c r="M142" s="63" t="str">
        <f t="shared" ca="1" si="69"/>
        <v>N/A</v>
      </c>
      <c r="N142" s="63" t="str">
        <f t="shared" ca="1" si="69"/>
        <v>N/A</v>
      </c>
      <c r="O142" s="63" t="str">
        <f t="shared" ca="1" si="69"/>
        <v>N/A</v>
      </c>
      <c r="P142" s="63" t="str">
        <f t="shared" ca="1" si="69"/>
        <v>N/A</v>
      </c>
      <c r="Q142" s="63" t="str">
        <f t="shared" ca="1" si="69"/>
        <v>N/A</v>
      </c>
      <c r="R142" s="63" t="str">
        <f t="shared" ca="1" si="69"/>
        <v>N/A</v>
      </c>
      <c r="S142" s="63" t="str">
        <f t="shared" ca="1" si="69"/>
        <v>N/A</v>
      </c>
      <c r="T142" s="63"/>
      <c r="U142" s="17"/>
      <c r="V142" s="17"/>
      <c r="W142" s="17"/>
    </row>
    <row r="143" spans="1:23" hidden="1" x14ac:dyDescent="0.2">
      <c r="A143" s="51">
        <f t="shared" si="63"/>
        <v>0</v>
      </c>
      <c r="B143" s="46" t="e">
        <f t="shared" ca="1" si="64"/>
        <v>#N/A</v>
      </c>
      <c r="C143" s="1" t="str">
        <f>IF(ISERROR(D143),"",IF(D143="","",MAX($C$121:C142)+1))</f>
        <v/>
      </c>
      <c r="D143" t="e">
        <f t="shared" si="65"/>
        <v>#N/A</v>
      </c>
      <c r="E143" s="22"/>
      <c r="F143" s="63" t="e">
        <f t="shared" ca="1" si="68"/>
        <v>#DIV/0!</v>
      </c>
      <c r="G143" s="63" t="str">
        <f t="shared" si="66"/>
        <v>N/A</v>
      </c>
      <c r="H143" s="63"/>
      <c r="I143" s="63" t="str">
        <f t="shared" ca="1" si="70"/>
        <v>N/A</v>
      </c>
      <c r="J143" s="63" t="str">
        <f t="shared" ref="J143:S152" ca="1" si="71">IFERROR(IF(INDEX(CF_CAP_WP,$B143,J$122)=0,"N/A",INDEX(CF_CAP_WP,$B143,J$122)),"N/A")</f>
        <v>N/A</v>
      </c>
      <c r="K143" s="63" t="str">
        <f t="shared" ca="1" si="71"/>
        <v>N/A</v>
      </c>
      <c r="L143" s="63" t="str">
        <f t="shared" ca="1" si="71"/>
        <v>N/A</v>
      </c>
      <c r="M143" s="63" t="str">
        <f t="shared" ca="1" si="71"/>
        <v>N/A</v>
      </c>
      <c r="N143" s="63" t="str">
        <f t="shared" ca="1" si="71"/>
        <v>N/A</v>
      </c>
      <c r="O143" s="63" t="str">
        <f t="shared" ca="1" si="71"/>
        <v>N/A</v>
      </c>
      <c r="P143" s="63" t="str">
        <f t="shared" ca="1" si="71"/>
        <v>N/A</v>
      </c>
      <c r="Q143" s="63" t="str">
        <f t="shared" ca="1" si="71"/>
        <v>N/A</v>
      </c>
      <c r="R143" s="63" t="str">
        <f t="shared" ca="1" si="71"/>
        <v>N/A</v>
      </c>
      <c r="S143" s="63" t="str">
        <f t="shared" ca="1" si="71"/>
        <v>N/A</v>
      </c>
      <c r="T143" s="63"/>
      <c r="U143" s="17"/>
      <c r="V143" s="17"/>
      <c r="W143" s="17"/>
    </row>
    <row r="144" spans="1:23" hidden="1" x14ac:dyDescent="0.2">
      <c r="A144" s="51">
        <f t="shared" si="63"/>
        <v>0</v>
      </c>
      <c r="B144" s="46" t="e">
        <f t="shared" ca="1" si="64"/>
        <v>#N/A</v>
      </c>
      <c r="C144" s="1" t="str">
        <f>IF(ISERROR(D144),"",IF(D144="","",MAX($C$121:C143)+1))</f>
        <v/>
      </c>
      <c r="D144" t="e">
        <f t="shared" si="65"/>
        <v>#N/A</v>
      </c>
      <c r="E144" s="22"/>
      <c r="F144" s="63" t="e">
        <f t="shared" ca="1" si="68"/>
        <v>#DIV/0!</v>
      </c>
      <c r="G144" s="63" t="str">
        <f t="shared" si="66"/>
        <v>N/A</v>
      </c>
      <c r="H144" s="63"/>
      <c r="I144" s="63" t="str">
        <f t="shared" ca="1" si="70"/>
        <v>N/A</v>
      </c>
      <c r="J144" s="63" t="str">
        <f t="shared" ca="1" si="71"/>
        <v>N/A</v>
      </c>
      <c r="K144" s="63" t="str">
        <f t="shared" ca="1" si="71"/>
        <v>N/A</v>
      </c>
      <c r="L144" s="63" t="str">
        <f t="shared" ca="1" si="71"/>
        <v>N/A</v>
      </c>
      <c r="M144" s="63" t="str">
        <f t="shared" ca="1" si="71"/>
        <v>N/A</v>
      </c>
      <c r="N144" s="63" t="str">
        <f t="shared" ca="1" si="71"/>
        <v>N/A</v>
      </c>
      <c r="O144" s="63" t="str">
        <f t="shared" ca="1" si="71"/>
        <v>N/A</v>
      </c>
      <c r="P144" s="63" t="str">
        <f t="shared" ca="1" si="71"/>
        <v>N/A</v>
      </c>
      <c r="Q144" s="63" t="str">
        <f t="shared" ca="1" si="71"/>
        <v>N/A</v>
      </c>
      <c r="R144" s="63" t="str">
        <f t="shared" ca="1" si="71"/>
        <v>N/A</v>
      </c>
      <c r="S144" s="63" t="str">
        <f t="shared" ca="1" si="71"/>
        <v>N/A</v>
      </c>
      <c r="T144" s="63"/>
      <c r="U144" s="17"/>
      <c r="V144" s="17"/>
      <c r="W144" s="17"/>
    </row>
    <row r="145" spans="1:23" hidden="1" x14ac:dyDescent="0.2">
      <c r="A145" s="51">
        <f t="shared" si="63"/>
        <v>0</v>
      </c>
      <c r="B145" s="46" t="e">
        <f t="shared" ca="1" si="64"/>
        <v>#N/A</v>
      </c>
      <c r="C145" s="1" t="str">
        <f>IF(ISERROR(D145),"",IF(D145="","",MAX($C$121:C144)+1))</f>
        <v/>
      </c>
      <c r="D145" t="e">
        <f t="shared" si="65"/>
        <v>#N/A</v>
      </c>
      <c r="E145" s="22"/>
      <c r="F145" s="63" t="e">
        <f t="shared" ca="1" si="68"/>
        <v>#DIV/0!</v>
      </c>
      <c r="G145" s="63" t="str">
        <f t="shared" si="66"/>
        <v>N/A</v>
      </c>
      <c r="H145" s="63"/>
      <c r="I145" s="63" t="str">
        <f t="shared" ca="1" si="70"/>
        <v>N/A</v>
      </c>
      <c r="J145" s="63" t="str">
        <f t="shared" ca="1" si="71"/>
        <v>N/A</v>
      </c>
      <c r="K145" s="63" t="str">
        <f t="shared" ca="1" si="71"/>
        <v>N/A</v>
      </c>
      <c r="L145" s="63" t="str">
        <f t="shared" ca="1" si="71"/>
        <v>N/A</v>
      </c>
      <c r="M145" s="63" t="str">
        <f t="shared" ca="1" si="71"/>
        <v>N/A</v>
      </c>
      <c r="N145" s="63" t="str">
        <f t="shared" ca="1" si="71"/>
        <v>N/A</v>
      </c>
      <c r="O145" s="63" t="str">
        <f t="shared" ca="1" si="71"/>
        <v>N/A</v>
      </c>
      <c r="P145" s="63" t="str">
        <f t="shared" ca="1" si="71"/>
        <v>N/A</v>
      </c>
      <c r="Q145" s="63" t="str">
        <f t="shared" ca="1" si="71"/>
        <v>N/A</v>
      </c>
      <c r="R145" s="63" t="str">
        <f t="shared" ca="1" si="71"/>
        <v>N/A</v>
      </c>
      <c r="S145" s="63" t="str">
        <f t="shared" ca="1" si="71"/>
        <v>N/A</v>
      </c>
      <c r="T145" s="63"/>
      <c r="U145" s="17"/>
      <c r="V145" s="17"/>
      <c r="W145" s="17"/>
    </row>
    <row r="146" spans="1:23" hidden="1" x14ac:dyDescent="0.2">
      <c r="A146" s="51">
        <f t="shared" si="63"/>
        <v>0</v>
      </c>
      <c r="B146" s="46" t="e">
        <f t="shared" ca="1" si="64"/>
        <v>#N/A</v>
      </c>
      <c r="C146" s="1" t="str">
        <f>IF(ISERROR(D146),"",IF(D146="","",MAX($C$121:C145)+1))</f>
        <v/>
      </c>
      <c r="D146" t="e">
        <f t="shared" si="65"/>
        <v>#N/A</v>
      </c>
      <c r="E146" s="22"/>
      <c r="F146" s="63" t="e">
        <f t="shared" ca="1" si="68"/>
        <v>#DIV/0!</v>
      </c>
      <c r="G146" s="63" t="str">
        <f t="shared" si="66"/>
        <v>N/A</v>
      </c>
      <c r="H146" s="63"/>
      <c r="I146" s="63" t="str">
        <f t="shared" ca="1" si="70"/>
        <v>N/A</v>
      </c>
      <c r="J146" s="63" t="str">
        <f t="shared" ca="1" si="71"/>
        <v>N/A</v>
      </c>
      <c r="K146" s="63" t="str">
        <f t="shared" ca="1" si="71"/>
        <v>N/A</v>
      </c>
      <c r="L146" s="63" t="str">
        <f t="shared" ca="1" si="71"/>
        <v>N/A</v>
      </c>
      <c r="M146" s="63" t="str">
        <f t="shared" ca="1" si="71"/>
        <v>N/A</v>
      </c>
      <c r="N146" s="63" t="str">
        <f t="shared" ca="1" si="71"/>
        <v>N/A</v>
      </c>
      <c r="O146" s="63" t="str">
        <f t="shared" ca="1" si="71"/>
        <v>N/A</v>
      </c>
      <c r="P146" s="63" t="str">
        <f t="shared" ca="1" si="71"/>
        <v>N/A</v>
      </c>
      <c r="Q146" s="63" t="str">
        <f t="shared" ca="1" si="71"/>
        <v>N/A</v>
      </c>
      <c r="R146" s="63" t="str">
        <f t="shared" ca="1" si="71"/>
        <v>N/A</v>
      </c>
      <c r="S146" s="63" t="str">
        <f t="shared" ca="1" si="71"/>
        <v>N/A</v>
      </c>
      <c r="T146" s="63"/>
      <c r="U146" s="17"/>
      <c r="V146" s="17"/>
      <c r="W146" s="17"/>
    </row>
    <row r="147" spans="1:23" hidden="1" x14ac:dyDescent="0.2">
      <c r="A147" s="51">
        <f t="shared" si="63"/>
        <v>0</v>
      </c>
      <c r="B147" s="46" t="e">
        <f t="shared" ca="1" si="64"/>
        <v>#N/A</v>
      </c>
      <c r="C147" s="1" t="str">
        <f>IF(ISERROR(D147),"",IF(D147="","",MAX($C$121:C146)+1))</f>
        <v/>
      </c>
      <c r="D147" t="e">
        <f t="shared" si="65"/>
        <v>#N/A</v>
      </c>
      <c r="E147" s="22"/>
      <c r="F147" s="63" t="e">
        <f t="shared" ca="1" si="68"/>
        <v>#DIV/0!</v>
      </c>
      <c r="G147" s="63" t="str">
        <f t="shared" si="66"/>
        <v>N/A</v>
      </c>
      <c r="H147" s="63"/>
      <c r="I147" s="63" t="str">
        <f t="shared" ca="1" si="70"/>
        <v>N/A</v>
      </c>
      <c r="J147" s="63" t="str">
        <f t="shared" ca="1" si="71"/>
        <v>N/A</v>
      </c>
      <c r="K147" s="63" t="str">
        <f t="shared" ca="1" si="71"/>
        <v>N/A</v>
      </c>
      <c r="L147" s="63" t="str">
        <f t="shared" ca="1" si="71"/>
        <v>N/A</v>
      </c>
      <c r="M147" s="63" t="str">
        <f t="shared" ca="1" si="71"/>
        <v>N/A</v>
      </c>
      <c r="N147" s="63" t="str">
        <f t="shared" ca="1" si="71"/>
        <v>N/A</v>
      </c>
      <c r="O147" s="63" t="str">
        <f t="shared" ca="1" si="71"/>
        <v>N/A</v>
      </c>
      <c r="P147" s="63" t="str">
        <f t="shared" ca="1" si="71"/>
        <v>N/A</v>
      </c>
      <c r="Q147" s="63" t="str">
        <f t="shared" ca="1" si="71"/>
        <v>N/A</v>
      </c>
      <c r="R147" s="63" t="str">
        <f t="shared" ca="1" si="71"/>
        <v>N/A</v>
      </c>
      <c r="S147" s="63" t="str">
        <f t="shared" ca="1" si="71"/>
        <v>N/A</v>
      </c>
      <c r="T147" s="63"/>
      <c r="U147" s="17"/>
      <c r="V147" s="17"/>
      <c r="W147" s="17"/>
    </row>
    <row r="148" spans="1:23" hidden="1" x14ac:dyDescent="0.2">
      <c r="A148" s="51">
        <f t="shared" si="63"/>
        <v>0</v>
      </c>
      <c r="B148" s="46" t="e">
        <f t="shared" ca="1" si="64"/>
        <v>#N/A</v>
      </c>
      <c r="C148" s="1" t="str">
        <f>IF(ISERROR(D148),"",IF(D148="","",MAX($C$121:C147)+1))</f>
        <v/>
      </c>
      <c r="D148" t="e">
        <f t="shared" si="65"/>
        <v>#N/A</v>
      </c>
      <c r="E148" s="22"/>
      <c r="F148" s="63" t="e">
        <f t="shared" ca="1" si="68"/>
        <v>#DIV/0!</v>
      </c>
      <c r="G148" s="63" t="str">
        <f t="shared" si="66"/>
        <v>N/A</v>
      </c>
      <c r="H148" s="63"/>
      <c r="I148" s="63" t="str">
        <f t="shared" ca="1" si="70"/>
        <v>N/A</v>
      </c>
      <c r="J148" s="63" t="str">
        <f t="shared" ca="1" si="71"/>
        <v>N/A</v>
      </c>
      <c r="K148" s="63" t="str">
        <f t="shared" ca="1" si="71"/>
        <v>N/A</v>
      </c>
      <c r="L148" s="63" t="str">
        <f t="shared" ca="1" si="71"/>
        <v>N/A</v>
      </c>
      <c r="M148" s="63" t="str">
        <f t="shared" ca="1" si="71"/>
        <v>N/A</v>
      </c>
      <c r="N148" s="63" t="str">
        <f t="shared" ca="1" si="71"/>
        <v>N/A</v>
      </c>
      <c r="O148" s="63" t="str">
        <f t="shared" ca="1" si="71"/>
        <v>N/A</v>
      </c>
      <c r="P148" s="63" t="str">
        <f t="shared" ca="1" si="71"/>
        <v>N/A</v>
      </c>
      <c r="Q148" s="63" t="str">
        <f t="shared" ca="1" si="71"/>
        <v>N/A</v>
      </c>
      <c r="R148" s="63" t="str">
        <f t="shared" ca="1" si="71"/>
        <v>N/A</v>
      </c>
      <c r="S148" s="63" t="str">
        <f t="shared" ca="1" si="71"/>
        <v>N/A</v>
      </c>
      <c r="T148" s="63"/>
      <c r="U148" s="17"/>
      <c r="V148" s="17"/>
      <c r="W148" s="17"/>
    </row>
    <row r="149" spans="1:23" hidden="1" x14ac:dyDescent="0.2">
      <c r="A149" s="51">
        <f t="shared" si="63"/>
        <v>0</v>
      </c>
      <c r="B149" s="46" t="e">
        <f t="shared" ca="1" si="64"/>
        <v>#N/A</v>
      </c>
      <c r="C149" s="1" t="str">
        <f>IF(ISERROR(D149),"",IF(D149="","",MAX($C$121:C148)+1))</f>
        <v/>
      </c>
      <c r="D149" t="e">
        <f t="shared" si="65"/>
        <v>#N/A</v>
      </c>
      <c r="E149" s="22"/>
      <c r="F149" s="63" t="e">
        <f t="shared" ca="1" si="68"/>
        <v>#DIV/0!</v>
      </c>
      <c r="G149" s="63" t="str">
        <f t="shared" si="66"/>
        <v>N/A</v>
      </c>
      <c r="H149" s="63"/>
      <c r="I149" s="63" t="str">
        <f t="shared" ca="1" si="70"/>
        <v>N/A</v>
      </c>
      <c r="J149" s="63" t="str">
        <f t="shared" ca="1" si="71"/>
        <v>N/A</v>
      </c>
      <c r="K149" s="63" t="str">
        <f t="shared" ca="1" si="71"/>
        <v>N/A</v>
      </c>
      <c r="L149" s="63" t="str">
        <f t="shared" ca="1" si="71"/>
        <v>N/A</v>
      </c>
      <c r="M149" s="63" t="str">
        <f t="shared" ca="1" si="71"/>
        <v>N/A</v>
      </c>
      <c r="N149" s="63" t="str">
        <f t="shared" ca="1" si="71"/>
        <v>N/A</v>
      </c>
      <c r="O149" s="63" t="str">
        <f t="shared" ca="1" si="71"/>
        <v>N/A</v>
      </c>
      <c r="P149" s="63" t="str">
        <f t="shared" ca="1" si="71"/>
        <v>N/A</v>
      </c>
      <c r="Q149" s="63" t="str">
        <f t="shared" ca="1" si="71"/>
        <v>N/A</v>
      </c>
      <c r="R149" s="63" t="str">
        <f t="shared" ca="1" si="71"/>
        <v>N/A</v>
      </c>
      <c r="S149" s="63" t="str">
        <f t="shared" ca="1" si="71"/>
        <v>N/A</v>
      </c>
      <c r="T149" s="63"/>
      <c r="U149" s="17"/>
      <c r="V149" s="17"/>
      <c r="W149" s="17"/>
    </row>
    <row r="150" spans="1:23" hidden="1" x14ac:dyDescent="0.2">
      <c r="A150" s="51">
        <f t="shared" si="63"/>
        <v>0</v>
      </c>
      <c r="B150" s="46" t="e">
        <f t="shared" ca="1" si="64"/>
        <v>#N/A</v>
      </c>
      <c r="C150" s="1" t="str">
        <f>IF(ISERROR(D150),"",IF(D150="","",MAX($C$121:C149)+1))</f>
        <v/>
      </c>
      <c r="D150" t="e">
        <f t="shared" si="65"/>
        <v>#N/A</v>
      </c>
      <c r="E150" s="22"/>
      <c r="F150" s="63" t="e">
        <f t="shared" ca="1" si="68"/>
        <v>#DIV/0!</v>
      </c>
      <c r="G150" s="63" t="str">
        <f t="shared" si="66"/>
        <v>N/A</v>
      </c>
      <c r="H150" s="63"/>
      <c r="I150" s="63" t="str">
        <f t="shared" ca="1" si="70"/>
        <v>N/A</v>
      </c>
      <c r="J150" s="63" t="str">
        <f t="shared" ca="1" si="71"/>
        <v>N/A</v>
      </c>
      <c r="K150" s="63" t="str">
        <f t="shared" ca="1" si="71"/>
        <v>N/A</v>
      </c>
      <c r="L150" s="63" t="str">
        <f t="shared" ca="1" si="71"/>
        <v>N/A</v>
      </c>
      <c r="M150" s="63" t="str">
        <f t="shared" ca="1" si="71"/>
        <v>N/A</v>
      </c>
      <c r="N150" s="63" t="str">
        <f t="shared" ca="1" si="71"/>
        <v>N/A</v>
      </c>
      <c r="O150" s="63" t="str">
        <f t="shared" ca="1" si="71"/>
        <v>N/A</v>
      </c>
      <c r="P150" s="63" t="str">
        <f t="shared" ca="1" si="71"/>
        <v>N/A</v>
      </c>
      <c r="Q150" s="63" t="str">
        <f t="shared" ca="1" si="71"/>
        <v>N/A</v>
      </c>
      <c r="R150" s="63" t="str">
        <f t="shared" ca="1" si="71"/>
        <v>N/A</v>
      </c>
      <c r="S150" s="63" t="str">
        <f t="shared" ca="1" si="71"/>
        <v>N/A</v>
      </c>
      <c r="T150" s="63"/>
      <c r="U150" s="17"/>
      <c r="V150" s="17"/>
      <c r="W150" s="17"/>
    </row>
    <row r="151" spans="1:23" hidden="1" x14ac:dyDescent="0.2">
      <c r="A151" s="51">
        <f t="shared" si="63"/>
        <v>0</v>
      </c>
      <c r="B151" s="46" t="e">
        <f t="shared" ca="1" si="64"/>
        <v>#N/A</v>
      </c>
      <c r="C151" s="1" t="str">
        <f>IF(ISERROR(D151),"",IF(D151="","",MAX($C$121:C150)+1))</f>
        <v/>
      </c>
      <c r="D151" t="e">
        <f t="shared" si="65"/>
        <v>#N/A</v>
      </c>
      <c r="E151" s="22"/>
      <c r="F151" s="63" t="e">
        <f t="shared" ca="1" si="68"/>
        <v>#DIV/0!</v>
      </c>
      <c r="G151" s="63" t="str">
        <f t="shared" si="66"/>
        <v>N/A</v>
      </c>
      <c r="H151" s="63"/>
      <c r="I151" s="63" t="str">
        <f t="shared" ca="1" si="70"/>
        <v>N/A</v>
      </c>
      <c r="J151" s="63" t="str">
        <f t="shared" ca="1" si="71"/>
        <v>N/A</v>
      </c>
      <c r="K151" s="63" t="str">
        <f t="shared" ca="1" si="71"/>
        <v>N/A</v>
      </c>
      <c r="L151" s="63" t="str">
        <f t="shared" ca="1" si="71"/>
        <v>N/A</v>
      </c>
      <c r="M151" s="63" t="str">
        <f t="shared" ca="1" si="71"/>
        <v>N/A</v>
      </c>
      <c r="N151" s="63" t="str">
        <f t="shared" ca="1" si="71"/>
        <v>N/A</v>
      </c>
      <c r="O151" s="63" t="str">
        <f t="shared" ca="1" si="71"/>
        <v>N/A</v>
      </c>
      <c r="P151" s="63" t="str">
        <f t="shared" ca="1" si="71"/>
        <v>N/A</v>
      </c>
      <c r="Q151" s="63" t="str">
        <f t="shared" ca="1" si="71"/>
        <v>N/A</v>
      </c>
      <c r="R151" s="63" t="str">
        <f t="shared" ca="1" si="71"/>
        <v>N/A</v>
      </c>
      <c r="S151" s="63" t="str">
        <f t="shared" ca="1" si="71"/>
        <v>N/A</v>
      </c>
      <c r="T151" s="63"/>
      <c r="U151" s="17"/>
      <c r="V151" s="17"/>
      <c r="W151" s="17"/>
    </row>
    <row r="152" spans="1:23" hidden="1" x14ac:dyDescent="0.2">
      <c r="A152" s="51">
        <f t="shared" si="63"/>
        <v>0</v>
      </c>
      <c r="B152" s="46" t="e">
        <f t="shared" ca="1" si="64"/>
        <v>#N/A</v>
      </c>
      <c r="C152" s="1" t="str">
        <f>IF(ISERROR(D152),"",IF(D152="","",MAX($C$121:C151)+1))</f>
        <v/>
      </c>
      <c r="D152" t="e">
        <f t="shared" si="65"/>
        <v>#N/A</v>
      </c>
      <c r="E152" s="22"/>
      <c r="F152" s="63" t="e">
        <f t="shared" ca="1" si="68"/>
        <v>#DIV/0!</v>
      </c>
      <c r="G152" s="63" t="str">
        <f t="shared" si="66"/>
        <v>N/A</v>
      </c>
      <c r="H152" s="63"/>
      <c r="I152" s="63" t="str">
        <f t="shared" ca="1" si="70"/>
        <v>N/A</v>
      </c>
      <c r="J152" s="63" t="str">
        <f t="shared" ca="1" si="71"/>
        <v>N/A</v>
      </c>
      <c r="K152" s="63" t="str">
        <f t="shared" ca="1" si="71"/>
        <v>N/A</v>
      </c>
      <c r="L152" s="63" t="str">
        <f t="shared" ca="1" si="71"/>
        <v>N/A</v>
      </c>
      <c r="M152" s="63" t="str">
        <f t="shared" ca="1" si="71"/>
        <v>N/A</v>
      </c>
      <c r="N152" s="63" t="str">
        <f t="shared" ca="1" si="71"/>
        <v>N/A</v>
      </c>
      <c r="O152" s="63" t="str">
        <f t="shared" ca="1" si="71"/>
        <v>N/A</v>
      </c>
      <c r="P152" s="63" t="str">
        <f t="shared" ca="1" si="71"/>
        <v>N/A</v>
      </c>
      <c r="Q152" s="63" t="str">
        <f t="shared" ca="1" si="71"/>
        <v>N/A</v>
      </c>
      <c r="R152" s="63" t="str">
        <f t="shared" ca="1" si="71"/>
        <v>N/A</v>
      </c>
      <c r="S152" s="63" t="str">
        <f t="shared" ca="1" si="71"/>
        <v>N/A</v>
      </c>
      <c r="T152" s="63"/>
      <c r="U152" s="17"/>
      <c r="V152" s="17"/>
      <c r="W152" s="17"/>
    </row>
    <row r="153" spans="1:23" hidden="1" x14ac:dyDescent="0.2">
      <c r="A153" s="51">
        <f t="shared" si="63"/>
        <v>0</v>
      </c>
      <c r="B153" s="46" t="e">
        <f t="shared" ca="1" si="64"/>
        <v>#N/A</v>
      </c>
      <c r="C153" s="1" t="str">
        <f>IF(ISERROR(D153),"",IF(D153="","",MAX($C$121:C152)+1))</f>
        <v/>
      </c>
      <c r="D153" t="e">
        <f t="shared" si="65"/>
        <v>#N/A</v>
      </c>
      <c r="E153" s="22"/>
      <c r="F153" s="63" t="e">
        <f t="shared" ca="1" si="68"/>
        <v>#DIV/0!</v>
      </c>
      <c r="G153" s="63" t="str">
        <f t="shared" si="66"/>
        <v>N/A</v>
      </c>
      <c r="H153" s="63"/>
      <c r="I153" s="63" t="str">
        <f t="shared" ca="1" si="70"/>
        <v>N/A</v>
      </c>
      <c r="J153" s="63" t="str">
        <f t="shared" ref="J153:S167" ca="1" si="72">IFERROR(IF(INDEX(CF_CAP_WP,$B153,J$122)=0,"N/A",INDEX(CF_CAP_WP,$B153,J$122)),"N/A")</f>
        <v>N/A</v>
      </c>
      <c r="K153" s="63" t="str">
        <f t="shared" ca="1" si="72"/>
        <v>N/A</v>
      </c>
      <c r="L153" s="63" t="str">
        <f t="shared" ca="1" si="72"/>
        <v>N/A</v>
      </c>
      <c r="M153" s="63" t="str">
        <f t="shared" ca="1" si="72"/>
        <v>N/A</v>
      </c>
      <c r="N153" s="63" t="str">
        <f t="shared" ca="1" si="72"/>
        <v>N/A</v>
      </c>
      <c r="O153" s="63" t="str">
        <f t="shared" ca="1" si="72"/>
        <v>N/A</v>
      </c>
      <c r="P153" s="63" t="str">
        <f t="shared" ca="1" si="72"/>
        <v>N/A</v>
      </c>
      <c r="Q153" s="63" t="str">
        <f t="shared" ca="1" si="72"/>
        <v>N/A</v>
      </c>
      <c r="R153" s="63" t="str">
        <f t="shared" ca="1" si="72"/>
        <v>N/A</v>
      </c>
      <c r="S153" s="63" t="str">
        <f t="shared" ca="1" si="72"/>
        <v>N/A</v>
      </c>
      <c r="T153" s="63"/>
      <c r="U153" s="17"/>
      <c r="V153" s="17"/>
      <c r="W153" s="17"/>
    </row>
    <row r="154" spans="1:23" hidden="1" x14ac:dyDescent="0.2">
      <c r="A154" s="51">
        <f t="shared" si="63"/>
        <v>0</v>
      </c>
      <c r="B154" s="46" t="e">
        <f t="shared" ca="1" si="64"/>
        <v>#N/A</v>
      </c>
      <c r="C154" s="1" t="str">
        <f>IF(ISERROR(D154),"",IF(D154="","",MAX($C$121:C153)+1))</f>
        <v/>
      </c>
      <c r="D154" t="e">
        <f t="shared" si="65"/>
        <v>#N/A</v>
      </c>
      <c r="E154" s="22"/>
      <c r="F154" s="63" t="e">
        <f t="shared" ca="1" si="68"/>
        <v>#DIV/0!</v>
      </c>
      <c r="G154" s="63" t="str">
        <f t="shared" si="66"/>
        <v>N/A</v>
      </c>
      <c r="H154" s="63"/>
      <c r="I154" s="63" t="str">
        <f t="shared" ca="1" si="70"/>
        <v>N/A</v>
      </c>
      <c r="J154" s="63" t="str">
        <f t="shared" ca="1" si="72"/>
        <v>N/A</v>
      </c>
      <c r="K154" s="63" t="str">
        <f t="shared" ca="1" si="72"/>
        <v>N/A</v>
      </c>
      <c r="L154" s="63" t="str">
        <f t="shared" ca="1" si="72"/>
        <v>N/A</v>
      </c>
      <c r="M154" s="63" t="str">
        <f t="shared" ca="1" si="72"/>
        <v>N/A</v>
      </c>
      <c r="N154" s="63" t="str">
        <f t="shared" ca="1" si="72"/>
        <v>N/A</v>
      </c>
      <c r="O154" s="63" t="str">
        <f t="shared" ca="1" si="72"/>
        <v>N/A</v>
      </c>
      <c r="P154" s="63" t="str">
        <f t="shared" ca="1" si="72"/>
        <v>N/A</v>
      </c>
      <c r="Q154" s="63" t="str">
        <f t="shared" ca="1" si="72"/>
        <v>N/A</v>
      </c>
      <c r="R154" s="63" t="str">
        <f t="shared" ca="1" si="72"/>
        <v>N/A</v>
      </c>
      <c r="S154" s="63" t="str">
        <f t="shared" ca="1" si="72"/>
        <v>N/A</v>
      </c>
      <c r="T154" s="63"/>
      <c r="U154" s="17"/>
      <c r="V154" s="17"/>
      <c r="W154" s="17"/>
    </row>
    <row r="155" spans="1:23" hidden="1" x14ac:dyDescent="0.2">
      <c r="A155" s="51">
        <f t="shared" si="63"/>
        <v>0</v>
      </c>
      <c r="B155" s="46" t="e">
        <f t="shared" ca="1" si="64"/>
        <v>#N/A</v>
      </c>
      <c r="C155" s="1" t="str">
        <f>IF(ISERROR(D155),"",IF(D155="","",MAX($C$121:C154)+1))</f>
        <v/>
      </c>
      <c r="D155" t="e">
        <f t="shared" si="65"/>
        <v>#N/A</v>
      </c>
      <c r="E155" s="22"/>
      <c r="F155" s="63" t="e">
        <f t="shared" ca="1" si="68"/>
        <v>#DIV/0!</v>
      </c>
      <c r="G155" s="63" t="str">
        <f t="shared" si="66"/>
        <v>N/A</v>
      </c>
      <c r="H155" s="63"/>
      <c r="I155" s="63" t="str">
        <f t="shared" ca="1" si="70"/>
        <v>N/A</v>
      </c>
      <c r="J155" s="63" t="str">
        <f t="shared" ca="1" si="72"/>
        <v>N/A</v>
      </c>
      <c r="K155" s="63" t="str">
        <f t="shared" ca="1" si="72"/>
        <v>N/A</v>
      </c>
      <c r="L155" s="63" t="str">
        <f t="shared" ca="1" si="72"/>
        <v>N/A</v>
      </c>
      <c r="M155" s="63" t="str">
        <f t="shared" ca="1" si="72"/>
        <v>N/A</v>
      </c>
      <c r="N155" s="63" t="str">
        <f t="shared" ca="1" si="72"/>
        <v>N/A</v>
      </c>
      <c r="O155" s="63" t="str">
        <f t="shared" ca="1" si="72"/>
        <v>N/A</v>
      </c>
      <c r="P155" s="63" t="str">
        <f t="shared" ca="1" si="72"/>
        <v>N/A</v>
      </c>
      <c r="Q155" s="63" t="str">
        <f t="shared" ca="1" si="72"/>
        <v>N/A</v>
      </c>
      <c r="R155" s="63" t="str">
        <f t="shared" ca="1" si="72"/>
        <v>N/A</v>
      </c>
      <c r="S155" s="63" t="str">
        <f t="shared" ca="1" si="72"/>
        <v>N/A</v>
      </c>
      <c r="T155" s="63"/>
      <c r="U155" s="17"/>
      <c r="V155" s="17"/>
      <c r="W155" s="17"/>
    </row>
    <row r="156" spans="1:23" hidden="1" x14ac:dyDescent="0.2">
      <c r="A156" s="51">
        <f t="shared" si="63"/>
        <v>0</v>
      </c>
      <c r="B156" s="46" t="e">
        <f t="shared" ca="1" si="64"/>
        <v>#N/A</v>
      </c>
      <c r="C156" s="1" t="str">
        <f>IF(ISERROR(D156),"",IF(D156="","",MAX($C$121:C155)+1))</f>
        <v/>
      </c>
      <c r="D156" t="e">
        <f t="shared" si="65"/>
        <v>#N/A</v>
      </c>
      <c r="E156" s="22"/>
      <c r="F156" s="63" t="e">
        <f t="shared" ca="1" si="68"/>
        <v>#DIV/0!</v>
      </c>
      <c r="G156" s="63" t="str">
        <f t="shared" si="66"/>
        <v>N/A</v>
      </c>
      <c r="H156" s="63"/>
      <c r="I156" s="63" t="str">
        <f t="shared" ca="1" si="70"/>
        <v>N/A</v>
      </c>
      <c r="J156" s="63" t="str">
        <f t="shared" ca="1" si="72"/>
        <v>N/A</v>
      </c>
      <c r="K156" s="63" t="str">
        <f t="shared" ca="1" si="72"/>
        <v>N/A</v>
      </c>
      <c r="L156" s="63" t="str">
        <f t="shared" ca="1" si="72"/>
        <v>N/A</v>
      </c>
      <c r="M156" s="63" t="str">
        <f t="shared" ca="1" si="72"/>
        <v>N/A</v>
      </c>
      <c r="N156" s="63" t="str">
        <f t="shared" ca="1" si="72"/>
        <v>N/A</v>
      </c>
      <c r="O156" s="63" t="str">
        <f t="shared" ca="1" si="72"/>
        <v>N/A</v>
      </c>
      <c r="P156" s="63" t="str">
        <f t="shared" ca="1" si="72"/>
        <v>N/A</v>
      </c>
      <c r="Q156" s="63" t="str">
        <f t="shared" ca="1" si="72"/>
        <v>N/A</v>
      </c>
      <c r="R156" s="63" t="str">
        <f t="shared" ca="1" si="72"/>
        <v>N/A</v>
      </c>
      <c r="S156" s="63" t="str">
        <f t="shared" ca="1" si="72"/>
        <v>N/A</v>
      </c>
      <c r="T156" s="63"/>
      <c r="U156" s="17"/>
      <c r="V156" s="17"/>
      <c r="W156" s="17"/>
    </row>
    <row r="157" spans="1:23" hidden="1" x14ac:dyDescent="0.2">
      <c r="A157" s="51">
        <f t="shared" si="63"/>
        <v>0</v>
      </c>
      <c r="B157" s="46" t="e">
        <f t="shared" ca="1" si="64"/>
        <v>#N/A</v>
      </c>
      <c r="C157" s="1" t="str">
        <f>IF(ISERROR(D157),"",IF(D157="","",MAX($C$121:C156)+1))</f>
        <v/>
      </c>
      <c r="D157" t="e">
        <f t="shared" si="65"/>
        <v>#N/A</v>
      </c>
      <c r="E157" s="22"/>
      <c r="F157" s="63" t="e">
        <f t="shared" ca="1" si="68"/>
        <v>#DIV/0!</v>
      </c>
      <c r="G157" s="63" t="str">
        <f t="shared" si="66"/>
        <v>N/A</v>
      </c>
      <c r="H157" s="63"/>
      <c r="I157" s="63" t="str">
        <f t="shared" ca="1" si="70"/>
        <v>N/A</v>
      </c>
      <c r="J157" s="63" t="str">
        <f t="shared" ca="1" si="72"/>
        <v>N/A</v>
      </c>
      <c r="K157" s="63" t="str">
        <f t="shared" ca="1" si="72"/>
        <v>N/A</v>
      </c>
      <c r="L157" s="63" t="str">
        <f t="shared" ca="1" si="72"/>
        <v>N/A</v>
      </c>
      <c r="M157" s="63" t="str">
        <f t="shared" ca="1" si="72"/>
        <v>N/A</v>
      </c>
      <c r="N157" s="63" t="str">
        <f t="shared" ca="1" si="72"/>
        <v>N/A</v>
      </c>
      <c r="O157" s="63" t="str">
        <f t="shared" ca="1" si="72"/>
        <v>N/A</v>
      </c>
      <c r="P157" s="63" t="str">
        <f t="shared" ca="1" si="72"/>
        <v>N/A</v>
      </c>
      <c r="Q157" s="63" t="str">
        <f t="shared" ca="1" si="72"/>
        <v>N/A</v>
      </c>
      <c r="R157" s="63" t="str">
        <f t="shared" ca="1" si="72"/>
        <v>N/A</v>
      </c>
      <c r="S157" s="63" t="str">
        <f t="shared" ca="1" si="72"/>
        <v>N/A</v>
      </c>
      <c r="T157" s="63"/>
      <c r="U157" s="17"/>
      <c r="V157" s="17"/>
      <c r="W157" s="17"/>
    </row>
    <row r="158" spans="1:23" hidden="1" x14ac:dyDescent="0.2">
      <c r="A158" s="51">
        <f t="shared" si="63"/>
        <v>0</v>
      </c>
      <c r="B158" s="46" t="e">
        <f t="shared" ca="1" si="64"/>
        <v>#N/A</v>
      </c>
      <c r="C158" s="1" t="str">
        <f>IF(ISERROR(D158),"",IF(D158="","",MAX($C$121:C157)+1))</f>
        <v/>
      </c>
      <c r="D158" t="e">
        <f t="shared" si="65"/>
        <v>#N/A</v>
      </c>
      <c r="E158" s="22"/>
      <c r="F158" s="63" t="e">
        <f t="shared" ca="1" si="68"/>
        <v>#DIV/0!</v>
      </c>
      <c r="G158" s="63" t="str">
        <f t="shared" si="66"/>
        <v>N/A</v>
      </c>
      <c r="H158" s="63"/>
      <c r="I158" s="63" t="str">
        <f t="shared" ca="1" si="70"/>
        <v>N/A</v>
      </c>
      <c r="J158" s="63" t="str">
        <f t="shared" ca="1" si="72"/>
        <v>N/A</v>
      </c>
      <c r="K158" s="63" t="str">
        <f t="shared" ca="1" si="72"/>
        <v>N/A</v>
      </c>
      <c r="L158" s="63" t="str">
        <f t="shared" ca="1" si="72"/>
        <v>N/A</v>
      </c>
      <c r="M158" s="63" t="str">
        <f t="shared" ca="1" si="72"/>
        <v>N/A</v>
      </c>
      <c r="N158" s="63" t="str">
        <f t="shared" ca="1" si="72"/>
        <v>N/A</v>
      </c>
      <c r="O158" s="63" t="str">
        <f t="shared" ca="1" si="72"/>
        <v>N/A</v>
      </c>
      <c r="P158" s="63" t="str">
        <f t="shared" ca="1" si="72"/>
        <v>N/A</v>
      </c>
      <c r="Q158" s="63" t="str">
        <f t="shared" ca="1" si="72"/>
        <v>N/A</v>
      </c>
      <c r="R158" s="63" t="str">
        <f t="shared" ca="1" si="72"/>
        <v>N/A</v>
      </c>
      <c r="S158" s="63" t="str">
        <f t="shared" ca="1" si="72"/>
        <v>N/A</v>
      </c>
      <c r="T158" s="63"/>
      <c r="U158" s="17"/>
      <c r="V158" s="17"/>
      <c r="W158" s="17"/>
    </row>
    <row r="159" spans="1:23" hidden="1" x14ac:dyDescent="0.2">
      <c r="A159" s="51">
        <f t="shared" si="63"/>
        <v>0</v>
      </c>
      <c r="B159" s="46" t="e">
        <f t="shared" ca="1" si="64"/>
        <v>#N/A</v>
      </c>
      <c r="C159" s="1" t="str">
        <f>IF(ISERROR(D159),"",IF(D159="","",MAX($C$121:C158)+1))</f>
        <v/>
      </c>
      <c r="D159" t="e">
        <f t="shared" si="65"/>
        <v>#N/A</v>
      </c>
      <c r="E159" s="22"/>
      <c r="F159" s="63" t="e">
        <f t="shared" ca="1" si="68"/>
        <v>#DIV/0!</v>
      </c>
      <c r="G159" s="63" t="str">
        <f t="shared" si="66"/>
        <v>N/A</v>
      </c>
      <c r="H159" s="63"/>
      <c r="I159" s="63" t="str">
        <f t="shared" ca="1" si="70"/>
        <v>N/A</v>
      </c>
      <c r="J159" s="63" t="str">
        <f t="shared" ca="1" si="72"/>
        <v>N/A</v>
      </c>
      <c r="K159" s="63" t="str">
        <f t="shared" ca="1" si="72"/>
        <v>N/A</v>
      </c>
      <c r="L159" s="63" t="str">
        <f t="shared" ca="1" si="72"/>
        <v>N/A</v>
      </c>
      <c r="M159" s="63" t="str">
        <f t="shared" ca="1" si="72"/>
        <v>N/A</v>
      </c>
      <c r="N159" s="63" t="str">
        <f t="shared" ca="1" si="72"/>
        <v>N/A</v>
      </c>
      <c r="O159" s="63" t="str">
        <f t="shared" ca="1" si="72"/>
        <v>N/A</v>
      </c>
      <c r="P159" s="63" t="str">
        <f t="shared" ca="1" si="72"/>
        <v>N/A</v>
      </c>
      <c r="Q159" s="63" t="str">
        <f t="shared" ca="1" si="72"/>
        <v>N/A</v>
      </c>
      <c r="R159" s="63" t="str">
        <f t="shared" ca="1" si="72"/>
        <v>N/A</v>
      </c>
      <c r="S159" s="63" t="str">
        <f t="shared" ca="1" si="72"/>
        <v>N/A</v>
      </c>
      <c r="T159" s="63"/>
      <c r="U159" s="17"/>
      <c r="V159" s="17"/>
      <c r="W159" s="17"/>
    </row>
    <row r="160" spans="1:23" hidden="1" x14ac:dyDescent="0.2">
      <c r="A160" s="51">
        <f t="shared" si="63"/>
        <v>0</v>
      </c>
      <c r="B160" s="46" t="e">
        <f t="shared" ca="1" si="64"/>
        <v>#N/A</v>
      </c>
      <c r="C160" s="1" t="str">
        <f>IF(ISERROR(D160),"",IF(D160="","",MAX($C$121:C159)+1))</f>
        <v/>
      </c>
      <c r="D160" t="e">
        <f t="shared" si="65"/>
        <v>#N/A</v>
      </c>
      <c r="E160" s="22"/>
      <c r="F160" s="63" t="e">
        <f t="shared" ca="1" si="68"/>
        <v>#DIV/0!</v>
      </c>
      <c r="G160" s="63" t="str">
        <f t="shared" si="66"/>
        <v>N/A</v>
      </c>
      <c r="H160" s="63"/>
      <c r="I160" s="63" t="str">
        <f t="shared" ca="1" si="70"/>
        <v>N/A</v>
      </c>
      <c r="J160" s="63" t="str">
        <f t="shared" ca="1" si="72"/>
        <v>N/A</v>
      </c>
      <c r="K160" s="63" t="str">
        <f t="shared" ca="1" si="72"/>
        <v>N/A</v>
      </c>
      <c r="L160" s="63" t="str">
        <f t="shared" ca="1" si="72"/>
        <v>N/A</v>
      </c>
      <c r="M160" s="63" t="str">
        <f t="shared" ca="1" si="72"/>
        <v>N/A</v>
      </c>
      <c r="N160" s="63" t="str">
        <f t="shared" ca="1" si="72"/>
        <v>N/A</v>
      </c>
      <c r="O160" s="63" t="str">
        <f t="shared" ca="1" si="72"/>
        <v>N/A</v>
      </c>
      <c r="P160" s="63" t="str">
        <f t="shared" ca="1" si="72"/>
        <v>N/A</v>
      </c>
      <c r="Q160" s="63" t="str">
        <f t="shared" ca="1" si="72"/>
        <v>N/A</v>
      </c>
      <c r="R160" s="63" t="str">
        <f t="shared" ca="1" si="72"/>
        <v>N/A</v>
      </c>
      <c r="S160" s="63" t="str">
        <f t="shared" ca="1" si="72"/>
        <v>N/A</v>
      </c>
      <c r="T160" s="63"/>
      <c r="U160" s="17"/>
      <c r="V160" s="17"/>
      <c r="W160" s="17"/>
    </row>
    <row r="161" spans="1:23" hidden="1" x14ac:dyDescent="0.2">
      <c r="A161" s="51">
        <f t="shared" si="63"/>
        <v>0</v>
      </c>
      <c r="B161" s="46" t="e">
        <f t="shared" ca="1" si="64"/>
        <v>#N/A</v>
      </c>
      <c r="C161" s="1" t="str">
        <f>IF(ISERROR(D161),"",IF(D161="","",MAX($C$121:C160)+1))</f>
        <v/>
      </c>
      <c r="D161" t="e">
        <f t="shared" si="65"/>
        <v>#N/A</v>
      </c>
      <c r="E161" s="22"/>
      <c r="F161" s="63" t="e">
        <f t="shared" ca="1" si="68"/>
        <v>#DIV/0!</v>
      </c>
      <c r="G161" s="63" t="str">
        <f t="shared" si="66"/>
        <v>N/A</v>
      </c>
      <c r="H161" s="63"/>
      <c r="I161" s="63" t="str">
        <f t="shared" ca="1" si="70"/>
        <v>N/A</v>
      </c>
      <c r="J161" s="63" t="str">
        <f t="shared" ca="1" si="72"/>
        <v>N/A</v>
      </c>
      <c r="K161" s="63" t="str">
        <f t="shared" ca="1" si="72"/>
        <v>N/A</v>
      </c>
      <c r="L161" s="63" t="str">
        <f t="shared" ca="1" si="72"/>
        <v>N/A</v>
      </c>
      <c r="M161" s="63" t="str">
        <f t="shared" ca="1" si="72"/>
        <v>N/A</v>
      </c>
      <c r="N161" s="63" t="str">
        <f t="shared" ca="1" si="72"/>
        <v>N/A</v>
      </c>
      <c r="O161" s="63" t="str">
        <f t="shared" ca="1" si="72"/>
        <v>N/A</v>
      </c>
      <c r="P161" s="63" t="str">
        <f t="shared" ca="1" si="72"/>
        <v>N/A</v>
      </c>
      <c r="Q161" s="63" t="str">
        <f t="shared" ca="1" si="72"/>
        <v>N/A</v>
      </c>
      <c r="R161" s="63" t="str">
        <f t="shared" ca="1" si="72"/>
        <v>N/A</v>
      </c>
      <c r="S161" s="63" t="str">
        <f t="shared" ca="1" si="72"/>
        <v>N/A</v>
      </c>
      <c r="T161" s="63"/>
      <c r="U161" s="17"/>
      <c r="V161" s="17"/>
      <c r="W161" s="17"/>
    </row>
    <row r="162" spans="1:23" hidden="1" x14ac:dyDescent="0.2">
      <c r="A162" s="51">
        <f t="shared" si="63"/>
        <v>0</v>
      </c>
      <c r="B162" s="46" t="e">
        <f t="shared" ca="1" si="64"/>
        <v>#N/A</v>
      </c>
      <c r="C162" s="1" t="str">
        <f>IF(ISERROR(D162),"",IF(D162="","",MAX($C$121:C161)+1))</f>
        <v/>
      </c>
      <c r="D162" t="e">
        <f t="shared" si="65"/>
        <v>#N/A</v>
      </c>
      <c r="E162" s="22"/>
      <c r="F162" s="63" t="e">
        <f t="shared" ca="1" si="68"/>
        <v>#DIV/0!</v>
      </c>
      <c r="G162" s="63" t="str">
        <f t="shared" si="66"/>
        <v>N/A</v>
      </c>
      <c r="H162" s="63"/>
      <c r="I162" s="63" t="str">
        <f t="shared" ca="1" si="70"/>
        <v>N/A</v>
      </c>
      <c r="J162" s="63" t="str">
        <f t="shared" ca="1" si="72"/>
        <v>N/A</v>
      </c>
      <c r="K162" s="63" t="str">
        <f t="shared" ca="1" si="72"/>
        <v>N/A</v>
      </c>
      <c r="L162" s="63" t="str">
        <f t="shared" ca="1" si="72"/>
        <v>N/A</v>
      </c>
      <c r="M162" s="63" t="str">
        <f t="shared" ca="1" si="72"/>
        <v>N/A</v>
      </c>
      <c r="N162" s="63" t="str">
        <f t="shared" ca="1" si="72"/>
        <v>N/A</v>
      </c>
      <c r="O162" s="63" t="str">
        <f t="shared" ca="1" si="72"/>
        <v>N/A</v>
      </c>
      <c r="P162" s="63" t="str">
        <f t="shared" ca="1" si="72"/>
        <v>N/A</v>
      </c>
      <c r="Q162" s="63" t="str">
        <f t="shared" ca="1" si="72"/>
        <v>N/A</v>
      </c>
      <c r="R162" s="63" t="str">
        <f t="shared" ca="1" si="72"/>
        <v>N/A</v>
      </c>
      <c r="S162" s="63" t="str">
        <f t="shared" ca="1" si="72"/>
        <v>N/A</v>
      </c>
      <c r="T162" s="63"/>
      <c r="U162" s="17"/>
      <c r="V162" s="17"/>
      <c r="W162" s="17"/>
    </row>
    <row r="163" spans="1:23" hidden="1" x14ac:dyDescent="0.2">
      <c r="A163" s="51">
        <f t="shared" si="63"/>
        <v>0</v>
      </c>
      <c r="B163" s="46" t="e">
        <f t="shared" ca="1" si="64"/>
        <v>#N/A</v>
      </c>
      <c r="C163" s="1" t="str">
        <f>IF(ISERROR(D163),"",IF(D163="","",MAX($C$121:C162)+1))</f>
        <v/>
      </c>
      <c r="D163" t="e">
        <f t="shared" si="65"/>
        <v>#N/A</v>
      </c>
      <c r="E163" s="22"/>
      <c r="F163" s="63" t="e">
        <f t="shared" ca="1" si="68"/>
        <v>#DIV/0!</v>
      </c>
      <c r="G163" s="63" t="str">
        <f t="shared" si="66"/>
        <v>N/A</v>
      </c>
      <c r="H163" s="63"/>
      <c r="I163" s="63" t="str">
        <f t="shared" ca="1" si="70"/>
        <v>N/A</v>
      </c>
      <c r="J163" s="63" t="str">
        <f t="shared" ca="1" si="72"/>
        <v>N/A</v>
      </c>
      <c r="K163" s="63" t="str">
        <f t="shared" ca="1" si="72"/>
        <v>N/A</v>
      </c>
      <c r="L163" s="63" t="str">
        <f t="shared" ca="1" si="72"/>
        <v>N/A</v>
      </c>
      <c r="M163" s="63" t="str">
        <f t="shared" ca="1" si="72"/>
        <v>N/A</v>
      </c>
      <c r="N163" s="63" t="str">
        <f t="shared" ca="1" si="72"/>
        <v>N/A</v>
      </c>
      <c r="O163" s="63" t="str">
        <f t="shared" ca="1" si="72"/>
        <v>N/A</v>
      </c>
      <c r="P163" s="63" t="str">
        <f t="shared" ca="1" si="72"/>
        <v>N/A</v>
      </c>
      <c r="Q163" s="63" t="str">
        <f t="shared" ca="1" si="72"/>
        <v>N/A</v>
      </c>
      <c r="R163" s="63" t="str">
        <f t="shared" ca="1" si="72"/>
        <v>N/A</v>
      </c>
      <c r="S163" s="63" t="str">
        <f t="shared" ca="1" si="72"/>
        <v>N/A</v>
      </c>
      <c r="T163" s="63"/>
      <c r="U163" s="17"/>
      <c r="V163" s="17"/>
      <c r="W163" s="17"/>
    </row>
    <row r="164" spans="1:23" hidden="1" x14ac:dyDescent="0.2">
      <c r="A164" s="51">
        <f t="shared" si="63"/>
        <v>0</v>
      </c>
      <c r="B164" s="46" t="e">
        <f t="shared" ca="1" si="64"/>
        <v>#N/A</v>
      </c>
      <c r="C164" s="1" t="str">
        <f>IF(ISERROR(D164),"",IF(D164="","",MAX($C$121:C163)+1))</f>
        <v/>
      </c>
      <c r="D164" t="e">
        <f t="shared" si="65"/>
        <v>#N/A</v>
      </c>
      <c r="E164" s="22"/>
      <c r="F164" s="63" t="e">
        <f t="shared" ca="1" si="68"/>
        <v>#DIV/0!</v>
      </c>
      <c r="G164" s="63" t="str">
        <f t="shared" si="66"/>
        <v>N/A</v>
      </c>
      <c r="H164" s="63"/>
      <c r="I164" s="63" t="str">
        <f t="shared" ca="1" si="70"/>
        <v>N/A</v>
      </c>
      <c r="J164" s="63" t="str">
        <f t="shared" ca="1" si="72"/>
        <v>N/A</v>
      </c>
      <c r="K164" s="63" t="str">
        <f t="shared" ca="1" si="72"/>
        <v>N/A</v>
      </c>
      <c r="L164" s="63" t="str">
        <f t="shared" ca="1" si="72"/>
        <v>N/A</v>
      </c>
      <c r="M164" s="63" t="str">
        <f t="shared" ca="1" si="72"/>
        <v>N/A</v>
      </c>
      <c r="N164" s="63" t="str">
        <f t="shared" ca="1" si="72"/>
        <v>N/A</v>
      </c>
      <c r="O164" s="63" t="str">
        <f t="shared" ca="1" si="72"/>
        <v>N/A</v>
      </c>
      <c r="P164" s="63" t="str">
        <f t="shared" ca="1" si="72"/>
        <v>N/A</v>
      </c>
      <c r="Q164" s="63" t="str">
        <f t="shared" ca="1" si="72"/>
        <v>N/A</v>
      </c>
      <c r="R164" s="63" t="str">
        <f t="shared" ca="1" si="72"/>
        <v>N/A</v>
      </c>
      <c r="S164" s="63" t="str">
        <f t="shared" ca="1" si="72"/>
        <v>N/A</v>
      </c>
      <c r="T164" s="63"/>
      <c r="U164" s="17"/>
      <c r="V164" s="17"/>
      <c r="W164" s="17"/>
    </row>
    <row r="165" spans="1:23" hidden="1" x14ac:dyDescent="0.2">
      <c r="A165" s="51">
        <f t="shared" si="63"/>
        <v>0</v>
      </c>
      <c r="B165" s="46" t="e">
        <f t="shared" ca="1" si="64"/>
        <v>#N/A</v>
      </c>
      <c r="C165" s="1" t="str">
        <f>IF(ISERROR(D165),"",IF(D165="","",MAX($C$121:C164)+1))</f>
        <v/>
      </c>
      <c r="D165" t="e">
        <f t="shared" si="65"/>
        <v>#N/A</v>
      </c>
      <c r="F165" s="63" t="e">
        <f t="shared" ca="1" si="68"/>
        <v>#DIV/0!</v>
      </c>
      <c r="G165" s="63" t="str">
        <f t="shared" si="66"/>
        <v>N/A</v>
      </c>
      <c r="H165" s="63"/>
      <c r="I165" s="63" t="str">
        <f t="shared" ca="1" si="70"/>
        <v>N/A</v>
      </c>
      <c r="J165" s="63" t="str">
        <f t="shared" ca="1" si="72"/>
        <v>N/A</v>
      </c>
      <c r="K165" s="63" t="str">
        <f t="shared" ca="1" si="72"/>
        <v>N/A</v>
      </c>
      <c r="L165" s="63" t="str">
        <f t="shared" ca="1" si="72"/>
        <v>N/A</v>
      </c>
      <c r="M165" s="63" t="str">
        <f t="shared" ca="1" si="72"/>
        <v>N/A</v>
      </c>
      <c r="N165" s="63" t="str">
        <f t="shared" ca="1" si="72"/>
        <v>N/A</v>
      </c>
      <c r="O165" s="63" t="str">
        <f t="shared" ca="1" si="72"/>
        <v>N/A</v>
      </c>
      <c r="P165" s="63" t="str">
        <f t="shared" ca="1" si="72"/>
        <v>N/A</v>
      </c>
      <c r="Q165" s="63" t="str">
        <f t="shared" ca="1" si="72"/>
        <v>N/A</v>
      </c>
      <c r="R165" s="63" t="str">
        <f t="shared" ca="1" si="72"/>
        <v>N/A</v>
      </c>
      <c r="S165" s="63" t="str">
        <f t="shared" ca="1" si="72"/>
        <v>N/A</v>
      </c>
      <c r="T165" s="63"/>
      <c r="U165" s="17"/>
      <c r="V165" s="17"/>
      <c r="W165" s="17"/>
    </row>
    <row r="166" spans="1:23" hidden="1" x14ac:dyDescent="0.2">
      <c r="A166" s="51">
        <f t="shared" si="63"/>
        <v>0</v>
      </c>
      <c r="B166" s="46" t="e">
        <f t="shared" ca="1" si="64"/>
        <v>#N/A</v>
      </c>
      <c r="C166" s="1" t="str">
        <f>IF(ISERROR(D166),"",IF(D166="","",MAX($C$121:C165)+1))</f>
        <v/>
      </c>
      <c r="D166" t="e">
        <f t="shared" si="65"/>
        <v>#N/A</v>
      </c>
      <c r="F166" s="63" t="e">
        <f t="shared" ca="1" si="68"/>
        <v>#DIV/0!</v>
      </c>
      <c r="G166" s="63" t="str">
        <f t="shared" si="66"/>
        <v>N/A</v>
      </c>
      <c r="H166" s="63"/>
      <c r="I166" s="63" t="str">
        <f t="shared" ca="1" si="70"/>
        <v>N/A</v>
      </c>
      <c r="J166" s="63" t="str">
        <f t="shared" ca="1" si="72"/>
        <v>N/A</v>
      </c>
      <c r="K166" s="63" t="str">
        <f t="shared" ca="1" si="72"/>
        <v>N/A</v>
      </c>
      <c r="L166" s="63" t="str">
        <f t="shared" ca="1" si="72"/>
        <v>N/A</v>
      </c>
      <c r="M166" s="63" t="str">
        <f t="shared" ca="1" si="72"/>
        <v>N/A</v>
      </c>
      <c r="N166" s="63" t="str">
        <f t="shared" ca="1" si="72"/>
        <v>N/A</v>
      </c>
      <c r="O166" s="63" t="str">
        <f t="shared" ca="1" si="72"/>
        <v>N/A</v>
      </c>
      <c r="P166" s="63" t="str">
        <f t="shared" ca="1" si="72"/>
        <v>N/A</v>
      </c>
      <c r="Q166" s="63" t="str">
        <f t="shared" ca="1" si="72"/>
        <v>N/A</v>
      </c>
      <c r="R166" s="63" t="str">
        <f t="shared" ca="1" si="72"/>
        <v>N/A</v>
      </c>
      <c r="S166" s="63" t="str">
        <f t="shared" ca="1" si="72"/>
        <v>N/A</v>
      </c>
      <c r="T166" s="63"/>
      <c r="U166" s="17"/>
      <c r="V166" s="17"/>
      <c r="W166" s="17"/>
    </row>
    <row r="167" spans="1:23" hidden="1" x14ac:dyDescent="0.2">
      <c r="A167" s="51">
        <f t="shared" si="63"/>
        <v>0</v>
      </c>
      <c r="B167" s="46" t="e">
        <f t="shared" ca="1" si="64"/>
        <v>#N/A</v>
      </c>
      <c r="C167" s="1" t="str">
        <f>IF(ISERROR(D167),"",IF(D167="","",MAX($C$121:C166)+1))</f>
        <v/>
      </c>
      <c r="D167" t="e">
        <f t="shared" si="65"/>
        <v>#N/A</v>
      </c>
      <c r="F167" s="63" t="e">
        <f t="shared" ca="1" si="68"/>
        <v>#DIV/0!</v>
      </c>
      <c r="G167" s="63" t="str">
        <f t="shared" si="66"/>
        <v>N/A</v>
      </c>
      <c r="H167" s="63"/>
      <c r="I167" s="63" t="str">
        <f t="shared" ca="1" si="70"/>
        <v>N/A</v>
      </c>
      <c r="J167" s="63" t="str">
        <f t="shared" ca="1" si="72"/>
        <v>N/A</v>
      </c>
      <c r="K167" s="63" t="str">
        <f t="shared" ca="1" si="72"/>
        <v>N/A</v>
      </c>
      <c r="L167" s="63" t="str">
        <f t="shared" ca="1" si="72"/>
        <v>N/A</v>
      </c>
      <c r="M167" s="63" t="str">
        <f t="shared" ca="1" si="72"/>
        <v>N/A</v>
      </c>
      <c r="N167" s="63" t="str">
        <f t="shared" ca="1" si="72"/>
        <v>N/A</v>
      </c>
      <c r="O167" s="63" t="str">
        <f t="shared" ca="1" si="72"/>
        <v>N/A</v>
      </c>
      <c r="P167" s="63" t="str">
        <f t="shared" ca="1" si="72"/>
        <v>N/A</v>
      </c>
      <c r="Q167" s="63" t="str">
        <f t="shared" ca="1" si="72"/>
        <v>N/A</v>
      </c>
      <c r="R167" s="63" t="str">
        <f t="shared" ca="1" si="72"/>
        <v>N/A</v>
      </c>
      <c r="S167" s="63" t="str">
        <f t="shared" ca="1" si="72"/>
        <v>N/A</v>
      </c>
      <c r="T167" s="63"/>
      <c r="U167" s="17"/>
      <c r="V167" s="17"/>
      <c r="W167" s="17"/>
    </row>
    <row r="168" spans="1:23" x14ac:dyDescent="0.2">
      <c r="A168" s="31"/>
      <c r="B168" s="31"/>
      <c r="C168" s="1" t="str">
        <f>IF(ISERROR(D168),"",IF(D168="","",MAX($C$121:C167)+1))</f>
        <v/>
      </c>
      <c r="F168" s="63"/>
      <c r="G168" s="63"/>
      <c r="H168" s="63"/>
      <c r="I168" s="63"/>
      <c r="J168" s="63"/>
      <c r="K168" s="63"/>
      <c r="L168" s="63"/>
      <c r="M168" s="63"/>
      <c r="N168" s="63"/>
      <c r="O168" s="63"/>
      <c r="P168" s="63"/>
      <c r="Q168" s="63"/>
      <c r="R168" s="63"/>
      <c r="S168" s="63"/>
      <c r="T168" s="63"/>
      <c r="U168" s="17"/>
      <c r="V168" s="17"/>
    </row>
    <row r="169" spans="1:23" x14ac:dyDescent="0.2">
      <c r="A169" s="31"/>
      <c r="B169" s="31"/>
      <c r="C169" s="1">
        <f ca="1">IF(ISERROR(D169),"",IF(D169="","",MAX($C$121:C168)+1))</f>
        <v>12</v>
      </c>
      <c r="D169" t="s">
        <v>98</v>
      </c>
      <c r="F169" s="63">
        <f ca="1">AVERAGE(G169:S169)</f>
        <v>1.0171981105640322</v>
      </c>
      <c r="G169" s="63">
        <f t="shared" ref="G169:S169" si="73">AVERAGE(G123:G168)</f>
        <v>0.85082313538594434</v>
      </c>
      <c r="H169" s="63">
        <f t="shared" ref="H169" ca="1" si="74">AVERAGE(H123:H168)</f>
        <v>0.66927163521929878</v>
      </c>
      <c r="I169" s="63">
        <f t="shared" ca="1" si="73"/>
        <v>0.78797829349983772</v>
      </c>
      <c r="J169" s="63">
        <f t="shared" ca="1" si="73"/>
        <v>0.78725205090994654</v>
      </c>
      <c r="K169" s="63">
        <f t="shared" ca="1" si="73"/>
        <v>0.93788331709213857</v>
      </c>
      <c r="L169" s="63">
        <f t="shared" ca="1" si="73"/>
        <v>0.85764328406236534</v>
      </c>
      <c r="M169" s="63">
        <f t="shared" ca="1" si="73"/>
        <v>0.93933881624638749</v>
      </c>
      <c r="N169" s="63">
        <f t="shared" ca="1" si="73"/>
        <v>1.0742484874826261</v>
      </c>
      <c r="O169" s="63">
        <f t="shared" ca="1" si="73"/>
        <v>1.176057287724199</v>
      </c>
      <c r="P169" s="63">
        <f t="shared" ca="1" si="73"/>
        <v>1.308958894360146</v>
      </c>
      <c r="Q169" s="63">
        <f t="shared" ca="1" si="73"/>
        <v>1.3518585443786082</v>
      </c>
      <c r="R169" s="63">
        <f t="shared" ca="1" si="73"/>
        <v>1.2449020253784637</v>
      </c>
      <c r="S169" s="63">
        <f t="shared" ca="1" si="73"/>
        <v>1.2373596655924588</v>
      </c>
      <c r="T169" s="63"/>
      <c r="U169" s="17"/>
      <c r="V169" s="17"/>
      <c r="W169" s="17"/>
    </row>
    <row r="170" spans="1:23" x14ac:dyDescent="0.2">
      <c r="A170" s="31"/>
      <c r="B170" s="31"/>
      <c r="C170" s="1">
        <f ca="1">IF(ISERROR(D170),"",IF(D170="","",MAX($C$121:C169)+1))</f>
        <v>13</v>
      </c>
      <c r="D170" t="s">
        <v>257</v>
      </c>
      <c r="F170" s="63">
        <f ca="1">AVERAGE(G170:S170)</f>
        <v>0.98402837893379724</v>
      </c>
      <c r="G170" s="63">
        <f>MEDIAN(G123:G168)</f>
        <v>0.73212474645030423</v>
      </c>
      <c r="H170" s="63">
        <f t="shared" ref="H170" ca="1" si="75">MEDIAN(H123:H168)</f>
        <v>0.6811381863047502</v>
      </c>
      <c r="I170" s="63">
        <f t="shared" ref="I170:S170" ca="1" si="76">MEDIAN(I123:I168)</f>
        <v>0.76472269868496279</v>
      </c>
      <c r="J170" s="63">
        <f t="shared" ca="1" si="76"/>
        <v>0.67207878626563744</v>
      </c>
      <c r="K170" s="63">
        <f t="shared" ca="1" si="76"/>
        <v>0.79277699859747552</v>
      </c>
      <c r="L170" s="63">
        <f t="shared" ca="1" si="76"/>
        <v>0.74489163356504462</v>
      </c>
      <c r="M170" s="63">
        <f t="shared" ca="1" si="76"/>
        <v>0.91580563733788267</v>
      </c>
      <c r="N170" s="63">
        <f t="shared" ca="1" si="76"/>
        <v>1.0718850882485169</v>
      </c>
      <c r="O170" s="63">
        <f t="shared" ca="1" si="76"/>
        <v>1.232386987203542</v>
      </c>
      <c r="P170" s="63">
        <f t="shared" ca="1" si="76"/>
        <v>1.208506805021345</v>
      </c>
      <c r="Q170" s="63">
        <f t="shared" ca="1" si="76"/>
        <v>1.4785531232470188</v>
      </c>
      <c r="R170" s="63">
        <f t="shared" ca="1" si="76"/>
        <v>1.1882474624502659</v>
      </c>
      <c r="S170" s="63">
        <f t="shared" ca="1" si="76"/>
        <v>1.3092507727626175</v>
      </c>
      <c r="T170" s="63"/>
      <c r="U170" s="17"/>
      <c r="V170" s="17"/>
      <c r="W170" s="17"/>
    </row>
    <row r="171" spans="1:23" x14ac:dyDescent="0.2">
      <c r="A171" s="31"/>
      <c r="B171" s="31"/>
      <c r="C171" s="1"/>
    </row>
    <row r="172" spans="1:23" x14ac:dyDescent="0.2">
      <c r="A172" s="31"/>
      <c r="B172" s="31"/>
      <c r="D172" s="18"/>
    </row>
    <row r="173" spans="1:23" x14ac:dyDescent="0.2">
      <c r="A173" s="31"/>
      <c r="B173" s="31"/>
      <c r="D173" s="20" t="s">
        <v>107</v>
      </c>
    </row>
    <row r="174" spans="1:23" ht="16.5" x14ac:dyDescent="0.2">
      <c r="A174" s="31"/>
      <c r="B174" s="31"/>
      <c r="D174" s="79">
        <v>1</v>
      </c>
      <c r="E174" s="21" t="str">
        <f>"The Value Line Investment Survey Investment Analyzer Software, downloaded on "&amp;TEXT('2017'!$A$1,"mmmm d, yyyy.")</f>
        <v>The Value Line Investment Survey Investment Analyzer Software, downloaded on June 21, 2018.</v>
      </c>
    </row>
    <row r="175" spans="1:23" ht="16.5" x14ac:dyDescent="0.2">
      <c r="A175" s="31"/>
      <c r="B175" s="31"/>
      <c r="D175" s="79">
        <v>2</v>
      </c>
      <c r="E175" s="21" t="str">
        <f>"The Value Line Investment Survey, "&amp;'2018 Data (WP)'!$D$2</f>
        <v>The Value Line Investment Survey, November 30, 2018.</v>
      </c>
    </row>
    <row r="176" spans="1:23" x14ac:dyDescent="0.2">
      <c r="A176" s="31"/>
      <c r="B176" s="31"/>
      <c r="D176" s="20" t="s">
        <v>329</v>
      </c>
    </row>
    <row r="177" spans="1:5" ht="16.5" x14ac:dyDescent="0.2">
      <c r="A177" s="31"/>
      <c r="B177" s="31"/>
      <c r="D177" s="79" t="s">
        <v>355</v>
      </c>
      <c r="E177" s="21" t="str">
        <f>"Based on the projected 2018 Dividends Declared per share and Book Value per share, published in The Value Line Investment Survey, "&amp;'2018 Data (WP)'!$D$2</f>
        <v>Based on the projected 2018 Dividends Declared per share and Book Value per share, published in The Value Line Investment Survey, November 30, 2018.</v>
      </c>
    </row>
    <row r="178" spans="1:5" ht="16.5" x14ac:dyDescent="0.2">
      <c r="A178" s="31"/>
      <c r="B178" s="31"/>
      <c r="D178" s="79" t="s">
        <v>356</v>
      </c>
      <c r="E178" s="21" t="str">
        <f>"Based on the projected 2018 Dividends Declared per share and Earnings per share, published in The Value Line Investment Survey, "&amp;'2018 Data (WP)'!$D$2</f>
        <v>Based on the projected 2018 Dividends Declared per share and Earnings per share, published in The Value Line Investment Survey, November 30, 2018.</v>
      </c>
    </row>
    <row r="179" spans="1:5" ht="16.5" x14ac:dyDescent="0.2">
      <c r="A179" s="31"/>
      <c r="B179" s="31"/>
      <c r="D179" s="79" t="s">
        <v>357</v>
      </c>
      <c r="E179" s="21" t="str">
        <f>"Based on the projected 2018 Cash Flow per share and Capital Spending per share, published in The Value Line Investment Survey, "&amp;'2018 Data (WP)'!$D$2</f>
        <v>Based on the projected 2018 Cash Flow per share and Capital Spending per share, published in The Value Line Investment Survey, November 30, 2018.</v>
      </c>
    </row>
    <row r="180" spans="1:5" x14ac:dyDescent="0.2">
      <c r="D180" s="23"/>
    </row>
  </sheetData>
  <mergeCells count="9">
    <mergeCell ref="D65:E65"/>
    <mergeCell ref="F118:W118"/>
    <mergeCell ref="D120:E120"/>
    <mergeCell ref="C1:W1"/>
    <mergeCell ref="C4:W4"/>
    <mergeCell ref="C5:W5"/>
    <mergeCell ref="F8:W8"/>
    <mergeCell ref="D10:E10"/>
    <mergeCell ref="F63:W63"/>
  </mergeCells>
  <printOptions horizontalCentered="1"/>
  <pageMargins left="0.7" right="0.7" top="1" bottom="0.75" header="0.55000000000000004" footer="0.51"/>
  <pageSetup scale="53" orientation="portrait" useFirstPageNumber="1" r:id="rId1"/>
  <headerFooter>
    <oddHeader>&amp;R&amp;20 Schedule MPG-2
Page 5 of 5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pageSetUpPr fitToPage="1"/>
  </sheetPr>
  <dimension ref="A1:S179"/>
  <sheetViews>
    <sheetView view="pageBreakPreview" zoomScale="60" zoomScaleNormal="70" workbookViewId="0">
      <selection activeCell="O78" sqref="O78"/>
    </sheetView>
  </sheetViews>
  <sheetFormatPr defaultRowHeight="14.25" x14ac:dyDescent="0.2"/>
  <cols>
    <col min="1" max="2" width="8" customWidth="1"/>
    <col min="3" max="3" width="4.75" bestFit="1" customWidth="1"/>
    <col min="4" max="4" width="1.75" customWidth="1"/>
    <col min="5" max="5" width="20.5" customWidth="1"/>
    <col min="6" max="19" width="9" customWidth="1"/>
  </cols>
  <sheetData>
    <row r="1" spans="1:19" ht="27.75" x14ac:dyDescent="0.4">
      <c r="C1" s="236" t="s">
        <v>517</v>
      </c>
      <c r="D1" s="236"/>
      <c r="E1" s="236"/>
      <c r="F1" s="236"/>
      <c r="G1" s="236"/>
      <c r="H1" s="236"/>
      <c r="I1" s="236"/>
      <c r="J1" s="236"/>
      <c r="K1" s="236"/>
      <c r="L1" s="236"/>
      <c r="M1" s="236"/>
      <c r="N1" s="236"/>
      <c r="O1" s="236"/>
      <c r="P1" s="236"/>
      <c r="Q1" s="236"/>
      <c r="R1" s="236"/>
      <c r="S1" s="236"/>
    </row>
    <row r="2" spans="1:19" x14ac:dyDescent="0.2">
      <c r="C2" s="4"/>
      <c r="D2" s="5"/>
      <c r="E2" s="6"/>
      <c r="F2" s="6"/>
      <c r="G2" s="6"/>
      <c r="H2" s="6"/>
      <c r="I2" s="6"/>
      <c r="J2" s="6"/>
      <c r="K2" s="6"/>
      <c r="L2" s="6"/>
      <c r="M2" s="6"/>
      <c r="N2" s="7"/>
      <c r="O2" s="7"/>
      <c r="P2" s="7"/>
      <c r="Q2" s="7"/>
      <c r="R2" s="7"/>
      <c r="S2" s="7"/>
    </row>
    <row r="3" spans="1:19" x14ac:dyDescent="0.2">
      <c r="C3" s="4"/>
      <c r="D3" s="5"/>
      <c r="E3" s="6"/>
      <c r="F3" s="6"/>
      <c r="G3" s="6"/>
      <c r="H3" s="6"/>
      <c r="I3" s="6"/>
      <c r="J3" s="6"/>
      <c r="K3" s="6"/>
      <c r="L3" s="6"/>
      <c r="M3" s="6"/>
      <c r="N3" s="7"/>
      <c r="O3" s="7"/>
      <c r="P3" s="7"/>
      <c r="Q3" s="7"/>
      <c r="R3" s="7"/>
      <c r="S3" s="7"/>
    </row>
    <row r="4" spans="1:19" ht="20.25" x14ac:dyDescent="0.3">
      <c r="C4" s="237" t="s">
        <v>363</v>
      </c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</row>
    <row r="5" spans="1:19" ht="18" x14ac:dyDescent="0.25">
      <c r="C5" s="238" t="s">
        <v>274</v>
      </c>
      <c r="D5" s="238"/>
      <c r="E5" s="238"/>
      <c r="F5" s="238"/>
      <c r="G5" s="238"/>
      <c r="H5" s="238"/>
      <c r="I5" s="238"/>
      <c r="J5" s="238"/>
      <c r="K5" s="238"/>
      <c r="L5" s="238"/>
      <c r="M5" s="238"/>
      <c r="N5" s="238"/>
      <c r="O5" s="238"/>
      <c r="P5" s="238"/>
      <c r="Q5" s="238"/>
      <c r="R5" s="238"/>
      <c r="S5" s="238"/>
    </row>
    <row r="6" spans="1:19" x14ac:dyDescent="0.2">
      <c r="C6" s="6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</row>
    <row r="7" spans="1:19" x14ac:dyDescent="0.2">
      <c r="C7" s="6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</row>
    <row r="8" spans="1:19" ht="17.25" x14ac:dyDescent="0.25">
      <c r="C8" s="6"/>
      <c r="D8" s="7"/>
      <c r="E8" s="7"/>
      <c r="F8" s="239" t="s">
        <v>95</v>
      </c>
      <c r="G8" s="239"/>
      <c r="H8" s="239"/>
      <c r="I8" s="239"/>
      <c r="J8" s="239"/>
      <c r="K8" s="239"/>
      <c r="L8" s="239"/>
      <c r="M8" s="239"/>
      <c r="N8" s="239"/>
      <c r="O8" s="239"/>
      <c r="P8" s="239"/>
      <c r="Q8" s="239"/>
      <c r="R8" s="239"/>
      <c r="S8" s="239"/>
    </row>
    <row r="9" spans="1:19" ht="15" x14ac:dyDescent="0.25">
      <c r="A9" s="42" t="s">
        <v>99</v>
      </c>
      <c r="B9" s="42" t="s">
        <v>241</v>
      </c>
      <c r="C9" s="6"/>
      <c r="D9" s="7"/>
      <c r="E9" s="7"/>
      <c r="F9" s="8" t="s">
        <v>429</v>
      </c>
      <c r="G9" s="8"/>
      <c r="H9" s="8"/>
      <c r="I9" s="8"/>
      <c r="J9" s="8"/>
      <c r="K9" s="8"/>
      <c r="L9" s="8"/>
      <c r="M9" s="8"/>
      <c r="N9" s="7"/>
      <c r="O9" s="7"/>
      <c r="P9" s="7"/>
      <c r="Q9" s="7"/>
      <c r="R9" s="7"/>
      <c r="S9" s="7"/>
    </row>
    <row r="10" spans="1:19" ht="17.25" x14ac:dyDescent="0.25">
      <c r="A10" s="42" t="s">
        <v>100</v>
      </c>
      <c r="B10" s="42" t="s">
        <v>242</v>
      </c>
      <c r="C10" s="9" t="s">
        <v>96</v>
      </c>
      <c r="D10" s="234" t="s">
        <v>97</v>
      </c>
      <c r="E10" s="234"/>
      <c r="F10" s="10" t="s">
        <v>98</v>
      </c>
      <c r="G10" s="41" t="s">
        <v>422</v>
      </c>
      <c r="H10" s="41">
        <v>2017</v>
      </c>
      <c r="I10" s="41">
        <v>2016</v>
      </c>
      <c r="J10" s="41">
        <v>2015</v>
      </c>
      <c r="K10" s="41">
        <v>2014</v>
      </c>
      <c r="L10" s="41">
        <v>2013</v>
      </c>
      <c r="M10" s="41">
        <v>2012</v>
      </c>
      <c r="N10" s="41">
        <v>2011</v>
      </c>
      <c r="O10" s="41">
        <v>2010</v>
      </c>
      <c r="P10" s="41">
        <v>2009</v>
      </c>
      <c r="Q10" s="41">
        <v>2008</v>
      </c>
      <c r="R10" s="41">
        <v>2007</v>
      </c>
      <c r="S10" s="41">
        <v>2006</v>
      </c>
    </row>
    <row r="11" spans="1:19" ht="15" x14ac:dyDescent="0.25">
      <c r="A11" s="42"/>
      <c r="B11" s="42"/>
      <c r="C11" s="9"/>
      <c r="D11" s="137"/>
      <c r="E11" s="137"/>
      <c r="F11" s="12">
        <v>-1</v>
      </c>
      <c r="G11" s="12">
        <f>+F11-1</f>
        <v>-2</v>
      </c>
      <c r="H11" s="12">
        <f t="shared" ref="H11:S11" si="0">+G11-1</f>
        <v>-3</v>
      </c>
      <c r="I11" s="12">
        <f t="shared" si="0"/>
        <v>-4</v>
      </c>
      <c r="J11" s="12">
        <f t="shared" si="0"/>
        <v>-5</v>
      </c>
      <c r="K11" s="12">
        <f t="shared" si="0"/>
        <v>-6</v>
      </c>
      <c r="L11" s="12">
        <f t="shared" si="0"/>
        <v>-7</v>
      </c>
      <c r="M11" s="12">
        <f t="shared" si="0"/>
        <v>-8</v>
      </c>
      <c r="N11" s="12">
        <f t="shared" si="0"/>
        <v>-9</v>
      </c>
      <c r="O11" s="12">
        <f t="shared" si="0"/>
        <v>-10</v>
      </c>
      <c r="P11" s="12">
        <f t="shared" si="0"/>
        <v>-11</v>
      </c>
      <c r="Q11" s="12">
        <f t="shared" si="0"/>
        <v>-12</v>
      </c>
      <c r="R11" s="12">
        <f t="shared" si="0"/>
        <v>-13</v>
      </c>
      <c r="S11" s="12">
        <f t="shared" si="0"/>
        <v>-14</v>
      </c>
    </row>
    <row r="12" spans="1:19" ht="15" x14ac:dyDescent="0.25">
      <c r="A12" s="43"/>
      <c r="B12" s="44"/>
      <c r="C12" s="9"/>
      <c r="D12" s="14" t="s">
        <v>101</v>
      </c>
      <c r="E12" s="11"/>
      <c r="F12" s="36"/>
      <c r="G12" s="36"/>
      <c r="H12" s="52"/>
      <c r="I12" s="16">
        <f ca="1">MATCH(I10,OFFSET(PE_WP,-1,0,1,),0)</f>
        <v>4</v>
      </c>
      <c r="J12" s="16">
        <f ca="1">MATCH(J10,OFFSET(PE_WP,-1,0,1,),0)</f>
        <v>5</v>
      </c>
      <c r="K12" s="16">
        <f ca="1">MATCH(K10,OFFSET(PE_WP,-1,0,1,),0)</f>
        <v>6</v>
      </c>
      <c r="L12" s="16">
        <f t="shared" ref="L12:S12" ca="1" si="1">MATCH(L10,OFFSET(PE_WP,-1,0,1,),0)</f>
        <v>7</v>
      </c>
      <c r="M12" s="16">
        <f t="shared" ca="1" si="1"/>
        <v>8</v>
      </c>
      <c r="N12" s="16">
        <f t="shared" ca="1" si="1"/>
        <v>9</v>
      </c>
      <c r="O12" s="16">
        <f t="shared" ca="1" si="1"/>
        <v>10</v>
      </c>
      <c r="P12" s="16">
        <f t="shared" ca="1" si="1"/>
        <v>11</v>
      </c>
      <c r="Q12" s="16">
        <f t="shared" ca="1" si="1"/>
        <v>12</v>
      </c>
      <c r="R12" s="16">
        <f t="shared" ca="1" si="1"/>
        <v>13</v>
      </c>
      <c r="S12" s="16">
        <f t="shared" ca="1" si="1"/>
        <v>14</v>
      </c>
    </row>
    <row r="13" spans="1:19" x14ac:dyDescent="0.2">
      <c r="A13" s="45" t="s">
        <v>165</v>
      </c>
      <c r="B13" s="46">
        <f t="shared" ref="B13:B57" ca="1" si="2">IFERROR(MATCH(A13,OFFSET(PE_WP,0,0,,1),0),"")</f>
        <v>3</v>
      </c>
      <c r="C13" s="1">
        <f ca="1">IF(ISERROR(D13),"",IF(D13="","",MAX($C$12:C12)+1))</f>
        <v>1</v>
      </c>
      <c r="D13" t="str">
        <f t="shared" ref="D13:D57" ca="1" si="3">VLOOKUP(A13,LUCurYr,2,FALSE)</f>
        <v>Amer. States Water</v>
      </c>
      <c r="E13" s="15"/>
      <c r="F13" s="63">
        <f ca="1">IFERROR(AVERAGE(G13:S13),"N/A")</f>
        <v>22.192307692307693</v>
      </c>
      <c r="G13" s="63">
        <f>IFERROR(IF(VLOOKUP(A13,LUCurYr,3,FALSE)=0,"",VLOOKUP(A13,LUCurYr,3,FALSE)),"N/A")</f>
        <v>34.299999999999997</v>
      </c>
      <c r="H13" s="63">
        <f ca="1">IFERROR(VLOOKUP($A13,LASTYR,'2017'!$C$3,FALSE),"N/A")</f>
        <v>25.713999999999999</v>
      </c>
      <c r="I13" s="63">
        <f t="shared" ref="I13:S31" ca="1" si="4">IFERROR(INDEX(PE_WP,$B13,I$12),"N/A")</f>
        <v>25.593</v>
      </c>
      <c r="J13" s="63">
        <f t="shared" ca="1" si="4"/>
        <v>24.728000000000002</v>
      </c>
      <c r="K13" s="63">
        <f t="shared" ca="1" si="4"/>
        <v>20.094999999999999</v>
      </c>
      <c r="L13" s="63">
        <f t="shared" ca="1" si="4"/>
        <v>17.166</v>
      </c>
      <c r="M13" s="63">
        <f t="shared" ca="1" si="4"/>
        <v>14.301</v>
      </c>
      <c r="N13" s="63">
        <f t="shared" ca="1" si="4"/>
        <v>15.356999999999999</v>
      </c>
      <c r="O13" s="63">
        <f t="shared" ca="1" si="4"/>
        <v>15.731999999999999</v>
      </c>
      <c r="P13" s="63">
        <f t="shared" ca="1" si="4"/>
        <v>21.196000000000002</v>
      </c>
      <c r="Q13" s="63">
        <f t="shared" ca="1" si="4"/>
        <v>22.585000000000001</v>
      </c>
      <c r="R13" s="63">
        <f t="shared" ca="1" si="4"/>
        <v>24.004000000000001</v>
      </c>
      <c r="S13" s="63">
        <f t="shared" ca="1" si="4"/>
        <v>27.728999999999999</v>
      </c>
    </row>
    <row r="14" spans="1:19" x14ac:dyDescent="0.2">
      <c r="A14" s="45" t="s">
        <v>167</v>
      </c>
      <c r="B14" s="46">
        <f t="shared" ca="1" si="2"/>
        <v>4</v>
      </c>
      <c r="C14" s="1">
        <f ca="1">IF(ISERROR(D14),"",IF(D14="","",MAX($C$12:C13)+1))</f>
        <v>2</v>
      </c>
      <c r="D14" t="str">
        <f t="shared" ca="1" si="3"/>
        <v>Amer. Water Works</v>
      </c>
      <c r="E14" s="15"/>
      <c r="F14" s="63">
        <f t="shared" ref="F14:F57" ca="1" si="5">IFERROR(AVERAGE(G14:S14),"N/A")</f>
        <v>21.026727272727271</v>
      </c>
      <c r="G14" s="63">
        <f t="shared" ref="G14:G57" si="6">IFERROR(IF(VLOOKUP(A14,LUCurYr,3,FALSE)=0,"",VLOOKUP(A14,LUCurYr,3,FALSE)),"N/A")</f>
        <v>26.7</v>
      </c>
      <c r="H14" s="63">
        <f ca="1">IFERROR(VLOOKUP($A14,LASTYR,'2017'!$C$3,FALSE),"N/A")</f>
        <v>33.786999999999999</v>
      </c>
      <c r="I14" s="63">
        <f t="shared" ca="1" si="4"/>
        <v>27.710999999999999</v>
      </c>
      <c r="J14" s="63">
        <f t="shared" ca="1" si="4"/>
        <v>20.507999999999999</v>
      </c>
      <c r="K14" s="63">
        <f t="shared" ca="1" si="4"/>
        <v>20.016999999999999</v>
      </c>
      <c r="L14" s="63">
        <f t="shared" ca="1" si="4"/>
        <v>19.901</v>
      </c>
      <c r="M14" s="63">
        <f t="shared" ca="1" si="4"/>
        <v>16.707000000000001</v>
      </c>
      <c r="N14" s="63">
        <f t="shared" ca="1" si="4"/>
        <v>16.797999999999998</v>
      </c>
      <c r="O14" s="63">
        <f t="shared" ca="1" si="4"/>
        <v>14.613</v>
      </c>
      <c r="P14" s="63">
        <f t="shared" ca="1" si="4"/>
        <v>15.635</v>
      </c>
      <c r="Q14" s="63">
        <f t="shared" ca="1" si="4"/>
        <v>18.917000000000002</v>
      </c>
      <c r="R14" s="63" t="str">
        <f t="shared" ca="1" si="4"/>
        <v>N/A</v>
      </c>
      <c r="S14" s="63" t="str">
        <f t="shared" ca="1" si="4"/>
        <v>N/A</v>
      </c>
    </row>
    <row r="15" spans="1:19" x14ac:dyDescent="0.2">
      <c r="A15" s="45" t="s">
        <v>171</v>
      </c>
      <c r="B15" s="46">
        <f t="shared" ca="1" si="2"/>
        <v>7</v>
      </c>
      <c r="C15" s="1">
        <f ca="1">IF(ISERROR(D15),"",IF(D15="","",MAX($C$12:C14)+1))</f>
        <v>3</v>
      </c>
      <c r="D15" t="str">
        <f t="shared" ca="1" si="3"/>
        <v>Aqua America</v>
      </c>
      <c r="E15" s="15"/>
      <c r="F15" s="63">
        <f t="shared" ca="1" si="5"/>
        <v>24.534076923076928</v>
      </c>
      <c r="G15" s="63">
        <f t="shared" si="6"/>
        <v>26</v>
      </c>
      <c r="H15" s="63">
        <f ca="1">IFERROR(VLOOKUP($A15,LASTYR,'2017'!$C$3,FALSE),"N/A")</f>
        <v>24.664000000000001</v>
      </c>
      <c r="I15" s="63">
        <f t="shared" ca="1" si="4"/>
        <v>23.863</v>
      </c>
      <c r="J15" s="63">
        <f t="shared" ca="1" si="4"/>
        <v>23.509</v>
      </c>
      <c r="K15" s="63">
        <f t="shared" ca="1" si="4"/>
        <v>20.760999999999999</v>
      </c>
      <c r="L15" s="63">
        <f t="shared" ca="1" si="4"/>
        <v>21.18</v>
      </c>
      <c r="M15" s="63">
        <f t="shared" ca="1" si="4"/>
        <v>21.937000000000001</v>
      </c>
      <c r="N15" s="63">
        <f t="shared" ca="1" si="4"/>
        <v>21.257000000000001</v>
      </c>
      <c r="O15" s="63">
        <f t="shared" ca="1" si="4"/>
        <v>21.077999999999999</v>
      </c>
      <c r="P15" s="63">
        <f t="shared" ca="1" si="4"/>
        <v>23.094000000000001</v>
      </c>
      <c r="Q15" s="63">
        <f t="shared" ca="1" si="4"/>
        <v>24.928000000000001</v>
      </c>
      <c r="R15" s="63">
        <f t="shared" ca="1" si="4"/>
        <v>31.968</v>
      </c>
      <c r="S15" s="63">
        <f t="shared" ca="1" si="4"/>
        <v>34.704000000000001</v>
      </c>
    </row>
    <row r="16" spans="1:19" x14ac:dyDescent="0.2">
      <c r="A16" s="45" t="s">
        <v>177</v>
      </c>
      <c r="B16" s="46">
        <f t="shared" ca="1" si="2"/>
        <v>12</v>
      </c>
      <c r="C16" s="1">
        <f ca="1">IF(ISERROR(D16),"",IF(D16="","",MAX($C$12:C15)+1))</f>
        <v>4</v>
      </c>
      <c r="D16" t="str">
        <f t="shared" ca="1" si="3"/>
        <v>California Water</v>
      </c>
      <c r="E16" s="15"/>
      <c r="F16" s="63">
        <f t="shared" ca="1" si="5"/>
        <v>23.387153846153847</v>
      </c>
      <c r="G16" s="63">
        <f t="shared" si="6"/>
        <v>28.7</v>
      </c>
      <c r="H16" s="63">
        <f ca="1">IFERROR(VLOOKUP($A16,LASTYR,'2017'!$C$3,FALSE),"N/A")</f>
        <v>26.896000000000001</v>
      </c>
      <c r="I16" s="63">
        <f t="shared" ca="1" si="4"/>
        <v>29.65</v>
      </c>
      <c r="J16" s="63">
        <f t="shared" ca="1" si="4"/>
        <v>24.773</v>
      </c>
      <c r="K16" s="63">
        <f t="shared" ca="1" si="4"/>
        <v>19.690999999999999</v>
      </c>
      <c r="L16" s="63">
        <f t="shared" ca="1" si="4"/>
        <v>20.125</v>
      </c>
      <c r="M16" s="63">
        <f t="shared" ca="1" si="4"/>
        <v>17.878</v>
      </c>
      <c r="N16" s="63">
        <f t="shared" ca="1" si="4"/>
        <v>21.277000000000001</v>
      </c>
      <c r="O16" s="63">
        <f t="shared" ca="1" si="4"/>
        <v>20.295000000000002</v>
      </c>
      <c r="P16" s="63">
        <f t="shared" ca="1" si="4"/>
        <v>19.686</v>
      </c>
      <c r="Q16" s="63">
        <f t="shared" ca="1" si="4"/>
        <v>19.765999999999998</v>
      </c>
      <c r="R16" s="63">
        <f t="shared" ca="1" si="4"/>
        <v>26.056999999999999</v>
      </c>
      <c r="S16" s="63">
        <f t="shared" ca="1" si="4"/>
        <v>29.239000000000001</v>
      </c>
    </row>
    <row r="17" spans="1:19" x14ac:dyDescent="0.2">
      <c r="A17" s="45" t="s">
        <v>180</v>
      </c>
      <c r="B17" s="46">
        <f t="shared" ca="1" si="2"/>
        <v>18</v>
      </c>
      <c r="C17" s="1">
        <f ca="1">IF(ISERROR(D17),"",IF(D17="","",MAX($C$12:C16)+1))</f>
        <v>5</v>
      </c>
      <c r="D17" t="str">
        <f t="shared" ca="1" si="3"/>
        <v>Conn. Water Services</v>
      </c>
      <c r="E17" s="15"/>
      <c r="F17" s="63">
        <f t="shared" ca="1" si="5"/>
        <v>22.416846153846151</v>
      </c>
      <c r="G17" s="63">
        <f t="shared" si="6"/>
        <v>32.5</v>
      </c>
      <c r="H17" s="63">
        <f ca="1">IFERROR(VLOOKUP($A17,LASTYR,'2017'!$C$3,FALSE),"N/A")</f>
        <v>26.527999999999999</v>
      </c>
      <c r="I17" s="63">
        <f t="shared" ca="1" si="4"/>
        <v>23.285</v>
      </c>
      <c r="J17" s="63">
        <f t="shared" ca="1" si="4"/>
        <v>17.577000000000002</v>
      </c>
      <c r="K17" s="63">
        <f t="shared" ca="1" si="4"/>
        <v>17.521000000000001</v>
      </c>
      <c r="L17" s="63">
        <f t="shared" ca="1" si="4"/>
        <v>18.367000000000001</v>
      </c>
      <c r="M17" s="63">
        <f t="shared" ca="1" si="4"/>
        <v>19.385000000000002</v>
      </c>
      <c r="N17" s="63">
        <f t="shared" ca="1" si="4"/>
        <v>23.036000000000001</v>
      </c>
      <c r="O17" s="63">
        <f t="shared" ca="1" si="4"/>
        <v>20.669</v>
      </c>
      <c r="P17" s="63">
        <f t="shared" ca="1" si="4"/>
        <v>18.405000000000001</v>
      </c>
      <c r="Q17" s="63">
        <f t="shared" ca="1" si="4"/>
        <v>22.167999999999999</v>
      </c>
      <c r="R17" s="63">
        <f t="shared" ca="1" si="4"/>
        <v>23.001000000000001</v>
      </c>
      <c r="S17" s="63">
        <f t="shared" ca="1" si="4"/>
        <v>28.977</v>
      </c>
    </row>
    <row r="18" spans="1:19" x14ac:dyDescent="0.2">
      <c r="A18" s="45" t="s">
        <v>182</v>
      </c>
      <c r="B18" s="46">
        <f t="shared" ca="1" si="2"/>
        <v>20</v>
      </c>
      <c r="C18" s="1">
        <f ca="1">IF(ISERROR(D18),"",IF(D18="","",MAX($C$12:C17)+1))</f>
        <v>6</v>
      </c>
      <c r="D18" t="str">
        <f t="shared" ca="1" si="3"/>
        <v>Consolidated Water</v>
      </c>
      <c r="E18" s="15"/>
      <c r="F18" s="63">
        <f t="shared" ca="1" si="5"/>
        <v>27.888307692307688</v>
      </c>
      <c r="G18" s="63">
        <f t="shared" si="6"/>
        <v>20.8</v>
      </c>
      <c r="H18" s="63">
        <f ca="1">IFERROR(VLOOKUP($A18,LASTYR,'2017'!$C$3,FALSE),"N/A")</f>
        <v>29.004999999999999</v>
      </c>
      <c r="I18" s="63">
        <f t="shared" ca="1" si="4"/>
        <v>44.807000000000002</v>
      </c>
      <c r="J18" s="63">
        <f t="shared" ca="1" si="4"/>
        <v>22.692</v>
      </c>
      <c r="K18" s="63">
        <f t="shared" ca="1" si="4"/>
        <v>28.288</v>
      </c>
      <c r="L18" s="63">
        <f t="shared" ca="1" si="4"/>
        <v>20.021999999999998</v>
      </c>
      <c r="M18" s="63">
        <f t="shared" ca="1" si="4"/>
        <v>12.414</v>
      </c>
      <c r="N18" s="63">
        <f t="shared" ca="1" si="4"/>
        <v>22.393000000000001</v>
      </c>
      <c r="O18" s="63">
        <f t="shared" ca="1" si="4"/>
        <v>26.867000000000001</v>
      </c>
      <c r="P18" s="63">
        <f t="shared" ca="1" si="4"/>
        <v>19.030999999999999</v>
      </c>
      <c r="Q18" s="63">
        <f t="shared" ca="1" si="4"/>
        <v>37.79</v>
      </c>
      <c r="R18" s="63">
        <f t="shared" ca="1" si="4"/>
        <v>35.39</v>
      </c>
      <c r="S18" s="63">
        <f t="shared" ca="1" si="4"/>
        <v>43.048999999999999</v>
      </c>
    </row>
    <row r="19" spans="1:19" x14ac:dyDescent="0.2">
      <c r="A19" s="45" t="s">
        <v>188</v>
      </c>
      <c r="B19" s="46">
        <f t="shared" ca="1" si="2"/>
        <v>41</v>
      </c>
      <c r="C19" s="1">
        <f ca="1">IF(ISERROR(D19),"",IF(D19="","",MAX($C$12:C18)+1))</f>
        <v>7</v>
      </c>
      <c r="D19" t="str">
        <f t="shared" ca="1" si="3"/>
        <v>Middlesex Water</v>
      </c>
      <c r="E19" s="15"/>
      <c r="F19" s="63">
        <f t="shared" ca="1" si="5"/>
        <v>21.763000000000002</v>
      </c>
      <c r="G19" s="63">
        <f t="shared" si="6"/>
        <v>26.1</v>
      </c>
      <c r="H19" s="63">
        <f ca="1">IFERROR(VLOOKUP($A19,LASTYR,'2017'!$C$3,FALSE),"N/A")</f>
        <v>28.385999999999999</v>
      </c>
      <c r="I19" s="63">
        <f t="shared" ca="1" si="4"/>
        <v>25.645</v>
      </c>
      <c r="J19" s="63">
        <f t="shared" ca="1" si="4"/>
        <v>19.11</v>
      </c>
      <c r="K19" s="63">
        <f t="shared" ca="1" si="4"/>
        <v>18.486999999999998</v>
      </c>
      <c r="L19" s="63">
        <f t="shared" ca="1" si="4"/>
        <v>19.704000000000001</v>
      </c>
      <c r="M19" s="63">
        <f t="shared" ca="1" si="4"/>
        <v>20.829000000000001</v>
      </c>
      <c r="N19" s="63">
        <f t="shared" ca="1" si="4"/>
        <v>21.725999999999999</v>
      </c>
      <c r="O19" s="63">
        <f t="shared" ca="1" si="4"/>
        <v>17.809000000000001</v>
      </c>
      <c r="P19" s="63">
        <f t="shared" ca="1" si="4"/>
        <v>21.016999999999999</v>
      </c>
      <c r="Q19" s="63">
        <f t="shared" ca="1" si="4"/>
        <v>19.798999999999999</v>
      </c>
      <c r="R19" s="63">
        <f t="shared" ca="1" si="4"/>
        <v>21.588999999999999</v>
      </c>
      <c r="S19" s="63">
        <f t="shared" ca="1" si="4"/>
        <v>22.718</v>
      </c>
    </row>
    <row r="20" spans="1:19" x14ac:dyDescent="0.2">
      <c r="A20" s="45" t="s">
        <v>196</v>
      </c>
      <c r="B20" s="46">
        <f t="shared" ca="1" si="2"/>
        <v>60</v>
      </c>
      <c r="C20" s="1">
        <f ca="1">IF(ISERROR(D20),"",IF(D20="","",MAX($C$12:C19)+1))</f>
        <v>8</v>
      </c>
      <c r="D20" t="str">
        <f t="shared" ca="1" si="3"/>
        <v>SJW Corp.</v>
      </c>
      <c r="E20" s="15"/>
      <c r="F20" s="63">
        <f t="shared" ca="1" si="5"/>
        <v>22.499076923076924</v>
      </c>
      <c r="G20" s="63">
        <f t="shared" si="6"/>
        <v>23.3</v>
      </c>
      <c r="H20" s="63">
        <f ca="1">IFERROR(VLOOKUP($A20,LASTYR,'2017'!$C$3,FALSE),"N/A")</f>
        <v>18.841000000000001</v>
      </c>
      <c r="I20" s="63">
        <f t="shared" ca="1" si="4"/>
        <v>15.676</v>
      </c>
      <c r="J20" s="63">
        <f t="shared" ca="1" si="4"/>
        <v>16.641999999999999</v>
      </c>
      <c r="K20" s="63">
        <f t="shared" ca="1" si="4"/>
        <v>11.188000000000001</v>
      </c>
      <c r="L20" s="63">
        <f t="shared" ca="1" si="4"/>
        <v>24.338000000000001</v>
      </c>
      <c r="M20" s="63">
        <f t="shared" ca="1" si="4"/>
        <v>20.366</v>
      </c>
      <c r="N20" s="63">
        <f t="shared" ca="1" si="4"/>
        <v>21.173999999999999</v>
      </c>
      <c r="O20" s="63">
        <f t="shared" ca="1" si="4"/>
        <v>29.123000000000001</v>
      </c>
      <c r="P20" s="63">
        <f t="shared" ca="1" si="4"/>
        <v>28.667000000000002</v>
      </c>
      <c r="Q20" s="63">
        <f t="shared" ca="1" si="4"/>
        <v>26.238</v>
      </c>
      <c r="R20" s="63">
        <f t="shared" ca="1" si="4"/>
        <v>33.427</v>
      </c>
      <c r="S20" s="63">
        <f t="shared" ca="1" si="4"/>
        <v>23.507999999999999</v>
      </c>
    </row>
    <row r="21" spans="1:19" x14ac:dyDescent="0.2">
      <c r="A21" s="45" t="s">
        <v>208</v>
      </c>
      <c r="B21" s="46">
        <f t="shared" ca="1" si="2"/>
        <v>75</v>
      </c>
      <c r="C21" s="1">
        <f ca="1">IF(ISERROR(D21),"",IF(D21="","",MAX($C$12:C20)+1))</f>
        <v>9</v>
      </c>
      <c r="D21" t="str">
        <f t="shared" ca="1" si="3"/>
        <v>York Water Co. (The)</v>
      </c>
      <c r="E21" s="15"/>
      <c r="F21" s="63">
        <f t="shared" ca="1" si="5"/>
        <v>25.924999999999997</v>
      </c>
      <c r="G21" s="63">
        <f t="shared" si="6"/>
        <v>26.6</v>
      </c>
      <c r="H21" s="63">
        <f ca="1">IFERROR(VLOOKUP($A21,LASTYR,'2017'!$C$3,FALSE),"N/A")</f>
        <v>34.625</v>
      </c>
      <c r="I21" s="63" t="str">
        <f t="shared" ca="1" si="4"/>
        <v>N/A</v>
      </c>
      <c r="J21" s="63">
        <f t="shared" ca="1" si="4"/>
        <v>23.523</v>
      </c>
      <c r="K21" s="63">
        <f t="shared" ca="1" si="4"/>
        <v>23.065999999999999</v>
      </c>
      <c r="L21" s="63">
        <f t="shared" ca="1" si="4"/>
        <v>26.263000000000002</v>
      </c>
      <c r="M21" s="63">
        <f t="shared" ca="1" si="4"/>
        <v>24.443999999999999</v>
      </c>
      <c r="N21" s="63">
        <f t="shared" ca="1" si="4"/>
        <v>23.905999999999999</v>
      </c>
      <c r="O21" s="63">
        <f t="shared" ca="1" si="4"/>
        <v>20.72</v>
      </c>
      <c r="P21" s="63">
        <f t="shared" ca="1" si="4"/>
        <v>21.867000000000001</v>
      </c>
      <c r="Q21" s="63">
        <f t="shared" ca="1" si="4"/>
        <v>24.574999999999999</v>
      </c>
      <c r="R21" s="63">
        <f t="shared" ca="1" si="4"/>
        <v>30.263000000000002</v>
      </c>
      <c r="S21" s="63">
        <f t="shared" ca="1" si="4"/>
        <v>31.248000000000001</v>
      </c>
    </row>
    <row r="22" spans="1:19" ht="14.25" hidden="1" customHeight="1" x14ac:dyDescent="0.2">
      <c r="A22" s="45"/>
      <c r="B22" s="46" t="str">
        <f t="shared" ca="1" si="2"/>
        <v/>
      </c>
      <c r="C22" s="1" t="str">
        <f>IF(ISERROR(D22),"",IF(D22="","",MAX($C$12:C21)+1))</f>
        <v/>
      </c>
      <c r="D22" t="e">
        <f t="shared" si="3"/>
        <v>#N/A</v>
      </c>
      <c r="E22" s="15"/>
      <c r="F22" s="63" t="str">
        <f t="shared" ca="1" si="5"/>
        <v>N/A</v>
      </c>
      <c r="G22" s="63" t="str">
        <f t="shared" si="6"/>
        <v>N/A</v>
      </c>
      <c r="H22" s="63" t="str">
        <f ca="1">IFERROR(VLOOKUP($A22,LASTYR,'2017'!$C$3,FALSE),"N/A")</f>
        <v>N/A</v>
      </c>
      <c r="I22" s="63" t="str">
        <f t="shared" ca="1" si="4"/>
        <v>N/A</v>
      </c>
      <c r="J22" s="63" t="str">
        <f t="shared" ca="1" si="4"/>
        <v>N/A</v>
      </c>
      <c r="K22" s="63" t="str">
        <f t="shared" ca="1" si="4"/>
        <v>N/A</v>
      </c>
      <c r="L22" s="63" t="str">
        <f t="shared" ca="1" si="4"/>
        <v>N/A</v>
      </c>
      <c r="M22" s="63" t="str">
        <f t="shared" ca="1" si="4"/>
        <v>N/A</v>
      </c>
      <c r="N22" s="63" t="str">
        <f t="shared" ca="1" si="4"/>
        <v>N/A</v>
      </c>
      <c r="O22" s="63" t="str">
        <f t="shared" ca="1" si="4"/>
        <v>N/A</v>
      </c>
      <c r="P22" s="63" t="str">
        <f t="shared" ca="1" si="4"/>
        <v>N/A</v>
      </c>
      <c r="Q22" s="63" t="str">
        <f t="shared" ca="1" si="4"/>
        <v>N/A</v>
      </c>
      <c r="R22" s="63" t="str">
        <f t="shared" ca="1" si="4"/>
        <v>N/A</v>
      </c>
      <c r="S22" s="63" t="str">
        <f t="shared" ca="1" si="4"/>
        <v>N/A</v>
      </c>
    </row>
    <row r="23" spans="1:19" ht="14.25" hidden="1" customHeight="1" x14ac:dyDescent="0.2">
      <c r="A23" s="45"/>
      <c r="B23" s="46" t="str">
        <f t="shared" ca="1" si="2"/>
        <v/>
      </c>
      <c r="C23" s="1" t="str">
        <f>IF(ISERROR(D23),"",IF(D23="","",MAX($C$12:C22)+1))</f>
        <v/>
      </c>
      <c r="D23" t="e">
        <f t="shared" si="3"/>
        <v>#N/A</v>
      </c>
      <c r="E23" s="15"/>
      <c r="F23" s="63" t="str">
        <f t="shared" ca="1" si="5"/>
        <v>N/A</v>
      </c>
      <c r="G23" s="63" t="str">
        <f t="shared" si="6"/>
        <v>N/A</v>
      </c>
      <c r="H23" s="63" t="str">
        <f ca="1">IFERROR(VLOOKUP($A23,LASTYR,'2017'!$C$3,FALSE),"N/A")</f>
        <v>N/A</v>
      </c>
      <c r="I23" s="63" t="str">
        <f t="shared" ca="1" si="4"/>
        <v>N/A</v>
      </c>
      <c r="J23" s="63" t="str">
        <f t="shared" ca="1" si="4"/>
        <v>N/A</v>
      </c>
      <c r="K23" s="63" t="str">
        <f t="shared" ca="1" si="4"/>
        <v>N/A</v>
      </c>
      <c r="L23" s="63" t="str">
        <f t="shared" ca="1" si="4"/>
        <v>N/A</v>
      </c>
      <c r="M23" s="63" t="str">
        <f t="shared" ca="1" si="4"/>
        <v>N/A</v>
      </c>
      <c r="N23" s="63" t="str">
        <f t="shared" ca="1" si="4"/>
        <v>N/A</v>
      </c>
      <c r="O23" s="63" t="str">
        <f t="shared" ca="1" si="4"/>
        <v>N/A</v>
      </c>
      <c r="P23" s="63" t="str">
        <f t="shared" ca="1" si="4"/>
        <v>N/A</v>
      </c>
      <c r="Q23" s="63" t="str">
        <f t="shared" ca="1" si="4"/>
        <v>N/A</v>
      </c>
      <c r="R23" s="63" t="str">
        <f t="shared" ca="1" si="4"/>
        <v>N/A</v>
      </c>
      <c r="S23" s="63" t="str">
        <f t="shared" ca="1" si="4"/>
        <v>N/A</v>
      </c>
    </row>
    <row r="24" spans="1:19" ht="14.25" hidden="1" customHeight="1" x14ac:dyDescent="0.2">
      <c r="A24" s="45"/>
      <c r="B24" s="46" t="str">
        <f t="shared" ca="1" si="2"/>
        <v/>
      </c>
      <c r="C24" s="1" t="str">
        <f>IF(ISERROR(D24),"",IF(D24="","",MAX($C$12:C23)+1))</f>
        <v/>
      </c>
      <c r="D24" t="e">
        <f t="shared" si="3"/>
        <v>#N/A</v>
      </c>
      <c r="E24" s="15"/>
      <c r="F24" s="63" t="str">
        <f t="shared" ca="1" si="5"/>
        <v>N/A</v>
      </c>
      <c r="G24" s="63" t="str">
        <f t="shared" si="6"/>
        <v>N/A</v>
      </c>
      <c r="H24" s="63" t="str">
        <f ca="1">IFERROR(VLOOKUP($A24,LASTYR,'2017'!$C$3,FALSE),"N/A")</f>
        <v>N/A</v>
      </c>
      <c r="I24" s="63" t="str">
        <f t="shared" ca="1" si="4"/>
        <v>N/A</v>
      </c>
      <c r="J24" s="63" t="str">
        <f t="shared" ca="1" si="4"/>
        <v>N/A</v>
      </c>
      <c r="K24" s="63" t="str">
        <f t="shared" ca="1" si="4"/>
        <v>N/A</v>
      </c>
      <c r="L24" s="63" t="str">
        <f t="shared" ca="1" si="4"/>
        <v>N/A</v>
      </c>
      <c r="M24" s="63" t="str">
        <f t="shared" ca="1" si="4"/>
        <v>N/A</v>
      </c>
      <c r="N24" s="63" t="str">
        <f t="shared" ca="1" si="4"/>
        <v>N/A</v>
      </c>
      <c r="O24" s="63" t="str">
        <f t="shared" ca="1" si="4"/>
        <v>N/A</v>
      </c>
      <c r="P24" s="63" t="str">
        <f t="shared" ca="1" si="4"/>
        <v>N/A</v>
      </c>
      <c r="Q24" s="63" t="str">
        <f t="shared" ca="1" si="4"/>
        <v>N/A</v>
      </c>
      <c r="R24" s="63" t="str">
        <f t="shared" ca="1" si="4"/>
        <v>N/A</v>
      </c>
      <c r="S24" s="63" t="str">
        <f t="shared" ca="1" si="4"/>
        <v>N/A</v>
      </c>
    </row>
    <row r="25" spans="1:19" ht="14.25" hidden="1" customHeight="1" x14ac:dyDescent="0.2">
      <c r="A25" s="45"/>
      <c r="B25" s="46" t="str">
        <f t="shared" ca="1" si="2"/>
        <v/>
      </c>
      <c r="C25" s="1" t="str">
        <f>IF(ISERROR(D25),"",IF(D25="","",MAX($C$12:C24)+1))</f>
        <v/>
      </c>
      <c r="D25" t="e">
        <f t="shared" si="3"/>
        <v>#N/A</v>
      </c>
      <c r="E25" s="15"/>
      <c r="F25" s="63" t="str">
        <f t="shared" ca="1" si="5"/>
        <v>N/A</v>
      </c>
      <c r="G25" s="63" t="str">
        <f t="shared" si="6"/>
        <v>N/A</v>
      </c>
      <c r="H25" s="63" t="str">
        <f ca="1">IFERROR(VLOOKUP($A25,LASTYR,'2017'!$C$3,FALSE),"N/A")</f>
        <v>N/A</v>
      </c>
      <c r="I25" s="63" t="str">
        <f t="shared" ca="1" si="4"/>
        <v>N/A</v>
      </c>
      <c r="J25" s="63" t="str">
        <f t="shared" ca="1" si="4"/>
        <v>N/A</v>
      </c>
      <c r="K25" s="63" t="str">
        <f t="shared" ca="1" si="4"/>
        <v>N/A</v>
      </c>
      <c r="L25" s="63" t="str">
        <f t="shared" ca="1" si="4"/>
        <v>N/A</v>
      </c>
      <c r="M25" s="63" t="str">
        <f t="shared" ca="1" si="4"/>
        <v>N/A</v>
      </c>
      <c r="N25" s="63" t="str">
        <f t="shared" ca="1" si="4"/>
        <v>N/A</v>
      </c>
      <c r="O25" s="63" t="str">
        <f t="shared" ca="1" si="4"/>
        <v>N/A</v>
      </c>
      <c r="P25" s="63" t="str">
        <f t="shared" ca="1" si="4"/>
        <v>N/A</v>
      </c>
      <c r="Q25" s="63" t="str">
        <f t="shared" ca="1" si="4"/>
        <v>N/A</v>
      </c>
      <c r="R25" s="63" t="str">
        <f t="shared" ca="1" si="4"/>
        <v>N/A</v>
      </c>
      <c r="S25" s="63" t="str">
        <f t="shared" ca="1" si="4"/>
        <v>N/A</v>
      </c>
    </row>
    <row r="26" spans="1:19" ht="14.25" hidden="1" customHeight="1" x14ac:dyDescent="0.2">
      <c r="A26" s="45"/>
      <c r="B26" s="46" t="str">
        <f t="shared" ca="1" si="2"/>
        <v/>
      </c>
      <c r="C26" s="1" t="str">
        <f>IF(ISERROR(D26),"",IF(D26="","",MAX($C$12:C25)+1))</f>
        <v/>
      </c>
      <c r="D26" t="e">
        <f t="shared" si="3"/>
        <v>#N/A</v>
      </c>
      <c r="E26" s="15"/>
      <c r="F26" s="63" t="str">
        <f t="shared" ca="1" si="5"/>
        <v>N/A</v>
      </c>
      <c r="G26" s="63" t="str">
        <f t="shared" si="6"/>
        <v>N/A</v>
      </c>
      <c r="H26" s="63" t="str">
        <f ca="1">IFERROR(VLOOKUP($A26,LASTYR,'2017'!$C$3,FALSE),"N/A")</f>
        <v>N/A</v>
      </c>
      <c r="I26" s="63" t="str">
        <f t="shared" ca="1" si="4"/>
        <v>N/A</v>
      </c>
      <c r="J26" s="63" t="str">
        <f t="shared" ca="1" si="4"/>
        <v>N/A</v>
      </c>
      <c r="K26" s="63" t="str">
        <f t="shared" ca="1" si="4"/>
        <v>N/A</v>
      </c>
      <c r="L26" s="63" t="str">
        <f t="shared" ca="1" si="4"/>
        <v>N/A</v>
      </c>
      <c r="M26" s="63" t="str">
        <f t="shared" ca="1" si="4"/>
        <v>N/A</v>
      </c>
      <c r="N26" s="63" t="str">
        <f t="shared" ca="1" si="4"/>
        <v>N/A</v>
      </c>
      <c r="O26" s="63" t="str">
        <f t="shared" ca="1" si="4"/>
        <v>N/A</v>
      </c>
      <c r="P26" s="63" t="str">
        <f t="shared" ca="1" si="4"/>
        <v>N/A</v>
      </c>
      <c r="Q26" s="63" t="str">
        <f t="shared" ca="1" si="4"/>
        <v>N/A</v>
      </c>
      <c r="R26" s="63" t="str">
        <f t="shared" ca="1" si="4"/>
        <v>N/A</v>
      </c>
      <c r="S26" s="63" t="str">
        <f t="shared" ca="1" si="4"/>
        <v>N/A</v>
      </c>
    </row>
    <row r="27" spans="1:19" ht="14.25" hidden="1" customHeight="1" x14ac:dyDescent="0.2">
      <c r="A27" s="45"/>
      <c r="B27" s="46" t="str">
        <f t="shared" ca="1" si="2"/>
        <v/>
      </c>
      <c r="C27" s="1" t="str">
        <f>IF(ISERROR(D27),"",IF(D27="","",MAX($C$12:C26)+1))</f>
        <v/>
      </c>
      <c r="D27" t="e">
        <f t="shared" si="3"/>
        <v>#N/A</v>
      </c>
      <c r="E27" s="15"/>
      <c r="F27" s="63" t="str">
        <f t="shared" ca="1" si="5"/>
        <v>N/A</v>
      </c>
      <c r="G27" s="63" t="str">
        <f t="shared" si="6"/>
        <v>N/A</v>
      </c>
      <c r="H27" s="63" t="str">
        <f ca="1">IFERROR(VLOOKUP($A27,LASTYR,'2017'!$C$3,FALSE),"N/A")</f>
        <v>N/A</v>
      </c>
      <c r="I27" s="63" t="str">
        <f t="shared" ca="1" si="4"/>
        <v>N/A</v>
      </c>
      <c r="J27" s="63" t="str">
        <f t="shared" ca="1" si="4"/>
        <v>N/A</v>
      </c>
      <c r="K27" s="63" t="str">
        <f t="shared" ca="1" si="4"/>
        <v>N/A</v>
      </c>
      <c r="L27" s="63" t="str">
        <f t="shared" ca="1" si="4"/>
        <v>N/A</v>
      </c>
      <c r="M27" s="63" t="str">
        <f t="shared" ca="1" si="4"/>
        <v>N/A</v>
      </c>
      <c r="N27" s="63" t="str">
        <f t="shared" ca="1" si="4"/>
        <v>N/A</v>
      </c>
      <c r="O27" s="63" t="str">
        <f t="shared" ca="1" si="4"/>
        <v>N/A</v>
      </c>
      <c r="P27" s="63" t="str">
        <f t="shared" ca="1" si="4"/>
        <v>N/A</v>
      </c>
      <c r="Q27" s="63" t="str">
        <f t="shared" ca="1" si="4"/>
        <v>N/A</v>
      </c>
      <c r="R27" s="63" t="str">
        <f t="shared" ca="1" si="4"/>
        <v>N/A</v>
      </c>
      <c r="S27" s="63" t="str">
        <f t="shared" ca="1" si="4"/>
        <v>N/A</v>
      </c>
    </row>
    <row r="28" spans="1:19" ht="14.25" hidden="1" customHeight="1" x14ac:dyDescent="0.2">
      <c r="A28" s="45"/>
      <c r="B28" s="46" t="str">
        <f t="shared" ca="1" si="2"/>
        <v/>
      </c>
      <c r="C28" s="1" t="str">
        <f>IF(ISERROR(D28),"",IF(D28="","",MAX($C$12:C27)+1))</f>
        <v/>
      </c>
      <c r="D28" t="e">
        <f t="shared" si="3"/>
        <v>#N/A</v>
      </c>
      <c r="E28" s="15"/>
      <c r="F28" s="63" t="str">
        <f t="shared" ca="1" si="5"/>
        <v>N/A</v>
      </c>
      <c r="G28" s="63" t="str">
        <f t="shared" si="6"/>
        <v>N/A</v>
      </c>
      <c r="H28" s="63" t="str">
        <f ca="1">IFERROR(VLOOKUP($A28,LASTYR,'2017'!$C$3,FALSE),"N/A")</f>
        <v>N/A</v>
      </c>
      <c r="I28" s="63" t="str">
        <f t="shared" ca="1" si="4"/>
        <v>N/A</v>
      </c>
      <c r="J28" s="63" t="str">
        <f t="shared" ca="1" si="4"/>
        <v>N/A</v>
      </c>
      <c r="K28" s="63" t="str">
        <f t="shared" ca="1" si="4"/>
        <v>N/A</v>
      </c>
      <c r="L28" s="63" t="str">
        <f t="shared" ca="1" si="4"/>
        <v>N/A</v>
      </c>
      <c r="M28" s="63" t="str">
        <f t="shared" ca="1" si="4"/>
        <v>N/A</v>
      </c>
      <c r="N28" s="63" t="str">
        <f t="shared" ca="1" si="4"/>
        <v>N/A</v>
      </c>
      <c r="O28" s="63" t="str">
        <f t="shared" ca="1" si="4"/>
        <v>N/A</v>
      </c>
      <c r="P28" s="63" t="str">
        <f t="shared" ca="1" si="4"/>
        <v>N/A</v>
      </c>
      <c r="Q28" s="63" t="str">
        <f t="shared" ca="1" si="4"/>
        <v>N/A</v>
      </c>
      <c r="R28" s="63" t="str">
        <f t="shared" ca="1" si="4"/>
        <v>N/A</v>
      </c>
      <c r="S28" s="63" t="str">
        <f t="shared" ca="1" si="4"/>
        <v>N/A</v>
      </c>
    </row>
    <row r="29" spans="1:19" ht="14.25" hidden="1" customHeight="1" x14ac:dyDescent="0.2">
      <c r="A29" s="45"/>
      <c r="B29" s="46" t="str">
        <f t="shared" ca="1" si="2"/>
        <v/>
      </c>
      <c r="C29" s="1" t="str">
        <f>IF(ISERROR(D29),"",IF(D29="","",MAX($C$12:C28)+1))</f>
        <v/>
      </c>
      <c r="D29" t="e">
        <f t="shared" si="3"/>
        <v>#N/A</v>
      </c>
      <c r="E29" s="15"/>
      <c r="F29" s="63" t="str">
        <f t="shared" ca="1" si="5"/>
        <v>N/A</v>
      </c>
      <c r="G29" s="63" t="str">
        <f t="shared" si="6"/>
        <v>N/A</v>
      </c>
      <c r="H29" s="63" t="str">
        <f ca="1">IFERROR(VLOOKUP($A29,LASTYR,'2017'!$C$3,FALSE),"N/A")</f>
        <v>N/A</v>
      </c>
      <c r="I29" s="63" t="str">
        <f t="shared" ca="1" si="4"/>
        <v>N/A</v>
      </c>
      <c r="J29" s="63" t="str">
        <f t="shared" ca="1" si="4"/>
        <v>N/A</v>
      </c>
      <c r="K29" s="63" t="str">
        <f t="shared" ca="1" si="4"/>
        <v>N/A</v>
      </c>
      <c r="L29" s="63" t="str">
        <f t="shared" ca="1" si="4"/>
        <v>N/A</v>
      </c>
      <c r="M29" s="63" t="str">
        <f t="shared" ca="1" si="4"/>
        <v>N/A</v>
      </c>
      <c r="N29" s="63" t="str">
        <f t="shared" ca="1" si="4"/>
        <v>N/A</v>
      </c>
      <c r="O29" s="63" t="str">
        <f t="shared" ca="1" si="4"/>
        <v>N/A</v>
      </c>
      <c r="P29" s="63" t="str">
        <f t="shared" ca="1" si="4"/>
        <v>N/A</v>
      </c>
      <c r="Q29" s="63" t="str">
        <f t="shared" ca="1" si="4"/>
        <v>N/A</v>
      </c>
      <c r="R29" s="63" t="str">
        <f t="shared" ca="1" si="4"/>
        <v>N/A</v>
      </c>
      <c r="S29" s="63" t="str">
        <f t="shared" ca="1" si="4"/>
        <v>N/A</v>
      </c>
    </row>
    <row r="30" spans="1:19" ht="14.25" hidden="1" customHeight="1" x14ac:dyDescent="0.2">
      <c r="A30" s="45"/>
      <c r="B30" s="46" t="str">
        <f t="shared" ca="1" si="2"/>
        <v/>
      </c>
      <c r="C30" s="1" t="str">
        <f>IF(ISERROR(D30),"",IF(D30="","",MAX($C$12:C29)+1))</f>
        <v/>
      </c>
      <c r="D30" t="e">
        <f t="shared" si="3"/>
        <v>#N/A</v>
      </c>
      <c r="E30" s="15"/>
      <c r="F30" s="63" t="str">
        <f t="shared" ca="1" si="5"/>
        <v>N/A</v>
      </c>
      <c r="G30" s="63" t="str">
        <f t="shared" si="6"/>
        <v>N/A</v>
      </c>
      <c r="H30" s="63" t="str">
        <f ca="1">IFERROR(VLOOKUP($A30,LASTYR,'2017'!$C$3,FALSE),"N/A")</f>
        <v>N/A</v>
      </c>
      <c r="I30" s="63" t="str">
        <f t="shared" ca="1" si="4"/>
        <v>N/A</v>
      </c>
      <c r="J30" s="63" t="str">
        <f t="shared" ca="1" si="4"/>
        <v>N/A</v>
      </c>
      <c r="K30" s="63" t="str">
        <f t="shared" ca="1" si="4"/>
        <v>N/A</v>
      </c>
      <c r="L30" s="63" t="str">
        <f t="shared" ca="1" si="4"/>
        <v>N/A</v>
      </c>
      <c r="M30" s="63" t="str">
        <f t="shared" ca="1" si="4"/>
        <v>N/A</v>
      </c>
      <c r="N30" s="63" t="str">
        <f t="shared" ca="1" si="4"/>
        <v>N/A</v>
      </c>
      <c r="O30" s="63" t="str">
        <f t="shared" ca="1" si="4"/>
        <v>N/A</v>
      </c>
      <c r="P30" s="63" t="str">
        <f t="shared" ca="1" si="4"/>
        <v>N/A</v>
      </c>
      <c r="Q30" s="63" t="str">
        <f t="shared" ca="1" si="4"/>
        <v>N/A</v>
      </c>
      <c r="R30" s="63" t="str">
        <f t="shared" ca="1" si="4"/>
        <v>N/A</v>
      </c>
      <c r="S30" s="63" t="str">
        <f t="shared" ca="1" si="4"/>
        <v>N/A</v>
      </c>
    </row>
    <row r="31" spans="1:19" ht="14.25" hidden="1" customHeight="1" x14ac:dyDescent="0.2">
      <c r="A31" s="45"/>
      <c r="B31" s="46" t="str">
        <f t="shared" ca="1" si="2"/>
        <v/>
      </c>
      <c r="C31" s="1" t="str">
        <f>IF(ISERROR(D31),"",IF(D31="","",MAX($C$12:C30)+1))</f>
        <v/>
      </c>
      <c r="D31" t="e">
        <f t="shared" si="3"/>
        <v>#N/A</v>
      </c>
      <c r="E31" s="15"/>
      <c r="F31" s="63" t="str">
        <f t="shared" ca="1" si="5"/>
        <v>N/A</v>
      </c>
      <c r="G31" s="63" t="str">
        <f t="shared" si="6"/>
        <v>N/A</v>
      </c>
      <c r="H31" s="63" t="str">
        <f ca="1">IFERROR(VLOOKUP($A31,LASTYR,'2017'!$C$3,FALSE),"N/A")</f>
        <v>N/A</v>
      </c>
      <c r="I31" s="63" t="str">
        <f t="shared" ca="1" si="4"/>
        <v>N/A</v>
      </c>
      <c r="J31" s="63" t="str">
        <f t="shared" ca="1" si="4"/>
        <v>N/A</v>
      </c>
      <c r="K31" s="63" t="str">
        <f t="shared" ca="1" si="4"/>
        <v>N/A</v>
      </c>
      <c r="L31" s="63" t="str">
        <f t="shared" ca="1" si="4"/>
        <v>N/A</v>
      </c>
      <c r="M31" s="63" t="str">
        <f t="shared" ca="1" si="4"/>
        <v>N/A</v>
      </c>
      <c r="N31" s="63" t="str">
        <f t="shared" ca="1" si="4"/>
        <v>N/A</v>
      </c>
      <c r="O31" s="63" t="str">
        <f t="shared" ca="1" si="4"/>
        <v>N/A</v>
      </c>
      <c r="P31" s="63" t="str">
        <f t="shared" ca="1" si="4"/>
        <v>N/A</v>
      </c>
      <c r="Q31" s="63" t="str">
        <f t="shared" ca="1" si="4"/>
        <v>N/A</v>
      </c>
      <c r="R31" s="63" t="str">
        <f t="shared" ca="1" si="4"/>
        <v>N/A</v>
      </c>
      <c r="S31" s="63" t="str">
        <f t="shared" ca="1" si="4"/>
        <v>N/A</v>
      </c>
    </row>
    <row r="32" spans="1:19" ht="14.25" hidden="1" customHeight="1" x14ac:dyDescent="0.2">
      <c r="A32" s="45"/>
      <c r="B32" s="46" t="str">
        <f t="shared" ca="1" si="2"/>
        <v/>
      </c>
      <c r="C32" s="1" t="str">
        <f>IF(ISERROR(D32),"",IF(D32="","",MAX($C$12:C31)+1))</f>
        <v/>
      </c>
      <c r="D32" t="e">
        <f t="shared" si="3"/>
        <v>#N/A</v>
      </c>
      <c r="E32" s="15"/>
      <c r="F32" s="63" t="str">
        <f t="shared" ca="1" si="5"/>
        <v>N/A</v>
      </c>
      <c r="G32" s="63" t="str">
        <f t="shared" si="6"/>
        <v>N/A</v>
      </c>
      <c r="H32" s="63" t="str">
        <f ca="1">IFERROR(VLOOKUP($A32,LASTYR,'2017'!$C$3,FALSE),"N/A")</f>
        <v>N/A</v>
      </c>
      <c r="I32" s="63" t="str">
        <f t="shared" ref="I32:S55" ca="1" si="7">IFERROR(INDEX(PE_WP,$B32,I$12),"N/A")</f>
        <v>N/A</v>
      </c>
      <c r="J32" s="63" t="str">
        <f t="shared" ca="1" si="7"/>
        <v>N/A</v>
      </c>
      <c r="K32" s="63" t="str">
        <f t="shared" ca="1" si="7"/>
        <v>N/A</v>
      </c>
      <c r="L32" s="63" t="str">
        <f t="shared" ca="1" si="7"/>
        <v>N/A</v>
      </c>
      <c r="M32" s="63" t="str">
        <f t="shared" ca="1" si="7"/>
        <v>N/A</v>
      </c>
      <c r="N32" s="63" t="str">
        <f t="shared" ca="1" si="7"/>
        <v>N/A</v>
      </c>
      <c r="O32" s="63" t="str">
        <f t="shared" ca="1" si="7"/>
        <v>N/A</v>
      </c>
      <c r="P32" s="63" t="str">
        <f t="shared" ca="1" si="7"/>
        <v>N/A</v>
      </c>
      <c r="Q32" s="63" t="str">
        <f t="shared" ca="1" si="7"/>
        <v>N/A</v>
      </c>
      <c r="R32" s="63" t="str">
        <f t="shared" ca="1" si="7"/>
        <v>N/A</v>
      </c>
      <c r="S32" s="63" t="str">
        <f t="shared" ca="1" si="7"/>
        <v>N/A</v>
      </c>
    </row>
    <row r="33" spans="1:19" ht="14.25" hidden="1" customHeight="1" x14ac:dyDescent="0.2">
      <c r="A33" s="45"/>
      <c r="B33" s="46" t="str">
        <f t="shared" ca="1" si="2"/>
        <v/>
      </c>
      <c r="C33" s="1" t="str">
        <f>IF(ISERROR(D33),"",IF(D33="","",MAX($C$12:C32)+1))</f>
        <v/>
      </c>
      <c r="D33" t="e">
        <f t="shared" si="3"/>
        <v>#N/A</v>
      </c>
      <c r="E33" s="15"/>
      <c r="F33" s="63" t="str">
        <f t="shared" ca="1" si="5"/>
        <v>N/A</v>
      </c>
      <c r="G33" s="63" t="str">
        <f t="shared" si="6"/>
        <v>N/A</v>
      </c>
      <c r="H33" s="63" t="str">
        <f ca="1">IFERROR(VLOOKUP($A33,LASTYR,'2017'!$C$3,FALSE),"N/A")</f>
        <v>N/A</v>
      </c>
      <c r="I33" s="63" t="str">
        <f t="shared" ca="1" si="7"/>
        <v>N/A</v>
      </c>
      <c r="J33" s="63" t="str">
        <f t="shared" ca="1" si="7"/>
        <v>N/A</v>
      </c>
      <c r="K33" s="63" t="str">
        <f t="shared" ca="1" si="7"/>
        <v>N/A</v>
      </c>
      <c r="L33" s="63" t="str">
        <f t="shared" ca="1" si="7"/>
        <v>N/A</v>
      </c>
      <c r="M33" s="63" t="str">
        <f t="shared" ca="1" si="7"/>
        <v>N/A</v>
      </c>
      <c r="N33" s="63" t="str">
        <f t="shared" ca="1" si="7"/>
        <v>N/A</v>
      </c>
      <c r="O33" s="63" t="str">
        <f t="shared" ca="1" si="7"/>
        <v>N/A</v>
      </c>
      <c r="P33" s="63" t="str">
        <f t="shared" ca="1" si="7"/>
        <v>N/A</v>
      </c>
      <c r="Q33" s="63" t="str">
        <f t="shared" ca="1" si="7"/>
        <v>N/A</v>
      </c>
      <c r="R33" s="63" t="str">
        <f t="shared" ca="1" si="7"/>
        <v>N/A</v>
      </c>
      <c r="S33" s="63" t="str">
        <f t="shared" ca="1" si="7"/>
        <v>N/A</v>
      </c>
    </row>
    <row r="34" spans="1:19" ht="14.25" hidden="1" customHeight="1" x14ac:dyDescent="0.2">
      <c r="A34" s="45"/>
      <c r="B34" s="46" t="str">
        <f t="shared" ca="1" si="2"/>
        <v/>
      </c>
      <c r="C34" s="1" t="str">
        <f>IF(ISERROR(D34),"",IF(D34="","",MAX($C$12:C33)+1))</f>
        <v/>
      </c>
      <c r="D34" t="e">
        <f t="shared" si="3"/>
        <v>#N/A</v>
      </c>
      <c r="E34" s="15"/>
      <c r="F34" s="63" t="str">
        <f t="shared" ca="1" si="5"/>
        <v>N/A</v>
      </c>
      <c r="G34" s="63" t="str">
        <f t="shared" si="6"/>
        <v>N/A</v>
      </c>
      <c r="H34" s="63" t="str">
        <f ca="1">IFERROR(VLOOKUP($A34,LASTYR,'2017'!$C$3,FALSE),"N/A")</f>
        <v>N/A</v>
      </c>
      <c r="I34" s="63" t="str">
        <f t="shared" ca="1" si="7"/>
        <v>N/A</v>
      </c>
      <c r="J34" s="63" t="str">
        <f t="shared" ca="1" si="7"/>
        <v>N/A</v>
      </c>
      <c r="K34" s="63" t="str">
        <f t="shared" ca="1" si="7"/>
        <v>N/A</v>
      </c>
      <c r="L34" s="63" t="str">
        <f t="shared" ca="1" si="7"/>
        <v>N/A</v>
      </c>
      <c r="M34" s="63" t="str">
        <f t="shared" ca="1" si="7"/>
        <v>N/A</v>
      </c>
      <c r="N34" s="63" t="str">
        <f t="shared" ca="1" si="7"/>
        <v>N/A</v>
      </c>
      <c r="O34" s="63" t="str">
        <f t="shared" ca="1" si="7"/>
        <v>N/A</v>
      </c>
      <c r="P34" s="63" t="str">
        <f t="shared" ca="1" si="7"/>
        <v>N/A</v>
      </c>
      <c r="Q34" s="63" t="str">
        <f t="shared" ca="1" si="7"/>
        <v>N/A</v>
      </c>
      <c r="R34" s="63" t="str">
        <f t="shared" ca="1" si="7"/>
        <v>N/A</v>
      </c>
      <c r="S34" s="63" t="str">
        <f t="shared" ca="1" si="7"/>
        <v>N/A</v>
      </c>
    </row>
    <row r="35" spans="1:19" ht="14.25" hidden="1" customHeight="1" x14ac:dyDescent="0.2">
      <c r="A35" s="45"/>
      <c r="B35" s="46" t="str">
        <f t="shared" ca="1" si="2"/>
        <v/>
      </c>
      <c r="C35" s="1" t="str">
        <f>IF(ISERROR(D35),"",IF(D35="","",MAX($C$12:C34)+1))</f>
        <v/>
      </c>
      <c r="D35" t="e">
        <f t="shared" si="3"/>
        <v>#N/A</v>
      </c>
      <c r="E35" s="15"/>
      <c r="F35" s="63" t="str">
        <f t="shared" ca="1" si="5"/>
        <v>N/A</v>
      </c>
      <c r="G35" s="63" t="str">
        <f t="shared" si="6"/>
        <v>N/A</v>
      </c>
      <c r="H35" s="63" t="str">
        <f ca="1">IFERROR(VLOOKUP($A35,LASTYR,'2017'!$C$3,FALSE),"N/A")</f>
        <v>N/A</v>
      </c>
      <c r="I35" s="63" t="str">
        <f t="shared" ca="1" si="7"/>
        <v>N/A</v>
      </c>
      <c r="J35" s="63" t="str">
        <f t="shared" ca="1" si="7"/>
        <v>N/A</v>
      </c>
      <c r="K35" s="63" t="str">
        <f t="shared" ca="1" si="7"/>
        <v>N/A</v>
      </c>
      <c r="L35" s="63" t="str">
        <f t="shared" ca="1" si="7"/>
        <v>N/A</v>
      </c>
      <c r="M35" s="63" t="str">
        <f t="shared" ca="1" si="7"/>
        <v>N/A</v>
      </c>
      <c r="N35" s="63" t="str">
        <f t="shared" ca="1" si="7"/>
        <v>N/A</v>
      </c>
      <c r="O35" s="63" t="str">
        <f t="shared" ca="1" si="7"/>
        <v>N/A</v>
      </c>
      <c r="P35" s="63" t="str">
        <f t="shared" ca="1" si="7"/>
        <v>N/A</v>
      </c>
      <c r="Q35" s="63" t="str">
        <f t="shared" ca="1" si="7"/>
        <v>N/A</v>
      </c>
      <c r="R35" s="63" t="str">
        <f t="shared" ca="1" si="7"/>
        <v>N/A</v>
      </c>
      <c r="S35" s="63" t="str">
        <f t="shared" ca="1" si="7"/>
        <v>N/A</v>
      </c>
    </row>
    <row r="36" spans="1:19" ht="14.25" hidden="1" customHeight="1" x14ac:dyDescent="0.2">
      <c r="A36" s="45"/>
      <c r="B36" s="46" t="str">
        <f t="shared" ca="1" si="2"/>
        <v/>
      </c>
      <c r="C36" s="1" t="str">
        <f>IF(ISERROR(D36),"",IF(D36="","",MAX($C$12:C35)+1))</f>
        <v/>
      </c>
      <c r="D36" t="e">
        <f t="shared" si="3"/>
        <v>#N/A</v>
      </c>
      <c r="E36" s="15"/>
      <c r="F36" s="63" t="str">
        <f t="shared" ca="1" si="5"/>
        <v>N/A</v>
      </c>
      <c r="G36" s="63" t="str">
        <f t="shared" si="6"/>
        <v>N/A</v>
      </c>
      <c r="H36" s="63" t="str">
        <f ca="1">IFERROR(VLOOKUP($A36,LASTYR,'2017'!$C$3,FALSE),"N/A")</f>
        <v>N/A</v>
      </c>
      <c r="I36" s="63" t="str">
        <f t="shared" ca="1" si="7"/>
        <v>N/A</v>
      </c>
      <c r="J36" s="63" t="str">
        <f t="shared" ca="1" si="7"/>
        <v>N/A</v>
      </c>
      <c r="K36" s="63" t="str">
        <f t="shared" ca="1" si="7"/>
        <v>N/A</v>
      </c>
      <c r="L36" s="63" t="str">
        <f t="shared" ca="1" si="7"/>
        <v>N/A</v>
      </c>
      <c r="M36" s="63" t="str">
        <f t="shared" ca="1" si="7"/>
        <v>N/A</v>
      </c>
      <c r="N36" s="63" t="str">
        <f t="shared" ca="1" si="7"/>
        <v>N/A</v>
      </c>
      <c r="O36" s="63" t="str">
        <f t="shared" ca="1" si="7"/>
        <v>N/A</v>
      </c>
      <c r="P36" s="63" t="str">
        <f t="shared" ca="1" si="7"/>
        <v>N/A</v>
      </c>
      <c r="Q36" s="63" t="str">
        <f t="shared" ca="1" si="7"/>
        <v>N/A</v>
      </c>
      <c r="R36" s="63" t="str">
        <f t="shared" ca="1" si="7"/>
        <v>N/A</v>
      </c>
      <c r="S36" s="63" t="str">
        <f t="shared" ca="1" si="7"/>
        <v>N/A</v>
      </c>
    </row>
    <row r="37" spans="1:19" ht="14.25" hidden="1" customHeight="1" x14ac:dyDescent="0.2">
      <c r="A37" s="45"/>
      <c r="B37" s="46" t="str">
        <f t="shared" ca="1" si="2"/>
        <v/>
      </c>
      <c r="C37" s="1" t="str">
        <f>IF(ISERROR(D37),"",IF(D37="","",MAX($C$12:C36)+1))</f>
        <v/>
      </c>
      <c r="D37" t="e">
        <f t="shared" si="3"/>
        <v>#N/A</v>
      </c>
      <c r="E37" s="15"/>
      <c r="F37" s="63" t="str">
        <f t="shared" ca="1" si="5"/>
        <v>N/A</v>
      </c>
      <c r="G37" s="63" t="str">
        <f t="shared" si="6"/>
        <v>N/A</v>
      </c>
      <c r="H37" s="63" t="str">
        <f ca="1">IFERROR(VLOOKUP($A37,LASTYR,'2017'!$C$3,FALSE),"N/A")</f>
        <v>N/A</v>
      </c>
      <c r="I37" s="63" t="str">
        <f t="shared" ca="1" si="7"/>
        <v>N/A</v>
      </c>
      <c r="J37" s="63" t="str">
        <f t="shared" ca="1" si="7"/>
        <v>N/A</v>
      </c>
      <c r="K37" s="63" t="str">
        <f t="shared" ca="1" si="7"/>
        <v>N/A</v>
      </c>
      <c r="L37" s="63" t="str">
        <f t="shared" ca="1" si="7"/>
        <v>N/A</v>
      </c>
      <c r="M37" s="63" t="str">
        <f t="shared" ca="1" si="7"/>
        <v>N/A</v>
      </c>
      <c r="N37" s="63" t="str">
        <f t="shared" ca="1" si="7"/>
        <v>N/A</v>
      </c>
      <c r="O37" s="63" t="str">
        <f t="shared" ca="1" si="7"/>
        <v>N/A</v>
      </c>
      <c r="P37" s="63" t="str">
        <f t="shared" ca="1" si="7"/>
        <v>N/A</v>
      </c>
      <c r="Q37" s="63" t="str">
        <f t="shared" ca="1" si="7"/>
        <v>N/A</v>
      </c>
      <c r="R37" s="63" t="str">
        <f t="shared" ca="1" si="7"/>
        <v>N/A</v>
      </c>
      <c r="S37" s="63" t="str">
        <f t="shared" ca="1" si="7"/>
        <v>N/A</v>
      </c>
    </row>
    <row r="38" spans="1:19" ht="14.25" hidden="1" customHeight="1" x14ac:dyDescent="0.2">
      <c r="A38" s="45"/>
      <c r="B38" s="46" t="str">
        <f t="shared" ca="1" si="2"/>
        <v/>
      </c>
      <c r="C38" s="1" t="str">
        <f>IF(ISERROR(D38),"",IF(D38="","",MAX($C$12:C37)+1))</f>
        <v/>
      </c>
      <c r="D38" t="e">
        <f t="shared" si="3"/>
        <v>#N/A</v>
      </c>
      <c r="E38" s="15"/>
      <c r="F38" s="63" t="str">
        <f t="shared" ca="1" si="5"/>
        <v>N/A</v>
      </c>
      <c r="G38" s="63" t="str">
        <f t="shared" si="6"/>
        <v>N/A</v>
      </c>
      <c r="H38" s="63" t="str">
        <f ca="1">IFERROR(VLOOKUP($A38,LASTYR,'2017'!$C$3,FALSE),"N/A")</f>
        <v>N/A</v>
      </c>
      <c r="I38" s="63" t="str">
        <f t="shared" ca="1" si="7"/>
        <v>N/A</v>
      </c>
      <c r="J38" s="63" t="str">
        <f t="shared" ca="1" si="7"/>
        <v>N/A</v>
      </c>
      <c r="K38" s="63" t="str">
        <f t="shared" ca="1" si="7"/>
        <v>N/A</v>
      </c>
      <c r="L38" s="63" t="str">
        <f t="shared" ca="1" si="7"/>
        <v>N/A</v>
      </c>
      <c r="M38" s="63" t="str">
        <f t="shared" ca="1" si="7"/>
        <v>N/A</v>
      </c>
      <c r="N38" s="63" t="str">
        <f t="shared" ca="1" si="7"/>
        <v>N/A</v>
      </c>
      <c r="O38" s="63" t="str">
        <f t="shared" ca="1" si="7"/>
        <v>N/A</v>
      </c>
      <c r="P38" s="63" t="str">
        <f t="shared" ca="1" si="7"/>
        <v>N/A</v>
      </c>
      <c r="Q38" s="63" t="str">
        <f t="shared" ca="1" si="7"/>
        <v>N/A</v>
      </c>
      <c r="R38" s="63" t="str">
        <f t="shared" ca="1" si="7"/>
        <v>N/A</v>
      </c>
      <c r="S38" s="63" t="str">
        <f t="shared" ca="1" si="7"/>
        <v>N/A</v>
      </c>
    </row>
    <row r="39" spans="1:19" ht="14.25" hidden="1" customHeight="1" x14ac:dyDescent="0.2">
      <c r="A39" s="45"/>
      <c r="B39" s="46" t="str">
        <f t="shared" ca="1" si="2"/>
        <v/>
      </c>
      <c r="C39" s="1" t="str">
        <f>IF(ISERROR(D39),"",IF(D39="","",MAX($C$12:C38)+1))</f>
        <v/>
      </c>
      <c r="D39" t="e">
        <f t="shared" si="3"/>
        <v>#N/A</v>
      </c>
      <c r="E39" s="15"/>
      <c r="F39" s="63" t="str">
        <f t="shared" ca="1" si="5"/>
        <v>N/A</v>
      </c>
      <c r="G39" s="63" t="str">
        <f t="shared" si="6"/>
        <v>N/A</v>
      </c>
      <c r="H39" s="63" t="str">
        <f ca="1">IFERROR(VLOOKUP($A39,LASTYR,'2017'!$C$3,FALSE),"N/A")</f>
        <v>N/A</v>
      </c>
      <c r="I39" s="63" t="str">
        <f t="shared" ca="1" si="7"/>
        <v>N/A</v>
      </c>
      <c r="J39" s="63" t="str">
        <f t="shared" ca="1" si="7"/>
        <v>N/A</v>
      </c>
      <c r="K39" s="63" t="str">
        <f t="shared" ca="1" si="7"/>
        <v>N/A</v>
      </c>
      <c r="L39" s="63" t="str">
        <f t="shared" ca="1" si="7"/>
        <v>N/A</v>
      </c>
      <c r="M39" s="63" t="str">
        <f t="shared" ca="1" si="7"/>
        <v>N/A</v>
      </c>
      <c r="N39" s="63" t="str">
        <f t="shared" ca="1" si="7"/>
        <v>N/A</v>
      </c>
      <c r="O39" s="63" t="str">
        <f t="shared" ca="1" si="7"/>
        <v>N/A</v>
      </c>
      <c r="P39" s="63" t="str">
        <f t="shared" ca="1" si="7"/>
        <v>N/A</v>
      </c>
      <c r="Q39" s="63" t="str">
        <f t="shared" ca="1" si="7"/>
        <v>N/A</v>
      </c>
      <c r="R39" s="63" t="str">
        <f t="shared" ca="1" si="7"/>
        <v>N/A</v>
      </c>
      <c r="S39" s="63" t="str">
        <f t="shared" ca="1" si="7"/>
        <v>N/A</v>
      </c>
    </row>
    <row r="40" spans="1:19" ht="14.25" hidden="1" customHeight="1" x14ac:dyDescent="0.2">
      <c r="A40" s="45"/>
      <c r="B40" s="46" t="str">
        <f t="shared" ca="1" si="2"/>
        <v/>
      </c>
      <c r="C40" s="1" t="str">
        <f>IF(ISERROR(D40),"",IF(D40="","",MAX($C$12:C39)+1))</f>
        <v/>
      </c>
      <c r="D40" t="e">
        <f t="shared" si="3"/>
        <v>#N/A</v>
      </c>
      <c r="E40" s="15"/>
      <c r="F40" s="63" t="str">
        <f t="shared" ca="1" si="5"/>
        <v>N/A</v>
      </c>
      <c r="G40" s="63" t="str">
        <f t="shared" si="6"/>
        <v>N/A</v>
      </c>
      <c r="H40" s="63" t="str">
        <f ca="1">IFERROR(VLOOKUP($A40,LASTYR,'2017'!$C$3,FALSE),"N/A")</f>
        <v>N/A</v>
      </c>
      <c r="I40" s="63" t="str">
        <f t="shared" ca="1" si="7"/>
        <v>N/A</v>
      </c>
      <c r="J40" s="63" t="str">
        <f t="shared" ca="1" si="7"/>
        <v>N/A</v>
      </c>
      <c r="K40" s="63" t="str">
        <f t="shared" ca="1" si="7"/>
        <v>N/A</v>
      </c>
      <c r="L40" s="63" t="str">
        <f t="shared" ca="1" si="7"/>
        <v>N/A</v>
      </c>
      <c r="M40" s="63" t="str">
        <f t="shared" ca="1" si="7"/>
        <v>N/A</v>
      </c>
      <c r="N40" s="63" t="str">
        <f t="shared" ca="1" si="7"/>
        <v>N/A</v>
      </c>
      <c r="O40" s="63" t="str">
        <f t="shared" ca="1" si="7"/>
        <v>N/A</v>
      </c>
      <c r="P40" s="63" t="str">
        <f t="shared" ca="1" si="7"/>
        <v>N/A</v>
      </c>
      <c r="Q40" s="63" t="str">
        <f t="shared" ca="1" si="7"/>
        <v>N/A</v>
      </c>
      <c r="R40" s="63" t="str">
        <f t="shared" ca="1" si="7"/>
        <v>N/A</v>
      </c>
      <c r="S40" s="63" t="str">
        <f t="shared" ca="1" si="7"/>
        <v>N/A</v>
      </c>
    </row>
    <row r="41" spans="1:19" ht="14.25" hidden="1" customHeight="1" x14ac:dyDescent="0.2">
      <c r="A41" s="45"/>
      <c r="B41" s="46" t="str">
        <f t="shared" ca="1" si="2"/>
        <v/>
      </c>
      <c r="C41" s="1" t="str">
        <f>IF(ISERROR(D41),"",IF(D41="","",MAX($C$12:C40)+1))</f>
        <v/>
      </c>
      <c r="D41" t="e">
        <f t="shared" si="3"/>
        <v>#N/A</v>
      </c>
      <c r="E41" s="15"/>
      <c r="F41" s="63" t="str">
        <f t="shared" ca="1" si="5"/>
        <v>N/A</v>
      </c>
      <c r="G41" s="63" t="str">
        <f t="shared" si="6"/>
        <v>N/A</v>
      </c>
      <c r="H41" s="63" t="str">
        <f ca="1">IFERROR(VLOOKUP($A41,LASTYR,'2017'!$C$3,FALSE),"N/A")</f>
        <v>N/A</v>
      </c>
      <c r="I41" s="63" t="str">
        <f t="shared" ca="1" si="7"/>
        <v>N/A</v>
      </c>
      <c r="J41" s="63" t="str">
        <f t="shared" ca="1" si="7"/>
        <v>N/A</v>
      </c>
      <c r="K41" s="63" t="str">
        <f t="shared" ca="1" si="7"/>
        <v>N/A</v>
      </c>
      <c r="L41" s="63" t="str">
        <f t="shared" ca="1" si="7"/>
        <v>N/A</v>
      </c>
      <c r="M41" s="63" t="str">
        <f t="shared" ca="1" si="7"/>
        <v>N/A</v>
      </c>
      <c r="N41" s="63" t="str">
        <f t="shared" ca="1" si="7"/>
        <v>N/A</v>
      </c>
      <c r="O41" s="63" t="str">
        <f t="shared" ca="1" si="7"/>
        <v>N/A</v>
      </c>
      <c r="P41" s="63" t="str">
        <f t="shared" ca="1" si="7"/>
        <v>N/A</v>
      </c>
      <c r="Q41" s="63" t="str">
        <f t="shared" ca="1" si="7"/>
        <v>N/A</v>
      </c>
      <c r="R41" s="63" t="str">
        <f t="shared" ca="1" si="7"/>
        <v>N/A</v>
      </c>
      <c r="S41" s="63" t="str">
        <f t="shared" ca="1" si="7"/>
        <v>N/A</v>
      </c>
    </row>
    <row r="42" spans="1:19" ht="14.25" hidden="1" customHeight="1" x14ac:dyDescent="0.2">
      <c r="A42" s="45"/>
      <c r="B42" s="46" t="str">
        <f t="shared" ca="1" si="2"/>
        <v/>
      </c>
      <c r="C42" s="1" t="str">
        <f>IF(ISERROR(D42),"",IF(D42="","",MAX($C$12:C41)+1))</f>
        <v/>
      </c>
      <c r="D42" t="e">
        <f t="shared" si="3"/>
        <v>#N/A</v>
      </c>
      <c r="E42" s="15"/>
      <c r="F42" s="63" t="str">
        <f t="shared" ca="1" si="5"/>
        <v>N/A</v>
      </c>
      <c r="G42" s="63" t="str">
        <f t="shared" si="6"/>
        <v>N/A</v>
      </c>
      <c r="H42" s="63" t="str">
        <f ca="1">IFERROR(VLOOKUP($A42,LASTYR,'2017'!$C$3,FALSE),"N/A")</f>
        <v>N/A</v>
      </c>
      <c r="I42" s="63" t="str">
        <f t="shared" ca="1" si="7"/>
        <v>N/A</v>
      </c>
      <c r="J42" s="63" t="str">
        <f t="shared" ca="1" si="7"/>
        <v>N/A</v>
      </c>
      <c r="K42" s="63" t="str">
        <f t="shared" ca="1" si="7"/>
        <v>N/A</v>
      </c>
      <c r="L42" s="63" t="str">
        <f t="shared" ca="1" si="7"/>
        <v>N/A</v>
      </c>
      <c r="M42" s="63" t="str">
        <f t="shared" ca="1" si="7"/>
        <v>N/A</v>
      </c>
      <c r="N42" s="63" t="str">
        <f t="shared" ca="1" si="7"/>
        <v>N/A</v>
      </c>
      <c r="O42" s="63" t="str">
        <f t="shared" ca="1" si="7"/>
        <v>N/A</v>
      </c>
      <c r="P42" s="63" t="str">
        <f t="shared" ca="1" si="7"/>
        <v>N/A</v>
      </c>
      <c r="Q42" s="63" t="str">
        <f t="shared" ca="1" si="7"/>
        <v>N/A</v>
      </c>
      <c r="R42" s="63" t="str">
        <f t="shared" ca="1" si="7"/>
        <v>N/A</v>
      </c>
      <c r="S42" s="63" t="str">
        <f t="shared" ca="1" si="7"/>
        <v>N/A</v>
      </c>
    </row>
    <row r="43" spans="1:19" ht="14.25" hidden="1" customHeight="1" x14ac:dyDescent="0.2">
      <c r="A43" s="45"/>
      <c r="B43" s="46" t="str">
        <f t="shared" ca="1" si="2"/>
        <v/>
      </c>
      <c r="C43" s="1" t="str">
        <f>IF(ISERROR(D43),"",IF(D43="","",MAX($C$12:C42)+1))</f>
        <v/>
      </c>
      <c r="D43" t="e">
        <f t="shared" si="3"/>
        <v>#N/A</v>
      </c>
      <c r="E43" s="15"/>
      <c r="F43" s="63" t="str">
        <f t="shared" ca="1" si="5"/>
        <v>N/A</v>
      </c>
      <c r="G43" s="63" t="str">
        <f t="shared" si="6"/>
        <v>N/A</v>
      </c>
      <c r="H43" s="63" t="str">
        <f ca="1">IFERROR(VLOOKUP($A43,LASTYR,'2017'!$C$3,FALSE),"N/A")</f>
        <v>N/A</v>
      </c>
      <c r="I43" s="63" t="str">
        <f t="shared" ca="1" si="7"/>
        <v>N/A</v>
      </c>
      <c r="J43" s="63" t="str">
        <f t="shared" ca="1" si="7"/>
        <v>N/A</v>
      </c>
      <c r="K43" s="63" t="str">
        <f t="shared" ca="1" si="7"/>
        <v>N/A</v>
      </c>
      <c r="L43" s="63" t="str">
        <f t="shared" ca="1" si="7"/>
        <v>N/A</v>
      </c>
      <c r="M43" s="63" t="str">
        <f t="shared" ca="1" si="7"/>
        <v>N/A</v>
      </c>
      <c r="N43" s="63" t="str">
        <f t="shared" ca="1" si="7"/>
        <v>N/A</v>
      </c>
      <c r="O43" s="63" t="str">
        <f t="shared" ca="1" si="7"/>
        <v>N/A</v>
      </c>
      <c r="P43" s="63" t="str">
        <f t="shared" ca="1" si="7"/>
        <v>N/A</v>
      </c>
      <c r="Q43" s="63" t="str">
        <f t="shared" ca="1" si="7"/>
        <v>N/A</v>
      </c>
      <c r="R43" s="63" t="str">
        <f t="shared" ca="1" si="7"/>
        <v>N/A</v>
      </c>
      <c r="S43" s="63" t="str">
        <f t="shared" ca="1" si="7"/>
        <v>N/A</v>
      </c>
    </row>
    <row r="44" spans="1:19" ht="14.25" hidden="1" customHeight="1" x14ac:dyDescent="0.2">
      <c r="A44" s="45"/>
      <c r="B44" s="46" t="str">
        <f t="shared" ca="1" si="2"/>
        <v/>
      </c>
      <c r="C44" s="1" t="str">
        <f>IF(ISERROR(D44),"",IF(D44="","",MAX($C$12:C43)+1))</f>
        <v/>
      </c>
      <c r="D44" t="e">
        <f t="shared" si="3"/>
        <v>#N/A</v>
      </c>
      <c r="E44" s="15"/>
      <c r="F44" s="63" t="str">
        <f t="shared" ca="1" si="5"/>
        <v>N/A</v>
      </c>
      <c r="G44" s="63" t="str">
        <f t="shared" si="6"/>
        <v>N/A</v>
      </c>
      <c r="H44" s="63" t="str">
        <f ca="1">IFERROR(VLOOKUP($A44,LASTYR,'2017'!$C$3,FALSE),"N/A")</f>
        <v>N/A</v>
      </c>
      <c r="I44" s="63" t="str">
        <f t="shared" ca="1" si="7"/>
        <v>N/A</v>
      </c>
      <c r="J44" s="63" t="str">
        <f t="shared" ca="1" si="7"/>
        <v>N/A</v>
      </c>
      <c r="K44" s="63" t="str">
        <f t="shared" ca="1" si="7"/>
        <v>N/A</v>
      </c>
      <c r="L44" s="63" t="str">
        <f t="shared" ca="1" si="7"/>
        <v>N/A</v>
      </c>
      <c r="M44" s="63" t="str">
        <f t="shared" ca="1" si="7"/>
        <v>N/A</v>
      </c>
      <c r="N44" s="63" t="str">
        <f t="shared" ca="1" si="7"/>
        <v>N/A</v>
      </c>
      <c r="O44" s="63" t="str">
        <f t="shared" ca="1" si="7"/>
        <v>N/A</v>
      </c>
      <c r="P44" s="63" t="str">
        <f t="shared" ca="1" si="7"/>
        <v>N/A</v>
      </c>
      <c r="Q44" s="63" t="str">
        <f t="shared" ca="1" si="7"/>
        <v>N/A</v>
      </c>
      <c r="R44" s="63" t="str">
        <f t="shared" ca="1" si="7"/>
        <v>N/A</v>
      </c>
      <c r="S44" s="63" t="str">
        <f t="shared" ca="1" si="7"/>
        <v>N/A</v>
      </c>
    </row>
    <row r="45" spans="1:19" ht="14.25" hidden="1" customHeight="1" x14ac:dyDescent="0.2">
      <c r="A45" s="45"/>
      <c r="B45" s="46" t="str">
        <f t="shared" ca="1" si="2"/>
        <v/>
      </c>
      <c r="C45" s="1" t="str">
        <f>IF(ISERROR(D45),"",IF(D45="","",MAX($C$12:C44)+1))</f>
        <v/>
      </c>
      <c r="D45" t="e">
        <f t="shared" si="3"/>
        <v>#N/A</v>
      </c>
      <c r="E45" s="15"/>
      <c r="F45" s="63" t="str">
        <f t="shared" ca="1" si="5"/>
        <v>N/A</v>
      </c>
      <c r="G45" s="63" t="str">
        <f t="shared" si="6"/>
        <v>N/A</v>
      </c>
      <c r="H45" s="63" t="str">
        <f ca="1">IFERROR(VLOOKUP($A45,LASTYR,'2017'!$C$3,FALSE),"N/A")</f>
        <v>N/A</v>
      </c>
      <c r="I45" s="63" t="str">
        <f t="shared" ca="1" si="7"/>
        <v>N/A</v>
      </c>
      <c r="J45" s="63" t="str">
        <f t="shared" ca="1" si="7"/>
        <v>N/A</v>
      </c>
      <c r="K45" s="63" t="str">
        <f t="shared" ca="1" si="7"/>
        <v>N/A</v>
      </c>
      <c r="L45" s="63" t="str">
        <f t="shared" ca="1" si="7"/>
        <v>N/A</v>
      </c>
      <c r="M45" s="63" t="str">
        <f t="shared" ca="1" si="7"/>
        <v>N/A</v>
      </c>
      <c r="N45" s="63" t="str">
        <f t="shared" ca="1" si="7"/>
        <v>N/A</v>
      </c>
      <c r="O45" s="63" t="str">
        <f t="shared" ca="1" si="7"/>
        <v>N/A</v>
      </c>
      <c r="P45" s="63" t="str">
        <f t="shared" ca="1" si="7"/>
        <v>N/A</v>
      </c>
      <c r="Q45" s="63" t="str">
        <f t="shared" ca="1" si="7"/>
        <v>N/A</v>
      </c>
      <c r="R45" s="63" t="str">
        <f t="shared" ca="1" si="7"/>
        <v>N/A</v>
      </c>
      <c r="S45" s="63" t="str">
        <f t="shared" ca="1" si="7"/>
        <v>N/A</v>
      </c>
    </row>
    <row r="46" spans="1:19" ht="14.25" hidden="1" customHeight="1" x14ac:dyDescent="0.2">
      <c r="A46" s="45"/>
      <c r="B46" s="46" t="str">
        <f t="shared" ca="1" si="2"/>
        <v/>
      </c>
      <c r="C46" s="1" t="str">
        <f>IF(ISERROR(D46),"",IF(D46="","",MAX($C$12:C45)+1))</f>
        <v/>
      </c>
      <c r="D46" t="e">
        <f>VLOOKUP(A46,LUCurYr,2,FALSE)</f>
        <v>#N/A</v>
      </c>
      <c r="E46" s="15"/>
      <c r="F46" s="63" t="str">
        <f t="shared" ca="1" si="5"/>
        <v>N/A</v>
      </c>
      <c r="G46" s="63" t="str">
        <f t="shared" si="6"/>
        <v>N/A</v>
      </c>
      <c r="H46" s="63" t="str">
        <f ca="1">IFERROR(VLOOKUP($A46,LASTYR,'2017'!$C$3,FALSE),"N/A")</f>
        <v>N/A</v>
      </c>
      <c r="I46" s="63" t="str">
        <f t="shared" ca="1" si="7"/>
        <v>N/A</v>
      </c>
      <c r="J46" s="63" t="str">
        <f t="shared" ca="1" si="7"/>
        <v>N/A</v>
      </c>
      <c r="K46" s="63" t="str">
        <f t="shared" ca="1" si="7"/>
        <v>N/A</v>
      </c>
      <c r="L46" s="63" t="str">
        <f t="shared" ca="1" si="7"/>
        <v>N/A</v>
      </c>
      <c r="M46" s="63" t="str">
        <f t="shared" ca="1" si="7"/>
        <v>N/A</v>
      </c>
      <c r="N46" s="63" t="str">
        <f t="shared" ca="1" si="7"/>
        <v>N/A</v>
      </c>
      <c r="O46" s="63" t="str">
        <f t="shared" ca="1" si="7"/>
        <v>N/A</v>
      </c>
      <c r="P46" s="63" t="str">
        <f t="shared" ca="1" si="7"/>
        <v>N/A</v>
      </c>
      <c r="Q46" s="63" t="str">
        <f t="shared" ca="1" si="7"/>
        <v>N/A</v>
      </c>
      <c r="R46" s="63" t="str">
        <f t="shared" ca="1" si="7"/>
        <v>N/A</v>
      </c>
      <c r="S46" s="63" t="str">
        <f t="shared" ca="1" si="7"/>
        <v>N/A</v>
      </c>
    </row>
    <row r="47" spans="1:19" ht="14.25" hidden="1" customHeight="1" x14ac:dyDescent="0.2">
      <c r="A47" s="45"/>
      <c r="B47" s="46" t="str">
        <f t="shared" ca="1" si="2"/>
        <v/>
      </c>
      <c r="C47" s="1" t="str">
        <f>IF(ISERROR(D47),"",IF(D47="","",MAX($C$12:C46)+1))</f>
        <v/>
      </c>
      <c r="D47" t="e">
        <f t="shared" si="3"/>
        <v>#N/A</v>
      </c>
      <c r="E47" s="15"/>
      <c r="F47" s="63" t="str">
        <f t="shared" ca="1" si="5"/>
        <v>N/A</v>
      </c>
      <c r="G47" s="63" t="str">
        <f t="shared" si="6"/>
        <v>N/A</v>
      </c>
      <c r="H47" s="63" t="str">
        <f ca="1">IFERROR(VLOOKUP($A47,LASTYR,'2017'!$C$3,FALSE),"N/A")</f>
        <v>N/A</v>
      </c>
      <c r="I47" s="63" t="str">
        <f t="shared" ca="1" si="7"/>
        <v>N/A</v>
      </c>
      <c r="J47" s="63" t="str">
        <f t="shared" ca="1" si="7"/>
        <v>N/A</v>
      </c>
      <c r="K47" s="63" t="str">
        <f t="shared" ca="1" si="7"/>
        <v>N/A</v>
      </c>
      <c r="L47" s="63" t="str">
        <f t="shared" ca="1" si="7"/>
        <v>N/A</v>
      </c>
      <c r="M47" s="63" t="str">
        <f t="shared" ca="1" si="7"/>
        <v>N/A</v>
      </c>
      <c r="N47" s="63" t="str">
        <f t="shared" ca="1" si="7"/>
        <v>N/A</v>
      </c>
      <c r="O47" s="63" t="str">
        <f t="shared" ca="1" si="7"/>
        <v>N/A</v>
      </c>
      <c r="P47" s="63" t="str">
        <f t="shared" ca="1" si="7"/>
        <v>N/A</v>
      </c>
      <c r="Q47" s="63" t="str">
        <f t="shared" ca="1" si="7"/>
        <v>N/A</v>
      </c>
      <c r="R47" s="63" t="str">
        <f t="shared" ca="1" si="7"/>
        <v>N/A</v>
      </c>
      <c r="S47" s="63" t="str">
        <f t="shared" ca="1" si="7"/>
        <v>N/A</v>
      </c>
    </row>
    <row r="48" spans="1:19" ht="14.25" hidden="1" customHeight="1" x14ac:dyDescent="0.2">
      <c r="A48" s="45"/>
      <c r="B48" s="46" t="str">
        <f t="shared" ca="1" si="2"/>
        <v/>
      </c>
      <c r="C48" s="1" t="str">
        <f>IF(ISERROR(D48),"",IF(D48="","",MAX($C$12:C47)+1))</f>
        <v/>
      </c>
      <c r="D48" t="e">
        <f t="shared" si="3"/>
        <v>#N/A</v>
      </c>
      <c r="E48" s="15"/>
      <c r="F48" s="63" t="str">
        <f t="shared" ca="1" si="5"/>
        <v>N/A</v>
      </c>
      <c r="G48" s="63" t="str">
        <f t="shared" si="6"/>
        <v>N/A</v>
      </c>
      <c r="H48" s="63" t="str">
        <f ca="1">IFERROR(VLOOKUP($A48,LASTYR,'2017'!$C$3,FALSE),"N/A")</f>
        <v>N/A</v>
      </c>
      <c r="I48" s="63" t="str">
        <f t="shared" ca="1" si="7"/>
        <v>N/A</v>
      </c>
      <c r="J48" s="63" t="str">
        <f t="shared" ca="1" si="7"/>
        <v>N/A</v>
      </c>
      <c r="K48" s="63" t="str">
        <f t="shared" ca="1" si="7"/>
        <v>N/A</v>
      </c>
      <c r="L48" s="63" t="str">
        <f t="shared" ca="1" si="7"/>
        <v>N/A</v>
      </c>
      <c r="M48" s="63" t="str">
        <f t="shared" ca="1" si="7"/>
        <v>N/A</v>
      </c>
      <c r="N48" s="63" t="str">
        <f t="shared" ca="1" si="7"/>
        <v>N/A</v>
      </c>
      <c r="O48" s="63" t="str">
        <f t="shared" ca="1" si="7"/>
        <v>N/A</v>
      </c>
      <c r="P48" s="63" t="str">
        <f t="shared" ca="1" si="7"/>
        <v>N/A</v>
      </c>
      <c r="Q48" s="63" t="str">
        <f t="shared" ca="1" si="7"/>
        <v>N/A</v>
      </c>
      <c r="R48" s="63" t="str">
        <f t="shared" ca="1" si="7"/>
        <v>N/A</v>
      </c>
      <c r="S48" s="63" t="str">
        <f t="shared" ca="1" si="7"/>
        <v>N/A</v>
      </c>
    </row>
    <row r="49" spans="1:19" ht="14.25" hidden="1" customHeight="1" x14ac:dyDescent="0.2">
      <c r="A49" s="45"/>
      <c r="B49" s="46" t="str">
        <f t="shared" ca="1" si="2"/>
        <v/>
      </c>
      <c r="C49" s="1" t="str">
        <f>IF(ISERROR(D49),"",IF(D49="","",MAX($C$12:C48)+1))</f>
        <v/>
      </c>
      <c r="D49" t="e">
        <f t="shared" si="3"/>
        <v>#N/A</v>
      </c>
      <c r="E49" s="15"/>
      <c r="F49" s="63" t="str">
        <f t="shared" ca="1" si="5"/>
        <v>N/A</v>
      </c>
      <c r="G49" s="63" t="str">
        <f t="shared" si="6"/>
        <v>N/A</v>
      </c>
      <c r="H49" s="63" t="str">
        <f ca="1">IFERROR(VLOOKUP($A49,LASTYR,'2017'!$C$3,FALSE),"N/A")</f>
        <v>N/A</v>
      </c>
      <c r="I49" s="63" t="str">
        <f t="shared" ca="1" si="7"/>
        <v>N/A</v>
      </c>
      <c r="J49" s="63" t="str">
        <f t="shared" ca="1" si="7"/>
        <v>N/A</v>
      </c>
      <c r="K49" s="63" t="str">
        <f t="shared" ca="1" si="7"/>
        <v>N/A</v>
      </c>
      <c r="L49" s="63" t="str">
        <f t="shared" ca="1" si="7"/>
        <v>N/A</v>
      </c>
      <c r="M49" s="63" t="str">
        <f t="shared" ca="1" si="7"/>
        <v>N/A</v>
      </c>
      <c r="N49" s="63" t="str">
        <f t="shared" ca="1" si="7"/>
        <v>N/A</v>
      </c>
      <c r="O49" s="63" t="str">
        <f t="shared" ca="1" si="7"/>
        <v>N/A</v>
      </c>
      <c r="P49" s="63" t="str">
        <f t="shared" ca="1" si="7"/>
        <v>N/A</v>
      </c>
      <c r="Q49" s="63" t="str">
        <f t="shared" ca="1" si="7"/>
        <v>N/A</v>
      </c>
      <c r="R49" s="63" t="str">
        <f t="shared" ca="1" si="7"/>
        <v>N/A</v>
      </c>
      <c r="S49" s="63" t="str">
        <f t="shared" ca="1" si="7"/>
        <v>N/A</v>
      </c>
    </row>
    <row r="50" spans="1:19" ht="14.25" hidden="1" customHeight="1" x14ac:dyDescent="0.2">
      <c r="A50" s="45"/>
      <c r="B50" s="46" t="str">
        <f t="shared" ca="1" si="2"/>
        <v/>
      </c>
      <c r="C50" s="1" t="str">
        <f>IF(ISERROR(D50),"",IF(D50="","",MAX($C$12:C49)+1))</f>
        <v/>
      </c>
      <c r="D50" t="e">
        <f t="shared" si="3"/>
        <v>#N/A</v>
      </c>
      <c r="E50" s="15"/>
      <c r="F50" s="63" t="str">
        <f t="shared" ca="1" si="5"/>
        <v>N/A</v>
      </c>
      <c r="G50" s="63" t="str">
        <f t="shared" si="6"/>
        <v>N/A</v>
      </c>
      <c r="H50" s="63" t="str">
        <f ca="1">IFERROR(VLOOKUP($A50,LASTYR,'2017'!$C$3,FALSE),"N/A")</f>
        <v>N/A</v>
      </c>
      <c r="I50" s="63" t="str">
        <f t="shared" ca="1" si="7"/>
        <v>N/A</v>
      </c>
      <c r="J50" s="63" t="str">
        <f t="shared" ca="1" si="7"/>
        <v>N/A</v>
      </c>
      <c r="K50" s="63" t="str">
        <f t="shared" ca="1" si="7"/>
        <v>N/A</v>
      </c>
      <c r="L50" s="63" t="str">
        <f t="shared" ca="1" si="7"/>
        <v>N/A</v>
      </c>
      <c r="M50" s="63" t="str">
        <f t="shared" ca="1" si="7"/>
        <v>N/A</v>
      </c>
      <c r="N50" s="63" t="str">
        <f t="shared" ca="1" si="7"/>
        <v>N/A</v>
      </c>
      <c r="O50" s="63" t="str">
        <f t="shared" ca="1" si="7"/>
        <v>N/A</v>
      </c>
      <c r="P50" s="63" t="str">
        <f t="shared" ca="1" si="7"/>
        <v>N/A</v>
      </c>
      <c r="Q50" s="63" t="str">
        <f t="shared" ca="1" si="7"/>
        <v>N/A</v>
      </c>
      <c r="R50" s="63" t="str">
        <f t="shared" ca="1" si="7"/>
        <v>N/A</v>
      </c>
      <c r="S50" s="63" t="str">
        <f t="shared" ca="1" si="7"/>
        <v>N/A</v>
      </c>
    </row>
    <row r="51" spans="1:19" ht="14.25" hidden="1" customHeight="1" x14ac:dyDescent="0.2">
      <c r="A51" s="45"/>
      <c r="B51" s="46" t="str">
        <f t="shared" ca="1" si="2"/>
        <v/>
      </c>
      <c r="C51" s="1" t="str">
        <f>IF(ISERROR(D51),"",IF(D51="","",MAX($C$12:C50)+1))</f>
        <v/>
      </c>
      <c r="D51" t="e">
        <f t="shared" si="3"/>
        <v>#N/A</v>
      </c>
      <c r="E51" s="15"/>
      <c r="F51" s="63" t="str">
        <f t="shared" ca="1" si="5"/>
        <v>N/A</v>
      </c>
      <c r="G51" s="63" t="str">
        <f t="shared" si="6"/>
        <v>N/A</v>
      </c>
      <c r="H51" s="63" t="str">
        <f ca="1">IFERROR(VLOOKUP($A51,LASTYR,'2017'!$C$3,FALSE),"N/A")</f>
        <v>N/A</v>
      </c>
      <c r="I51" s="63" t="str">
        <f t="shared" ca="1" si="7"/>
        <v>N/A</v>
      </c>
      <c r="J51" s="63" t="str">
        <f t="shared" ca="1" si="7"/>
        <v>N/A</v>
      </c>
      <c r="K51" s="63" t="str">
        <f t="shared" ca="1" si="7"/>
        <v>N/A</v>
      </c>
      <c r="L51" s="63" t="str">
        <f t="shared" ca="1" si="7"/>
        <v>N/A</v>
      </c>
      <c r="M51" s="63" t="str">
        <f t="shared" ca="1" si="7"/>
        <v>N/A</v>
      </c>
      <c r="N51" s="63" t="str">
        <f t="shared" ca="1" si="7"/>
        <v>N/A</v>
      </c>
      <c r="O51" s="63" t="str">
        <f t="shared" ca="1" si="7"/>
        <v>N/A</v>
      </c>
      <c r="P51" s="63" t="str">
        <f t="shared" ca="1" si="7"/>
        <v>N/A</v>
      </c>
      <c r="Q51" s="63" t="str">
        <f t="shared" ca="1" si="7"/>
        <v>N/A</v>
      </c>
      <c r="R51" s="63" t="str">
        <f t="shared" ca="1" si="7"/>
        <v>N/A</v>
      </c>
      <c r="S51" s="63" t="str">
        <f t="shared" ca="1" si="7"/>
        <v>N/A</v>
      </c>
    </row>
    <row r="52" spans="1:19" ht="14.25" hidden="1" customHeight="1" x14ac:dyDescent="0.2">
      <c r="A52" s="45"/>
      <c r="B52" s="46" t="str">
        <f t="shared" ca="1" si="2"/>
        <v/>
      </c>
      <c r="C52" s="1" t="str">
        <f>IF(ISERROR(D52),"",IF(D52="","",MAX($C$12:C51)+1))</f>
        <v/>
      </c>
      <c r="D52" t="e">
        <f t="shared" si="3"/>
        <v>#N/A</v>
      </c>
      <c r="E52" s="15"/>
      <c r="F52" s="63" t="str">
        <f t="shared" ca="1" si="5"/>
        <v>N/A</v>
      </c>
      <c r="G52" s="63" t="str">
        <f t="shared" si="6"/>
        <v>N/A</v>
      </c>
      <c r="H52" s="63" t="str">
        <f ca="1">IFERROR(VLOOKUP($A52,LASTYR,'2017'!$C$3,FALSE),"N/A")</f>
        <v>N/A</v>
      </c>
      <c r="I52" s="63" t="str">
        <f t="shared" ca="1" si="7"/>
        <v>N/A</v>
      </c>
      <c r="J52" s="63" t="str">
        <f t="shared" ca="1" si="7"/>
        <v>N/A</v>
      </c>
      <c r="K52" s="63" t="str">
        <f t="shared" ca="1" si="7"/>
        <v>N/A</v>
      </c>
      <c r="L52" s="63" t="str">
        <f t="shared" ca="1" si="7"/>
        <v>N/A</v>
      </c>
      <c r="M52" s="63" t="str">
        <f t="shared" ca="1" si="7"/>
        <v>N/A</v>
      </c>
      <c r="N52" s="63" t="str">
        <f t="shared" ca="1" si="7"/>
        <v>N/A</v>
      </c>
      <c r="O52" s="63" t="str">
        <f t="shared" ca="1" si="7"/>
        <v>N/A</v>
      </c>
      <c r="P52" s="63" t="str">
        <f t="shared" ca="1" si="7"/>
        <v>N/A</v>
      </c>
      <c r="Q52" s="63" t="str">
        <f t="shared" ca="1" si="7"/>
        <v>N/A</v>
      </c>
      <c r="R52" s="63" t="str">
        <f t="shared" ca="1" si="7"/>
        <v>N/A</v>
      </c>
      <c r="S52" s="63" t="str">
        <f t="shared" ca="1" si="7"/>
        <v>N/A</v>
      </c>
    </row>
    <row r="53" spans="1:19" ht="14.25" hidden="1" customHeight="1" x14ac:dyDescent="0.2">
      <c r="A53" s="45"/>
      <c r="B53" s="46" t="str">
        <f t="shared" ca="1" si="2"/>
        <v/>
      </c>
      <c r="C53" s="1" t="str">
        <f>IF(ISERROR(D53),"",IF(D53="","",MAX($C$12:C52)+1))</f>
        <v/>
      </c>
      <c r="D53" t="e">
        <f t="shared" si="3"/>
        <v>#N/A</v>
      </c>
      <c r="E53" s="15"/>
      <c r="F53" s="63" t="str">
        <f t="shared" ca="1" si="5"/>
        <v>N/A</v>
      </c>
      <c r="G53" s="63" t="str">
        <f t="shared" si="6"/>
        <v>N/A</v>
      </c>
      <c r="H53" s="63" t="str">
        <f ca="1">IFERROR(VLOOKUP($A53,LASTYR,'2017'!$C$3,FALSE),"N/A")</f>
        <v>N/A</v>
      </c>
      <c r="I53" s="63" t="str">
        <f t="shared" ca="1" si="7"/>
        <v>N/A</v>
      </c>
      <c r="J53" s="63" t="str">
        <f t="shared" ca="1" si="7"/>
        <v>N/A</v>
      </c>
      <c r="K53" s="63" t="str">
        <f t="shared" ca="1" si="7"/>
        <v>N/A</v>
      </c>
      <c r="L53" s="63" t="str">
        <f t="shared" ca="1" si="7"/>
        <v>N/A</v>
      </c>
      <c r="M53" s="63" t="str">
        <f t="shared" ca="1" si="7"/>
        <v>N/A</v>
      </c>
      <c r="N53" s="63" t="str">
        <f t="shared" ca="1" si="7"/>
        <v>N/A</v>
      </c>
      <c r="O53" s="63" t="str">
        <f t="shared" ca="1" si="7"/>
        <v>N/A</v>
      </c>
      <c r="P53" s="63" t="str">
        <f t="shared" ca="1" si="7"/>
        <v>N/A</v>
      </c>
      <c r="Q53" s="63" t="str">
        <f t="shared" ca="1" si="7"/>
        <v>N/A</v>
      </c>
      <c r="R53" s="63" t="str">
        <f t="shared" ca="1" si="7"/>
        <v>N/A</v>
      </c>
      <c r="S53" s="63" t="str">
        <f t="shared" ca="1" si="7"/>
        <v>N/A</v>
      </c>
    </row>
    <row r="54" spans="1:19" ht="14.25" hidden="1" customHeight="1" x14ac:dyDescent="0.2">
      <c r="A54" s="45"/>
      <c r="B54" s="46" t="str">
        <f t="shared" ca="1" si="2"/>
        <v/>
      </c>
      <c r="C54" s="1" t="str">
        <f>IF(ISERROR(D54),"",IF(D54="","",MAX($C$12:C53)+1))</f>
        <v/>
      </c>
      <c r="D54" t="e">
        <f t="shared" si="3"/>
        <v>#N/A</v>
      </c>
      <c r="E54" s="15"/>
      <c r="F54" s="63" t="str">
        <f t="shared" ca="1" si="5"/>
        <v>N/A</v>
      </c>
      <c r="G54" s="63" t="str">
        <f t="shared" si="6"/>
        <v>N/A</v>
      </c>
      <c r="H54" s="63" t="str">
        <f ca="1">IFERROR(VLOOKUP($A54,LASTYR,'2017'!$C$3,FALSE),"N/A")</f>
        <v>N/A</v>
      </c>
      <c r="I54" s="63" t="str">
        <f t="shared" ca="1" si="7"/>
        <v>N/A</v>
      </c>
      <c r="J54" s="63" t="str">
        <f t="shared" ca="1" si="7"/>
        <v>N/A</v>
      </c>
      <c r="K54" s="63" t="str">
        <f t="shared" ca="1" si="7"/>
        <v>N/A</v>
      </c>
      <c r="L54" s="63" t="str">
        <f t="shared" ca="1" si="7"/>
        <v>N/A</v>
      </c>
      <c r="M54" s="63" t="str">
        <f t="shared" ca="1" si="7"/>
        <v>N/A</v>
      </c>
      <c r="N54" s="63" t="str">
        <f t="shared" ca="1" si="7"/>
        <v>N/A</v>
      </c>
      <c r="O54" s="63" t="str">
        <f t="shared" ca="1" si="7"/>
        <v>N/A</v>
      </c>
      <c r="P54" s="63" t="str">
        <f t="shared" ca="1" si="7"/>
        <v>N/A</v>
      </c>
      <c r="Q54" s="63" t="str">
        <f t="shared" ca="1" si="7"/>
        <v>N/A</v>
      </c>
      <c r="R54" s="63" t="str">
        <f t="shared" ca="1" si="7"/>
        <v>N/A</v>
      </c>
      <c r="S54" s="63" t="str">
        <f t="shared" ca="1" si="7"/>
        <v>N/A</v>
      </c>
    </row>
    <row r="55" spans="1:19" ht="14.25" hidden="1" customHeight="1" x14ac:dyDescent="0.2">
      <c r="A55" s="51"/>
      <c r="B55" s="46" t="str">
        <f t="shared" ca="1" si="2"/>
        <v/>
      </c>
      <c r="C55" s="1" t="str">
        <f>IF(ISERROR(D55),"",IF(D55="","",MAX($C$12:C54)+1))</f>
        <v/>
      </c>
      <c r="D55" t="e">
        <f t="shared" si="3"/>
        <v>#N/A</v>
      </c>
      <c r="F55" s="63" t="str">
        <f t="shared" ca="1" si="5"/>
        <v>N/A</v>
      </c>
      <c r="G55" s="63" t="str">
        <f t="shared" si="6"/>
        <v>N/A</v>
      </c>
      <c r="H55" s="63" t="str">
        <f ca="1">IFERROR(VLOOKUP($A55,LASTYR,'2017'!$C$3,FALSE),"N/A")</f>
        <v>N/A</v>
      </c>
      <c r="I55" s="63" t="str">
        <f t="shared" ca="1" si="7"/>
        <v>N/A</v>
      </c>
      <c r="J55" s="63" t="str">
        <f t="shared" ca="1" si="7"/>
        <v>N/A</v>
      </c>
      <c r="K55" s="63" t="str">
        <f t="shared" ref="J55:S57" ca="1" si="8">IFERROR(INDEX(PE_WP,$B55,K$12),"N/A")</f>
        <v>N/A</v>
      </c>
      <c r="L55" s="63" t="str">
        <f t="shared" ca="1" si="8"/>
        <v>N/A</v>
      </c>
      <c r="M55" s="63" t="str">
        <f t="shared" ca="1" si="8"/>
        <v>N/A</v>
      </c>
      <c r="N55" s="63" t="str">
        <f t="shared" ca="1" si="8"/>
        <v>N/A</v>
      </c>
      <c r="O55" s="63" t="str">
        <f t="shared" ca="1" si="8"/>
        <v>N/A</v>
      </c>
      <c r="P55" s="63" t="str">
        <f t="shared" ca="1" si="8"/>
        <v>N/A</v>
      </c>
      <c r="Q55" s="63" t="str">
        <f t="shared" ca="1" si="8"/>
        <v>N/A</v>
      </c>
      <c r="R55" s="63" t="str">
        <f t="shared" ca="1" si="8"/>
        <v>N/A</v>
      </c>
      <c r="S55" s="63" t="str">
        <f t="shared" ca="1" si="8"/>
        <v>N/A</v>
      </c>
    </row>
    <row r="56" spans="1:19" ht="14.25" hidden="1" customHeight="1" x14ac:dyDescent="0.2">
      <c r="A56" s="51"/>
      <c r="B56" s="46" t="str">
        <f t="shared" ca="1" si="2"/>
        <v/>
      </c>
      <c r="C56" s="1" t="str">
        <f>IF(ISERROR(D56),"",IF(D56="","",MAX($C$12:C55)+1))</f>
        <v/>
      </c>
      <c r="D56" t="e">
        <f t="shared" si="3"/>
        <v>#N/A</v>
      </c>
      <c r="F56" s="63" t="str">
        <f t="shared" ca="1" si="5"/>
        <v>N/A</v>
      </c>
      <c r="G56" s="63" t="str">
        <f t="shared" si="6"/>
        <v>N/A</v>
      </c>
      <c r="H56" s="63" t="str">
        <f ca="1">IFERROR(VLOOKUP($A56,LASTYR,'2017'!$C$3,FALSE),"N/A")</f>
        <v>N/A</v>
      </c>
      <c r="I56" s="63" t="str">
        <f t="shared" ref="I56:I57" ca="1" si="9">IFERROR(INDEX(PE_WP,$B56,I$12),"N/A")</f>
        <v>N/A</v>
      </c>
      <c r="J56" s="63" t="str">
        <f t="shared" ca="1" si="8"/>
        <v>N/A</v>
      </c>
      <c r="K56" s="63" t="str">
        <f t="shared" ca="1" si="8"/>
        <v>N/A</v>
      </c>
      <c r="L56" s="63" t="str">
        <f t="shared" ca="1" si="8"/>
        <v>N/A</v>
      </c>
      <c r="M56" s="63" t="str">
        <f t="shared" ca="1" si="8"/>
        <v>N/A</v>
      </c>
      <c r="N56" s="63" t="str">
        <f t="shared" ca="1" si="8"/>
        <v>N/A</v>
      </c>
      <c r="O56" s="63" t="str">
        <f t="shared" ca="1" si="8"/>
        <v>N/A</v>
      </c>
      <c r="P56" s="63" t="str">
        <f t="shared" ca="1" si="8"/>
        <v>N/A</v>
      </c>
      <c r="Q56" s="63" t="str">
        <f t="shared" ca="1" si="8"/>
        <v>N/A</v>
      </c>
      <c r="R56" s="63" t="str">
        <f t="shared" ca="1" si="8"/>
        <v>N/A</v>
      </c>
      <c r="S56" s="63" t="str">
        <f t="shared" ca="1" si="8"/>
        <v>N/A</v>
      </c>
    </row>
    <row r="57" spans="1:19" ht="14.25" hidden="1" customHeight="1" x14ac:dyDescent="0.2">
      <c r="A57" s="51"/>
      <c r="B57" s="46" t="str">
        <f t="shared" ca="1" si="2"/>
        <v/>
      </c>
      <c r="C57" s="1" t="str">
        <f>IF(ISERROR(D57),"",IF(D57="","",MAX($C$12:C56)+1))</f>
        <v/>
      </c>
      <c r="D57" t="e">
        <f t="shared" si="3"/>
        <v>#N/A</v>
      </c>
      <c r="F57" s="63" t="str">
        <f t="shared" ca="1" si="5"/>
        <v>N/A</v>
      </c>
      <c r="G57" s="63" t="str">
        <f t="shared" si="6"/>
        <v>N/A</v>
      </c>
      <c r="H57" s="63" t="str">
        <f ca="1">IFERROR(VLOOKUP($A57,LASTYR,'2017'!$C$3,FALSE),"N/A")</f>
        <v>N/A</v>
      </c>
      <c r="I57" s="63" t="str">
        <f t="shared" ca="1" si="9"/>
        <v>N/A</v>
      </c>
      <c r="J57" s="63" t="str">
        <f t="shared" ca="1" si="8"/>
        <v>N/A</v>
      </c>
      <c r="K57" s="63" t="str">
        <f t="shared" ca="1" si="8"/>
        <v>N/A</v>
      </c>
      <c r="L57" s="63" t="str">
        <f t="shared" ca="1" si="8"/>
        <v>N/A</v>
      </c>
      <c r="M57" s="63" t="str">
        <f t="shared" ca="1" si="8"/>
        <v>N/A</v>
      </c>
      <c r="N57" s="63" t="str">
        <f t="shared" ca="1" si="8"/>
        <v>N/A</v>
      </c>
      <c r="O57" s="63" t="str">
        <f t="shared" ca="1" si="8"/>
        <v>N/A</v>
      </c>
      <c r="P57" s="63" t="str">
        <f t="shared" ca="1" si="8"/>
        <v>N/A</v>
      </c>
      <c r="Q57" s="63" t="str">
        <f t="shared" ca="1" si="8"/>
        <v>N/A</v>
      </c>
      <c r="R57" s="63" t="str">
        <f t="shared" ca="1" si="8"/>
        <v>N/A</v>
      </c>
      <c r="S57" s="63" t="str">
        <f t="shared" ca="1" si="8"/>
        <v>N/A</v>
      </c>
    </row>
    <row r="58" spans="1:19" x14ac:dyDescent="0.2">
      <c r="A58" s="31"/>
      <c r="B58" s="31"/>
      <c r="C58" s="1" t="str">
        <f>IF(ISERROR(D58),"",IF(D58="","",MAX($C$12:C57)+1))</f>
        <v/>
      </c>
      <c r="F58" s="63"/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</row>
    <row r="59" spans="1:19" x14ac:dyDescent="0.2">
      <c r="A59" s="31"/>
      <c r="B59" s="31"/>
      <c r="C59" s="1">
        <f ca="1">IF(ISERROR(D59),"",IF(D59="","",MAX($C$12:C58)+1))</f>
        <v>10</v>
      </c>
      <c r="D59" t="s">
        <v>98</v>
      </c>
      <c r="F59" s="63">
        <f ca="1">AVERAGE(G59:S59)</f>
        <v>23.663518162393164</v>
      </c>
      <c r="G59" s="63">
        <f t="shared" ref="G59:S59" si="10">AVERAGE(G13:G58)</f>
        <v>27.222222222222221</v>
      </c>
      <c r="H59" s="63">
        <f t="shared" ca="1" si="10"/>
        <v>27.60511111111111</v>
      </c>
      <c r="I59" s="63">
        <f t="shared" ca="1" si="10"/>
        <v>27.028749999999999</v>
      </c>
      <c r="J59" s="63">
        <f t="shared" ca="1" si="10"/>
        <v>21.451333333333331</v>
      </c>
      <c r="K59" s="63">
        <f t="shared" ca="1" si="10"/>
        <v>19.901555555555554</v>
      </c>
      <c r="L59" s="63">
        <f t="shared" ca="1" si="10"/>
        <v>20.78511111111111</v>
      </c>
      <c r="M59" s="63">
        <f t="shared" ca="1" si="10"/>
        <v>18.695666666666668</v>
      </c>
      <c r="N59" s="63">
        <f t="shared" ca="1" si="10"/>
        <v>20.769333333333336</v>
      </c>
      <c r="O59" s="63">
        <f t="shared" ca="1" si="10"/>
        <v>20.767333333333333</v>
      </c>
      <c r="P59" s="63">
        <f t="shared" ca="1" si="10"/>
        <v>20.955333333333332</v>
      </c>
      <c r="Q59" s="63">
        <f t="shared" ca="1" si="10"/>
        <v>24.085111111111111</v>
      </c>
      <c r="R59" s="63">
        <f t="shared" ca="1" si="10"/>
        <v>28.212375000000002</v>
      </c>
      <c r="S59" s="63">
        <f t="shared" ca="1" si="10"/>
        <v>30.1465</v>
      </c>
    </row>
    <row r="60" spans="1:19" x14ac:dyDescent="0.2">
      <c r="A60" s="31"/>
      <c r="B60" s="31"/>
      <c r="C60" s="1">
        <f ca="1">IF(ISERROR(D60),"",IF(D60="","",MAX($C$12:C59)+1))</f>
        <v>11</v>
      </c>
      <c r="D60" t="s">
        <v>257</v>
      </c>
      <c r="F60" s="63">
        <f ca="1">AVERAGE(G60:S60)</f>
        <v>23.38823076923077</v>
      </c>
      <c r="G60" s="63">
        <f>MEDIAN(G13:G58)</f>
        <v>26.6</v>
      </c>
      <c r="H60" s="63">
        <f t="shared" ref="H60:S60" ca="1" si="11">MEDIAN(H13:H58)</f>
        <v>26.896000000000001</v>
      </c>
      <c r="I60" s="63">
        <f t="shared" ca="1" si="11"/>
        <v>25.619</v>
      </c>
      <c r="J60" s="63">
        <f t="shared" ca="1" si="11"/>
        <v>22.692</v>
      </c>
      <c r="K60" s="63">
        <f t="shared" ca="1" si="11"/>
        <v>20.016999999999999</v>
      </c>
      <c r="L60" s="63">
        <f t="shared" ca="1" si="11"/>
        <v>20.021999999999998</v>
      </c>
      <c r="M60" s="63">
        <f t="shared" ca="1" si="11"/>
        <v>19.385000000000002</v>
      </c>
      <c r="N60" s="63">
        <f t="shared" ca="1" si="11"/>
        <v>21.277000000000001</v>
      </c>
      <c r="O60" s="63">
        <f t="shared" ca="1" si="11"/>
        <v>20.669</v>
      </c>
      <c r="P60" s="63">
        <f t="shared" ca="1" si="11"/>
        <v>21.016999999999999</v>
      </c>
      <c r="Q60" s="63">
        <f t="shared" ca="1" si="11"/>
        <v>22.585000000000001</v>
      </c>
      <c r="R60" s="63">
        <f t="shared" ca="1" si="11"/>
        <v>28.16</v>
      </c>
      <c r="S60" s="63">
        <f t="shared" ca="1" si="11"/>
        <v>29.108000000000001</v>
      </c>
    </row>
    <row r="61" spans="1:19" x14ac:dyDescent="0.2">
      <c r="A61" s="31"/>
      <c r="B61" s="31"/>
      <c r="C61" s="1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</row>
    <row r="62" spans="1:19" x14ac:dyDescent="0.2">
      <c r="A62" s="31"/>
      <c r="B62" s="31"/>
      <c r="C62" s="1"/>
    </row>
    <row r="63" spans="1:19" ht="17.25" x14ac:dyDescent="0.25">
      <c r="A63" s="31"/>
      <c r="B63" s="31"/>
      <c r="C63" s="6"/>
      <c r="D63" s="6"/>
      <c r="E63" s="19"/>
      <c r="F63" s="235" t="s">
        <v>109</v>
      </c>
      <c r="G63" s="235"/>
      <c r="H63" s="235"/>
      <c r="I63" s="235"/>
      <c r="J63" s="235"/>
      <c r="K63" s="235"/>
      <c r="L63" s="235"/>
      <c r="M63" s="235"/>
      <c r="N63" s="235"/>
      <c r="O63" s="235"/>
      <c r="P63" s="235"/>
      <c r="Q63" s="235"/>
      <c r="R63" s="235"/>
      <c r="S63" s="235"/>
    </row>
    <row r="64" spans="1:19" ht="15" x14ac:dyDescent="0.25">
      <c r="A64" s="31"/>
      <c r="B64" s="31"/>
      <c r="C64" s="6"/>
      <c r="D64" s="7"/>
      <c r="E64" s="7"/>
      <c r="F64" s="8" t="s">
        <v>429</v>
      </c>
      <c r="G64" s="8"/>
      <c r="H64" s="8"/>
      <c r="I64" s="8"/>
      <c r="J64" s="8"/>
      <c r="K64" s="8"/>
      <c r="L64" s="8"/>
      <c r="M64" s="8"/>
      <c r="N64" s="8"/>
      <c r="O64" s="8"/>
      <c r="P64" s="7"/>
      <c r="Q64" s="7"/>
      <c r="R64" s="7"/>
      <c r="S64" s="7"/>
    </row>
    <row r="65" spans="1:19" ht="17.25" x14ac:dyDescent="0.25">
      <c r="A65" s="31"/>
      <c r="B65" s="31"/>
      <c r="C65" s="9" t="s">
        <v>96</v>
      </c>
      <c r="D65" s="234" t="s">
        <v>97</v>
      </c>
      <c r="E65" s="234"/>
      <c r="F65" s="10" t="s">
        <v>98</v>
      </c>
      <c r="G65" s="10" t="s">
        <v>423</v>
      </c>
      <c r="H65" s="41">
        <v>2017</v>
      </c>
      <c r="I65" s="41">
        <v>2016</v>
      </c>
      <c r="J65" s="41">
        <v>2015</v>
      </c>
      <c r="K65" s="41">
        <v>2014</v>
      </c>
      <c r="L65" s="41">
        <v>2013</v>
      </c>
      <c r="M65" s="41">
        <v>2012</v>
      </c>
      <c r="N65" s="41">
        <v>2011</v>
      </c>
      <c r="O65" s="41">
        <v>2010</v>
      </c>
      <c r="P65" s="41">
        <v>2009</v>
      </c>
      <c r="Q65" s="41">
        <v>2008</v>
      </c>
      <c r="R65" s="41">
        <v>2007</v>
      </c>
      <c r="S65" s="41">
        <v>2006</v>
      </c>
    </row>
    <row r="66" spans="1:19" ht="15" x14ac:dyDescent="0.25">
      <c r="A66" s="42"/>
      <c r="B66" s="42"/>
      <c r="C66" s="9"/>
      <c r="D66" s="11"/>
      <c r="E66" s="11"/>
      <c r="F66" s="12">
        <v>-1</v>
      </c>
      <c r="G66" s="12">
        <f t="shared" ref="G66:S66" si="12">+F66-1</f>
        <v>-2</v>
      </c>
      <c r="H66" s="12">
        <f t="shared" si="12"/>
        <v>-3</v>
      </c>
      <c r="I66" s="12">
        <f t="shared" si="12"/>
        <v>-4</v>
      </c>
      <c r="J66" s="12">
        <f t="shared" si="12"/>
        <v>-5</v>
      </c>
      <c r="K66" s="12">
        <f t="shared" si="12"/>
        <v>-6</v>
      </c>
      <c r="L66" s="12">
        <f t="shared" si="12"/>
        <v>-7</v>
      </c>
      <c r="M66" s="12">
        <f t="shared" si="12"/>
        <v>-8</v>
      </c>
      <c r="N66" s="12">
        <f t="shared" si="12"/>
        <v>-9</v>
      </c>
      <c r="O66" s="12">
        <f t="shared" si="12"/>
        <v>-10</v>
      </c>
      <c r="P66" s="12">
        <f t="shared" si="12"/>
        <v>-11</v>
      </c>
      <c r="Q66" s="12">
        <f t="shared" si="12"/>
        <v>-12</v>
      </c>
      <c r="R66" s="12">
        <f t="shared" si="12"/>
        <v>-13</v>
      </c>
      <c r="S66" s="12">
        <f t="shared" si="12"/>
        <v>-14</v>
      </c>
    </row>
    <row r="67" spans="1:19" x14ac:dyDescent="0.2">
      <c r="A67" s="43"/>
      <c r="B67" s="44"/>
      <c r="C67" s="6"/>
      <c r="E67" s="22"/>
      <c r="F67" s="36"/>
      <c r="G67" s="36"/>
      <c r="H67" s="36"/>
      <c r="I67" s="16">
        <f t="shared" ref="I67:S67" ca="1" si="13">MATCH(VALUE(LEFT(I65,4)),OFFSET(MP_CF_WP,-1,0,1,),0)</f>
        <v>6</v>
      </c>
      <c r="J67" s="16">
        <f t="shared" ca="1" si="13"/>
        <v>7</v>
      </c>
      <c r="K67" s="16">
        <f t="shared" ca="1" si="13"/>
        <v>8</v>
      </c>
      <c r="L67" s="16">
        <f t="shared" ca="1" si="13"/>
        <v>9</v>
      </c>
      <c r="M67" s="16">
        <f t="shared" ca="1" si="13"/>
        <v>10</v>
      </c>
      <c r="N67" s="16">
        <f t="shared" ca="1" si="13"/>
        <v>11</v>
      </c>
      <c r="O67" s="16">
        <f t="shared" ca="1" si="13"/>
        <v>12</v>
      </c>
      <c r="P67" s="16">
        <f t="shared" ca="1" si="13"/>
        <v>13</v>
      </c>
      <c r="Q67" s="16">
        <f t="shared" ca="1" si="13"/>
        <v>14</v>
      </c>
      <c r="R67" s="16">
        <f t="shared" ca="1" si="13"/>
        <v>15</v>
      </c>
      <c r="S67" s="16">
        <f t="shared" ca="1" si="13"/>
        <v>16</v>
      </c>
    </row>
    <row r="68" spans="1:19" x14ac:dyDescent="0.2">
      <c r="A68" s="51" t="str">
        <f t="shared" ref="A68:A112" si="14">A13</f>
        <v>AWR</v>
      </c>
      <c r="B68" s="46">
        <f t="shared" ref="B68:B112" ca="1" si="15">IFERROR(MATCH(A68,OFFSET(MP_CF_WP,0,0,,1),0),"")</f>
        <v>4</v>
      </c>
      <c r="C68" s="1">
        <f ca="1">C60+1</f>
        <v>12</v>
      </c>
      <c r="D68" t="str">
        <f t="shared" ref="D68:D112" ca="1" si="16">D13</f>
        <v>Amer. States Water</v>
      </c>
      <c r="E68" s="22"/>
      <c r="F68" s="63">
        <f ca="1">IFERROR(AVERAGE(G68:S68),"N/A")</f>
        <v>12.136810600789403</v>
      </c>
      <c r="G68" s="63">
        <f t="shared" ref="G68:G112" si="17">IFERROR(IF(VLOOKUP(A68,LUCurYr,17,FALSE)=0,"",VLOOKUP(A68,LUCurYr,17,FALSE)),"N/A")</f>
        <v>20.327272727272728</v>
      </c>
      <c r="H68" s="63">
        <f ca="1">IFERROR(VLOOKUP($A68,LASTYR,'2017'!$L$3,FALSE),"N/A")</f>
        <v>16.35939086294416</v>
      </c>
      <c r="I68" s="63">
        <f t="shared" ref="I68:S83" ca="1" si="18">IFERROR(IF(INDEX(MP_CF_WP,$B68,I$67)=0,"N/A",INDEX(MP_CF_WP,$B68,I$67)),"N/A")</f>
        <v>15.338882722900481</v>
      </c>
      <c r="J68" s="63">
        <f t="shared" ca="1" si="18"/>
        <v>14.08508365966536</v>
      </c>
      <c r="K68" s="63">
        <f t="shared" ca="1" si="18"/>
        <v>11.824962518740628</v>
      </c>
      <c r="L68" s="63">
        <f t="shared" ca="1" si="18"/>
        <v>10.413715146948004</v>
      </c>
      <c r="M68" s="63">
        <f t="shared" ca="1" si="18"/>
        <v>8.1306451612903228</v>
      </c>
      <c r="N68" s="63">
        <f t="shared" ca="1" si="18"/>
        <v>8.0675422138836765</v>
      </c>
      <c r="O68" s="63">
        <f t="shared" ca="1" si="18"/>
        <v>8.25626477541371</v>
      </c>
      <c r="P68" s="63">
        <f t="shared" ca="1" si="18"/>
        <v>10.087544065804936</v>
      </c>
      <c r="Q68" s="63">
        <f t="shared" ca="1" si="18"/>
        <v>10.381376037959669</v>
      </c>
      <c r="R68" s="63">
        <f t="shared" ca="1" si="18"/>
        <v>11.762250453720508</v>
      </c>
      <c r="S68" s="63">
        <f t="shared" ca="1" si="18"/>
        <v>12.743607463718037</v>
      </c>
    </row>
    <row r="69" spans="1:19" x14ac:dyDescent="0.2">
      <c r="A69" s="51" t="str">
        <f t="shared" si="14"/>
        <v>AWK</v>
      </c>
      <c r="B69" s="46">
        <f t="shared" ca="1" si="15"/>
        <v>5</v>
      </c>
      <c r="C69" s="1">
        <f ca="1">IF(ISERROR(D69),"",IF(D69="","",MAX($C$66:C68)+1))</f>
        <v>13</v>
      </c>
      <c r="D69" t="str">
        <f t="shared" ca="1" si="16"/>
        <v>Amer. Water Works</v>
      </c>
      <c r="E69" s="22"/>
      <c r="F69" s="63">
        <f t="shared" ref="F69:F112" ca="1" si="19">IFERROR(AVERAGE(G69:S69),"N/A")</f>
        <v>10.019547981350369</v>
      </c>
      <c r="G69" s="63">
        <f t="shared" si="17"/>
        <v>14.439655172413794</v>
      </c>
      <c r="H69" s="63">
        <f ca="1">IFERROR(VLOOKUP($A69,LASTYR,'2017'!$L$3,FALSE),"N/A")</f>
        <v>15.644747081712064</v>
      </c>
      <c r="I69" s="63">
        <f t="shared" ca="1" si="18"/>
        <v>13.800418171450294</v>
      </c>
      <c r="J69" s="63">
        <f t="shared" ca="1" si="18"/>
        <v>10.549688230709275</v>
      </c>
      <c r="K69" s="63">
        <f t="shared" ca="1" si="18"/>
        <v>10.065432358510414</v>
      </c>
      <c r="L69" s="63">
        <f t="shared" ca="1" si="18"/>
        <v>9.4051387933012158</v>
      </c>
      <c r="M69" s="63">
        <f t="shared" ca="1" si="18"/>
        <v>8.2557377049180349</v>
      </c>
      <c r="N69" s="63">
        <f t="shared" ca="1" si="18"/>
        <v>7.735742971887551</v>
      </c>
      <c r="O69" s="63">
        <f t="shared" ca="1" si="18"/>
        <v>6.2856339612032617</v>
      </c>
      <c r="P69" s="63">
        <f t="shared" ca="1" si="18"/>
        <v>6.769657083477659</v>
      </c>
      <c r="Q69" s="63">
        <f t="shared" ca="1" si="18"/>
        <v>7.2631762652705056</v>
      </c>
      <c r="R69" s="63" t="str">
        <f t="shared" ca="1" si="18"/>
        <v>N/A</v>
      </c>
      <c r="S69" s="63" t="str">
        <f t="shared" ca="1" si="18"/>
        <v>N/A</v>
      </c>
    </row>
    <row r="70" spans="1:19" x14ac:dyDescent="0.2">
      <c r="A70" s="51" t="str">
        <f t="shared" si="14"/>
        <v>WTR</v>
      </c>
      <c r="B70" s="46">
        <f t="shared" ca="1" si="15"/>
        <v>8</v>
      </c>
      <c r="C70" s="1">
        <f ca="1">IF(ISERROR(D70),"",IF(D70="","",MAX($C$66:C69)+1))</f>
        <v>14</v>
      </c>
      <c r="D70" t="str">
        <f t="shared" ca="1" si="16"/>
        <v>Aqua America</v>
      </c>
      <c r="E70" s="22"/>
      <c r="F70" s="63">
        <f t="shared" ca="1" si="19"/>
        <v>14.114298184441061</v>
      </c>
      <c r="G70" s="63">
        <f t="shared" si="17"/>
        <v>16.318181818181817</v>
      </c>
      <c r="H70" s="63">
        <f ca="1">IFERROR(VLOOKUP($A70,LASTYR,'2017'!$L$3,FALSE),"N/A")</f>
        <v>15.7204910292729</v>
      </c>
      <c r="I70" s="63">
        <f t="shared" ca="1" si="18"/>
        <v>15.216908212560387</v>
      </c>
      <c r="J70" s="63">
        <f t="shared" ca="1" si="18"/>
        <v>14.316239316239315</v>
      </c>
      <c r="K70" s="63">
        <f t="shared" ca="1" si="18"/>
        <v>13.202437731849496</v>
      </c>
      <c r="L70" s="63">
        <f t="shared" ca="1" si="18"/>
        <v>13.484632272228319</v>
      </c>
      <c r="M70" s="63">
        <f t="shared" ca="1" si="18"/>
        <v>12.668211920529803</v>
      </c>
      <c r="N70" s="63">
        <f t="shared" ca="1" si="18"/>
        <v>12.214088397790055</v>
      </c>
      <c r="O70" s="63">
        <f t="shared" ca="1" si="18"/>
        <v>10.679802955665025</v>
      </c>
      <c r="P70" s="63">
        <f t="shared" ca="1" si="18"/>
        <v>11.07081712062257</v>
      </c>
      <c r="Q70" s="63">
        <f t="shared" ca="1" si="18"/>
        <v>12.815140845070424</v>
      </c>
      <c r="R70" s="63">
        <f t="shared" ca="1" si="18"/>
        <v>16.537340619307834</v>
      </c>
      <c r="S70" s="63">
        <f t="shared" ca="1" si="18"/>
        <v>19.241584158415844</v>
      </c>
    </row>
    <row r="71" spans="1:19" x14ac:dyDescent="0.2">
      <c r="A71" s="51" t="str">
        <f t="shared" si="14"/>
        <v>CWT</v>
      </c>
      <c r="B71" s="46">
        <f t="shared" ca="1" si="15"/>
        <v>13</v>
      </c>
      <c r="C71" s="1">
        <f ca="1">IF(ISERROR(D71),"",IF(D71="","",MAX($C$66:C70)+1))</f>
        <v>15</v>
      </c>
      <c r="D71" t="str">
        <f t="shared" ca="1" si="16"/>
        <v>California Water</v>
      </c>
      <c r="E71" s="22"/>
      <c r="F71" s="63">
        <f t="shared" ca="1" si="19"/>
        <v>11.008173678588163</v>
      </c>
      <c r="G71" s="63">
        <f t="shared" si="17"/>
        <v>15.30188679245283</v>
      </c>
      <c r="H71" s="63">
        <f ca="1">IFERROR(VLOOKUP($A71,LASTYR,'2017'!$L$3,FALSE),"N/A")</f>
        <v>12.555518506168724</v>
      </c>
      <c r="I71" s="63">
        <f t="shared" ca="1" si="18"/>
        <v>12.791969243912858</v>
      </c>
      <c r="J71" s="63">
        <f t="shared" ca="1" si="18"/>
        <v>10.489639639639638</v>
      </c>
      <c r="K71" s="63">
        <f t="shared" ca="1" si="18"/>
        <v>9.4981759221726794</v>
      </c>
      <c r="L71" s="63">
        <f t="shared" ca="1" si="18"/>
        <v>9.2844866576209863</v>
      </c>
      <c r="M71" s="63">
        <f t="shared" ca="1" si="18"/>
        <v>7.8671268334771352</v>
      </c>
      <c r="N71" s="63">
        <f t="shared" ca="1" si="18"/>
        <v>8.8481624758220487</v>
      </c>
      <c r="O71" s="63">
        <f t="shared" ca="1" si="18"/>
        <v>9.5067287784679095</v>
      </c>
      <c r="P71" s="63">
        <f t="shared" ca="1" si="18"/>
        <v>9.9245087900723892</v>
      </c>
      <c r="Q71" s="63">
        <f t="shared" ca="1" si="18"/>
        <v>10.090274046211713</v>
      </c>
      <c r="R71" s="63">
        <f t="shared" ca="1" si="18"/>
        <v>12.511523687580025</v>
      </c>
      <c r="S71" s="63">
        <f t="shared" ca="1" si="18"/>
        <v>14.436256448047162</v>
      </c>
    </row>
    <row r="72" spans="1:19" x14ac:dyDescent="0.2">
      <c r="A72" s="51" t="str">
        <f t="shared" si="14"/>
        <v>CTWS</v>
      </c>
      <c r="B72" s="46">
        <f t="shared" ca="1" si="15"/>
        <v>19</v>
      </c>
      <c r="C72" s="1">
        <f ca="1">IF(ISERROR(D72),"",IF(D72="","",MAX($C$66:C71)+1))</f>
        <v>16</v>
      </c>
      <c r="D72" t="str">
        <f t="shared" ca="1" si="16"/>
        <v>Conn. Water Services</v>
      </c>
      <c r="E72" s="22"/>
      <c r="F72" s="63">
        <f t="shared" ca="1" si="19"/>
        <v>13.191565037324075</v>
      </c>
      <c r="G72" s="63">
        <f t="shared" si="17"/>
        <v>18.841269841269838</v>
      </c>
      <c r="H72" s="63">
        <f ca="1">IFERROR(VLOOKUP($A72,LASTYR,'2017'!$L$3,FALSE),"N/A")</f>
        <v>16.658018867924529</v>
      </c>
      <c r="I72" s="63">
        <f t="shared" ca="1" si="18"/>
        <v>14.623490338164252</v>
      </c>
      <c r="J72" s="63">
        <f t="shared" ca="1" si="18"/>
        <v>11.275786163522012</v>
      </c>
      <c r="K72" s="63">
        <f t="shared" ca="1" si="18"/>
        <v>11.319313593539704</v>
      </c>
      <c r="L72" s="63">
        <f t="shared" ca="1" si="18"/>
        <v>11.597185241536707</v>
      </c>
      <c r="M72" s="63">
        <f t="shared" ca="1" si="18"/>
        <v>11.221717744986758</v>
      </c>
      <c r="N72" s="63">
        <f t="shared" ca="1" si="18"/>
        <v>12.344418052256533</v>
      </c>
      <c r="O72" s="63">
        <f t="shared" ca="1" si="18"/>
        <v>11.454634624816086</v>
      </c>
      <c r="P72" s="63">
        <f t="shared" ca="1" si="18"/>
        <v>11.330574236937403</v>
      </c>
      <c r="Q72" s="63">
        <f t="shared" ca="1" si="18"/>
        <v>12.644398766700926</v>
      </c>
      <c r="R72" s="63">
        <f t="shared" ca="1" si="18"/>
        <v>12.717746182201159</v>
      </c>
      <c r="S72" s="63">
        <f t="shared" ca="1" si="18"/>
        <v>15.461791831357049</v>
      </c>
    </row>
    <row r="73" spans="1:19" x14ac:dyDescent="0.2">
      <c r="A73" s="51" t="str">
        <f t="shared" si="14"/>
        <v>CWCO</v>
      </c>
      <c r="B73" s="46">
        <f t="shared" ca="1" si="15"/>
        <v>21</v>
      </c>
      <c r="C73" s="1">
        <f ca="1">IF(ISERROR(D73),"",IF(D73="","",MAX($C$66:C72)+1))</f>
        <v>17</v>
      </c>
      <c r="D73" t="str">
        <f t="shared" ca="1" si="16"/>
        <v>Consolidated Water</v>
      </c>
      <c r="E73" s="22"/>
      <c r="F73" s="63">
        <f t="shared" ca="1" si="19"/>
        <v>14.780494468050442</v>
      </c>
      <c r="G73" s="63">
        <f t="shared" si="17"/>
        <v>13.047619047619046</v>
      </c>
      <c r="H73" s="63">
        <f ca="1">IFERROR(VLOOKUP($A73,LASTYR,'2017'!$L$3,FALSE),"N/A")</f>
        <v>10.646374216651745</v>
      </c>
      <c r="I73" s="63">
        <f t="shared" ca="1" si="18"/>
        <v>12.681341719077569</v>
      </c>
      <c r="J73" s="63">
        <f t="shared" ca="1" si="18"/>
        <v>12.988776655443322</v>
      </c>
      <c r="K73" s="63">
        <f t="shared" ca="1" si="18"/>
        <v>14.85125</v>
      </c>
      <c r="L73" s="63">
        <f t="shared" ca="1" si="18"/>
        <v>12.134796238244514</v>
      </c>
      <c r="M73" s="63">
        <f t="shared" ca="1" si="18"/>
        <v>6.8080548414738642</v>
      </c>
      <c r="N73" s="63">
        <f t="shared" ca="1" si="18"/>
        <v>11.31768953068592</v>
      </c>
      <c r="O73" s="63">
        <f t="shared" ca="1" si="18"/>
        <v>13.371527777777779</v>
      </c>
      <c r="P73" s="63">
        <f t="shared" ca="1" si="18"/>
        <v>11.934745762711865</v>
      </c>
      <c r="Q73" s="63">
        <f t="shared" ca="1" si="18"/>
        <v>19.910432033719704</v>
      </c>
      <c r="R73" s="63">
        <f t="shared" ca="1" si="18"/>
        <v>23.259567387687188</v>
      </c>
      <c r="S73" s="63">
        <f t="shared" ca="1" si="18"/>
        <v>29.194252873563219</v>
      </c>
    </row>
    <row r="74" spans="1:19" x14ac:dyDescent="0.2">
      <c r="A74" s="51" t="str">
        <f t="shared" si="14"/>
        <v>MSEX</v>
      </c>
      <c r="B74" s="46">
        <f t="shared" ca="1" si="15"/>
        <v>41</v>
      </c>
      <c r="C74" s="1">
        <f ca="1">IF(ISERROR(D74),"",IF(D74="","",MAX($C$66:C73)+1))</f>
        <v>18</v>
      </c>
      <c r="D74" t="str">
        <f t="shared" ca="1" si="16"/>
        <v>Middlesex Water</v>
      </c>
      <c r="E74" s="22"/>
      <c r="F74" s="63">
        <f t="shared" ca="1" si="19"/>
        <v>12.98994201230493</v>
      </c>
      <c r="G74" s="63">
        <f t="shared" si="17"/>
        <v>15.660377358490567</v>
      </c>
      <c r="H74" s="63">
        <f ca="1">IFERROR(VLOOKUP($A74,LASTYR,'2017'!$L$3,FALSE),"N/A")</f>
        <v>17.511399195350915</v>
      </c>
      <c r="I74" s="63">
        <f t="shared" ca="1" si="18"/>
        <v>16.293738489871085</v>
      </c>
      <c r="J74" s="63">
        <f t="shared" ca="1" si="18"/>
        <v>11.846544715447155</v>
      </c>
      <c r="K74" s="63">
        <f t="shared" ca="1" si="18"/>
        <v>11.328633405639913</v>
      </c>
      <c r="L74" s="63">
        <f t="shared" ca="1" si="18"/>
        <v>11.81315483119907</v>
      </c>
      <c r="M74" s="63">
        <f t="shared" ca="1" si="18"/>
        <v>12.055305466237941</v>
      </c>
      <c r="N74" s="63">
        <f t="shared" ca="1" si="18"/>
        <v>12.46584699453552</v>
      </c>
      <c r="O74" s="63">
        <f t="shared" ca="1" si="18"/>
        <v>11.051712992889465</v>
      </c>
      <c r="P74" s="63">
        <f t="shared" ca="1" si="18"/>
        <v>10.777777777777779</v>
      </c>
      <c r="Q74" s="63">
        <f t="shared" ca="1" si="18"/>
        <v>11.509470934030045</v>
      </c>
      <c r="R74" s="63">
        <f t="shared" ca="1" si="18"/>
        <v>12.580040187541861</v>
      </c>
      <c r="S74" s="63">
        <f t="shared" ca="1" si="18"/>
        <v>13.97524381095274</v>
      </c>
    </row>
    <row r="75" spans="1:19" x14ac:dyDescent="0.2">
      <c r="A75" s="51" t="str">
        <f t="shared" si="14"/>
        <v>SJW</v>
      </c>
      <c r="B75" s="46">
        <f t="shared" ca="1" si="15"/>
        <v>60</v>
      </c>
      <c r="C75" s="1">
        <f ca="1">IF(ISERROR(D75),"",IF(D75="","",MAX($C$66:C74)+1))</f>
        <v>19</v>
      </c>
      <c r="D75" t="str">
        <f t="shared" ca="1" si="16"/>
        <v>SJW Corp.</v>
      </c>
      <c r="E75" s="22"/>
      <c r="F75" s="63">
        <f t="shared" ca="1" si="19"/>
        <v>10.077753038532778</v>
      </c>
      <c r="G75" s="63">
        <f t="shared" si="17"/>
        <v>12.6</v>
      </c>
      <c r="H75" s="63">
        <f ca="1">IFERROR(VLOOKUP($A75,LASTYR,'2017'!$L$3,FALSE),"N/A")</f>
        <v>10.287323405880105</v>
      </c>
      <c r="I75" s="63">
        <f t="shared" ca="1" si="18"/>
        <v>8.4547743966421827</v>
      </c>
      <c r="J75" s="63">
        <f t="shared" ca="1" si="18"/>
        <v>7.9823697173969403</v>
      </c>
      <c r="K75" s="63">
        <f t="shared" ca="1" si="18"/>
        <v>6.4265038444142926</v>
      </c>
      <c r="L75" s="63">
        <f t="shared" ca="1" si="18"/>
        <v>9.3993103448275868</v>
      </c>
      <c r="M75" s="63">
        <f t="shared" ca="1" si="18"/>
        <v>8.0970350404312672</v>
      </c>
      <c r="N75" s="63">
        <f t="shared" ca="1" si="18"/>
        <v>8.3909318100678316</v>
      </c>
      <c r="O75" s="63">
        <f t="shared" ca="1" si="18"/>
        <v>10.28721614802355</v>
      </c>
      <c r="P75" s="63">
        <f t="shared" ca="1" si="18"/>
        <v>10.525838621940164</v>
      </c>
      <c r="Q75" s="63">
        <f t="shared" ca="1" si="18"/>
        <v>11.675697865353039</v>
      </c>
      <c r="R75" s="63">
        <f t="shared" ca="1" si="18"/>
        <v>15.134523291249456</v>
      </c>
      <c r="S75" s="63">
        <f t="shared" ca="1" si="18"/>
        <v>11.749265014699708</v>
      </c>
    </row>
    <row r="76" spans="1:19" x14ac:dyDescent="0.2">
      <c r="A76" s="51" t="str">
        <f t="shared" si="14"/>
        <v>YORW</v>
      </c>
      <c r="B76" s="46">
        <f t="shared" ca="1" si="15"/>
        <v>75</v>
      </c>
      <c r="C76" s="1">
        <f ca="1">IF(ISERROR(D76),"",IF(D76="","",MAX($C$66:C75)+1))</f>
        <v>20</v>
      </c>
      <c r="D76" t="str">
        <f t="shared" ca="1" si="16"/>
        <v>York Water Co. (The)</v>
      </c>
      <c r="E76" s="22"/>
      <c r="F76" s="63">
        <f t="shared" ca="1" si="19"/>
        <v>17.309809152618385</v>
      </c>
      <c r="G76" s="63">
        <f t="shared" si="17"/>
        <v>18.147058823529413</v>
      </c>
      <c r="H76" s="63">
        <f ca="1">IFERROR(VLOOKUP($A76,LASTYR,'2017'!$L$3,FALSE),"N/A")</f>
        <v>22.797262059973921</v>
      </c>
      <c r="I76" s="63" t="str">
        <f t="shared" ca="1" si="18"/>
        <v>N/A</v>
      </c>
      <c r="J76" s="63">
        <f t="shared" ca="1" si="18"/>
        <v>15.681786941580755</v>
      </c>
      <c r="K76" s="63">
        <f t="shared" ca="1" si="18"/>
        <v>15.12822402358143</v>
      </c>
      <c r="L76" s="63">
        <f t="shared" ca="1" si="18"/>
        <v>16.607925801011806</v>
      </c>
      <c r="M76" s="63">
        <f t="shared" ca="1" si="18"/>
        <v>15.714285714285714</v>
      </c>
      <c r="N76" s="63">
        <f t="shared" ca="1" si="18"/>
        <v>15.514625228519193</v>
      </c>
      <c r="O76" s="63">
        <f t="shared" ca="1" si="18"/>
        <v>13.813145539906104</v>
      </c>
      <c r="P76" s="63">
        <f t="shared" ca="1" si="18"/>
        <v>14.747102212855637</v>
      </c>
      <c r="Q76" s="63">
        <f t="shared" ca="1" si="18"/>
        <v>15.846153846153845</v>
      </c>
      <c r="R76" s="63">
        <f t="shared" ca="1" si="18"/>
        <v>20.151869158878505</v>
      </c>
      <c r="S76" s="63">
        <f t="shared" ca="1" si="18"/>
        <v>23.568270481144342</v>
      </c>
    </row>
    <row r="77" spans="1:19" ht="14.25" hidden="1" customHeight="1" x14ac:dyDescent="0.2">
      <c r="A77" s="51">
        <f t="shared" si="14"/>
        <v>0</v>
      </c>
      <c r="B77" s="46" t="str">
        <f t="shared" ca="1" si="15"/>
        <v/>
      </c>
      <c r="C77" s="1" t="str">
        <f>IF(ISERROR(D77),"",IF(D77="","",MAX($C$66:C76)+1))</f>
        <v/>
      </c>
      <c r="D77" t="e">
        <f t="shared" si="16"/>
        <v>#N/A</v>
      </c>
      <c r="E77" s="22"/>
      <c r="F77" s="63" t="str">
        <f t="shared" ca="1" si="19"/>
        <v>N/A</v>
      </c>
      <c r="G77" s="63" t="str">
        <f t="shared" si="17"/>
        <v>N/A</v>
      </c>
      <c r="H77" s="63" t="str">
        <f ca="1">IFERROR(VLOOKUP($A77,LASTYR,'2017'!$L$3,FALSE),"N/A")</f>
        <v>N/A</v>
      </c>
      <c r="I77" s="63" t="str">
        <f t="shared" ca="1" si="18"/>
        <v>N/A</v>
      </c>
      <c r="J77" s="63" t="str">
        <f t="shared" ca="1" si="18"/>
        <v>N/A</v>
      </c>
      <c r="K77" s="63" t="str">
        <f t="shared" ca="1" si="18"/>
        <v>N/A</v>
      </c>
      <c r="L77" s="63" t="str">
        <f t="shared" ca="1" si="18"/>
        <v>N/A</v>
      </c>
      <c r="M77" s="63" t="str">
        <f t="shared" ca="1" si="18"/>
        <v>N/A</v>
      </c>
      <c r="N77" s="63" t="str">
        <f t="shared" ca="1" si="18"/>
        <v>N/A</v>
      </c>
      <c r="O77" s="63" t="str">
        <f t="shared" ca="1" si="18"/>
        <v>N/A</v>
      </c>
      <c r="P77" s="63" t="str">
        <f t="shared" ca="1" si="18"/>
        <v>N/A</v>
      </c>
      <c r="Q77" s="63" t="str">
        <f t="shared" ca="1" si="18"/>
        <v>N/A</v>
      </c>
      <c r="R77" s="63" t="str">
        <f t="shared" ca="1" si="18"/>
        <v>N/A</v>
      </c>
      <c r="S77" s="63" t="str">
        <f t="shared" ca="1" si="18"/>
        <v>N/A</v>
      </c>
    </row>
    <row r="78" spans="1:19" ht="14.25" hidden="1" customHeight="1" x14ac:dyDescent="0.2">
      <c r="A78" s="51">
        <f t="shared" si="14"/>
        <v>0</v>
      </c>
      <c r="B78" s="46" t="str">
        <f t="shared" ca="1" si="15"/>
        <v/>
      </c>
      <c r="C78" s="1" t="str">
        <f>IF(ISERROR(D78),"",IF(D78="","",MAX($C$66:C77)+1))</f>
        <v/>
      </c>
      <c r="D78" t="e">
        <f t="shared" si="16"/>
        <v>#N/A</v>
      </c>
      <c r="E78" s="22"/>
      <c r="F78" s="63" t="str">
        <f t="shared" ca="1" si="19"/>
        <v>N/A</v>
      </c>
      <c r="G78" s="63" t="str">
        <f t="shared" si="17"/>
        <v>N/A</v>
      </c>
      <c r="H78" s="63" t="str">
        <f ca="1">IFERROR(VLOOKUP($A78,LASTYR,'2017'!$L$3,FALSE),"N/A")</f>
        <v>N/A</v>
      </c>
      <c r="I78" s="63" t="str">
        <f t="shared" ca="1" si="18"/>
        <v>N/A</v>
      </c>
      <c r="J78" s="63" t="str">
        <f t="shared" ca="1" si="18"/>
        <v>N/A</v>
      </c>
      <c r="K78" s="63" t="str">
        <f t="shared" ca="1" si="18"/>
        <v>N/A</v>
      </c>
      <c r="L78" s="63" t="str">
        <f t="shared" ca="1" si="18"/>
        <v>N/A</v>
      </c>
      <c r="M78" s="63" t="str">
        <f t="shared" ca="1" si="18"/>
        <v>N/A</v>
      </c>
      <c r="N78" s="63" t="str">
        <f t="shared" ca="1" si="18"/>
        <v>N/A</v>
      </c>
      <c r="O78" s="63" t="str">
        <f t="shared" ca="1" si="18"/>
        <v>N/A</v>
      </c>
      <c r="P78" s="63" t="str">
        <f t="shared" ca="1" si="18"/>
        <v>N/A</v>
      </c>
      <c r="Q78" s="63" t="str">
        <f t="shared" ca="1" si="18"/>
        <v>N/A</v>
      </c>
      <c r="R78" s="63" t="str">
        <f t="shared" ca="1" si="18"/>
        <v>N/A</v>
      </c>
      <c r="S78" s="63" t="str">
        <f t="shared" ca="1" si="18"/>
        <v>N/A</v>
      </c>
    </row>
    <row r="79" spans="1:19" ht="14.25" hidden="1" customHeight="1" x14ac:dyDescent="0.2">
      <c r="A79" s="51">
        <f t="shared" si="14"/>
        <v>0</v>
      </c>
      <c r="B79" s="46" t="str">
        <f t="shared" ca="1" si="15"/>
        <v/>
      </c>
      <c r="C79" s="1" t="str">
        <f>IF(ISERROR(D79),"",IF(D79="","",MAX($C$66:C78)+1))</f>
        <v/>
      </c>
      <c r="D79" t="e">
        <f t="shared" si="16"/>
        <v>#N/A</v>
      </c>
      <c r="E79" s="22"/>
      <c r="F79" s="63" t="str">
        <f t="shared" ca="1" si="19"/>
        <v>N/A</v>
      </c>
      <c r="G79" s="63" t="str">
        <f t="shared" si="17"/>
        <v>N/A</v>
      </c>
      <c r="H79" s="63" t="str">
        <f ca="1">IFERROR(VLOOKUP($A79,LASTYR,'2017'!$L$3,FALSE),"N/A")</f>
        <v>N/A</v>
      </c>
      <c r="I79" s="63" t="str">
        <f t="shared" ca="1" si="18"/>
        <v>N/A</v>
      </c>
      <c r="J79" s="63" t="str">
        <f t="shared" ca="1" si="18"/>
        <v>N/A</v>
      </c>
      <c r="K79" s="63" t="str">
        <f t="shared" ca="1" si="18"/>
        <v>N/A</v>
      </c>
      <c r="L79" s="63" t="str">
        <f t="shared" ca="1" si="18"/>
        <v>N/A</v>
      </c>
      <c r="M79" s="63" t="str">
        <f t="shared" ca="1" si="18"/>
        <v>N/A</v>
      </c>
      <c r="N79" s="63" t="str">
        <f t="shared" ca="1" si="18"/>
        <v>N/A</v>
      </c>
      <c r="O79" s="63" t="str">
        <f t="shared" ca="1" si="18"/>
        <v>N/A</v>
      </c>
      <c r="P79" s="63" t="str">
        <f t="shared" ca="1" si="18"/>
        <v>N/A</v>
      </c>
      <c r="Q79" s="63" t="str">
        <f t="shared" ca="1" si="18"/>
        <v>N/A</v>
      </c>
      <c r="R79" s="63" t="str">
        <f t="shared" ca="1" si="18"/>
        <v>N/A</v>
      </c>
      <c r="S79" s="63" t="str">
        <f t="shared" ca="1" si="18"/>
        <v>N/A</v>
      </c>
    </row>
    <row r="80" spans="1:19" ht="14.25" hidden="1" customHeight="1" x14ac:dyDescent="0.2">
      <c r="A80" s="51">
        <f t="shared" si="14"/>
        <v>0</v>
      </c>
      <c r="B80" s="46" t="str">
        <f t="shared" ca="1" si="15"/>
        <v/>
      </c>
      <c r="C80" s="1" t="str">
        <f>IF(ISERROR(D80),"",IF(D80="","",MAX($C$66:C79)+1))</f>
        <v/>
      </c>
      <c r="D80" t="e">
        <f t="shared" si="16"/>
        <v>#N/A</v>
      </c>
      <c r="E80" s="22"/>
      <c r="F80" s="63" t="str">
        <f t="shared" ca="1" si="19"/>
        <v>N/A</v>
      </c>
      <c r="G80" s="63" t="str">
        <f t="shared" si="17"/>
        <v>N/A</v>
      </c>
      <c r="H80" s="63" t="str">
        <f ca="1">IFERROR(VLOOKUP($A80,LASTYR,'2017'!$L$3,FALSE),"N/A")</f>
        <v>N/A</v>
      </c>
      <c r="I80" s="63" t="str">
        <f t="shared" ca="1" si="18"/>
        <v>N/A</v>
      </c>
      <c r="J80" s="63" t="str">
        <f t="shared" ca="1" si="18"/>
        <v>N/A</v>
      </c>
      <c r="K80" s="63" t="str">
        <f t="shared" ca="1" si="18"/>
        <v>N/A</v>
      </c>
      <c r="L80" s="63" t="str">
        <f t="shared" ca="1" si="18"/>
        <v>N/A</v>
      </c>
      <c r="M80" s="63" t="str">
        <f t="shared" ca="1" si="18"/>
        <v>N/A</v>
      </c>
      <c r="N80" s="63" t="str">
        <f t="shared" ca="1" si="18"/>
        <v>N/A</v>
      </c>
      <c r="O80" s="63" t="str">
        <f t="shared" ca="1" si="18"/>
        <v>N/A</v>
      </c>
      <c r="P80" s="63" t="str">
        <f t="shared" ca="1" si="18"/>
        <v>N/A</v>
      </c>
      <c r="Q80" s="63" t="str">
        <f t="shared" ca="1" si="18"/>
        <v>N/A</v>
      </c>
      <c r="R80" s="63" t="str">
        <f t="shared" ca="1" si="18"/>
        <v>N/A</v>
      </c>
      <c r="S80" s="63" t="str">
        <f t="shared" ca="1" si="18"/>
        <v>N/A</v>
      </c>
    </row>
    <row r="81" spans="1:19" ht="14.25" hidden="1" customHeight="1" x14ac:dyDescent="0.2">
      <c r="A81" s="51">
        <f t="shared" si="14"/>
        <v>0</v>
      </c>
      <c r="B81" s="46" t="str">
        <f t="shared" ca="1" si="15"/>
        <v/>
      </c>
      <c r="C81" s="1" t="str">
        <f>IF(ISERROR(D81),"",IF(D81="","",MAX($C$66:C80)+1))</f>
        <v/>
      </c>
      <c r="D81" t="e">
        <f t="shared" si="16"/>
        <v>#N/A</v>
      </c>
      <c r="E81" s="22"/>
      <c r="F81" s="63" t="str">
        <f t="shared" ca="1" si="19"/>
        <v>N/A</v>
      </c>
      <c r="G81" s="63" t="str">
        <f t="shared" si="17"/>
        <v>N/A</v>
      </c>
      <c r="H81" s="63" t="str">
        <f ca="1">IFERROR(VLOOKUP($A81,LASTYR,'2017'!$L$3,FALSE),"N/A")</f>
        <v>N/A</v>
      </c>
      <c r="I81" s="63" t="str">
        <f t="shared" ca="1" si="18"/>
        <v>N/A</v>
      </c>
      <c r="J81" s="63" t="str">
        <f t="shared" ca="1" si="18"/>
        <v>N/A</v>
      </c>
      <c r="K81" s="63" t="str">
        <f t="shared" ca="1" si="18"/>
        <v>N/A</v>
      </c>
      <c r="L81" s="63" t="str">
        <f t="shared" ca="1" si="18"/>
        <v>N/A</v>
      </c>
      <c r="M81" s="63" t="str">
        <f t="shared" ca="1" si="18"/>
        <v>N/A</v>
      </c>
      <c r="N81" s="63" t="str">
        <f t="shared" ca="1" si="18"/>
        <v>N/A</v>
      </c>
      <c r="O81" s="63" t="str">
        <f t="shared" ca="1" si="18"/>
        <v>N/A</v>
      </c>
      <c r="P81" s="63" t="str">
        <f t="shared" ca="1" si="18"/>
        <v>N/A</v>
      </c>
      <c r="Q81" s="63" t="str">
        <f t="shared" ca="1" si="18"/>
        <v>N/A</v>
      </c>
      <c r="R81" s="63" t="str">
        <f t="shared" ca="1" si="18"/>
        <v>N/A</v>
      </c>
      <c r="S81" s="63" t="str">
        <f t="shared" ca="1" si="18"/>
        <v>N/A</v>
      </c>
    </row>
    <row r="82" spans="1:19" ht="14.25" hidden="1" customHeight="1" x14ac:dyDescent="0.2">
      <c r="A82" s="51">
        <f t="shared" si="14"/>
        <v>0</v>
      </c>
      <c r="B82" s="46" t="str">
        <f t="shared" ca="1" si="15"/>
        <v/>
      </c>
      <c r="C82" s="1" t="str">
        <f>IF(ISERROR(D82),"",IF(D82="","",MAX($C$66:C81)+1))</f>
        <v/>
      </c>
      <c r="D82" t="e">
        <f t="shared" si="16"/>
        <v>#N/A</v>
      </c>
      <c r="E82" s="22"/>
      <c r="F82" s="63" t="str">
        <f t="shared" ca="1" si="19"/>
        <v>N/A</v>
      </c>
      <c r="G82" s="63" t="str">
        <f t="shared" si="17"/>
        <v>N/A</v>
      </c>
      <c r="H82" s="63" t="str">
        <f ca="1">IFERROR(VLOOKUP($A82,LASTYR,'2017'!$L$3,FALSE),"N/A")</f>
        <v>N/A</v>
      </c>
      <c r="I82" s="63" t="str">
        <f t="shared" ca="1" si="18"/>
        <v>N/A</v>
      </c>
      <c r="J82" s="63" t="str">
        <f t="shared" ca="1" si="18"/>
        <v>N/A</v>
      </c>
      <c r="K82" s="63" t="str">
        <f t="shared" ca="1" si="18"/>
        <v>N/A</v>
      </c>
      <c r="L82" s="63" t="str">
        <f t="shared" ca="1" si="18"/>
        <v>N/A</v>
      </c>
      <c r="M82" s="63" t="str">
        <f t="shared" ca="1" si="18"/>
        <v>N/A</v>
      </c>
      <c r="N82" s="63" t="str">
        <f t="shared" ca="1" si="18"/>
        <v>N/A</v>
      </c>
      <c r="O82" s="63" t="str">
        <f t="shared" ca="1" si="18"/>
        <v>N/A</v>
      </c>
      <c r="P82" s="63" t="str">
        <f t="shared" ca="1" si="18"/>
        <v>N/A</v>
      </c>
      <c r="Q82" s="63" t="str">
        <f t="shared" ca="1" si="18"/>
        <v>N/A</v>
      </c>
      <c r="R82" s="63" t="str">
        <f t="shared" ca="1" si="18"/>
        <v>N/A</v>
      </c>
      <c r="S82" s="63" t="str">
        <f t="shared" ca="1" si="18"/>
        <v>N/A</v>
      </c>
    </row>
    <row r="83" spans="1:19" ht="14.25" hidden="1" customHeight="1" x14ac:dyDescent="0.2">
      <c r="A83" s="51">
        <f t="shared" si="14"/>
        <v>0</v>
      </c>
      <c r="B83" s="46" t="str">
        <f t="shared" ca="1" si="15"/>
        <v/>
      </c>
      <c r="C83" s="1" t="str">
        <f>IF(ISERROR(D83),"",IF(D83="","",MAX($C$66:C82)+1))</f>
        <v/>
      </c>
      <c r="D83" t="e">
        <f t="shared" si="16"/>
        <v>#N/A</v>
      </c>
      <c r="E83" s="22"/>
      <c r="F83" s="63" t="str">
        <f t="shared" ca="1" si="19"/>
        <v>N/A</v>
      </c>
      <c r="G83" s="63" t="str">
        <f t="shared" si="17"/>
        <v>N/A</v>
      </c>
      <c r="H83" s="63" t="str">
        <f ca="1">IFERROR(VLOOKUP($A83,LASTYR,'2017'!$L$3,FALSE),"N/A")</f>
        <v>N/A</v>
      </c>
      <c r="I83" s="63" t="str">
        <f t="shared" ca="1" si="18"/>
        <v>N/A</v>
      </c>
      <c r="J83" s="63" t="str">
        <f t="shared" ca="1" si="18"/>
        <v>N/A</v>
      </c>
      <c r="K83" s="63" t="str">
        <f t="shared" ca="1" si="18"/>
        <v>N/A</v>
      </c>
      <c r="L83" s="63" t="str">
        <f t="shared" ca="1" si="18"/>
        <v>N/A</v>
      </c>
      <c r="M83" s="63" t="str">
        <f t="shared" ca="1" si="18"/>
        <v>N/A</v>
      </c>
      <c r="N83" s="63" t="str">
        <f t="shared" ca="1" si="18"/>
        <v>N/A</v>
      </c>
      <c r="O83" s="63" t="str">
        <f t="shared" ca="1" si="18"/>
        <v>N/A</v>
      </c>
      <c r="P83" s="63" t="str">
        <f t="shared" ca="1" si="18"/>
        <v>N/A</v>
      </c>
      <c r="Q83" s="63" t="str">
        <f t="shared" ca="1" si="18"/>
        <v>N/A</v>
      </c>
      <c r="R83" s="63" t="str">
        <f t="shared" ca="1" si="18"/>
        <v>N/A</v>
      </c>
      <c r="S83" s="63" t="str">
        <f t="shared" ca="1" si="18"/>
        <v>N/A</v>
      </c>
    </row>
    <row r="84" spans="1:19" ht="14.25" hidden="1" customHeight="1" x14ac:dyDescent="0.2">
      <c r="A84" s="51">
        <f t="shared" si="14"/>
        <v>0</v>
      </c>
      <c r="B84" s="46" t="str">
        <f t="shared" ca="1" si="15"/>
        <v/>
      </c>
      <c r="C84" s="1" t="str">
        <f>IF(ISERROR(D84),"",IF(D84="","",MAX($C$66:C83)+1))</f>
        <v/>
      </c>
      <c r="D84" t="e">
        <f t="shared" si="16"/>
        <v>#N/A</v>
      </c>
      <c r="E84" s="22"/>
      <c r="F84" s="63" t="str">
        <f t="shared" ca="1" si="19"/>
        <v>N/A</v>
      </c>
      <c r="G84" s="63" t="str">
        <f t="shared" si="17"/>
        <v>N/A</v>
      </c>
      <c r="H84" s="63" t="str">
        <f ca="1">IFERROR(VLOOKUP($A84,LASTYR,'2017'!$L$3,FALSE),"N/A")</f>
        <v>N/A</v>
      </c>
      <c r="I84" s="63" t="str">
        <f t="shared" ref="I84:S100" ca="1" si="20">IFERROR(IF(INDEX(MP_CF_WP,$B84,I$67)=0,"N/A",INDEX(MP_CF_WP,$B84,I$67)),"N/A")</f>
        <v>N/A</v>
      </c>
      <c r="J84" s="63" t="str">
        <f t="shared" ca="1" si="20"/>
        <v>N/A</v>
      </c>
      <c r="K84" s="63" t="str">
        <f t="shared" ca="1" si="20"/>
        <v>N/A</v>
      </c>
      <c r="L84" s="63" t="str">
        <f t="shared" ca="1" si="20"/>
        <v>N/A</v>
      </c>
      <c r="M84" s="63" t="str">
        <f t="shared" ca="1" si="20"/>
        <v>N/A</v>
      </c>
      <c r="N84" s="63" t="str">
        <f t="shared" ca="1" si="20"/>
        <v>N/A</v>
      </c>
      <c r="O84" s="63" t="str">
        <f t="shared" ca="1" si="20"/>
        <v>N/A</v>
      </c>
      <c r="P84" s="63" t="str">
        <f t="shared" ca="1" si="20"/>
        <v>N/A</v>
      </c>
      <c r="Q84" s="63" t="str">
        <f t="shared" ca="1" si="20"/>
        <v>N/A</v>
      </c>
      <c r="R84" s="63" t="str">
        <f t="shared" ca="1" si="20"/>
        <v>N/A</v>
      </c>
      <c r="S84" s="63" t="str">
        <f t="shared" ca="1" si="20"/>
        <v>N/A</v>
      </c>
    </row>
    <row r="85" spans="1:19" ht="14.25" hidden="1" customHeight="1" x14ac:dyDescent="0.2">
      <c r="A85" s="51">
        <f t="shared" si="14"/>
        <v>0</v>
      </c>
      <c r="B85" s="46" t="str">
        <f t="shared" ca="1" si="15"/>
        <v/>
      </c>
      <c r="C85" s="1" t="str">
        <f>IF(ISERROR(D85),"",IF(D85="","",MAX($C$66:C84)+1))</f>
        <v/>
      </c>
      <c r="D85" t="e">
        <f t="shared" si="16"/>
        <v>#N/A</v>
      </c>
      <c r="E85" s="22"/>
      <c r="F85" s="63" t="str">
        <f t="shared" ca="1" si="19"/>
        <v>N/A</v>
      </c>
      <c r="G85" s="63" t="str">
        <f t="shared" si="17"/>
        <v>N/A</v>
      </c>
      <c r="H85" s="63" t="str">
        <f ca="1">IFERROR(VLOOKUP($A85,LASTYR,'2017'!$L$3,FALSE),"N/A")</f>
        <v>N/A</v>
      </c>
      <c r="I85" s="63" t="str">
        <f t="shared" ca="1" si="20"/>
        <v>N/A</v>
      </c>
      <c r="J85" s="63" t="str">
        <f t="shared" ca="1" si="20"/>
        <v>N/A</v>
      </c>
      <c r="K85" s="63" t="str">
        <f t="shared" ca="1" si="20"/>
        <v>N/A</v>
      </c>
      <c r="L85" s="63" t="str">
        <f t="shared" ca="1" si="20"/>
        <v>N/A</v>
      </c>
      <c r="M85" s="63" t="str">
        <f t="shared" ca="1" si="20"/>
        <v>N/A</v>
      </c>
      <c r="N85" s="63" t="str">
        <f t="shared" ca="1" si="20"/>
        <v>N/A</v>
      </c>
      <c r="O85" s="63" t="str">
        <f t="shared" ca="1" si="20"/>
        <v>N/A</v>
      </c>
      <c r="P85" s="63" t="str">
        <f t="shared" ca="1" si="20"/>
        <v>N/A</v>
      </c>
      <c r="Q85" s="63" t="str">
        <f t="shared" ca="1" si="20"/>
        <v>N/A</v>
      </c>
      <c r="R85" s="63" t="str">
        <f t="shared" ca="1" si="20"/>
        <v>N/A</v>
      </c>
      <c r="S85" s="63" t="str">
        <f t="shared" ca="1" si="20"/>
        <v>N/A</v>
      </c>
    </row>
    <row r="86" spans="1:19" ht="14.25" hidden="1" customHeight="1" x14ac:dyDescent="0.2">
      <c r="A86" s="51">
        <f t="shared" si="14"/>
        <v>0</v>
      </c>
      <c r="B86" s="46" t="str">
        <f t="shared" ca="1" si="15"/>
        <v/>
      </c>
      <c r="C86" s="1" t="str">
        <f>IF(ISERROR(D86),"",IF(D86="","",MAX($C$66:C85)+1))</f>
        <v/>
      </c>
      <c r="D86" t="e">
        <f t="shared" si="16"/>
        <v>#N/A</v>
      </c>
      <c r="E86" s="22"/>
      <c r="F86" s="63" t="str">
        <f t="shared" ca="1" si="19"/>
        <v>N/A</v>
      </c>
      <c r="G86" s="63" t="str">
        <f t="shared" si="17"/>
        <v>N/A</v>
      </c>
      <c r="H86" s="63" t="str">
        <f ca="1">IFERROR(VLOOKUP($A86,LASTYR,'2017'!$L$3,FALSE),"N/A")</f>
        <v>N/A</v>
      </c>
      <c r="I86" s="63" t="str">
        <f t="shared" ca="1" si="20"/>
        <v>N/A</v>
      </c>
      <c r="J86" s="63" t="str">
        <f t="shared" ca="1" si="20"/>
        <v>N/A</v>
      </c>
      <c r="K86" s="63" t="str">
        <f t="shared" ca="1" si="20"/>
        <v>N/A</v>
      </c>
      <c r="L86" s="63" t="str">
        <f t="shared" ca="1" si="20"/>
        <v>N/A</v>
      </c>
      <c r="M86" s="63" t="str">
        <f t="shared" ca="1" si="20"/>
        <v>N/A</v>
      </c>
      <c r="N86" s="63" t="str">
        <f t="shared" ca="1" si="20"/>
        <v>N/A</v>
      </c>
      <c r="O86" s="63" t="str">
        <f t="shared" ca="1" si="20"/>
        <v>N/A</v>
      </c>
      <c r="P86" s="63" t="str">
        <f t="shared" ca="1" si="20"/>
        <v>N/A</v>
      </c>
      <c r="Q86" s="63" t="str">
        <f t="shared" ca="1" si="20"/>
        <v>N/A</v>
      </c>
      <c r="R86" s="63" t="str">
        <f t="shared" ca="1" si="20"/>
        <v>N/A</v>
      </c>
      <c r="S86" s="63" t="str">
        <f t="shared" ca="1" si="20"/>
        <v>N/A</v>
      </c>
    </row>
    <row r="87" spans="1:19" ht="14.25" hidden="1" customHeight="1" x14ac:dyDescent="0.2">
      <c r="A87" s="51">
        <f t="shared" si="14"/>
        <v>0</v>
      </c>
      <c r="B87" s="46" t="str">
        <f t="shared" ca="1" si="15"/>
        <v/>
      </c>
      <c r="C87" s="1" t="str">
        <f>IF(ISERROR(D87),"",IF(D87="","",MAX($C$66:C86)+1))</f>
        <v/>
      </c>
      <c r="D87" t="e">
        <f t="shared" si="16"/>
        <v>#N/A</v>
      </c>
      <c r="E87" s="22"/>
      <c r="F87" s="63" t="str">
        <f t="shared" ca="1" si="19"/>
        <v>N/A</v>
      </c>
      <c r="G87" s="63" t="str">
        <f t="shared" si="17"/>
        <v>N/A</v>
      </c>
      <c r="H87" s="63" t="str">
        <f ca="1">IFERROR(VLOOKUP($A87,LASTYR,'2017'!$L$3,FALSE),"N/A")</f>
        <v>N/A</v>
      </c>
      <c r="I87" s="63" t="str">
        <f t="shared" ca="1" si="20"/>
        <v>N/A</v>
      </c>
      <c r="J87" s="63" t="str">
        <f t="shared" ca="1" si="20"/>
        <v>N/A</v>
      </c>
      <c r="K87" s="63" t="str">
        <f t="shared" ca="1" si="20"/>
        <v>N/A</v>
      </c>
      <c r="L87" s="63" t="str">
        <f t="shared" ca="1" si="20"/>
        <v>N/A</v>
      </c>
      <c r="M87" s="63" t="str">
        <f t="shared" ca="1" si="20"/>
        <v>N/A</v>
      </c>
      <c r="N87" s="63" t="str">
        <f t="shared" ca="1" si="20"/>
        <v>N/A</v>
      </c>
      <c r="O87" s="63" t="str">
        <f t="shared" ca="1" si="20"/>
        <v>N/A</v>
      </c>
      <c r="P87" s="63" t="str">
        <f t="shared" ca="1" si="20"/>
        <v>N/A</v>
      </c>
      <c r="Q87" s="63" t="str">
        <f t="shared" ca="1" si="20"/>
        <v>N/A</v>
      </c>
      <c r="R87" s="63" t="str">
        <f t="shared" ca="1" si="20"/>
        <v>N/A</v>
      </c>
      <c r="S87" s="63" t="str">
        <f t="shared" ca="1" si="20"/>
        <v>N/A</v>
      </c>
    </row>
    <row r="88" spans="1:19" ht="14.25" hidden="1" customHeight="1" x14ac:dyDescent="0.2">
      <c r="A88" s="51">
        <f t="shared" si="14"/>
        <v>0</v>
      </c>
      <c r="B88" s="46" t="str">
        <f t="shared" ca="1" si="15"/>
        <v/>
      </c>
      <c r="C88" s="1" t="str">
        <f>IF(ISERROR(D88),"",IF(D88="","",MAX($C$66:C87)+1))</f>
        <v/>
      </c>
      <c r="D88" t="e">
        <f t="shared" si="16"/>
        <v>#N/A</v>
      </c>
      <c r="E88" s="22"/>
      <c r="F88" s="63" t="str">
        <f t="shared" ca="1" si="19"/>
        <v>N/A</v>
      </c>
      <c r="G88" s="63" t="str">
        <f t="shared" si="17"/>
        <v>N/A</v>
      </c>
      <c r="H88" s="63" t="str">
        <f ca="1">IFERROR(VLOOKUP($A88,LASTYR,'2017'!$L$3,FALSE),"N/A")</f>
        <v>N/A</v>
      </c>
      <c r="I88" s="63" t="str">
        <f t="shared" ca="1" si="20"/>
        <v>N/A</v>
      </c>
      <c r="J88" s="63" t="str">
        <f t="shared" ca="1" si="20"/>
        <v>N/A</v>
      </c>
      <c r="K88" s="63" t="str">
        <f t="shared" ca="1" si="20"/>
        <v>N/A</v>
      </c>
      <c r="L88" s="63" t="str">
        <f t="shared" ca="1" si="20"/>
        <v>N/A</v>
      </c>
      <c r="M88" s="63" t="str">
        <f t="shared" ca="1" si="20"/>
        <v>N/A</v>
      </c>
      <c r="N88" s="63" t="str">
        <f t="shared" ca="1" si="20"/>
        <v>N/A</v>
      </c>
      <c r="O88" s="63" t="str">
        <f t="shared" ca="1" si="20"/>
        <v>N/A</v>
      </c>
      <c r="P88" s="63" t="str">
        <f t="shared" ca="1" si="20"/>
        <v>N/A</v>
      </c>
      <c r="Q88" s="63" t="str">
        <f t="shared" ca="1" si="20"/>
        <v>N/A</v>
      </c>
      <c r="R88" s="63" t="str">
        <f t="shared" ca="1" si="20"/>
        <v>N/A</v>
      </c>
      <c r="S88" s="63" t="str">
        <f t="shared" ca="1" si="20"/>
        <v>N/A</v>
      </c>
    </row>
    <row r="89" spans="1:19" ht="14.25" hidden="1" customHeight="1" x14ac:dyDescent="0.2">
      <c r="A89" s="51">
        <f t="shared" si="14"/>
        <v>0</v>
      </c>
      <c r="B89" s="46" t="str">
        <f t="shared" ca="1" si="15"/>
        <v/>
      </c>
      <c r="C89" s="1" t="str">
        <f>IF(ISERROR(D89),"",IF(D89="","",MAX($C$66:C88)+1))</f>
        <v/>
      </c>
      <c r="D89" t="e">
        <f t="shared" si="16"/>
        <v>#N/A</v>
      </c>
      <c r="E89" s="22"/>
      <c r="F89" s="63" t="str">
        <f t="shared" ca="1" si="19"/>
        <v>N/A</v>
      </c>
      <c r="G89" s="63" t="str">
        <f t="shared" si="17"/>
        <v>N/A</v>
      </c>
      <c r="H89" s="63" t="str">
        <f ca="1">IFERROR(VLOOKUP($A89,LASTYR,'2017'!$L$3,FALSE),"N/A")</f>
        <v>N/A</v>
      </c>
      <c r="I89" s="63" t="str">
        <f t="shared" ca="1" si="20"/>
        <v>N/A</v>
      </c>
      <c r="J89" s="63" t="str">
        <f t="shared" ca="1" si="20"/>
        <v>N/A</v>
      </c>
      <c r="K89" s="63" t="str">
        <f t="shared" ca="1" si="20"/>
        <v>N/A</v>
      </c>
      <c r="L89" s="63" t="str">
        <f t="shared" ca="1" si="20"/>
        <v>N/A</v>
      </c>
      <c r="M89" s="63" t="str">
        <f t="shared" ca="1" si="20"/>
        <v>N/A</v>
      </c>
      <c r="N89" s="63" t="str">
        <f t="shared" ca="1" si="20"/>
        <v>N/A</v>
      </c>
      <c r="O89" s="63" t="str">
        <f t="shared" ca="1" si="20"/>
        <v>N/A</v>
      </c>
      <c r="P89" s="63" t="str">
        <f t="shared" ca="1" si="20"/>
        <v>N/A</v>
      </c>
      <c r="Q89" s="63" t="str">
        <f t="shared" ca="1" si="20"/>
        <v>N/A</v>
      </c>
      <c r="R89" s="63" t="str">
        <f t="shared" ca="1" si="20"/>
        <v>N/A</v>
      </c>
      <c r="S89" s="63" t="str">
        <f t="shared" ca="1" si="20"/>
        <v>N/A</v>
      </c>
    </row>
    <row r="90" spans="1:19" ht="14.25" hidden="1" customHeight="1" x14ac:dyDescent="0.2">
      <c r="A90" s="51">
        <f t="shared" si="14"/>
        <v>0</v>
      </c>
      <c r="B90" s="46" t="str">
        <f t="shared" ca="1" si="15"/>
        <v/>
      </c>
      <c r="C90" s="1" t="str">
        <f>IF(ISERROR(D90),"",IF(D90="","",MAX($C$66:C89)+1))</f>
        <v/>
      </c>
      <c r="D90" t="e">
        <f t="shared" si="16"/>
        <v>#N/A</v>
      </c>
      <c r="E90" s="22"/>
      <c r="F90" s="63" t="str">
        <f t="shared" ca="1" si="19"/>
        <v>N/A</v>
      </c>
      <c r="G90" s="63" t="str">
        <f t="shared" si="17"/>
        <v>N/A</v>
      </c>
      <c r="H90" s="63" t="str">
        <f ca="1">IFERROR(VLOOKUP($A90,LASTYR,'2017'!$L$3,FALSE),"N/A")</f>
        <v>N/A</v>
      </c>
      <c r="I90" s="63" t="str">
        <f t="shared" ca="1" si="20"/>
        <v>N/A</v>
      </c>
      <c r="J90" s="63" t="str">
        <f t="shared" ca="1" si="20"/>
        <v>N/A</v>
      </c>
      <c r="K90" s="63" t="str">
        <f t="shared" ca="1" si="20"/>
        <v>N/A</v>
      </c>
      <c r="L90" s="63" t="str">
        <f t="shared" ca="1" si="20"/>
        <v>N/A</v>
      </c>
      <c r="M90" s="63" t="str">
        <f t="shared" ca="1" si="20"/>
        <v>N/A</v>
      </c>
      <c r="N90" s="63" t="str">
        <f t="shared" ca="1" si="20"/>
        <v>N/A</v>
      </c>
      <c r="O90" s="63" t="str">
        <f t="shared" ca="1" si="20"/>
        <v>N/A</v>
      </c>
      <c r="P90" s="63" t="str">
        <f t="shared" ca="1" si="20"/>
        <v>N/A</v>
      </c>
      <c r="Q90" s="63" t="str">
        <f t="shared" ca="1" si="20"/>
        <v>N/A</v>
      </c>
      <c r="R90" s="63" t="str">
        <f t="shared" ca="1" si="20"/>
        <v>N/A</v>
      </c>
      <c r="S90" s="63" t="str">
        <f t="shared" ca="1" si="20"/>
        <v>N/A</v>
      </c>
    </row>
    <row r="91" spans="1:19" ht="14.25" hidden="1" customHeight="1" x14ac:dyDescent="0.2">
      <c r="A91" s="51">
        <f t="shared" si="14"/>
        <v>0</v>
      </c>
      <c r="B91" s="46" t="str">
        <f t="shared" ca="1" si="15"/>
        <v/>
      </c>
      <c r="C91" s="1" t="str">
        <f>IF(ISERROR(D91),"",IF(D91="","",MAX($C$66:C90)+1))</f>
        <v/>
      </c>
      <c r="D91" t="e">
        <f t="shared" si="16"/>
        <v>#N/A</v>
      </c>
      <c r="E91" s="22"/>
      <c r="F91" s="63" t="str">
        <f t="shared" ca="1" si="19"/>
        <v>N/A</v>
      </c>
      <c r="G91" s="63" t="str">
        <f t="shared" si="17"/>
        <v>N/A</v>
      </c>
      <c r="H91" s="63" t="str">
        <f ca="1">IFERROR(VLOOKUP($A91,LASTYR,'2017'!$L$3,FALSE),"N/A")</f>
        <v>N/A</v>
      </c>
      <c r="I91" s="63" t="str">
        <f t="shared" ca="1" si="20"/>
        <v>N/A</v>
      </c>
      <c r="J91" s="63" t="str">
        <f t="shared" ca="1" si="20"/>
        <v>N/A</v>
      </c>
      <c r="K91" s="63" t="str">
        <f t="shared" ca="1" si="20"/>
        <v>N/A</v>
      </c>
      <c r="L91" s="63" t="str">
        <f t="shared" ca="1" si="20"/>
        <v>N/A</v>
      </c>
      <c r="M91" s="63" t="str">
        <f t="shared" ca="1" si="20"/>
        <v>N/A</v>
      </c>
      <c r="N91" s="63" t="str">
        <f t="shared" ca="1" si="20"/>
        <v>N/A</v>
      </c>
      <c r="O91" s="63" t="str">
        <f t="shared" ca="1" si="20"/>
        <v>N/A</v>
      </c>
      <c r="P91" s="63" t="str">
        <f t="shared" ca="1" si="20"/>
        <v>N/A</v>
      </c>
      <c r="Q91" s="63" t="str">
        <f t="shared" ca="1" si="20"/>
        <v>N/A</v>
      </c>
      <c r="R91" s="63" t="str">
        <f t="shared" ca="1" si="20"/>
        <v>N/A</v>
      </c>
      <c r="S91" s="63" t="str">
        <f t="shared" ca="1" si="20"/>
        <v>N/A</v>
      </c>
    </row>
    <row r="92" spans="1:19" ht="14.25" hidden="1" customHeight="1" x14ac:dyDescent="0.2">
      <c r="A92" s="51">
        <f t="shared" si="14"/>
        <v>0</v>
      </c>
      <c r="B92" s="46" t="str">
        <f t="shared" ca="1" si="15"/>
        <v/>
      </c>
      <c r="C92" s="1" t="str">
        <f>IF(ISERROR(D92),"",IF(D92="","",MAX($C$66:C91)+1))</f>
        <v/>
      </c>
      <c r="D92" t="e">
        <f t="shared" si="16"/>
        <v>#N/A</v>
      </c>
      <c r="E92" s="22"/>
      <c r="F92" s="63" t="str">
        <f t="shared" ca="1" si="19"/>
        <v>N/A</v>
      </c>
      <c r="G92" s="63" t="str">
        <f t="shared" si="17"/>
        <v>N/A</v>
      </c>
      <c r="H92" s="63" t="str">
        <f ca="1">IFERROR(VLOOKUP($A92,LASTYR,'2017'!$L$3,FALSE),"N/A")</f>
        <v>N/A</v>
      </c>
      <c r="I92" s="63" t="str">
        <f t="shared" ca="1" si="20"/>
        <v>N/A</v>
      </c>
      <c r="J92" s="63" t="str">
        <f t="shared" ca="1" si="20"/>
        <v>N/A</v>
      </c>
      <c r="K92" s="63" t="str">
        <f t="shared" ca="1" si="20"/>
        <v>N/A</v>
      </c>
      <c r="L92" s="63" t="str">
        <f t="shared" ca="1" si="20"/>
        <v>N/A</v>
      </c>
      <c r="M92" s="63" t="str">
        <f t="shared" ca="1" si="20"/>
        <v>N/A</v>
      </c>
      <c r="N92" s="63" t="str">
        <f t="shared" ca="1" si="20"/>
        <v>N/A</v>
      </c>
      <c r="O92" s="63" t="str">
        <f t="shared" ca="1" si="20"/>
        <v>N/A</v>
      </c>
      <c r="P92" s="63" t="str">
        <f t="shared" ca="1" si="20"/>
        <v>N/A</v>
      </c>
      <c r="Q92" s="63" t="str">
        <f t="shared" ca="1" si="20"/>
        <v>N/A</v>
      </c>
      <c r="R92" s="63" t="str">
        <f t="shared" ca="1" si="20"/>
        <v>N/A</v>
      </c>
      <c r="S92" s="63" t="str">
        <f t="shared" ca="1" si="20"/>
        <v>N/A</v>
      </c>
    </row>
    <row r="93" spans="1:19" ht="14.25" hidden="1" customHeight="1" x14ac:dyDescent="0.2">
      <c r="A93" s="51">
        <f t="shared" si="14"/>
        <v>0</v>
      </c>
      <c r="B93" s="46" t="str">
        <f t="shared" ca="1" si="15"/>
        <v/>
      </c>
      <c r="C93" s="1" t="str">
        <f>IF(ISERROR(D93),"",IF(D93="","",MAX($C$66:C92)+1))</f>
        <v/>
      </c>
      <c r="D93" t="e">
        <f t="shared" si="16"/>
        <v>#N/A</v>
      </c>
      <c r="E93" s="22"/>
      <c r="F93" s="63" t="str">
        <f t="shared" ca="1" si="19"/>
        <v>N/A</v>
      </c>
      <c r="G93" s="63" t="str">
        <f t="shared" si="17"/>
        <v>N/A</v>
      </c>
      <c r="H93" s="63" t="str">
        <f ca="1">IFERROR(VLOOKUP($A93,LASTYR,'2017'!$L$3,FALSE),"N/A")</f>
        <v>N/A</v>
      </c>
      <c r="I93" s="63" t="str">
        <f t="shared" ca="1" si="20"/>
        <v>N/A</v>
      </c>
      <c r="J93" s="63" t="str">
        <f t="shared" ca="1" si="20"/>
        <v>N/A</v>
      </c>
      <c r="K93" s="63" t="str">
        <f t="shared" ca="1" si="20"/>
        <v>N/A</v>
      </c>
      <c r="L93" s="63" t="str">
        <f t="shared" ca="1" si="20"/>
        <v>N/A</v>
      </c>
      <c r="M93" s="63" t="str">
        <f t="shared" ca="1" si="20"/>
        <v>N/A</v>
      </c>
      <c r="N93" s="63" t="str">
        <f t="shared" ca="1" si="20"/>
        <v>N/A</v>
      </c>
      <c r="O93" s="63" t="str">
        <f t="shared" ca="1" si="20"/>
        <v>N/A</v>
      </c>
      <c r="P93" s="63" t="str">
        <f t="shared" ca="1" si="20"/>
        <v>N/A</v>
      </c>
      <c r="Q93" s="63" t="str">
        <f t="shared" ca="1" si="20"/>
        <v>N/A</v>
      </c>
      <c r="R93" s="63" t="str">
        <f t="shared" ca="1" si="20"/>
        <v>N/A</v>
      </c>
      <c r="S93" s="63" t="str">
        <f t="shared" ca="1" si="20"/>
        <v>N/A</v>
      </c>
    </row>
    <row r="94" spans="1:19" ht="14.25" hidden="1" customHeight="1" x14ac:dyDescent="0.2">
      <c r="A94" s="51">
        <f t="shared" si="14"/>
        <v>0</v>
      </c>
      <c r="B94" s="46" t="str">
        <f t="shared" ca="1" si="15"/>
        <v/>
      </c>
      <c r="C94" s="1" t="str">
        <f>IF(ISERROR(D94),"",IF(D94="","",MAX($C$66:C93)+1))</f>
        <v/>
      </c>
      <c r="D94" t="e">
        <f t="shared" si="16"/>
        <v>#N/A</v>
      </c>
      <c r="E94" s="22"/>
      <c r="F94" s="63" t="str">
        <f t="shared" ca="1" si="19"/>
        <v>N/A</v>
      </c>
      <c r="G94" s="63" t="str">
        <f t="shared" si="17"/>
        <v>N/A</v>
      </c>
      <c r="H94" s="63" t="str">
        <f ca="1">IFERROR(VLOOKUP($A94,LASTYR,'2017'!$L$3,FALSE),"N/A")</f>
        <v>N/A</v>
      </c>
      <c r="I94" s="63" t="str">
        <f t="shared" ca="1" si="20"/>
        <v>N/A</v>
      </c>
      <c r="J94" s="63" t="str">
        <f t="shared" ca="1" si="20"/>
        <v>N/A</v>
      </c>
      <c r="K94" s="63" t="str">
        <f t="shared" ca="1" si="20"/>
        <v>N/A</v>
      </c>
      <c r="L94" s="63" t="str">
        <f t="shared" ca="1" si="20"/>
        <v>N/A</v>
      </c>
      <c r="M94" s="63" t="str">
        <f t="shared" ca="1" si="20"/>
        <v>N/A</v>
      </c>
      <c r="N94" s="63" t="str">
        <f t="shared" ca="1" si="20"/>
        <v>N/A</v>
      </c>
      <c r="O94" s="63" t="str">
        <f t="shared" ca="1" si="20"/>
        <v>N/A</v>
      </c>
      <c r="P94" s="63" t="str">
        <f t="shared" ca="1" si="20"/>
        <v>N/A</v>
      </c>
      <c r="Q94" s="63" t="str">
        <f t="shared" ca="1" si="20"/>
        <v>N/A</v>
      </c>
      <c r="R94" s="63" t="str">
        <f t="shared" ca="1" si="20"/>
        <v>N/A</v>
      </c>
      <c r="S94" s="63" t="str">
        <f t="shared" ca="1" si="20"/>
        <v>N/A</v>
      </c>
    </row>
    <row r="95" spans="1:19" ht="14.25" hidden="1" customHeight="1" x14ac:dyDescent="0.2">
      <c r="A95" s="51">
        <f t="shared" si="14"/>
        <v>0</v>
      </c>
      <c r="B95" s="46" t="str">
        <f t="shared" ca="1" si="15"/>
        <v/>
      </c>
      <c r="C95" s="1" t="str">
        <f>IF(ISERROR(D95),"",IF(D95="","",MAX($C$66:C94)+1))</f>
        <v/>
      </c>
      <c r="D95" t="e">
        <f t="shared" si="16"/>
        <v>#N/A</v>
      </c>
      <c r="E95" s="22"/>
      <c r="F95" s="63" t="str">
        <f t="shared" ca="1" si="19"/>
        <v>N/A</v>
      </c>
      <c r="G95" s="63" t="str">
        <f t="shared" si="17"/>
        <v>N/A</v>
      </c>
      <c r="H95" s="63" t="str">
        <f ca="1">IFERROR(VLOOKUP($A95,LASTYR,'2017'!$L$3,FALSE),"N/A")</f>
        <v>N/A</v>
      </c>
      <c r="I95" s="63" t="str">
        <f t="shared" ca="1" si="20"/>
        <v>N/A</v>
      </c>
      <c r="J95" s="63" t="str">
        <f t="shared" ca="1" si="20"/>
        <v>N/A</v>
      </c>
      <c r="K95" s="63" t="str">
        <f t="shared" ca="1" si="20"/>
        <v>N/A</v>
      </c>
      <c r="L95" s="63" t="str">
        <f t="shared" ca="1" si="20"/>
        <v>N/A</v>
      </c>
      <c r="M95" s="63" t="str">
        <f t="shared" ca="1" si="20"/>
        <v>N/A</v>
      </c>
      <c r="N95" s="63" t="str">
        <f t="shared" ca="1" si="20"/>
        <v>N/A</v>
      </c>
      <c r="O95" s="63" t="str">
        <f t="shared" ca="1" si="20"/>
        <v>N/A</v>
      </c>
      <c r="P95" s="63" t="str">
        <f t="shared" ca="1" si="20"/>
        <v>N/A</v>
      </c>
      <c r="Q95" s="63" t="str">
        <f t="shared" ca="1" si="20"/>
        <v>N/A</v>
      </c>
      <c r="R95" s="63" t="str">
        <f t="shared" ca="1" si="20"/>
        <v>N/A</v>
      </c>
      <c r="S95" s="63" t="str">
        <f t="shared" ca="1" si="20"/>
        <v>N/A</v>
      </c>
    </row>
    <row r="96" spans="1:19" ht="14.25" hidden="1" customHeight="1" x14ac:dyDescent="0.2">
      <c r="A96" s="51">
        <f t="shared" si="14"/>
        <v>0</v>
      </c>
      <c r="B96" s="46" t="str">
        <f t="shared" ca="1" si="15"/>
        <v/>
      </c>
      <c r="C96" s="1" t="str">
        <f>IF(ISERROR(D96),"",IF(D96="","",MAX($C$66:C95)+1))</f>
        <v/>
      </c>
      <c r="D96" t="e">
        <f t="shared" si="16"/>
        <v>#N/A</v>
      </c>
      <c r="E96" s="22"/>
      <c r="F96" s="63" t="str">
        <f t="shared" ca="1" si="19"/>
        <v>N/A</v>
      </c>
      <c r="G96" s="63" t="str">
        <f t="shared" si="17"/>
        <v>N/A</v>
      </c>
      <c r="H96" s="63" t="str">
        <f ca="1">IFERROR(VLOOKUP($A96,LASTYR,'2017'!$L$3,FALSE),"N/A")</f>
        <v>N/A</v>
      </c>
      <c r="I96" s="63" t="str">
        <f t="shared" ca="1" si="20"/>
        <v>N/A</v>
      </c>
      <c r="J96" s="63" t="str">
        <f t="shared" ca="1" si="20"/>
        <v>N/A</v>
      </c>
      <c r="K96" s="63" t="str">
        <f t="shared" ca="1" si="20"/>
        <v>N/A</v>
      </c>
      <c r="L96" s="63" t="str">
        <f t="shared" ca="1" si="20"/>
        <v>N/A</v>
      </c>
      <c r="M96" s="63" t="str">
        <f t="shared" ca="1" si="20"/>
        <v>N/A</v>
      </c>
      <c r="N96" s="63" t="str">
        <f t="shared" ca="1" si="20"/>
        <v>N/A</v>
      </c>
      <c r="O96" s="63" t="str">
        <f t="shared" ca="1" si="20"/>
        <v>N/A</v>
      </c>
      <c r="P96" s="63" t="str">
        <f t="shared" ca="1" si="20"/>
        <v>N/A</v>
      </c>
      <c r="Q96" s="63" t="str">
        <f t="shared" ca="1" si="20"/>
        <v>N/A</v>
      </c>
      <c r="R96" s="63" t="str">
        <f t="shared" ca="1" si="20"/>
        <v>N/A</v>
      </c>
      <c r="S96" s="63" t="str">
        <f t="shared" ca="1" si="20"/>
        <v>N/A</v>
      </c>
    </row>
    <row r="97" spans="1:19" ht="14.25" hidden="1" customHeight="1" x14ac:dyDescent="0.2">
      <c r="A97" s="51">
        <f t="shared" si="14"/>
        <v>0</v>
      </c>
      <c r="B97" s="46" t="str">
        <f t="shared" ca="1" si="15"/>
        <v/>
      </c>
      <c r="C97" s="1" t="str">
        <f>IF(ISERROR(D97),"",IF(D97="","",MAX($C$66:C96)+1))</f>
        <v/>
      </c>
      <c r="D97" t="e">
        <f t="shared" si="16"/>
        <v>#N/A</v>
      </c>
      <c r="E97" s="22"/>
      <c r="F97" s="63" t="str">
        <f t="shared" ca="1" si="19"/>
        <v>N/A</v>
      </c>
      <c r="G97" s="63" t="str">
        <f t="shared" si="17"/>
        <v>N/A</v>
      </c>
      <c r="H97" s="63" t="str">
        <f ca="1">IFERROR(VLOOKUP($A97,LASTYR,'2017'!$L$3,FALSE),"N/A")</f>
        <v>N/A</v>
      </c>
      <c r="I97" s="63" t="str">
        <f t="shared" ca="1" si="20"/>
        <v>N/A</v>
      </c>
      <c r="J97" s="63" t="str">
        <f t="shared" ca="1" si="20"/>
        <v>N/A</v>
      </c>
      <c r="K97" s="63" t="str">
        <f t="shared" ca="1" si="20"/>
        <v>N/A</v>
      </c>
      <c r="L97" s="63" t="str">
        <f t="shared" ca="1" si="20"/>
        <v>N/A</v>
      </c>
      <c r="M97" s="63" t="str">
        <f t="shared" ca="1" si="20"/>
        <v>N/A</v>
      </c>
      <c r="N97" s="63" t="str">
        <f t="shared" ca="1" si="20"/>
        <v>N/A</v>
      </c>
      <c r="O97" s="63" t="str">
        <f t="shared" ca="1" si="20"/>
        <v>N/A</v>
      </c>
      <c r="P97" s="63" t="str">
        <f t="shared" ca="1" si="20"/>
        <v>N/A</v>
      </c>
      <c r="Q97" s="63" t="str">
        <f t="shared" ca="1" si="20"/>
        <v>N/A</v>
      </c>
      <c r="R97" s="63" t="str">
        <f t="shared" ca="1" si="20"/>
        <v>N/A</v>
      </c>
      <c r="S97" s="63" t="str">
        <f t="shared" ca="1" si="20"/>
        <v>N/A</v>
      </c>
    </row>
    <row r="98" spans="1:19" ht="14.25" hidden="1" customHeight="1" x14ac:dyDescent="0.2">
      <c r="A98" s="51">
        <f t="shared" si="14"/>
        <v>0</v>
      </c>
      <c r="B98" s="46" t="str">
        <f t="shared" ca="1" si="15"/>
        <v/>
      </c>
      <c r="C98" s="1" t="str">
        <f>IF(ISERROR(D98),"",IF(D98="","",MAX($C$66:C97)+1))</f>
        <v/>
      </c>
      <c r="D98" t="e">
        <f t="shared" si="16"/>
        <v>#N/A</v>
      </c>
      <c r="E98" s="22"/>
      <c r="F98" s="63" t="str">
        <f t="shared" ca="1" si="19"/>
        <v>N/A</v>
      </c>
      <c r="G98" s="63" t="str">
        <f t="shared" si="17"/>
        <v>N/A</v>
      </c>
      <c r="H98" s="63" t="str">
        <f ca="1">IFERROR(VLOOKUP($A98,LASTYR,'2017'!$L$3,FALSE),"N/A")</f>
        <v>N/A</v>
      </c>
      <c r="I98" s="63" t="str">
        <f t="shared" ca="1" si="20"/>
        <v>N/A</v>
      </c>
      <c r="J98" s="63" t="str">
        <f t="shared" ca="1" si="20"/>
        <v>N/A</v>
      </c>
      <c r="K98" s="63" t="str">
        <f t="shared" ca="1" si="20"/>
        <v>N/A</v>
      </c>
      <c r="L98" s="63" t="str">
        <f t="shared" ca="1" si="20"/>
        <v>N/A</v>
      </c>
      <c r="M98" s="63" t="str">
        <f t="shared" ca="1" si="20"/>
        <v>N/A</v>
      </c>
      <c r="N98" s="63" t="str">
        <f t="shared" ca="1" si="20"/>
        <v>N/A</v>
      </c>
      <c r="O98" s="63" t="str">
        <f t="shared" ca="1" si="20"/>
        <v>N/A</v>
      </c>
      <c r="P98" s="63" t="str">
        <f t="shared" ca="1" si="20"/>
        <v>N/A</v>
      </c>
      <c r="Q98" s="63" t="str">
        <f t="shared" ca="1" si="20"/>
        <v>N/A</v>
      </c>
      <c r="R98" s="63" t="str">
        <f t="shared" ca="1" si="20"/>
        <v>N/A</v>
      </c>
      <c r="S98" s="63" t="str">
        <f t="shared" ca="1" si="20"/>
        <v>N/A</v>
      </c>
    </row>
    <row r="99" spans="1:19" ht="14.25" hidden="1" customHeight="1" x14ac:dyDescent="0.2">
      <c r="A99" s="51">
        <f t="shared" si="14"/>
        <v>0</v>
      </c>
      <c r="B99" s="46" t="str">
        <f t="shared" ca="1" si="15"/>
        <v/>
      </c>
      <c r="C99" s="1" t="str">
        <f>IF(ISERROR(D99),"",IF(D99="","",MAX($C$66:C98)+1))</f>
        <v/>
      </c>
      <c r="D99" t="e">
        <f t="shared" si="16"/>
        <v>#N/A</v>
      </c>
      <c r="E99" s="22"/>
      <c r="F99" s="63" t="str">
        <f t="shared" ca="1" si="19"/>
        <v>N/A</v>
      </c>
      <c r="G99" s="63" t="str">
        <f t="shared" si="17"/>
        <v>N/A</v>
      </c>
      <c r="H99" s="63" t="str">
        <f ca="1">IFERROR(VLOOKUP($A99,LASTYR,'2017'!$L$3,FALSE),"N/A")</f>
        <v>N/A</v>
      </c>
      <c r="I99" s="63" t="str">
        <f t="shared" ca="1" si="20"/>
        <v>N/A</v>
      </c>
      <c r="J99" s="63" t="str">
        <f t="shared" ca="1" si="20"/>
        <v>N/A</v>
      </c>
      <c r="K99" s="63" t="str">
        <f t="shared" ca="1" si="20"/>
        <v>N/A</v>
      </c>
      <c r="L99" s="63" t="str">
        <f t="shared" ca="1" si="20"/>
        <v>N/A</v>
      </c>
      <c r="M99" s="63" t="str">
        <f t="shared" ca="1" si="20"/>
        <v>N/A</v>
      </c>
      <c r="N99" s="63" t="str">
        <f t="shared" ca="1" si="20"/>
        <v>N/A</v>
      </c>
      <c r="O99" s="63" t="str">
        <f t="shared" ca="1" si="20"/>
        <v>N/A</v>
      </c>
      <c r="P99" s="63" t="str">
        <f t="shared" ca="1" si="20"/>
        <v>N/A</v>
      </c>
      <c r="Q99" s="63" t="str">
        <f t="shared" ca="1" si="20"/>
        <v>N/A</v>
      </c>
      <c r="R99" s="63" t="str">
        <f t="shared" ca="1" si="20"/>
        <v>N/A</v>
      </c>
      <c r="S99" s="63" t="str">
        <f t="shared" ca="1" si="20"/>
        <v>N/A</v>
      </c>
    </row>
    <row r="100" spans="1:19" ht="14.25" hidden="1" customHeight="1" x14ac:dyDescent="0.2">
      <c r="A100" s="51">
        <f t="shared" si="14"/>
        <v>0</v>
      </c>
      <c r="B100" s="46" t="str">
        <f t="shared" ca="1" si="15"/>
        <v/>
      </c>
      <c r="C100" s="1" t="str">
        <f>IF(ISERROR(D100),"",IF(D100="","",MAX($C$66:C99)+1))</f>
        <v/>
      </c>
      <c r="D100" t="e">
        <f t="shared" si="16"/>
        <v>#N/A</v>
      </c>
      <c r="E100" s="22"/>
      <c r="F100" s="63" t="str">
        <f t="shared" ca="1" si="19"/>
        <v>N/A</v>
      </c>
      <c r="G100" s="63" t="str">
        <f t="shared" si="17"/>
        <v>N/A</v>
      </c>
      <c r="H100" s="63" t="str">
        <f ca="1">IFERROR(VLOOKUP($A100,LASTYR,'2017'!$L$3,FALSE),"N/A")</f>
        <v>N/A</v>
      </c>
      <c r="I100" s="63" t="str">
        <f t="shared" ca="1" si="20"/>
        <v>N/A</v>
      </c>
      <c r="J100" s="63" t="str">
        <f t="shared" ca="1" si="20"/>
        <v>N/A</v>
      </c>
      <c r="K100" s="63" t="str">
        <f t="shared" ca="1" si="20"/>
        <v>N/A</v>
      </c>
      <c r="L100" s="63" t="str">
        <f t="shared" ca="1" si="20"/>
        <v>N/A</v>
      </c>
      <c r="M100" s="63" t="str">
        <f t="shared" ca="1" si="20"/>
        <v>N/A</v>
      </c>
      <c r="N100" s="63" t="str">
        <f t="shared" ca="1" si="20"/>
        <v>N/A</v>
      </c>
      <c r="O100" s="63" t="str">
        <f t="shared" ca="1" si="20"/>
        <v>N/A</v>
      </c>
      <c r="P100" s="63" t="str">
        <f t="shared" ca="1" si="20"/>
        <v>N/A</v>
      </c>
      <c r="Q100" s="63" t="str">
        <f t="shared" ca="1" si="20"/>
        <v>N/A</v>
      </c>
      <c r="R100" s="63" t="str">
        <f t="shared" ca="1" si="20"/>
        <v>N/A</v>
      </c>
      <c r="S100" s="63" t="str">
        <f t="shared" ca="1" si="20"/>
        <v>N/A</v>
      </c>
    </row>
    <row r="101" spans="1:19" ht="14.25" hidden="1" customHeight="1" x14ac:dyDescent="0.2">
      <c r="A101" s="51">
        <f t="shared" si="14"/>
        <v>0</v>
      </c>
      <c r="B101" s="46" t="str">
        <f t="shared" ca="1" si="15"/>
        <v/>
      </c>
      <c r="C101" s="1" t="str">
        <f>IF(ISERROR(D101),"",IF(D101="","",MAX($C$66:C100)+1))</f>
        <v/>
      </c>
      <c r="D101" t="e">
        <f t="shared" si="16"/>
        <v>#N/A</v>
      </c>
      <c r="E101" s="22"/>
      <c r="F101" s="63" t="str">
        <f t="shared" ca="1" si="19"/>
        <v>N/A</v>
      </c>
      <c r="G101" s="63" t="str">
        <f t="shared" si="17"/>
        <v>N/A</v>
      </c>
      <c r="H101" s="63" t="str">
        <f ca="1">IFERROR(VLOOKUP($A101,LASTYR,'2017'!$L$3,FALSE),"N/A")</f>
        <v>N/A</v>
      </c>
      <c r="I101" s="63" t="str">
        <f t="shared" ref="I101:S112" ca="1" si="21">IFERROR(IF(INDEX(MP_CF_WP,$B101,I$67)=0,"N/A",INDEX(MP_CF_WP,$B101,I$67)),"N/A")</f>
        <v>N/A</v>
      </c>
      <c r="J101" s="63" t="str">
        <f t="shared" ca="1" si="21"/>
        <v>N/A</v>
      </c>
      <c r="K101" s="63" t="str">
        <f t="shared" ca="1" si="21"/>
        <v>N/A</v>
      </c>
      <c r="L101" s="63" t="str">
        <f t="shared" ca="1" si="21"/>
        <v>N/A</v>
      </c>
      <c r="M101" s="63" t="str">
        <f t="shared" ca="1" si="21"/>
        <v>N/A</v>
      </c>
      <c r="N101" s="63" t="str">
        <f t="shared" ca="1" si="21"/>
        <v>N/A</v>
      </c>
      <c r="O101" s="63" t="str">
        <f t="shared" ca="1" si="21"/>
        <v>N/A</v>
      </c>
      <c r="P101" s="63" t="str">
        <f t="shared" ca="1" si="21"/>
        <v>N/A</v>
      </c>
      <c r="Q101" s="63" t="str">
        <f t="shared" ca="1" si="21"/>
        <v>N/A</v>
      </c>
      <c r="R101" s="63" t="str">
        <f t="shared" ca="1" si="21"/>
        <v>N/A</v>
      </c>
      <c r="S101" s="63" t="str">
        <f t="shared" ca="1" si="21"/>
        <v>N/A</v>
      </c>
    </row>
    <row r="102" spans="1:19" ht="14.25" hidden="1" customHeight="1" x14ac:dyDescent="0.2">
      <c r="A102" s="51">
        <f t="shared" si="14"/>
        <v>0</v>
      </c>
      <c r="B102" s="46" t="str">
        <f t="shared" ca="1" si="15"/>
        <v/>
      </c>
      <c r="C102" s="1" t="str">
        <f>IF(ISERROR(D102),"",IF(D102="","",MAX($C$66:C101)+1))</f>
        <v/>
      </c>
      <c r="D102" t="e">
        <f t="shared" si="16"/>
        <v>#N/A</v>
      </c>
      <c r="E102" s="22"/>
      <c r="F102" s="63" t="str">
        <f t="shared" ca="1" si="19"/>
        <v>N/A</v>
      </c>
      <c r="G102" s="63" t="str">
        <f t="shared" si="17"/>
        <v>N/A</v>
      </c>
      <c r="H102" s="63" t="str">
        <f ca="1">IFERROR(VLOOKUP($A102,LASTYR,'2017'!$L$3,FALSE),"N/A")</f>
        <v>N/A</v>
      </c>
      <c r="I102" s="63" t="str">
        <f t="shared" ca="1" si="21"/>
        <v>N/A</v>
      </c>
      <c r="J102" s="63" t="str">
        <f t="shared" ca="1" si="21"/>
        <v>N/A</v>
      </c>
      <c r="K102" s="63" t="str">
        <f t="shared" ca="1" si="21"/>
        <v>N/A</v>
      </c>
      <c r="L102" s="63" t="str">
        <f t="shared" ca="1" si="21"/>
        <v>N/A</v>
      </c>
      <c r="M102" s="63" t="str">
        <f t="shared" ca="1" si="21"/>
        <v>N/A</v>
      </c>
      <c r="N102" s="63" t="str">
        <f t="shared" ca="1" si="21"/>
        <v>N/A</v>
      </c>
      <c r="O102" s="63" t="str">
        <f t="shared" ca="1" si="21"/>
        <v>N/A</v>
      </c>
      <c r="P102" s="63" t="str">
        <f t="shared" ca="1" si="21"/>
        <v>N/A</v>
      </c>
      <c r="Q102" s="63" t="str">
        <f t="shared" ca="1" si="21"/>
        <v>N/A</v>
      </c>
      <c r="R102" s="63" t="str">
        <f t="shared" ca="1" si="21"/>
        <v>N/A</v>
      </c>
      <c r="S102" s="63" t="str">
        <f t="shared" ca="1" si="21"/>
        <v>N/A</v>
      </c>
    </row>
    <row r="103" spans="1:19" ht="14.25" hidden="1" customHeight="1" x14ac:dyDescent="0.2">
      <c r="A103" s="51">
        <f t="shared" si="14"/>
        <v>0</v>
      </c>
      <c r="B103" s="46" t="str">
        <f t="shared" ca="1" si="15"/>
        <v/>
      </c>
      <c r="C103" s="1" t="str">
        <f>IF(ISERROR(D103),"",IF(D103="","",MAX($C$66:C102)+1))</f>
        <v/>
      </c>
      <c r="D103" t="e">
        <f t="shared" si="16"/>
        <v>#N/A</v>
      </c>
      <c r="E103" s="22"/>
      <c r="F103" s="63" t="str">
        <f t="shared" ca="1" si="19"/>
        <v>N/A</v>
      </c>
      <c r="G103" s="63" t="str">
        <f t="shared" si="17"/>
        <v>N/A</v>
      </c>
      <c r="H103" s="63" t="str">
        <f ca="1">IFERROR(VLOOKUP($A103,LASTYR,'2017'!$L$3,FALSE),"N/A")</f>
        <v>N/A</v>
      </c>
      <c r="I103" s="63" t="str">
        <f t="shared" ca="1" si="21"/>
        <v>N/A</v>
      </c>
      <c r="J103" s="63" t="str">
        <f t="shared" ca="1" si="21"/>
        <v>N/A</v>
      </c>
      <c r="K103" s="63" t="str">
        <f t="shared" ca="1" si="21"/>
        <v>N/A</v>
      </c>
      <c r="L103" s="63" t="str">
        <f t="shared" ca="1" si="21"/>
        <v>N/A</v>
      </c>
      <c r="M103" s="63" t="str">
        <f t="shared" ca="1" si="21"/>
        <v>N/A</v>
      </c>
      <c r="N103" s="63" t="str">
        <f t="shared" ca="1" si="21"/>
        <v>N/A</v>
      </c>
      <c r="O103" s="63" t="str">
        <f t="shared" ca="1" si="21"/>
        <v>N/A</v>
      </c>
      <c r="P103" s="63" t="str">
        <f t="shared" ca="1" si="21"/>
        <v>N/A</v>
      </c>
      <c r="Q103" s="63" t="str">
        <f t="shared" ca="1" si="21"/>
        <v>N/A</v>
      </c>
      <c r="R103" s="63" t="str">
        <f t="shared" ca="1" si="21"/>
        <v>N/A</v>
      </c>
      <c r="S103" s="63" t="str">
        <f t="shared" ca="1" si="21"/>
        <v>N/A</v>
      </c>
    </row>
    <row r="104" spans="1:19" ht="14.25" hidden="1" customHeight="1" x14ac:dyDescent="0.2">
      <c r="A104" s="51">
        <f t="shared" si="14"/>
        <v>0</v>
      </c>
      <c r="B104" s="46" t="str">
        <f t="shared" ca="1" si="15"/>
        <v/>
      </c>
      <c r="C104" s="1" t="str">
        <f>IF(ISERROR(D104),"",IF(D104="","",MAX($C$66:C103)+1))</f>
        <v/>
      </c>
      <c r="D104" t="e">
        <f t="shared" si="16"/>
        <v>#N/A</v>
      </c>
      <c r="E104" s="22"/>
      <c r="F104" s="63" t="str">
        <f t="shared" ca="1" si="19"/>
        <v>N/A</v>
      </c>
      <c r="G104" s="63" t="str">
        <f t="shared" si="17"/>
        <v>N/A</v>
      </c>
      <c r="H104" s="63" t="str">
        <f ca="1">IFERROR(VLOOKUP($A104,LASTYR,'2017'!$L$3,FALSE),"N/A")</f>
        <v>N/A</v>
      </c>
      <c r="I104" s="63" t="str">
        <f t="shared" ca="1" si="21"/>
        <v>N/A</v>
      </c>
      <c r="J104" s="63" t="str">
        <f t="shared" ca="1" si="21"/>
        <v>N/A</v>
      </c>
      <c r="K104" s="63" t="str">
        <f t="shared" ca="1" si="21"/>
        <v>N/A</v>
      </c>
      <c r="L104" s="63" t="str">
        <f t="shared" ca="1" si="21"/>
        <v>N/A</v>
      </c>
      <c r="M104" s="63" t="str">
        <f t="shared" ca="1" si="21"/>
        <v>N/A</v>
      </c>
      <c r="N104" s="63" t="str">
        <f t="shared" ca="1" si="21"/>
        <v>N/A</v>
      </c>
      <c r="O104" s="63" t="str">
        <f t="shared" ca="1" si="21"/>
        <v>N/A</v>
      </c>
      <c r="P104" s="63" t="str">
        <f t="shared" ca="1" si="21"/>
        <v>N/A</v>
      </c>
      <c r="Q104" s="63" t="str">
        <f t="shared" ca="1" si="21"/>
        <v>N/A</v>
      </c>
      <c r="R104" s="63" t="str">
        <f t="shared" ca="1" si="21"/>
        <v>N/A</v>
      </c>
      <c r="S104" s="63" t="str">
        <f t="shared" ca="1" si="21"/>
        <v>N/A</v>
      </c>
    </row>
    <row r="105" spans="1:19" ht="14.25" hidden="1" customHeight="1" x14ac:dyDescent="0.2">
      <c r="A105" s="51">
        <f t="shared" si="14"/>
        <v>0</v>
      </c>
      <c r="B105" s="46" t="str">
        <f t="shared" ca="1" si="15"/>
        <v/>
      </c>
      <c r="C105" s="1" t="str">
        <f>IF(ISERROR(D105),"",IF(D105="","",MAX($C$66:C104)+1))</f>
        <v/>
      </c>
      <c r="D105" t="e">
        <f t="shared" si="16"/>
        <v>#N/A</v>
      </c>
      <c r="E105" s="22"/>
      <c r="F105" s="63" t="str">
        <f t="shared" ca="1" si="19"/>
        <v>N/A</v>
      </c>
      <c r="G105" s="63" t="str">
        <f t="shared" si="17"/>
        <v>N/A</v>
      </c>
      <c r="H105" s="63" t="str">
        <f ca="1">IFERROR(VLOOKUP($A105,LASTYR,'2017'!$L$3,FALSE),"N/A")</f>
        <v>N/A</v>
      </c>
      <c r="I105" s="63" t="str">
        <f t="shared" ca="1" si="21"/>
        <v>N/A</v>
      </c>
      <c r="J105" s="63" t="str">
        <f t="shared" ca="1" si="21"/>
        <v>N/A</v>
      </c>
      <c r="K105" s="63" t="str">
        <f t="shared" ca="1" si="21"/>
        <v>N/A</v>
      </c>
      <c r="L105" s="63" t="str">
        <f t="shared" ca="1" si="21"/>
        <v>N/A</v>
      </c>
      <c r="M105" s="63" t="str">
        <f t="shared" ca="1" si="21"/>
        <v>N/A</v>
      </c>
      <c r="N105" s="63" t="str">
        <f t="shared" ca="1" si="21"/>
        <v>N/A</v>
      </c>
      <c r="O105" s="63" t="str">
        <f t="shared" ca="1" si="21"/>
        <v>N/A</v>
      </c>
      <c r="P105" s="63" t="str">
        <f t="shared" ca="1" si="21"/>
        <v>N/A</v>
      </c>
      <c r="Q105" s="63" t="str">
        <f t="shared" ca="1" si="21"/>
        <v>N/A</v>
      </c>
      <c r="R105" s="63" t="str">
        <f t="shared" ca="1" si="21"/>
        <v>N/A</v>
      </c>
      <c r="S105" s="63" t="str">
        <f t="shared" ca="1" si="21"/>
        <v>N/A</v>
      </c>
    </row>
    <row r="106" spans="1:19" ht="14.25" hidden="1" customHeight="1" x14ac:dyDescent="0.2">
      <c r="A106" s="51">
        <f t="shared" si="14"/>
        <v>0</v>
      </c>
      <c r="B106" s="46" t="str">
        <f t="shared" ca="1" si="15"/>
        <v/>
      </c>
      <c r="C106" s="1" t="str">
        <f>IF(ISERROR(D106),"",IF(D106="","",MAX($C$66:C105)+1))</f>
        <v/>
      </c>
      <c r="D106" t="e">
        <f t="shared" si="16"/>
        <v>#N/A</v>
      </c>
      <c r="E106" s="22"/>
      <c r="F106" s="63" t="str">
        <f t="shared" ca="1" si="19"/>
        <v>N/A</v>
      </c>
      <c r="G106" s="63" t="str">
        <f t="shared" si="17"/>
        <v>N/A</v>
      </c>
      <c r="H106" s="63" t="str">
        <f ca="1">IFERROR(VLOOKUP($A106,LASTYR,'2017'!$L$3,FALSE),"N/A")</f>
        <v>N/A</v>
      </c>
      <c r="I106" s="63" t="str">
        <f t="shared" ca="1" si="21"/>
        <v>N/A</v>
      </c>
      <c r="J106" s="63" t="str">
        <f t="shared" ca="1" si="21"/>
        <v>N/A</v>
      </c>
      <c r="K106" s="63" t="str">
        <f t="shared" ca="1" si="21"/>
        <v>N/A</v>
      </c>
      <c r="L106" s="63" t="str">
        <f t="shared" ca="1" si="21"/>
        <v>N/A</v>
      </c>
      <c r="M106" s="63" t="str">
        <f t="shared" ca="1" si="21"/>
        <v>N/A</v>
      </c>
      <c r="N106" s="63" t="str">
        <f t="shared" ca="1" si="21"/>
        <v>N/A</v>
      </c>
      <c r="O106" s="63" t="str">
        <f t="shared" ca="1" si="21"/>
        <v>N/A</v>
      </c>
      <c r="P106" s="63" t="str">
        <f t="shared" ca="1" si="21"/>
        <v>N/A</v>
      </c>
      <c r="Q106" s="63" t="str">
        <f t="shared" ca="1" si="21"/>
        <v>N/A</v>
      </c>
      <c r="R106" s="63" t="str">
        <f t="shared" ca="1" si="21"/>
        <v>N/A</v>
      </c>
      <c r="S106" s="63" t="str">
        <f t="shared" ca="1" si="21"/>
        <v>N/A</v>
      </c>
    </row>
    <row r="107" spans="1:19" ht="14.25" hidden="1" customHeight="1" x14ac:dyDescent="0.2">
      <c r="A107" s="51">
        <f t="shared" si="14"/>
        <v>0</v>
      </c>
      <c r="B107" s="46" t="str">
        <f t="shared" ca="1" si="15"/>
        <v/>
      </c>
      <c r="C107" s="1" t="str">
        <f>IF(ISERROR(D107),"",IF(D107="","",MAX($C$66:C106)+1))</f>
        <v/>
      </c>
      <c r="D107" t="e">
        <f t="shared" si="16"/>
        <v>#N/A</v>
      </c>
      <c r="E107" s="22"/>
      <c r="F107" s="63" t="str">
        <f t="shared" ca="1" si="19"/>
        <v>N/A</v>
      </c>
      <c r="G107" s="63" t="str">
        <f t="shared" si="17"/>
        <v>N/A</v>
      </c>
      <c r="H107" s="63" t="str">
        <f ca="1">IFERROR(VLOOKUP($A107,LASTYR,'2017'!$L$3,FALSE),"N/A")</f>
        <v>N/A</v>
      </c>
      <c r="I107" s="63" t="str">
        <f t="shared" ca="1" si="21"/>
        <v>N/A</v>
      </c>
      <c r="J107" s="63" t="str">
        <f t="shared" ca="1" si="21"/>
        <v>N/A</v>
      </c>
      <c r="K107" s="63" t="str">
        <f t="shared" ca="1" si="21"/>
        <v>N/A</v>
      </c>
      <c r="L107" s="63" t="str">
        <f t="shared" ca="1" si="21"/>
        <v>N/A</v>
      </c>
      <c r="M107" s="63" t="str">
        <f t="shared" ca="1" si="21"/>
        <v>N/A</v>
      </c>
      <c r="N107" s="63" t="str">
        <f t="shared" ca="1" si="21"/>
        <v>N/A</v>
      </c>
      <c r="O107" s="63" t="str">
        <f t="shared" ca="1" si="21"/>
        <v>N/A</v>
      </c>
      <c r="P107" s="63" t="str">
        <f t="shared" ca="1" si="21"/>
        <v>N/A</v>
      </c>
      <c r="Q107" s="63" t="str">
        <f t="shared" ca="1" si="21"/>
        <v>N/A</v>
      </c>
      <c r="R107" s="63" t="str">
        <f t="shared" ca="1" si="21"/>
        <v>N/A</v>
      </c>
      <c r="S107" s="63" t="str">
        <f t="shared" ca="1" si="21"/>
        <v>N/A</v>
      </c>
    </row>
    <row r="108" spans="1:19" ht="14.25" hidden="1" customHeight="1" x14ac:dyDescent="0.2">
      <c r="A108" s="51">
        <f t="shared" si="14"/>
        <v>0</v>
      </c>
      <c r="B108" s="46" t="str">
        <f t="shared" ca="1" si="15"/>
        <v/>
      </c>
      <c r="C108" s="1" t="str">
        <f>IF(ISERROR(D108),"",IF(D108="","",MAX($C$66:C107)+1))</f>
        <v/>
      </c>
      <c r="D108" t="e">
        <f t="shared" si="16"/>
        <v>#N/A</v>
      </c>
      <c r="E108" s="22"/>
      <c r="F108" s="63" t="str">
        <f t="shared" ca="1" si="19"/>
        <v>N/A</v>
      </c>
      <c r="G108" s="63" t="str">
        <f t="shared" si="17"/>
        <v>N/A</v>
      </c>
      <c r="H108" s="63" t="str">
        <f ca="1">IFERROR(VLOOKUP($A108,LASTYR,'2017'!$L$3,FALSE),"N/A")</f>
        <v>N/A</v>
      </c>
      <c r="I108" s="63" t="str">
        <f t="shared" ca="1" si="21"/>
        <v>N/A</v>
      </c>
      <c r="J108" s="63" t="str">
        <f t="shared" ca="1" si="21"/>
        <v>N/A</v>
      </c>
      <c r="K108" s="63" t="str">
        <f t="shared" ca="1" si="21"/>
        <v>N/A</v>
      </c>
      <c r="L108" s="63" t="str">
        <f t="shared" ca="1" si="21"/>
        <v>N/A</v>
      </c>
      <c r="M108" s="63" t="str">
        <f t="shared" ca="1" si="21"/>
        <v>N/A</v>
      </c>
      <c r="N108" s="63" t="str">
        <f t="shared" ca="1" si="21"/>
        <v>N/A</v>
      </c>
      <c r="O108" s="63" t="str">
        <f t="shared" ca="1" si="21"/>
        <v>N/A</v>
      </c>
      <c r="P108" s="63" t="str">
        <f t="shared" ca="1" si="21"/>
        <v>N/A</v>
      </c>
      <c r="Q108" s="63" t="str">
        <f t="shared" ca="1" si="21"/>
        <v>N/A</v>
      </c>
      <c r="R108" s="63" t="str">
        <f t="shared" ca="1" si="21"/>
        <v>N/A</v>
      </c>
      <c r="S108" s="63" t="str">
        <f t="shared" ca="1" si="21"/>
        <v>N/A</v>
      </c>
    </row>
    <row r="109" spans="1:19" ht="14.25" hidden="1" customHeight="1" x14ac:dyDescent="0.2">
      <c r="A109" s="51">
        <f t="shared" si="14"/>
        <v>0</v>
      </c>
      <c r="B109" s="46" t="str">
        <f t="shared" ca="1" si="15"/>
        <v/>
      </c>
      <c r="C109" s="1" t="str">
        <f>IF(ISERROR(D109),"",IF(D109="","",MAX($C$66:C108)+1))</f>
        <v/>
      </c>
      <c r="D109" t="e">
        <f t="shared" si="16"/>
        <v>#N/A</v>
      </c>
      <c r="E109" s="22"/>
      <c r="F109" s="63" t="str">
        <f t="shared" ca="1" si="19"/>
        <v>N/A</v>
      </c>
      <c r="G109" s="63" t="str">
        <f t="shared" si="17"/>
        <v>N/A</v>
      </c>
      <c r="H109" s="63" t="str">
        <f ca="1">IFERROR(VLOOKUP($A109,LASTYR,'2017'!$L$3,FALSE),"N/A")</f>
        <v>N/A</v>
      </c>
      <c r="I109" s="63" t="str">
        <f t="shared" ca="1" si="21"/>
        <v>N/A</v>
      </c>
      <c r="J109" s="63" t="str">
        <f t="shared" ca="1" si="21"/>
        <v>N/A</v>
      </c>
      <c r="K109" s="63" t="str">
        <f t="shared" ca="1" si="21"/>
        <v>N/A</v>
      </c>
      <c r="L109" s="63" t="str">
        <f t="shared" ca="1" si="21"/>
        <v>N/A</v>
      </c>
      <c r="M109" s="63" t="str">
        <f t="shared" ca="1" si="21"/>
        <v>N/A</v>
      </c>
      <c r="N109" s="63" t="str">
        <f t="shared" ca="1" si="21"/>
        <v>N/A</v>
      </c>
      <c r="O109" s="63" t="str">
        <f t="shared" ca="1" si="21"/>
        <v>N/A</v>
      </c>
      <c r="P109" s="63" t="str">
        <f t="shared" ca="1" si="21"/>
        <v>N/A</v>
      </c>
      <c r="Q109" s="63" t="str">
        <f t="shared" ca="1" si="21"/>
        <v>N/A</v>
      </c>
      <c r="R109" s="63" t="str">
        <f t="shared" ca="1" si="21"/>
        <v>N/A</v>
      </c>
      <c r="S109" s="63" t="str">
        <f t="shared" ca="1" si="21"/>
        <v>N/A</v>
      </c>
    </row>
    <row r="110" spans="1:19" ht="14.25" hidden="1" customHeight="1" x14ac:dyDescent="0.2">
      <c r="A110" s="51">
        <f t="shared" si="14"/>
        <v>0</v>
      </c>
      <c r="B110" s="46" t="str">
        <f t="shared" ca="1" si="15"/>
        <v/>
      </c>
      <c r="C110" s="1" t="str">
        <f>IF(ISERROR(D110),"",IF(D110="","",MAX($C$66:C109)+1))</f>
        <v/>
      </c>
      <c r="D110" t="e">
        <f t="shared" si="16"/>
        <v>#N/A</v>
      </c>
      <c r="F110" s="63" t="str">
        <f t="shared" ca="1" si="19"/>
        <v>N/A</v>
      </c>
      <c r="G110" s="63" t="str">
        <f t="shared" si="17"/>
        <v>N/A</v>
      </c>
      <c r="H110" s="63" t="str">
        <f ca="1">IFERROR(VLOOKUP($A110,LASTYR,'2017'!$L$3,FALSE),"N/A")</f>
        <v>N/A</v>
      </c>
      <c r="I110" s="63" t="str">
        <f t="shared" ca="1" si="21"/>
        <v>N/A</v>
      </c>
      <c r="J110" s="63" t="str">
        <f t="shared" ca="1" si="21"/>
        <v>N/A</v>
      </c>
      <c r="K110" s="63" t="str">
        <f t="shared" ca="1" si="21"/>
        <v>N/A</v>
      </c>
      <c r="L110" s="63" t="str">
        <f t="shared" ca="1" si="21"/>
        <v>N/A</v>
      </c>
      <c r="M110" s="63" t="str">
        <f t="shared" ca="1" si="21"/>
        <v>N/A</v>
      </c>
      <c r="N110" s="63" t="str">
        <f t="shared" ca="1" si="21"/>
        <v>N/A</v>
      </c>
      <c r="O110" s="63" t="str">
        <f t="shared" ca="1" si="21"/>
        <v>N/A</v>
      </c>
      <c r="P110" s="63" t="str">
        <f t="shared" ca="1" si="21"/>
        <v>N/A</v>
      </c>
      <c r="Q110" s="63" t="str">
        <f t="shared" ca="1" si="21"/>
        <v>N/A</v>
      </c>
      <c r="R110" s="63" t="str">
        <f t="shared" ca="1" si="21"/>
        <v>N/A</v>
      </c>
      <c r="S110" s="63" t="str">
        <f t="shared" ca="1" si="21"/>
        <v>N/A</v>
      </c>
    </row>
    <row r="111" spans="1:19" ht="14.25" hidden="1" customHeight="1" x14ac:dyDescent="0.2">
      <c r="A111" s="51">
        <f t="shared" si="14"/>
        <v>0</v>
      </c>
      <c r="B111" s="46" t="str">
        <f t="shared" ca="1" si="15"/>
        <v/>
      </c>
      <c r="C111" s="1" t="str">
        <f>IF(ISERROR(D111),"",IF(D111="","",MAX($C$66:C110)+1))</f>
        <v/>
      </c>
      <c r="D111" t="e">
        <f t="shared" si="16"/>
        <v>#N/A</v>
      </c>
      <c r="F111" s="63" t="str">
        <f t="shared" ca="1" si="19"/>
        <v>N/A</v>
      </c>
      <c r="G111" s="63" t="str">
        <f t="shared" si="17"/>
        <v>N/A</v>
      </c>
      <c r="H111" s="63" t="str">
        <f ca="1">IFERROR(VLOOKUP($A111,LASTYR,'2017'!$L$3,FALSE),"N/A")</f>
        <v>N/A</v>
      </c>
      <c r="I111" s="63" t="str">
        <f t="shared" ca="1" si="21"/>
        <v>N/A</v>
      </c>
      <c r="J111" s="63" t="str">
        <f t="shared" ca="1" si="21"/>
        <v>N/A</v>
      </c>
      <c r="K111" s="63" t="str">
        <f t="shared" ca="1" si="21"/>
        <v>N/A</v>
      </c>
      <c r="L111" s="63" t="str">
        <f t="shared" ca="1" si="21"/>
        <v>N/A</v>
      </c>
      <c r="M111" s="63" t="str">
        <f t="shared" ca="1" si="21"/>
        <v>N/A</v>
      </c>
      <c r="N111" s="63" t="str">
        <f t="shared" ca="1" si="21"/>
        <v>N/A</v>
      </c>
      <c r="O111" s="63" t="str">
        <f t="shared" ca="1" si="21"/>
        <v>N/A</v>
      </c>
      <c r="P111" s="63" t="str">
        <f t="shared" ca="1" si="21"/>
        <v>N/A</v>
      </c>
      <c r="Q111" s="63" t="str">
        <f t="shared" ca="1" si="21"/>
        <v>N/A</v>
      </c>
      <c r="R111" s="63" t="str">
        <f t="shared" ca="1" si="21"/>
        <v>N/A</v>
      </c>
      <c r="S111" s="63" t="str">
        <f t="shared" ca="1" si="21"/>
        <v>N/A</v>
      </c>
    </row>
    <row r="112" spans="1:19" ht="14.25" hidden="1" customHeight="1" x14ac:dyDescent="0.2">
      <c r="A112" s="51">
        <f t="shared" si="14"/>
        <v>0</v>
      </c>
      <c r="B112" s="46" t="str">
        <f t="shared" ca="1" si="15"/>
        <v/>
      </c>
      <c r="C112" s="1" t="str">
        <f>IF(ISERROR(D112),"",IF(D112="","",MAX($C$66:C111)+1))</f>
        <v/>
      </c>
      <c r="D112" t="e">
        <f t="shared" si="16"/>
        <v>#N/A</v>
      </c>
      <c r="F112" s="63" t="str">
        <f t="shared" ca="1" si="19"/>
        <v>N/A</v>
      </c>
      <c r="G112" s="63" t="str">
        <f t="shared" si="17"/>
        <v>N/A</v>
      </c>
      <c r="H112" s="63" t="str">
        <f ca="1">IFERROR(VLOOKUP($A112,LASTYR,'2017'!$L$3,FALSE),"N/A")</f>
        <v>N/A</v>
      </c>
      <c r="I112" s="63" t="str">
        <f t="shared" ca="1" si="21"/>
        <v>N/A</v>
      </c>
      <c r="J112" s="63" t="str">
        <f t="shared" ca="1" si="21"/>
        <v>N/A</v>
      </c>
      <c r="K112" s="63" t="str">
        <f t="shared" ca="1" si="21"/>
        <v>N/A</v>
      </c>
      <c r="L112" s="63" t="str">
        <f t="shared" ca="1" si="21"/>
        <v>N/A</v>
      </c>
      <c r="M112" s="63" t="str">
        <f t="shared" ca="1" si="21"/>
        <v>N/A</v>
      </c>
      <c r="N112" s="63" t="str">
        <f t="shared" ca="1" si="21"/>
        <v>N/A</v>
      </c>
      <c r="O112" s="63" t="str">
        <f t="shared" ca="1" si="21"/>
        <v>N/A</v>
      </c>
      <c r="P112" s="63" t="str">
        <f t="shared" ca="1" si="21"/>
        <v>N/A</v>
      </c>
      <c r="Q112" s="63" t="str">
        <f t="shared" ca="1" si="21"/>
        <v>N/A</v>
      </c>
      <c r="R112" s="63" t="str">
        <f t="shared" ca="1" si="21"/>
        <v>N/A</v>
      </c>
      <c r="S112" s="63" t="str">
        <f t="shared" ca="1" si="21"/>
        <v>N/A</v>
      </c>
    </row>
    <row r="113" spans="1:19" x14ac:dyDescent="0.2">
      <c r="A113" s="31"/>
      <c r="B113" s="31"/>
      <c r="C113" s="1" t="str">
        <f>IF(ISERROR(D113),"",IF(D113="","",MAX($C$66:C112)+1))</f>
        <v/>
      </c>
      <c r="F113" s="63"/>
      <c r="G113" s="63"/>
      <c r="H113" s="63"/>
      <c r="I113" s="63"/>
      <c r="J113" s="63"/>
      <c r="K113" s="63"/>
      <c r="L113" s="63"/>
      <c r="M113" s="63"/>
      <c r="N113" s="63"/>
      <c r="O113" s="63"/>
      <c r="P113" s="63"/>
      <c r="Q113" s="63"/>
      <c r="R113" s="63"/>
      <c r="S113" s="63"/>
    </row>
    <row r="114" spans="1:19" x14ac:dyDescent="0.2">
      <c r="A114" s="31"/>
      <c r="B114" s="31"/>
      <c r="C114" s="1">
        <f ca="1">IF(ISERROR(D114),"",IF(D114="","",MAX($C$66:C113)+1))</f>
        <v>21</v>
      </c>
      <c r="D114" t="s">
        <v>98</v>
      </c>
      <c r="F114" s="63">
        <f ca="1">AVERAGE(G114:S114)</f>
        <v>12.928192742989369</v>
      </c>
      <c r="G114" s="63">
        <f t="shared" ref="G114:S114" si="22">AVERAGE(G68:G113)</f>
        <v>16.075924620136668</v>
      </c>
      <c r="H114" s="63">
        <f t="shared" ca="1" si="22"/>
        <v>15.353391691764342</v>
      </c>
      <c r="I114" s="63">
        <f t="shared" ca="1" si="22"/>
        <v>13.65019041182239</v>
      </c>
      <c r="J114" s="63">
        <f t="shared" ca="1" si="22"/>
        <v>12.13510167107153</v>
      </c>
      <c r="K114" s="63">
        <f t="shared" ca="1" si="22"/>
        <v>11.516103710938729</v>
      </c>
      <c r="L114" s="63">
        <f t="shared" ca="1" si="22"/>
        <v>11.571149480768689</v>
      </c>
      <c r="M114" s="63">
        <f t="shared" ca="1" si="22"/>
        <v>10.090902269736759</v>
      </c>
      <c r="N114" s="63">
        <f t="shared" ca="1" si="22"/>
        <v>10.76656085282759</v>
      </c>
      <c r="O114" s="63">
        <f t="shared" ca="1" si="22"/>
        <v>10.522963061573655</v>
      </c>
      <c r="P114" s="63">
        <f t="shared" ca="1" si="22"/>
        <v>10.796507296911155</v>
      </c>
      <c r="Q114" s="63">
        <f t="shared" ca="1" si="22"/>
        <v>12.459568960052207</v>
      </c>
      <c r="R114" s="63">
        <f t="shared" ca="1" si="22"/>
        <v>15.581857621020816</v>
      </c>
      <c r="S114" s="63">
        <f t="shared" ca="1" si="22"/>
        <v>17.546284010237262</v>
      </c>
    </row>
    <row r="115" spans="1:19" x14ac:dyDescent="0.2">
      <c r="A115" s="31"/>
      <c r="B115" s="31"/>
      <c r="C115" s="1">
        <f ca="1">IF(ISERROR(D115),"",IF(D115="","",MAX($C$66:C114)+1))</f>
        <v>22</v>
      </c>
      <c r="D115" t="s">
        <v>257</v>
      </c>
      <c r="F115" s="63">
        <f ca="1">AVERAGE(G115:S115)</f>
        <v>12.45746543969398</v>
      </c>
      <c r="G115" s="63">
        <f>MEDIAN(G68:G113)</f>
        <v>15.660377358490567</v>
      </c>
      <c r="H115" s="63">
        <f t="shared" ref="H115:S115" ca="1" si="23">MEDIAN(H68:H113)</f>
        <v>15.7204910292729</v>
      </c>
      <c r="I115" s="63">
        <f t="shared" ca="1" si="23"/>
        <v>14.211954254807274</v>
      </c>
      <c r="J115" s="63">
        <f t="shared" ca="1" si="23"/>
        <v>11.846544715447155</v>
      </c>
      <c r="K115" s="63">
        <f t="shared" ca="1" si="23"/>
        <v>11.328633405639913</v>
      </c>
      <c r="L115" s="63">
        <f t="shared" ca="1" si="23"/>
        <v>11.597185241536707</v>
      </c>
      <c r="M115" s="63">
        <f t="shared" ca="1" si="23"/>
        <v>8.2557377049180349</v>
      </c>
      <c r="N115" s="63">
        <f t="shared" ca="1" si="23"/>
        <v>11.31768953068592</v>
      </c>
      <c r="O115" s="63">
        <f t="shared" ca="1" si="23"/>
        <v>10.679802955665025</v>
      </c>
      <c r="P115" s="63">
        <f t="shared" ca="1" si="23"/>
        <v>10.777777777777779</v>
      </c>
      <c r="Q115" s="63">
        <f t="shared" ca="1" si="23"/>
        <v>11.675697865353039</v>
      </c>
      <c r="R115" s="63">
        <f t="shared" ca="1" si="23"/>
        <v>13.926134736725308</v>
      </c>
      <c r="S115" s="63">
        <f t="shared" ca="1" si="23"/>
        <v>14.949024139702106</v>
      </c>
    </row>
    <row r="116" spans="1:19" x14ac:dyDescent="0.2">
      <c r="A116" s="31"/>
      <c r="B116" s="31"/>
      <c r="C116" s="1"/>
      <c r="G116" s="214"/>
    </row>
    <row r="117" spans="1:19" x14ac:dyDescent="0.2">
      <c r="A117" s="31"/>
      <c r="B117" s="31"/>
      <c r="C117" s="1"/>
    </row>
    <row r="118" spans="1:19" ht="17.25" x14ac:dyDescent="0.25">
      <c r="A118" s="31"/>
      <c r="B118" s="31"/>
      <c r="C118" s="6"/>
      <c r="D118" s="6"/>
      <c r="E118" s="19"/>
      <c r="F118" s="235" t="s">
        <v>259</v>
      </c>
      <c r="G118" s="235"/>
      <c r="H118" s="235"/>
      <c r="I118" s="235"/>
      <c r="J118" s="235"/>
      <c r="K118" s="235"/>
      <c r="L118" s="235"/>
      <c r="M118" s="235"/>
      <c r="N118" s="235"/>
      <c r="O118" s="235"/>
      <c r="P118" s="235"/>
      <c r="Q118" s="235"/>
      <c r="R118" s="235"/>
      <c r="S118" s="235"/>
    </row>
    <row r="119" spans="1:19" ht="15" x14ac:dyDescent="0.25">
      <c r="A119" s="31"/>
      <c r="B119" s="31"/>
      <c r="C119" s="6"/>
      <c r="D119" s="7"/>
      <c r="E119" s="7"/>
      <c r="F119" s="8" t="s">
        <v>429</v>
      </c>
      <c r="G119" s="8"/>
      <c r="H119" s="8"/>
      <c r="I119" s="8"/>
      <c r="J119" s="8"/>
      <c r="K119" s="8"/>
      <c r="L119" s="8"/>
      <c r="M119" s="8"/>
      <c r="N119" s="8"/>
      <c r="O119" s="8"/>
      <c r="P119" s="7"/>
      <c r="Q119" s="7"/>
      <c r="R119" s="7"/>
      <c r="S119" s="7"/>
    </row>
    <row r="120" spans="1:19" ht="17.25" x14ac:dyDescent="0.25">
      <c r="A120" s="31"/>
      <c r="B120" s="31"/>
      <c r="C120" s="9" t="s">
        <v>96</v>
      </c>
      <c r="D120" s="234" t="s">
        <v>97</v>
      </c>
      <c r="E120" s="234"/>
      <c r="F120" s="10" t="s">
        <v>98</v>
      </c>
      <c r="G120" s="10" t="s">
        <v>424</v>
      </c>
      <c r="H120" s="41">
        <v>2017</v>
      </c>
      <c r="I120" s="41">
        <v>2016</v>
      </c>
      <c r="J120" s="41">
        <v>2015</v>
      </c>
      <c r="K120" s="41">
        <v>2014</v>
      </c>
      <c r="L120" s="41">
        <v>2013</v>
      </c>
      <c r="M120" s="41">
        <v>2012</v>
      </c>
      <c r="N120" s="41">
        <v>2011</v>
      </c>
      <c r="O120" s="41">
        <v>2010</v>
      </c>
      <c r="P120" s="41">
        <v>2009</v>
      </c>
      <c r="Q120" s="41">
        <v>2008</v>
      </c>
      <c r="R120" s="41">
        <v>2007</v>
      </c>
      <c r="S120" s="41">
        <v>2006</v>
      </c>
    </row>
    <row r="121" spans="1:19" ht="15" x14ac:dyDescent="0.25">
      <c r="A121" s="42"/>
      <c r="B121" s="42"/>
      <c r="C121" s="9"/>
      <c r="D121" s="11"/>
      <c r="E121" s="11"/>
      <c r="F121" s="12">
        <v>-1</v>
      </c>
      <c r="G121" s="12">
        <f t="shared" ref="G121:S121" si="24">+F121-1</f>
        <v>-2</v>
      </c>
      <c r="H121" s="12">
        <f t="shared" si="24"/>
        <v>-3</v>
      </c>
      <c r="I121" s="12">
        <f t="shared" si="24"/>
        <v>-4</v>
      </c>
      <c r="J121" s="12">
        <f t="shared" si="24"/>
        <v>-5</v>
      </c>
      <c r="K121" s="12">
        <f t="shared" si="24"/>
        <v>-6</v>
      </c>
      <c r="L121" s="12">
        <f t="shared" si="24"/>
        <v>-7</v>
      </c>
      <c r="M121" s="12">
        <f t="shared" si="24"/>
        <v>-8</v>
      </c>
      <c r="N121" s="12">
        <f t="shared" si="24"/>
        <v>-9</v>
      </c>
      <c r="O121" s="12">
        <f t="shared" si="24"/>
        <v>-10</v>
      </c>
      <c r="P121" s="12">
        <f t="shared" si="24"/>
        <v>-11</v>
      </c>
      <c r="Q121" s="12">
        <f t="shared" si="24"/>
        <v>-12</v>
      </c>
      <c r="R121" s="12">
        <f t="shared" si="24"/>
        <v>-13</v>
      </c>
      <c r="S121" s="12">
        <f t="shared" si="24"/>
        <v>-14</v>
      </c>
    </row>
    <row r="122" spans="1:19" x14ac:dyDescent="0.2">
      <c r="A122" s="43"/>
      <c r="B122" s="44"/>
      <c r="C122" s="6"/>
      <c r="E122" s="22"/>
      <c r="F122" s="36"/>
      <c r="G122" s="36"/>
      <c r="H122" s="36"/>
      <c r="I122" s="16">
        <f t="shared" ref="I122:S122" ca="1" si="25">MATCH(VALUE(LEFT(I120,4)),OFFSET(MP_BV_WP,-1,0,1,),0)</f>
        <v>6</v>
      </c>
      <c r="J122" s="16">
        <f t="shared" ca="1" si="25"/>
        <v>7</v>
      </c>
      <c r="K122" s="16">
        <f t="shared" ca="1" si="25"/>
        <v>8</v>
      </c>
      <c r="L122" s="16">
        <f t="shared" ca="1" si="25"/>
        <v>9</v>
      </c>
      <c r="M122" s="16">
        <f t="shared" ca="1" si="25"/>
        <v>10</v>
      </c>
      <c r="N122" s="16">
        <f t="shared" ca="1" si="25"/>
        <v>11</v>
      </c>
      <c r="O122" s="16">
        <f t="shared" ca="1" si="25"/>
        <v>12</v>
      </c>
      <c r="P122" s="16">
        <f t="shared" ca="1" si="25"/>
        <v>13</v>
      </c>
      <c r="Q122" s="16">
        <f t="shared" ca="1" si="25"/>
        <v>14</v>
      </c>
      <c r="R122" s="16">
        <f t="shared" ca="1" si="25"/>
        <v>15</v>
      </c>
      <c r="S122" s="16">
        <f t="shared" ca="1" si="25"/>
        <v>16</v>
      </c>
    </row>
    <row r="123" spans="1:19" x14ac:dyDescent="0.2">
      <c r="A123" s="51" t="str">
        <f t="shared" ref="A123:A167" si="26">A13</f>
        <v>AWR</v>
      </c>
      <c r="B123" s="46">
        <f t="shared" ref="B123:B167" ca="1" si="27">MATCH(A123,OFFSET(MP_BV_WP,0,0,,1),0)</f>
        <v>4</v>
      </c>
      <c r="C123" s="1">
        <f ca="1">C115+1</f>
        <v>23</v>
      </c>
      <c r="D123" t="str">
        <f t="shared" ref="D123:D167" ca="1" si="28">D13</f>
        <v>Amer. States Water</v>
      </c>
      <c r="E123" s="22"/>
      <c r="F123" s="63">
        <f ca="1">AVERAGE(G123:S123)</f>
        <v>2.3785620411096073</v>
      </c>
      <c r="G123" s="63">
        <f t="shared" ref="G123:G167" si="29">IFERROR(IF(VLOOKUP(A123,LUCurYr,18,FALSE)=0,"",VLOOKUP(A123,LUCurYr,18,FALSE)),"N/A")</f>
        <v>3.677631578947369</v>
      </c>
      <c r="H123" s="63">
        <f ca="1">IFERROR(VLOOKUP($A123,LASTYR,'2017'!$M$3,FALSE),"N/A")</f>
        <v>3.3461618329064859</v>
      </c>
      <c r="I123" s="63">
        <f t="shared" ref="I123:S138" ca="1" si="30">IFERROR(IF(INDEX(MP_BV_WP,$B123,I$122)=0,"N/A",INDEX(MP_BV_WP,$B123,I$122)),"N/A")</f>
        <v>3.067549570878958</v>
      </c>
      <c r="J123" s="63">
        <f t="shared" ca="1" si="30"/>
        <v>3.0994907951429687</v>
      </c>
      <c r="K123" s="63">
        <f t="shared" ca="1" si="30"/>
        <v>2.3833950290851402</v>
      </c>
      <c r="L123" s="63">
        <f t="shared" ca="1" si="30"/>
        <v>2.1733113155618464</v>
      </c>
      <c r="M123" s="63">
        <f t="shared" ca="1" si="30"/>
        <v>1.7089583863039242</v>
      </c>
      <c r="N123" s="63">
        <f t="shared" ca="1" si="30"/>
        <v>1.586569504658242</v>
      </c>
      <c r="O123" s="63">
        <f t="shared" ca="1" si="30"/>
        <v>1.7234504540071063</v>
      </c>
      <c r="P123" s="63">
        <f t="shared" ca="1" si="30"/>
        <v>1.770547592038775</v>
      </c>
      <c r="Q123" s="63">
        <f t="shared" ca="1" si="30"/>
        <v>1.950412302206374</v>
      </c>
      <c r="R123" s="63">
        <f t="shared" ca="1" si="30"/>
        <v>2.2177483745865181</v>
      </c>
      <c r="S123" s="63">
        <f t="shared" ca="1" si="30"/>
        <v>2.2160797981011902</v>
      </c>
    </row>
    <row r="124" spans="1:19" x14ac:dyDescent="0.2">
      <c r="A124" s="51" t="str">
        <f t="shared" si="26"/>
        <v>AWK</v>
      </c>
      <c r="B124" s="46">
        <f t="shared" ca="1" si="27"/>
        <v>5</v>
      </c>
      <c r="C124" s="1">
        <f ca="1">IF(ISERROR(D124),"",IF(D124="","",MAX($C$121:C123)+1))</f>
        <v>24</v>
      </c>
      <c r="D124" t="str">
        <f t="shared" ca="1" si="28"/>
        <v>Amer. Water Works</v>
      </c>
      <c r="E124" s="22"/>
      <c r="F124" s="63">
        <f t="shared" ref="F124:F167" ca="1" si="31">AVERAGE(G124:S124)</f>
        <v>1.6557047506674096</v>
      </c>
      <c r="G124" s="63">
        <f t="shared" si="29"/>
        <v>2.6377952755905514</v>
      </c>
      <c r="H124" s="63">
        <f ca="1">IFERROR(VLOOKUP($A124,LASTYR,'2017'!$M$3,FALSE),"N/A")</f>
        <v>2.6686357149968476</v>
      </c>
      <c r="I124" s="63">
        <f t="shared" ca="1" si="30"/>
        <v>2.4827822042882057</v>
      </c>
      <c r="J124" s="63">
        <f t="shared" ca="1" si="30"/>
        <v>1.9162920751778572</v>
      </c>
      <c r="K124" s="63">
        <f t="shared" ca="1" si="30"/>
        <v>1.7465955970939362</v>
      </c>
      <c r="L124" s="63">
        <f t="shared" ca="1" si="30"/>
        <v>1.5456567636857186</v>
      </c>
      <c r="M124" s="63">
        <f t="shared" ca="1" si="30"/>
        <v>1.4041824337781319</v>
      </c>
      <c r="N124" s="63">
        <f t="shared" ca="1" si="30"/>
        <v>1.1982333181271514</v>
      </c>
      <c r="O124" s="63">
        <f t="shared" ca="1" si="30"/>
        <v>0.94785484144480248</v>
      </c>
      <c r="P124" s="63">
        <f t="shared" ca="1" si="30"/>
        <v>0.85307725883893493</v>
      </c>
      <c r="Q124" s="63">
        <f t="shared" ca="1" si="30"/>
        <v>0.81164677431936971</v>
      </c>
      <c r="R124" s="63" t="str">
        <f t="shared" ca="1" si="30"/>
        <v>N/A</v>
      </c>
      <c r="S124" s="63" t="str">
        <f t="shared" ca="1" si="30"/>
        <v>N/A</v>
      </c>
    </row>
    <row r="125" spans="1:19" x14ac:dyDescent="0.2">
      <c r="A125" s="51" t="str">
        <f t="shared" si="26"/>
        <v>WTR</v>
      </c>
      <c r="B125" s="46">
        <f t="shared" ca="1" si="27"/>
        <v>8</v>
      </c>
      <c r="C125" s="1">
        <f ca="1">IF(ISERROR(D125),"",IF(D125="","",MAX($C$121:C124)+1))</f>
        <v>25</v>
      </c>
      <c r="D125" t="str">
        <f t="shared" ca="1" si="28"/>
        <v>Aqua America</v>
      </c>
      <c r="E125" s="22"/>
      <c r="F125" s="63">
        <f t="shared" ca="1" si="31"/>
        <v>2.7532974765679827</v>
      </c>
      <c r="G125" s="63">
        <f t="shared" si="29"/>
        <v>3.2636363636363637</v>
      </c>
      <c r="H125" s="63">
        <f ca="1">IFERROR(VLOOKUP($A125,LASTYR,'2017'!$M$3,FALSE),"N/A")</f>
        <v>3.0225127087872186</v>
      </c>
      <c r="I125" s="63">
        <f t="shared" ca="1" si="30"/>
        <v>3.0203279317288327</v>
      </c>
      <c r="J125" s="63">
        <f t="shared" ca="1" si="30"/>
        <v>2.7414075286415711</v>
      </c>
      <c r="K125" s="63">
        <f t="shared" ca="1" si="30"/>
        <v>2.6877764591649584</v>
      </c>
      <c r="L125" s="63">
        <f t="shared" ca="1" si="30"/>
        <v>2.8479193230555229</v>
      </c>
      <c r="M125" s="63">
        <f t="shared" ca="1" si="30"/>
        <v>2.4216989492340804</v>
      </c>
      <c r="N125" s="63">
        <f t="shared" ca="1" si="30"/>
        <v>2.4536625971143176</v>
      </c>
      <c r="O125" s="63">
        <f t="shared" ca="1" si="30"/>
        <v>2.228814803935967</v>
      </c>
      <c r="P125" s="63">
        <f t="shared" ca="1" si="30"/>
        <v>2.1886153846153849</v>
      </c>
      <c r="Q125" s="63">
        <f t="shared" ca="1" si="30"/>
        <v>2.3274180655475618</v>
      </c>
      <c r="R125" s="63">
        <f t="shared" ca="1" si="30"/>
        <v>3.1012809564474808</v>
      </c>
      <c r="S125" s="63">
        <f t="shared" ca="1" si="30"/>
        <v>3.4877961234745154</v>
      </c>
    </row>
    <row r="126" spans="1:19" x14ac:dyDescent="0.2">
      <c r="A126" s="51" t="str">
        <f t="shared" si="26"/>
        <v>CWT</v>
      </c>
      <c r="B126" s="46">
        <f t="shared" ca="1" si="27"/>
        <v>13</v>
      </c>
      <c r="C126" s="1">
        <f ca="1">IF(ISERROR(D126),"",IF(D126="","",MAX($C$121:C125)+1))</f>
        <v>26</v>
      </c>
      <c r="D126" t="str">
        <f t="shared" ca="1" si="28"/>
        <v>California Water</v>
      </c>
      <c r="E126" s="22"/>
      <c r="F126" s="63">
        <f t="shared" ca="1" si="31"/>
        <v>1.9942238154323444</v>
      </c>
      <c r="G126" s="63">
        <f t="shared" si="29"/>
        <v>2.8062283737024223</v>
      </c>
      <c r="H126" s="63">
        <f ca="1">IFERROR(VLOOKUP($A126,LASTYR,'2017'!$M$3,FALSE),"N/A")</f>
        <v>2.6068955967875937</v>
      </c>
      <c r="I126" s="63">
        <f t="shared" ca="1" si="30"/>
        <v>2.1780493126772855</v>
      </c>
      <c r="J126" s="63">
        <f t="shared" ca="1" si="30"/>
        <v>1.7361514948184595</v>
      </c>
      <c r="K126" s="63">
        <f t="shared" ca="1" si="30"/>
        <v>1.7876106194690264</v>
      </c>
      <c r="L126" s="63">
        <f t="shared" ca="1" si="30"/>
        <v>1.6367405517461329</v>
      </c>
      <c r="M126" s="63">
        <f t="shared" ca="1" si="30"/>
        <v>1.6160935838355193</v>
      </c>
      <c r="N126" s="63">
        <f t="shared" ca="1" si="30"/>
        <v>1.7010318862136282</v>
      </c>
      <c r="O126" s="63">
        <f t="shared" ca="1" si="30"/>
        <v>1.7571032239548456</v>
      </c>
      <c r="P126" s="63">
        <f t="shared" ca="1" si="30"/>
        <v>1.8951421800947865</v>
      </c>
      <c r="Q126" s="63">
        <f t="shared" ca="1" si="30"/>
        <v>1.931495577041761</v>
      </c>
      <c r="R126" s="63">
        <f t="shared" ca="1" si="30"/>
        <v>2.1132136678200695</v>
      </c>
      <c r="S126" s="63">
        <f t="shared" ca="1" si="30"/>
        <v>2.1591535324589439</v>
      </c>
    </row>
    <row r="127" spans="1:19" x14ac:dyDescent="0.2">
      <c r="A127" s="51" t="str">
        <f t="shared" si="26"/>
        <v>CTWS</v>
      </c>
      <c r="B127" s="46">
        <f t="shared" ca="1" si="27"/>
        <v>19</v>
      </c>
      <c r="C127" s="1">
        <f ca="1">IF(ISERROR(D127),"",IF(D127="","",MAX($C$121:C126)+1))</f>
        <v>27</v>
      </c>
      <c r="D127" t="str">
        <f t="shared" ca="1" si="28"/>
        <v>Conn. Water Services</v>
      </c>
      <c r="E127" s="22"/>
      <c r="F127" s="63">
        <f t="shared" ca="1" si="31"/>
        <v>1.9407458375458662</v>
      </c>
      <c r="G127" s="63">
        <f t="shared" si="29"/>
        <v>2.402834008097166</v>
      </c>
      <c r="H127" s="63">
        <f ca="1">IFERROR(VLOOKUP($A127,LASTYR,'2017'!$M$3,FALSE),"N/A")</f>
        <v>2.3217323417019351</v>
      </c>
      <c r="I127" s="63">
        <f t="shared" ca="1" si="30"/>
        <v>2.3082018777105273</v>
      </c>
      <c r="J127" s="63">
        <f t="shared" ca="1" si="30"/>
        <v>1.7919540229885056</v>
      </c>
      <c r="K127" s="63">
        <f t="shared" ca="1" si="30"/>
        <v>1.786658877263795</v>
      </c>
      <c r="L127" s="63">
        <f t="shared" ca="1" si="30"/>
        <v>1.7018699413898968</v>
      </c>
      <c r="M127" s="63">
        <f t="shared" ca="1" si="30"/>
        <v>1.4159744103886183</v>
      </c>
      <c r="N127" s="63">
        <f t="shared" ca="1" si="30"/>
        <v>1.9252426465140402</v>
      </c>
      <c r="O127" s="63">
        <f t="shared" ca="1" si="30"/>
        <v>1.7904177845917977</v>
      </c>
      <c r="P127" s="63">
        <f t="shared" ca="1" si="30"/>
        <v>1.7286503551696923</v>
      </c>
      <c r="Q127" s="63">
        <f t="shared" ca="1" si="30"/>
        <v>2.0114444535273441</v>
      </c>
      <c r="R127" s="63">
        <f t="shared" ca="1" si="30"/>
        <v>2.0210041841004185</v>
      </c>
      <c r="S127" s="63">
        <f t="shared" ca="1" si="30"/>
        <v>2.0237109846525261</v>
      </c>
    </row>
    <row r="128" spans="1:19" x14ac:dyDescent="0.2">
      <c r="A128" s="51" t="str">
        <f t="shared" si="26"/>
        <v>CWCO</v>
      </c>
      <c r="B128" s="46">
        <f t="shared" ca="1" si="27"/>
        <v>21</v>
      </c>
      <c r="C128" s="1">
        <f ca="1">IF(ISERROR(D128),"",IF(D128="","",MAX($C$121:C127)+1))</f>
        <v>28</v>
      </c>
      <c r="D128" t="str">
        <f t="shared" ca="1" si="28"/>
        <v>Consolidated Water</v>
      </c>
      <c r="E128" s="22"/>
      <c r="F128" s="63">
        <f t="shared" ca="1" si="31"/>
        <v>1.6430468365808804</v>
      </c>
      <c r="G128" s="63">
        <f t="shared" si="29"/>
        <v>1.3110047846889952</v>
      </c>
      <c r="H128" s="63">
        <f ca="1">IFERROR(VLOOKUP($A128,LASTYR,'2017'!$M$3,FALSE),"N/A")</f>
        <v>1.1995158361912446</v>
      </c>
      <c r="I128" s="63">
        <f t="shared" ca="1" si="30"/>
        <v>1.2358770048013077</v>
      </c>
      <c r="J128" s="63">
        <f t="shared" ca="1" si="30"/>
        <v>1.1795943328916523</v>
      </c>
      <c r="K128" s="63">
        <f t="shared" ca="1" si="30"/>
        <v>1.2405763809126031</v>
      </c>
      <c r="L128" s="63">
        <f t="shared" ca="1" si="30"/>
        <v>1.2297998517420312</v>
      </c>
      <c r="M128" s="63">
        <f t="shared" ca="1" si="30"/>
        <v>0.86405655247417079</v>
      </c>
      <c r="N128" s="63">
        <f t="shared" ca="1" si="30"/>
        <v>1.0645161290322578</v>
      </c>
      <c r="O128" s="63">
        <f t="shared" ca="1" si="30"/>
        <v>1.3299182686773341</v>
      </c>
      <c r="P128" s="63">
        <f t="shared" ca="1" si="30"/>
        <v>1.6504160318762453</v>
      </c>
      <c r="Q128" s="63">
        <f t="shared" ca="1" si="30"/>
        <v>2.2590865614538496</v>
      </c>
      <c r="R128" s="63">
        <f t="shared" ca="1" si="30"/>
        <v>3.4032866707242846</v>
      </c>
      <c r="S128" s="63">
        <f t="shared" ca="1" si="30"/>
        <v>3.3919604700854702</v>
      </c>
    </row>
    <row r="129" spans="1:19" x14ac:dyDescent="0.2">
      <c r="A129" s="51" t="str">
        <f t="shared" si="26"/>
        <v>MSEX</v>
      </c>
      <c r="B129" s="46">
        <f t="shared" ca="1" si="27"/>
        <v>41</v>
      </c>
      <c r="C129" s="1">
        <f ca="1">IF(ISERROR(D129),"",IF(D129="","",MAX($C$121:C128)+1))</f>
        <v>29</v>
      </c>
      <c r="D129" t="str">
        <f t="shared" ca="1" si="28"/>
        <v>Middlesex Water</v>
      </c>
      <c r="E129" s="22"/>
      <c r="F129" s="63">
        <f t="shared" ca="1" si="31"/>
        <v>1.9475257467528129</v>
      </c>
      <c r="G129" s="63">
        <f t="shared" si="29"/>
        <v>2.7946127946127945</v>
      </c>
      <c r="H129" s="63">
        <f ca="1">IFERROR(VLOOKUP($A129,LASTYR,'2017'!$M$3,FALSE),"N/A")</f>
        <v>2.7950767035319299</v>
      </c>
      <c r="I129" s="63">
        <f t="shared" ca="1" si="30"/>
        <v>2.6402566398090124</v>
      </c>
      <c r="J129" s="63">
        <f t="shared" ca="1" si="30"/>
        <v>1.8301279535285344</v>
      </c>
      <c r="K129" s="63">
        <f t="shared" ca="1" si="30"/>
        <v>1.7072572736188296</v>
      </c>
      <c r="L129" s="63">
        <f t="shared" ca="1" si="30"/>
        <v>1.7164242219215158</v>
      </c>
      <c r="M129" s="63">
        <f t="shared" ca="1" si="30"/>
        <v>1.6323580633925461</v>
      </c>
      <c r="N129" s="63">
        <f t="shared" ca="1" si="30"/>
        <v>1.6193433895297249</v>
      </c>
      <c r="O129" s="63">
        <f t="shared" ca="1" si="30"/>
        <v>1.5358426158821417</v>
      </c>
      <c r="P129" s="63">
        <f t="shared" ca="1" si="30"/>
        <v>1.4650014522218995</v>
      </c>
      <c r="Q129" s="63">
        <f t="shared" ca="1" si="30"/>
        <v>1.7570046864094127</v>
      </c>
      <c r="R129" s="63">
        <f t="shared" ca="1" si="30"/>
        <v>1.8681121941515815</v>
      </c>
      <c r="S129" s="63">
        <f t="shared" ca="1" si="30"/>
        <v>1.9564167191766437</v>
      </c>
    </row>
    <row r="130" spans="1:19" x14ac:dyDescent="0.2">
      <c r="A130" s="51" t="str">
        <f t="shared" si="26"/>
        <v>SJW</v>
      </c>
      <c r="B130" s="46">
        <f t="shared" ca="1" si="27"/>
        <v>60</v>
      </c>
      <c r="C130" s="1">
        <f ca="1">IF(ISERROR(D130),"",IF(D130="","",MAX($C$121:C129)+1))</f>
        <v>30</v>
      </c>
      <c r="D130" t="str">
        <f t="shared" ca="1" si="28"/>
        <v>SJW Corp.</v>
      </c>
      <c r="E130" s="22"/>
      <c r="F130" s="63">
        <f t="shared" ca="1" si="31"/>
        <v>1.974917851325718</v>
      </c>
      <c r="G130" s="63">
        <f t="shared" si="29"/>
        <v>2.6482300884955752</v>
      </c>
      <c r="H130" s="63">
        <f ca="1">IFERROR(VLOOKUP($A130,LASTYR,'2017'!$M$3,FALSE),"N/A")</f>
        <v>2.3872496898812687</v>
      </c>
      <c r="I130" s="63">
        <f t="shared" ca="1" si="30"/>
        <v>1.9545410440520086</v>
      </c>
      <c r="J130" s="63">
        <f t="shared" ca="1" si="30"/>
        <v>1.635050451407329</v>
      </c>
      <c r="K130" s="63">
        <f t="shared" ca="1" si="30"/>
        <v>1.6007435363037232</v>
      </c>
      <c r="L130" s="63">
        <f t="shared" ca="1" si="30"/>
        <v>1.7117558402411455</v>
      </c>
      <c r="M130" s="63">
        <f t="shared" ca="1" si="30"/>
        <v>1.6339407125373946</v>
      </c>
      <c r="N130" s="63">
        <f t="shared" ca="1" si="30"/>
        <v>1.6552574124938375</v>
      </c>
      <c r="O130" s="63">
        <f t="shared" ca="1" si="30"/>
        <v>1.7795155306612354</v>
      </c>
      <c r="P130" s="63">
        <f t="shared" ca="1" si="30"/>
        <v>1.6996047430830037</v>
      </c>
      <c r="Q130" s="63">
        <f t="shared" ca="1" si="30"/>
        <v>2.0325877224326447</v>
      </c>
      <c r="R130" s="63">
        <f t="shared" ca="1" si="30"/>
        <v>2.6940483570985743</v>
      </c>
      <c r="S130" s="63">
        <f t="shared" ca="1" si="30"/>
        <v>2.2414069385465911</v>
      </c>
    </row>
    <row r="131" spans="1:19" x14ac:dyDescent="0.2">
      <c r="A131" s="51" t="str">
        <f t="shared" si="26"/>
        <v>YORW</v>
      </c>
      <c r="B131" s="46">
        <f t="shared" ca="1" si="27"/>
        <v>75</v>
      </c>
      <c r="C131" s="1">
        <f ca="1">IF(ISERROR(D131),"",IF(D131="","",MAX($C$121:C130)+1))</f>
        <v>31</v>
      </c>
      <c r="D131" t="str">
        <f t="shared" ca="1" si="28"/>
        <v>York Water Co. (The)</v>
      </c>
      <c r="E131" s="22"/>
      <c r="F131" s="63">
        <f t="shared" ca="1" si="31"/>
        <v>2.6188499607779376</v>
      </c>
      <c r="G131" s="63">
        <f t="shared" si="29"/>
        <v>3.085</v>
      </c>
      <c r="H131" s="63">
        <f ca="1">IFERROR(VLOOKUP($A131,LASTYR,'2017'!$M$3,FALSE),"N/A")</f>
        <v>3.7700517464424319</v>
      </c>
      <c r="I131" s="63" t="str">
        <f t="shared" ca="1" si="30"/>
        <v>N/A</v>
      </c>
      <c r="J131" s="63">
        <f t="shared" ca="1" si="30"/>
        <v>2.6802537295900386</v>
      </c>
      <c r="K131" s="63">
        <f t="shared" ca="1" si="30"/>
        <v>2.5188957055214725</v>
      </c>
      <c r="L131" s="63">
        <f t="shared" ca="1" si="30"/>
        <v>2.469843260188088</v>
      </c>
      <c r="M131" s="63">
        <f t="shared" ca="1" si="30"/>
        <v>2.2777274492040895</v>
      </c>
      <c r="N131" s="63">
        <f t="shared" ca="1" si="30"/>
        <v>2.27917282127031</v>
      </c>
      <c r="O131" s="63">
        <f t="shared" ca="1" si="30"/>
        <v>2.0460361613351878</v>
      </c>
      <c r="P131" s="63">
        <f t="shared" ca="1" si="30"/>
        <v>2.0221066319895966</v>
      </c>
      <c r="Q131" s="63">
        <f t="shared" ca="1" si="30"/>
        <v>2.2825484764542936</v>
      </c>
      <c r="R131" s="63">
        <f t="shared" ca="1" si="30"/>
        <v>2.8884795713328866</v>
      </c>
      <c r="S131" s="63">
        <f t="shared" ca="1" si="30"/>
        <v>3.1060839760068548</v>
      </c>
    </row>
    <row r="132" spans="1:19" ht="14.25" hidden="1" customHeight="1" x14ac:dyDescent="0.2">
      <c r="A132" s="51">
        <f t="shared" si="26"/>
        <v>0</v>
      </c>
      <c r="B132" s="46" t="e">
        <f t="shared" ca="1" si="27"/>
        <v>#N/A</v>
      </c>
      <c r="C132" s="1" t="str">
        <f>IF(ISERROR(D132),"",IF(D132="","",MAX($C$121:C131)+1))</f>
        <v/>
      </c>
      <c r="D132" t="e">
        <f t="shared" si="28"/>
        <v>#N/A</v>
      </c>
      <c r="E132" s="22"/>
      <c r="F132" s="63" t="e">
        <f t="shared" ca="1" si="31"/>
        <v>#DIV/0!</v>
      </c>
      <c r="G132" s="63" t="str">
        <f t="shared" si="29"/>
        <v>N/A</v>
      </c>
      <c r="H132" s="63" t="str">
        <f ca="1">IFERROR(VLOOKUP($A132,LASTYR,'2017'!$M$3,FALSE),"N/A")</f>
        <v>N/A</v>
      </c>
      <c r="I132" s="63" t="str">
        <f t="shared" ca="1" si="30"/>
        <v>N/A</v>
      </c>
      <c r="J132" s="63" t="str">
        <f t="shared" ca="1" si="30"/>
        <v>N/A</v>
      </c>
      <c r="K132" s="63" t="str">
        <f t="shared" ca="1" si="30"/>
        <v>N/A</v>
      </c>
      <c r="L132" s="63" t="str">
        <f t="shared" ca="1" si="30"/>
        <v>N/A</v>
      </c>
      <c r="M132" s="63" t="str">
        <f t="shared" ca="1" si="30"/>
        <v>N/A</v>
      </c>
      <c r="N132" s="63" t="str">
        <f t="shared" ca="1" si="30"/>
        <v>N/A</v>
      </c>
      <c r="O132" s="63" t="str">
        <f t="shared" ca="1" si="30"/>
        <v>N/A</v>
      </c>
      <c r="P132" s="63" t="str">
        <f t="shared" ca="1" si="30"/>
        <v>N/A</v>
      </c>
      <c r="Q132" s="63" t="str">
        <f t="shared" ca="1" si="30"/>
        <v>N/A</v>
      </c>
      <c r="R132" s="63" t="str">
        <f t="shared" ca="1" si="30"/>
        <v>N/A</v>
      </c>
      <c r="S132" s="63" t="str">
        <f t="shared" ca="1" si="30"/>
        <v>N/A</v>
      </c>
    </row>
    <row r="133" spans="1:19" ht="14.25" hidden="1" customHeight="1" x14ac:dyDescent="0.2">
      <c r="A133" s="51">
        <f t="shared" si="26"/>
        <v>0</v>
      </c>
      <c r="B133" s="46" t="e">
        <f t="shared" ca="1" si="27"/>
        <v>#N/A</v>
      </c>
      <c r="C133" s="1" t="str">
        <f>IF(ISERROR(D133),"",IF(D133="","",MAX($C$121:C132)+1))</f>
        <v/>
      </c>
      <c r="D133" t="e">
        <f t="shared" si="28"/>
        <v>#N/A</v>
      </c>
      <c r="E133" s="22"/>
      <c r="F133" s="63" t="e">
        <f t="shared" ca="1" si="31"/>
        <v>#DIV/0!</v>
      </c>
      <c r="G133" s="63" t="str">
        <f t="shared" si="29"/>
        <v>N/A</v>
      </c>
      <c r="H133" s="63" t="str">
        <f ca="1">IFERROR(VLOOKUP($A133,LASTYR,'2017'!$M$3,FALSE),"N/A")</f>
        <v>N/A</v>
      </c>
      <c r="I133" s="63" t="str">
        <f t="shared" ca="1" si="30"/>
        <v>N/A</v>
      </c>
      <c r="J133" s="63" t="str">
        <f t="shared" ca="1" si="30"/>
        <v>N/A</v>
      </c>
      <c r="K133" s="63" t="str">
        <f t="shared" ca="1" si="30"/>
        <v>N/A</v>
      </c>
      <c r="L133" s="63" t="str">
        <f t="shared" ca="1" si="30"/>
        <v>N/A</v>
      </c>
      <c r="M133" s="63" t="str">
        <f t="shared" ca="1" si="30"/>
        <v>N/A</v>
      </c>
      <c r="N133" s="63" t="str">
        <f t="shared" ca="1" si="30"/>
        <v>N/A</v>
      </c>
      <c r="O133" s="63" t="str">
        <f t="shared" ca="1" si="30"/>
        <v>N/A</v>
      </c>
      <c r="P133" s="63" t="str">
        <f t="shared" ca="1" si="30"/>
        <v>N/A</v>
      </c>
      <c r="Q133" s="63" t="str">
        <f t="shared" ca="1" si="30"/>
        <v>N/A</v>
      </c>
      <c r="R133" s="63" t="str">
        <f t="shared" ca="1" si="30"/>
        <v>N/A</v>
      </c>
      <c r="S133" s="63" t="str">
        <f t="shared" ca="1" si="30"/>
        <v>N/A</v>
      </c>
    </row>
    <row r="134" spans="1:19" ht="14.25" hidden="1" customHeight="1" x14ac:dyDescent="0.2">
      <c r="A134" s="51">
        <f t="shared" si="26"/>
        <v>0</v>
      </c>
      <c r="B134" s="46" t="e">
        <f t="shared" ca="1" si="27"/>
        <v>#N/A</v>
      </c>
      <c r="C134" s="1" t="str">
        <f>IF(ISERROR(D134),"",IF(D134="","",MAX($C$121:C133)+1))</f>
        <v/>
      </c>
      <c r="D134" t="e">
        <f t="shared" si="28"/>
        <v>#N/A</v>
      </c>
      <c r="E134" s="22"/>
      <c r="F134" s="63" t="e">
        <f t="shared" ca="1" si="31"/>
        <v>#DIV/0!</v>
      </c>
      <c r="G134" s="63" t="str">
        <f t="shared" si="29"/>
        <v>N/A</v>
      </c>
      <c r="H134" s="63"/>
      <c r="I134" s="63" t="str">
        <f t="shared" ca="1" si="30"/>
        <v>N/A</v>
      </c>
      <c r="J134" s="63" t="str">
        <f t="shared" ca="1" si="30"/>
        <v>N/A</v>
      </c>
      <c r="K134" s="63" t="str">
        <f t="shared" ca="1" si="30"/>
        <v>N/A</v>
      </c>
      <c r="L134" s="63" t="str">
        <f t="shared" ca="1" si="30"/>
        <v>N/A</v>
      </c>
      <c r="M134" s="63" t="str">
        <f t="shared" ca="1" si="30"/>
        <v>N/A</v>
      </c>
      <c r="N134" s="63" t="str">
        <f t="shared" ca="1" si="30"/>
        <v>N/A</v>
      </c>
      <c r="O134" s="63" t="str">
        <f t="shared" ca="1" si="30"/>
        <v>N/A</v>
      </c>
      <c r="P134" s="63" t="str">
        <f t="shared" ca="1" si="30"/>
        <v>N/A</v>
      </c>
      <c r="Q134" s="63" t="str">
        <f t="shared" ca="1" si="30"/>
        <v>N/A</v>
      </c>
      <c r="R134" s="63" t="str">
        <f t="shared" ca="1" si="30"/>
        <v>N/A</v>
      </c>
      <c r="S134" s="63" t="str">
        <f t="shared" ca="1" si="30"/>
        <v>N/A</v>
      </c>
    </row>
    <row r="135" spans="1:19" ht="14.25" hidden="1" customHeight="1" x14ac:dyDescent="0.2">
      <c r="A135" s="51">
        <f t="shared" si="26"/>
        <v>0</v>
      </c>
      <c r="B135" s="46" t="e">
        <f t="shared" ca="1" si="27"/>
        <v>#N/A</v>
      </c>
      <c r="C135" s="1" t="str">
        <f>IF(ISERROR(D135),"",IF(D135="","",MAX($C$121:C134)+1))</f>
        <v/>
      </c>
      <c r="D135" t="e">
        <f t="shared" si="28"/>
        <v>#N/A</v>
      </c>
      <c r="E135" s="22"/>
      <c r="F135" s="63" t="e">
        <f t="shared" ca="1" si="31"/>
        <v>#DIV/0!</v>
      </c>
      <c r="G135" s="63" t="str">
        <f t="shared" si="29"/>
        <v>N/A</v>
      </c>
      <c r="H135" s="63"/>
      <c r="I135" s="63" t="str">
        <f t="shared" ca="1" si="30"/>
        <v>N/A</v>
      </c>
      <c r="J135" s="63" t="str">
        <f t="shared" ca="1" si="30"/>
        <v>N/A</v>
      </c>
      <c r="K135" s="63" t="str">
        <f t="shared" ca="1" si="30"/>
        <v>N/A</v>
      </c>
      <c r="L135" s="63" t="str">
        <f t="shared" ca="1" si="30"/>
        <v>N/A</v>
      </c>
      <c r="M135" s="63" t="str">
        <f t="shared" ca="1" si="30"/>
        <v>N/A</v>
      </c>
      <c r="N135" s="63" t="str">
        <f t="shared" ca="1" si="30"/>
        <v>N/A</v>
      </c>
      <c r="O135" s="63" t="str">
        <f t="shared" ca="1" si="30"/>
        <v>N/A</v>
      </c>
      <c r="P135" s="63" t="str">
        <f t="shared" ca="1" si="30"/>
        <v>N/A</v>
      </c>
      <c r="Q135" s="63" t="str">
        <f t="shared" ca="1" si="30"/>
        <v>N/A</v>
      </c>
      <c r="R135" s="63" t="str">
        <f t="shared" ca="1" si="30"/>
        <v>N/A</v>
      </c>
      <c r="S135" s="63" t="str">
        <f t="shared" ca="1" si="30"/>
        <v>N/A</v>
      </c>
    </row>
    <row r="136" spans="1:19" ht="14.25" hidden="1" customHeight="1" x14ac:dyDescent="0.2">
      <c r="A136" s="51">
        <f t="shared" si="26"/>
        <v>0</v>
      </c>
      <c r="B136" s="46" t="e">
        <f t="shared" ca="1" si="27"/>
        <v>#N/A</v>
      </c>
      <c r="C136" s="1" t="str">
        <f>IF(ISERROR(D136),"",IF(D136="","",MAX($C$121:C135)+1))</f>
        <v/>
      </c>
      <c r="D136" t="e">
        <f t="shared" si="28"/>
        <v>#N/A</v>
      </c>
      <c r="E136" s="22"/>
      <c r="F136" s="63" t="e">
        <f t="shared" ca="1" si="31"/>
        <v>#DIV/0!</v>
      </c>
      <c r="G136" s="63" t="str">
        <f t="shared" si="29"/>
        <v>N/A</v>
      </c>
      <c r="H136" s="63"/>
      <c r="I136" s="63" t="str">
        <f t="shared" ca="1" si="30"/>
        <v>N/A</v>
      </c>
      <c r="J136" s="63" t="str">
        <f t="shared" ca="1" si="30"/>
        <v>N/A</v>
      </c>
      <c r="K136" s="63" t="str">
        <f t="shared" ca="1" si="30"/>
        <v>N/A</v>
      </c>
      <c r="L136" s="63" t="str">
        <f t="shared" ca="1" si="30"/>
        <v>N/A</v>
      </c>
      <c r="M136" s="63" t="str">
        <f t="shared" ca="1" si="30"/>
        <v>N/A</v>
      </c>
      <c r="N136" s="63" t="str">
        <f t="shared" ca="1" si="30"/>
        <v>N/A</v>
      </c>
      <c r="O136" s="63" t="str">
        <f t="shared" ca="1" si="30"/>
        <v>N/A</v>
      </c>
      <c r="P136" s="63" t="str">
        <f t="shared" ca="1" si="30"/>
        <v>N/A</v>
      </c>
      <c r="Q136" s="63" t="str">
        <f t="shared" ca="1" si="30"/>
        <v>N/A</v>
      </c>
      <c r="R136" s="63" t="str">
        <f t="shared" ca="1" si="30"/>
        <v>N/A</v>
      </c>
      <c r="S136" s="63" t="str">
        <f t="shared" ca="1" si="30"/>
        <v>N/A</v>
      </c>
    </row>
    <row r="137" spans="1:19" ht="14.25" hidden="1" customHeight="1" x14ac:dyDescent="0.2">
      <c r="A137" s="51">
        <f t="shared" si="26"/>
        <v>0</v>
      </c>
      <c r="B137" s="46" t="e">
        <f t="shared" ca="1" si="27"/>
        <v>#N/A</v>
      </c>
      <c r="C137" s="1" t="str">
        <f>IF(ISERROR(D137),"",IF(D137="","",MAX($C$121:C136)+1))</f>
        <v/>
      </c>
      <c r="D137" t="e">
        <f t="shared" si="28"/>
        <v>#N/A</v>
      </c>
      <c r="E137" s="22"/>
      <c r="F137" s="63" t="e">
        <f t="shared" ca="1" si="31"/>
        <v>#DIV/0!</v>
      </c>
      <c r="G137" s="63" t="str">
        <f t="shared" si="29"/>
        <v>N/A</v>
      </c>
      <c r="H137" s="63"/>
      <c r="I137" s="63" t="str">
        <f t="shared" ca="1" si="30"/>
        <v>N/A</v>
      </c>
      <c r="J137" s="63" t="str">
        <f t="shared" ca="1" si="30"/>
        <v>N/A</v>
      </c>
      <c r="K137" s="63" t="str">
        <f t="shared" ca="1" si="30"/>
        <v>N/A</v>
      </c>
      <c r="L137" s="63" t="str">
        <f t="shared" ca="1" si="30"/>
        <v>N/A</v>
      </c>
      <c r="M137" s="63" t="str">
        <f t="shared" ca="1" si="30"/>
        <v>N/A</v>
      </c>
      <c r="N137" s="63" t="str">
        <f t="shared" ca="1" si="30"/>
        <v>N/A</v>
      </c>
      <c r="O137" s="63" t="str">
        <f t="shared" ca="1" si="30"/>
        <v>N/A</v>
      </c>
      <c r="P137" s="63" t="str">
        <f t="shared" ca="1" si="30"/>
        <v>N/A</v>
      </c>
      <c r="Q137" s="63" t="str">
        <f t="shared" ca="1" si="30"/>
        <v>N/A</v>
      </c>
      <c r="R137" s="63" t="str">
        <f t="shared" ca="1" si="30"/>
        <v>N/A</v>
      </c>
      <c r="S137" s="63" t="str">
        <f t="shared" ca="1" si="30"/>
        <v>N/A</v>
      </c>
    </row>
    <row r="138" spans="1:19" ht="14.25" hidden="1" customHeight="1" x14ac:dyDescent="0.2">
      <c r="A138" s="51">
        <f t="shared" si="26"/>
        <v>0</v>
      </c>
      <c r="B138" s="46" t="e">
        <f t="shared" ca="1" si="27"/>
        <v>#N/A</v>
      </c>
      <c r="C138" s="1" t="str">
        <f>IF(ISERROR(D138),"",IF(D138="","",MAX($C$121:C137)+1))</f>
        <v/>
      </c>
      <c r="D138" t="e">
        <f t="shared" si="28"/>
        <v>#N/A</v>
      </c>
      <c r="E138" s="22"/>
      <c r="F138" s="63" t="e">
        <f t="shared" ca="1" si="31"/>
        <v>#DIV/0!</v>
      </c>
      <c r="G138" s="63" t="str">
        <f t="shared" si="29"/>
        <v>N/A</v>
      </c>
      <c r="H138" s="63"/>
      <c r="I138" s="63" t="str">
        <f t="shared" ca="1" si="30"/>
        <v>N/A</v>
      </c>
      <c r="J138" s="63" t="str">
        <f t="shared" ca="1" si="30"/>
        <v>N/A</v>
      </c>
      <c r="K138" s="63" t="str">
        <f t="shared" ca="1" si="30"/>
        <v>N/A</v>
      </c>
      <c r="L138" s="63" t="str">
        <f t="shared" ca="1" si="30"/>
        <v>N/A</v>
      </c>
      <c r="M138" s="63" t="str">
        <f t="shared" ca="1" si="30"/>
        <v>N/A</v>
      </c>
      <c r="N138" s="63" t="str">
        <f t="shared" ca="1" si="30"/>
        <v>N/A</v>
      </c>
      <c r="O138" s="63" t="str">
        <f t="shared" ca="1" si="30"/>
        <v>N/A</v>
      </c>
      <c r="P138" s="63" t="str">
        <f t="shared" ca="1" si="30"/>
        <v>N/A</v>
      </c>
      <c r="Q138" s="63" t="str">
        <f t="shared" ca="1" si="30"/>
        <v>N/A</v>
      </c>
      <c r="R138" s="63" t="str">
        <f t="shared" ca="1" si="30"/>
        <v>N/A</v>
      </c>
      <c r="S138" s="63" t="str">
        <f t="shared" ca="1" si="30"/>
        <v>N/A</v>
      </c>
    </row>
    <row r="139" spans="1:19" ht="14.25" hidden="1" customHeight="1" x14ac:dyDescent="0.2">
      <c r="A139" s="51">
        <f t="shared" si="26"/>
        <v>0</v>
      </c>
      <c r="B139" s="46" t="e">
        <f t="shared" ca="1" si="27"/>
        <v>#N/A</v>
      </c>
      <c r="C139" s="1" t="str">
        <f>IF(ISERROR(D139),"",IF(D139="","",MAX($C$121:C138)+1))</f>
        <v/>
      </c>
      <c r="D139" t="e">
        <f t="shared" si="28"/>
        <v>#N/A</v>
      </c>
      <c r="E139" s="22"/>
      <c r="F139" s="63" t="e">
        <f t="shared" ca="1" si="31"/>
        <v>#DIV/0!</v>
      </c>
      <c r="G139" s="63" t="str">
        <f t="shared" si="29"/>
        <v>N/A</v>
      </c>
      <c r="H139" s="63"/>
      <c r="I139" s="63" t="str">
        <f t="shared" ref="I139:S162" ca="1" si="32">IFERROR(IF(INDEX(MP_BV_WP,$B139,I$122)=0,"N/A",INDEX(MP_BV_WP,$B139,I$122)),"N/A")</f>
        <v>N/A</v>
      </c>
      <c r="J139" s="63" t="str">
        <f t="shared" ca="1" si="32"/>
        <v>N/A</v>
      </c>
      <c r="K139" s="63" t="str">
        <f t="shared" ca="1" si="32"/>
        <v>N/A</v>
      </c>
      <c r="L139" s="63" t="str">
        <f t="shared" ca="1" si="32"/>
        <v>N/A</v>
      </c>
      <c r="M139" s="63" t="str">
        <f t="shared" ca="1" si="32"/>
        <v>N/A</v>
      </c>
      <c r="N139" s="63" t="str">
        <f t="shared" ca="1" si="32"/>
        <v>N/A</v>
      </c>
      <c r="O139" s="63" t="str">
        <f t="shared" ca="1" si="32"/>
        <v>N/A</v>
      </c>
      <c r="P139" s="63" t="str">
        <f t="shared" ca="1" si="32"/>
        <v>N/A</v>
      </c>
      <c r="Q139" s="63" t="str">
        <f t="shared" ca="1" si="32"/>
        <v>N/A</v>
      </c>
      <c r="R139" s="63" t="str">
        <f t="shared" ca="1" si="32"/>
        <v>N/A</v>
      </c>
      <c r="S139" s="63" t="str">
        <f t="shared" ca="1" si="32"/>
        <v>N/A</v>
      </c>
    </row>
    <row r="140" spans="1:19" ht="14.25" hidden="1" customHeight="1" x14ac:dyDescent="0.2">
      <c r="A140" s="51">
        <f t="shared" si="26"/>
        <v>0</v>
      </c>
      <c r="B140" s="46" t="e">
        <f t="shared" ca="1" si="27"/>
        <v>#N/A</v>
      </c>
      <c r="C140" s="1" t="str">
        <f>IF(ISERROR(D140),"",IF(D140="","",MAX($C$121:C139)+1))</f>
        <v/>
      </c>
      <c r="D140" t="e">
        <f t="shared" si="28"/>
        <v>#N/A</v>
      </c>
      <c r="E140" s="22"/>
      <c r="F140" s="63" t="e">
        <f t="shared" ca="1" si="31"/>
        <v>#DIV/0!</v>
      </c>
      <c r="G140" s="63" t="str">
        <f t="shared" si="29"/>
        <v>N/A</v>
      </c>
      <c r="H140" s="63"/>
      <c r="I140" s="63" t="str">
        <f t="shared" ca="1" si="32"/>
        <v>N/A</v>
      </c>
      <c r="J140" s="63" t="str">
        <f t="shared" ca="1" si="32"/>
        <v>N/A</v>
      </c>
      <c r="K140" s="63" t="str">
        <f t="shared" ca="1" si="32"/>
        <v>N/A</v>
      </c>
      <c r="L140" s="63" t="str">
        <f t="shared" ca="1" si="32"/>
        <v>N/A</v>
      </c>
      <c r="M140" s="63" t="str">
        <f t="shared" ca="1" si="32"/>
        <v>N/A</v>
      </c>
      <c r="N140" s="63" t="str">
        <f t="shared" ca="1" si="32"/>
        <v>N/A</v>
      </c>
      <c r="O140" s="63" t="str">
        <f t="shared" ca="1" si="32"/>
        <v>N/A</v>
      </c>
      <c r="P140" s="63" t="str">
        <f t="shared" ca="1" si="32"/>
        <v>N/A</v>
      </c>
      <c r="Q140" s="63" t="str">
        <f t="shared" ca="1" si="32"/>
        <v>N/A</v>
      </c>
      <c r="R140" s="63" t="str">
        <f t="shared" ca="1" si="32"/>
        <v>N/A</v>
      </c>
      <c r="S140" s="63" t="str">
        <f t="shared" ca="1" si="32"/>
        <v>N/A</v>
      </c>
    </row>
    <row r="141" spans="1:19" ht="14.25" hidden="1" customHeight="1" x14ac:dyDescent="0.2">
      <c r="A141" s="51">
        <f t="shared" si="26"/>
        <v>0</v>
      </c>
      <c r="B141" s="46" t="e">
        <f t="shared" ca="1" si="27"/>
        <v>#N/A</v>
      </c>
      <c r="C141" s="1" t="str">
        <f>IF(ISERROR(D141),"",IF(D141="","",MAX($C$121:C140)+1))</f>
        <v/>
      </c>
      <c r="D141" t="e">
        <f t="shared" si="28"/>
        <v>#N/A</v>
      </c>
      <c r="E141" s="22"/>
      <c r="F141" s="63" t="e">
        <f t="shared" ca="1" si="31"/>
        <v>#DIV/0!</v>
      </c>
      <c r="G141" s="63" t="str">
        <f t="shared" si="29"/>
        <v>N/A</v>
      </c>
      <c r="H141" s="63"/>
      <c r="I141" s="63" t="str">
        <f t="shared" ca="1" si="32"/>
        <v>N/A</v>
      </c>
      <c r="J141" s="63" t="str">
        <f t="shared" ca="1" si="32"/>
        <v>N/A</v>
      </c>
      <c r="K141" s="63" t="str">
        <f t="shared" ca="1" si="32"/>
        <v>N/A</v>
      </c>
      <c r="L141" s="63" t="str">
        <f t="shared" ca="1" si="32"/>
        <v>N/A</v>
      </c>
      <c r="M141" s="63" t="str">
        <f t="shared" ca="1" si="32"/>
        <v>N/A</v>
      </c>
      <c r="N141" s="63" t="str">
        <f t="shared" ca="1" si="32"/>
        <v>N/A</v>
      </c>
      <c r="O141" s="63" t="str">
        <f t="shared" ca="1" si="32"/>
        <v>N/A</v>
      </c>
      <c r="P141" s="63" t="str">
        <f t="shared" ca="1" si="32"/>
        <v>N/A</v>
      </c>
      <c r="Q141" s="63" t="str">
        <f t="shared" ca="1" si="32"/>
        <v>N/A</v>
      </c>
      <c r="R141" s="63" t="str">
        <f t="shared" ca="1" si="32"/>
        <v>N/A</v>
      </c>
      <c r="S141" s="63" t="str">
        <f t="shared" ca="1" si="32"/>
        <v>N/A</v>
      </c>
    </row>
    <row r="142" spans="1:19" ht="14.25" hidden="1" customHeight="1" x14ac:dyDescent="0.2">
      <c r="A142" s="51">
        <f t="shared" si="26"/>
        <v>0</v>
      </c>
      <c r="B142" s="46" t="e">
        <f t="shared" ca="1" si="27"/>
        <v>#N/A</v>
      </c>
      <c r="C142" s="1" t="str">
        <f>IF(ISERROR(D142),"",IF(D142="","",MAX($C$121:C141)+1))</f>
        <v/>
      </c>
      <c r="D142" t="e">
        <f t="shared" si="28"/>
        <v>#N/A</v>
      </c>
      <c r="E142" s="22"/>
      <c r="F142" s="63" t="e">
        <f t="shared" ca="1" si="31"/>
        <v>#DIV/0!</v>
      </c>
      <c r="G142" s="63" t="str">
        <f t="shared" si="29"/>
        <v>N/A</v>
      </c>
      <c r="H142" s="63"/>
      <c r="I142" s="63" t="str">
        <f t="shared" ca="1" si="32"/>
        <v>N/A</v>
      </c>
      <c r="J142" s="63" t="str">
        <f t="shared" ca="1" si="32"/>
        <v>N/A</v>
      </c>
      <c r="K142" s="63" t="str">
        <f t="shared" ca="1" si="32"/>
        <v>N/A</v>
      </c>
      <c r="L142" s="63" t="str">
        <f t="shared" ca="1" si="32"/>
        <v>N/A</v>
      </c>
      <c r="M142" s="63" t="str">
        <f t="shared" ca="1" si="32"/>
        <v>N/A</v>
      </c>
      <c r="N142" s="63" t="str">
        <f t="shared" ca="1" si="32"/>
        <v>N/A</v>
      </c>
      <c r="O142" s="63" t="str">
        <f t="shared" ca="1" si="32"/>
        <v>N/A</v>
      </c>
      <c r="P142" s="63" t="str">
        <f t="shared" ca="1" si="32"/>
        <v>N/A</v>
      </c>
      <c r="Q142" s="63" t="str">
        <f t="shared" ca="1" si="32"/>
        <v>N/A</v>
      </c>
      <c r="R142" s="63" t="str">
        <f t="shared" ca="1" si="32"/>
        <v>N/A</v>
      </c>
      <c r="S142" s="63" t="str">
        <f t="shared" ca="1" si="32"/>
        <v>N/A</v>
      </c>
    </row>
    <row r="143" spans="1:19" ht="14.25" hidden="1" customHeight="1" x14ac:dyDescent="0.2">
      <c r="A143" s="51">
        <f t="shared" si="26"/>
        <v>0</v>
      </c>
      <c r="B143" s="46" t="e">
        <f t="shared" ca="1" si="27"/>
        <v>#N/A</v>
      </c>
      <c r="C143" s="1" t="str">
        <f>IF(ISERROR(D143),"",IF(D143="","",MAX($C$121:C142)+1))</f>
        <v/>
      </c>
      <c r="D143" t="e">
        <f t="shared" si="28"/>
        <v>#N/A</v>
      </c>
      <c r="E143" s="22"/>
      <c r="F143" s="63" t="e">
        <f t="shared" ca="1" si="31"/>
        <v>#DIV/0!</v>
      </c>
      <c r="G143" s="63" t="str">
        <f t="shared" si="29"/>
        <v>N/A</v>
      </c>
      <c r="H143" s="63"/>
      <c r="I143" s="63" t="str">
        <f t="shared" ca="1" si="32"/>
        <v>N/A</v>
      </c>
      <c r="J143" s="63" t="str">
        <f t="shared" ca="1" si="32"/>
        <v>N/A</v>
      </c>
      <c r="K143" s="63" t="str">
        <f t="shared" ca="1" si="32"/>
        <v>N/A</v>
      </c>
      <c r="L143" s="63" t="str">
        <f t="shared" ca="1" si="32"/>
        <v>N/A</v>
      </c>
      <c r="M143" s="63" t="str">
        <f t="shared" ca="1" si="32"/>
        <v>N/A</v>
      </c>
      <c r="N143" s="63" t="str">
        <f t="shared" ca="1" si="32"/>
        <v>N/A</v>
      </c>
      <c r="O143" s="63" t="str">
        <f t="shared" ca="1" si="32"/>
        <v>N/A</v>
      </c>
      <c r="P143" s="63" t="str">
        <f t="shared" ca="1" si="32"/>
        <v>N/A</v>
      </c>
      <c r="Q143" s="63" t="str">
        <f t="shared" ca="1" si="32"/>
        <v>N/A</v>
      </c>
      <c r="R143" s="63" t="str">
        <f t="shared" ca="1" si="32"/>
        <v>N/A</v>
      </c>
      <c r="S143" s="63" t="str">
        <f t="shared" ca="1" si="32"/>
        <v>N/A</v>
      </c>
    </row>
    <row r="144" spans="1:19" ht="14.25" hidden="1" customHeight="1" x14ac:dyDescent="0.2">
      <c r="A144" s="51">
        <f t="shared" si="26"/>
        <v>0</v>
      </c>
      <c r="B144" s="46" t="e">
        <f t="shared" ca="1" si="27"/>
        <v>#N/A</v>
      </c>
      <c r="C144" s="1" t="str">
        <f>IF(ISERROR(D144),"",IF(D144="","",MAX($C$121:C143)+1))</f>
        <v/>
      </c>
      <c r="D144" t="e">
        <f t="shared" si="28"/>
        <v>#N/A</v>
      </c>
      <c r="E144" s="22"/>
      <c r="F144" s="63" t="e">
        <f t="shared" ca="1" si="31"/>
        <v>#DIV/0!</v>
      </c>
      <c r="G144" s="63" t="str">
        <f t="shared" si="29"/>
        <v>N/A</v>
      </c>
      <c r="H144" s="63"/>
      <c r="I144" s="63" t="str">
        <f t="shared" ca="1" si="32"/>
        <v>N/A</v>
      </c>
      <c r="J144" s="63" t="str">
        <f t="shared" ca="1" si="32"/>
        <v>N/A</v>
      </c>
      <c r="K144" s="63" t="str">
        <f t="shared" ca="1" si="32"/>
        <v>N/A</v>
      </c>
      <c r="L144" s="63" t="str">
        <f t="shared" ca="1" si="32"/>
        <v>N/A</v>
      </c>
      <c r="M144" s="63" t="str">
        <f t="shared" ca="1" si="32"/>
        <v>N/A</v>
      </c>
      <c r="N144" s="63" t="str">
        <f t="shared" ca="1" si="32"/>
        <v>N/A</v>
      </c>
      <c r="O144" s="63" t="str">
        <f t="shared" ca="1" si="32"/>
        <v>N/A</v>
      </c>
      <c r="P144" s="63" t="str">
        <f t="shared" ca="1" si="32"/>
        <v>N/A</v>
      </c>
      <c r="Q144" s="63" t="str">
        <f t="shared" ca="1" si="32"/>
        <v>N/A</v>
      </c>
      <c r="R144" s="63" t="str">
        <f t="shared" ca="1" si="32"/>
        <v>N/A</v>
      </c>
      <c r="S144" s="63" t="str">
        <f t="shared" ca="1" si="32"/>
        <v>N/A</v>
      </c>
    </row>
    <row r="145" spans="1:19" ht="14.25" hidden="1" customHeight="1" x14ac:dyDescent="0.2">
      <c r="A145" s="51">
        <f t="shared" si="26"/>
        <v>0</v>
      </c>
      <c r="B145" s="46" t="e">
        <f t="shared" ca="1" si="27"/>
        <v>#N/A</v>
      </c>
      <c r="C145" s="1" t="str">
        <f>IF(ISERROR(D145),"",IF(D145="","",MAX($C$121:C144)+1))</f>
        <v/>
      </c>
      <c r="D145" t="e">
        <f t="shared" si="28"/>
        <v>#N/A</v>
      </c>
      <c r="E145" s="22"/>
      <c r="F145" s="63" t="e">
        <f t="shared" ca="1" si="31"/>
        <v>#DIV/0!</v>
      </c>
      <c r="G145" s="63" t="str">
        <f t="shared" si="29"/>
        <v>N/A</v>
      </c>
      <c r="H145" s="63"/>
      <c r="I145" s="63" t="str">
        <f t="shared" ca="1" si="32"/>
        <v>N/A</v>
      </c>
      <c r="J145" s="63" t="str">
        <f t="shared" ca="1" si="32"/>
        <v>N/A</v>
      </c>
      <c r="K145" s="63" t="str">
        <f t="shared" ca="1" si="32"/>
        <v>N/A</v>
      </c>
      <c r="L145" s="63" t="str">
        <f t="shared" ca="1" si="32"/>
        <v>N/A</v>
      </c>
      <c r="M145" s="63" t="str">
        <f t="shared" ca="1" si="32"/>
        <v>N/A</v>
      </c>
      <c r="N145" s="63" t="str">
        <f t="shared" ca="1" si="32"/>
        <v>N/A</v>
      </c>
      <c r="O145" s="63" t="str">
        <f t="shared" ca="1" si="32"/>
        <v>N/A</v>
      </c>
      <c r="P145" s="63" t="str">
        <f t="shared" ca="1" si="32"/>
        <v>N/A</v>
      </c>
      <c r="Q145" s="63" t="str">
        <f t="shared" ca="1" si="32"/>
        <v>N/A</v>
      </c>
      <c r="R145" s="63" t="str">
        <f t="shared" ca="1" si="32"/>
        <v>N/A</v>
      </c>
      <c r="S145" s="63" t="str">
        <f t="shared" ca="1" si="32"/>
        <v>N/A</v>
      </c>
    </row>
    <row r="146" spans="1:19" ht="14.25" hidden="1" customHeight="1" x14ac:dyDescent="0.2">
      <c r="A146" s="51">
        <f t="shared" si="26"/>
        <v>0</v>
      </c>
      <c r="B146" s="46" t="e">
        <f t="shared" ca="1" si="27"/>
        <v>#N/A</v>
      </c>
      <c r="C146" s="1" t="str">
        <f>IF(ISERROR(D146),"",IF(D146="","",MAX($C$121:C145)+1))</f>
        <v/>
      </c>
      <c r="D146" t="e">
        <f t="shared" si="28"/>
        <v>#N/A</v>
      </c>
      <c r="E146" s="22"/>
      <c r="F146" s="63" t="e">
        <f t="shared" ca="1" si="31"/>
        <v>#DIV/0!</v>
      </c>
      <c r="G146" s="63" t="str">
        <f t="shared" si="29"/>
        <v>N/A</v>
      </c>
      <c r="H146" s="63"/>
      <c r="I146" s="63" t="str">
        <f t="shared" ca="1" si="32"/>
        <v>N/A</v>
      </c>
      <c r="J146" s="63" t="str">
        <f t="shared" ca="1" si="32"/>
        <v>N/A</v>
      </c>
      <c r="K146" s="63" t="str">
        <f t="shared" ca="1" si="32"/>
        <v>N/A</v>
      </c>
      <c r="L146" s="63" t="str">
        <f t="shared" ca="1" si="32"/>
        <v>N/A</v>
      </c>
      <c r="M146" s="63" t="str">
        <f t="shared" ca="1" si="32"/>
        <v>N/A</v>
      </c>
      <c r="N146" s="63" t="str">
        <f t="shared" ca="1" si="32"/>
        <v>N/A</v>
      </c>
      <c r="O146" s="63" t="str">
        <f t="shared" ca="1" si="32"/>
        <v>N/A</v>
      </c>
      <c r="P146" s="63" t="str">
        <f t="shared" ca="1" si="32"/>
        <v>N/A</v>
      </c>
      <c r="Q146" s="63" t="str">
        <f t="shared" ca="1" si="32"/>
        <v>N/A</v>
      </c>
      <c r="R146" s="63" t="str">
        <f t="shared" ca="1" si="32"/>
        <v>N/A</v>
      </c>
      <c r="S146" s="63" t="str">
        <f t="shared" ca="1" si="32"/>
        <v>N/A</v>
      </c>
    </row>
    <row r="147" spans="1:19" ht="14.25" hidden="1" customHeight="1" x14ac:dyDescent="0.2">
      <c r="A147" s="51">
        <f t="shared" si="26"/>
        <v>0</v>
      </c>
      <c r="B147" s="46" t="e">
        <f t="shared" ca="1" si="27"/>
        <v>#N/A</v>
      </c>
      <c r="C147" s="1" t="str">
        <f>IF(ISERROR(D147),"",IF(D147="","",MAX($C$121:C146)+1))</f>
        <v/>
      </c>
      <c r="D147" t="e">
        <f t="shared" si="28"/>
        <v>#N/A</v>
      </c>
      <c r="E147" s="22"/>
      <c r="F147" s="63" t="e">
        <f t="shared" ca="1" si="31"/>
        <v>#DIV/0!</v>
      </c>
      <c r="G147" s="63" t="str">
        <f t="shared" si="29"/>
        <v>N/A</v>
      </c>
      <c r="H147" s="63"/>
      <c r="I147" s="63" t="str">
        <f t="shared" ca="1" si="32"/>
        <v>N/A</v>
      </c>
      <c r="J147" s="63" t="str">
        <f t="shared" ca="1" si="32"/>
        <v>N/A</v>
      </c>
      <c r="K147" s="63" t="str">
        <f t="shared" ca="1" si="32"/>
        <v>N/A</v>
      </c>
      <c r="L147" s="63" t="str">
        <f t="shared" ca="1" si="32"/>
        <v>N/A</v>
      </c>
      <c r="M147" s="63" t="str">
        <f t="shared" ca="1" si="32"/>
        <v>N/A</v>
      </c>
      <c r="N147" s="63" t="str">
        <f t="shared" ca="1" si="32"/>
        <v>N/A</v>
      </c>
      <c r="O147" s="63" t="str">
        <f t="shared" ca="1" si="32"/>
        <v>N/A</v>
      </c>
      <c r="P147" s="63" t="str">
        <f t="shared" ca="1" si="32"/>
        <v>N/A</v>
      </c>
      <c r="Q147" s="63" t="str">
        <f t="shared" ca="1" si="32"/>
        <v>N/A</v>
      </c>
      <c r="R147" s="63" t="str">
        <f t="shared" ca="1" si="32"/>
        <v>N/A</v>
      </c>
      <c r="S147" s="63" t="str">
        <f t="shared" ca="1" si="32"/>
        <v>N/A</v>
      </c>
    </row>
    <row r="148" spans="1:19" ht="14.25" hidden="1" customHeight="1" x14ac:dyDescent="0.2">
      <c r="A148" s="51">
        <f t="shared" si="26"/>
        <v>0</v>
      </c>
      <c r="B148" s="46" t="e">
        <f t="shared" ca="1" si="27"/>
        <v>#N/A</v>
      </c>
      <c r="C148" s="1" t="str">
        <f>IF(ISERROR(D148),"",IF(D148="","",MAX($C$121:C147)+1))</f>
        <v/>
      </c>
      <c r="D148" t="e">
        <f t="shared" si="28"/>
        <v>#N/A</v>
      </c>
      <c r="E148" s="22"/>
      <c r="F148" s="63" t="e">
        <f t="shared" ca="1" si="31"/>
        <v>#DIV/0!</v>
      </c>
      <c r="G148" s="63" t="str">
        <f t="shared" si="29"/>
        <v>N/A</v>
      </c>
      <c r="H148" s="63"/>
      <c r="I148" s="63" t="str">
        <f t="shared" ca="1" si="32"/>
        <v>N/A</v>
      </c>
      <c r="J148" s="63" t="str">
        <f t="shared" ca="1" si="32"/>
        <v>N/A</v>
      </c>
      <c r="K148" s="63" t="str">
        <f t="shared" ca="1" si="32"/>
        <v>N/A</v>
      </c>
      <c r="L148" s="63" t="str">
        <f t="shared" ca="1" si="32"/>
        <v>N/A</v>
      </c>
      <c r="M148" s="63" t="str">
        <f t="shared" ca="1" si="32"/>
        <v>N/A</v>
      </c>
      <c r="N148" s="63" t="str">
        <f t="shared" ca="1" si="32"/>
        <v>N/A</v>
      </c>
      <c r="O148" s="63" t="str">
        <f t="shared" ca="1" si="32"/>
        <v>N/A</v>
      </c>
      <c r="P148" s="63" t="str">
        <f t="shared" ca="1" si="32"/>
        <v>N/A</v>
      </c>
      <c r="Q148" s="63" t="str">
        <f t="shared" ca="1" si="32"/>
        <v>N/A</v>
      </c>
      <c r="R148" s="63" t="str">
        <f t="shared" ca="1" si="32"/>
        <v>N/A</v>
      </c>
      <c r="S148" s="63" t="str">
        <f t="shared" ca="1" si="32"/>
        <v>N/A</v>
      </c>
    </row>
    <row r="149" spans="1:19" ht="14.25" hidden="1" customHeight="1" x14ac:dyDescent="0.2">
      <c r="A149" s="51">
        <f t="shared" si="26"/>
        <v>0</v>
      </c>
      <c r="B149" s="46" t="e">
        <f t="shared" ca="1" si="27"/>
        <v>#N/A</v>
      </c>
      <c r="C149" s="1" t="str">
        <f>IF(ISERROR(D149),"",IF(D149="","",MAX($C$121:C148)+1))</f>
        <v/>
      </c>
      <c r="D149" t="e">
        <f t="shared" si="28"/>
        <v>#N/A</v>
      </c>
      <c r="E149" s="22"/>
      <c r="F149" s="63" t="e">
        <f t="shared" ca="1" si="31"/>
        <v>#DIV/0!</v>
      </c>
      <c r="G149" s="63" t="str">
        <f t="shared" si="29"/>
        <v>N/A</v>
      </c>
      <c r="H149" s="63"/>
      <c r="I149" s="63" t="str">
        <f t="shared" ca="1" si="32"/>
        <v>N/A</v>
      </c>
      <c r="J149" s="63" t="str">
        <f t="shared" ca="1" si="32"/>
        <v>N/A</v>
      </c>
      <c r="K149" s="63" t="str">
        <f t="shared" ca="1" si="32"/>
        <v>N/A</v>
      </c>
      <c r="L149" s="63" t="str">
        <f t="shared" ca="1" si="32"/>
        <v>N/A</v>
      </c>
      <c r="M149" s="63" t="str">
        <f t="shared" ca="1" si="32"/>
        <v>N/A</v>
      </c>
      <c r="N149" s="63" t="str">
        <f t="shared" ca="1" si="32"/>
        <v>N/A</v>
      </c>
      <c r="O149" s="63" t="str">
        <f t="shared" ca="1" si="32"/>
        <v>N/A</v>
      </c>
      <c r="P149" s="63" t="str">
        <f t="shared" ca="1" si="32"/>
        <v>N/A</v>
      </c>
      <c r="Q149" s="63" t="str">
        <f t="shared" ca="1" si="32"/>
        <v>N/A</v>
      </c>
      <c r="R149" s="63" t="str">
        <f t="shared" ca="1" si="32"/>
        <v>N/A</v>
      </c>
      <c r="S149" s="63" t="str">
        <f t="shared" ca="1" si="32"/>
        <v>N/A</v>
      </c>
    </row>
    <row r="150" spans="1:19" ht="14.25" hidden="1" customHeight="1" x14ac:dyDescent="0.2">
      <c r="A150" s="51">
        <f t="shared" si="26"/>
        <v>0</v>
      </c>
      <c r="B150" s="46" t="e">
        <f t="shared" ca="1" si="27"/>
        <v>#N/A</v>
      </c>
      <c r="C150" s="1" t="str">
        <f>IF(ISERROR(D150),"",IF(D150="","",MAX($C$121:C149)+1))</f>
        <v/>
      </c>
      <c r="D150" t="e">
        <f t="shared" si="28"/>
        <v>#N/A</v>
      </c>
      <c r="E150" s="22"/>
      <c r="F150" s="63" t="e">
        <f t="shared" ca="1" si="31"/>
        <v>#DIV/0!</v>
      </c>
      <c r="G150" s="63" t="str">
        <f t="shared" si="29"/>
        <v>N/A</v>
      </c>
      <c r="H150" s="63"/>
      <c r="I150" s="63" t="str">
        <f t="shared" ca="1" si="32"/>
        <v>N/A</v>
      </c>
      <c r="J150" s="63" t="str">
        <f t="shared" ca="1" si="32"/>
        <v>N/A</v>
      </c>
      <c r="K150" s="63" t="str">
        <f t="shared" ca="1" si="32"/>
        <v>N/A</v>
      </c>
      <c r="L150" s="63" t="str">
        <f t="shared" ca="1" si="32"/>
        <v>N/A</v>
      </c>
      <c r="M150" s="63" t="str">
        <f t="shared" ca="1" si="32"/>
        <v>N/A</v>
      </c>
      <c r="N150" s="63" t="str">
        <f t="shared" ca="1" si="32"/>
        <v>N/A</v>
      </c>
      <c r="O150" s="63" t="str">
        <f t="shared" ca="1" si="32"/>
        <v>N/A</v>
      </c>
      <c r="P150" s="63" t="str">
        <f t="shared" ca="1" si="32"/>
        <v>N/A</v>
      </c>
      <c r="Q150" s="63" t="str">
        <f t="shared" ca="1" si="32"/>
        <v>N/A</v>
      </c>
      <c r="R150" s="63" t="str">
        <f t="shared" ca="1" si="32"/>
        <v>N/A</v>
      </c>
      <c r="S150" s="63" t="str">
        <f t="shared" ca="1" si="32"/>
        <v>N/A</v>
      </c>
    </row>
    <row r="151" spans="1:19" ht="14.25" hidden="1" customHeight="1" x14ac:dyDescent="0.2">
      <c r="A151" s="51">
        <f t="shared" si="26"/>
        <v>0</v>
      </c>
      <c r="B151" s="46" t="e">
        <f t="shared" ca="1" si="27"/>
        <v>#N/A</v>
      </c>
      <c r="C151" s="1" t="str">
        <f>IF(ISERROR(D151),"",IF(D151="","",MAX($C$121:C150)+1))</f>
        <v/>
      </c>
      <c r="D151" t="e">
        <f t="shared" si="28"/>
        <v>#N/A</v>
      </c>
      <c r="E151" s="22"/>
      <c r="F151" s="63" t="e">
        <f t="shared" ca="1" si="31"/>
        <v>#DIV/0!</v>
      </c>
      <c r="G151" s="63" t="str">
        <f t="shared" si="29"/>
        <v>N/A</v>
      </c>
      <c r="H151" s="63"/>
      <c r="I151" s="63" t="str">
        <f t="shared" ca="1" si="32"/>
        <v>N/A</v>
      </c>
      <c r="J151" s="63" t="str">
        <f t="shared" ca="1" si="32"/>
        <v>N/A</v>
      </c>
      <c r="K151" s="63" t="str">
        <f t="shared" ca="1" si="32"/>
        <v>N/A</v>
      </c>
      <c r="L151" s="63" t="str">
        <f t="shared" ca="1" si="32"/>
        <v>N/A</v>
      </c>
      <c r="M151" s="63" t="str">
        <f t="shared" ca="1" si="32"/>
        <v>N/A</v>
      </c>
      <c r="N151" s="63" t="str">
        <f t="shared" ca="1" si="32"/>
        <v>N/A</v>
      </c>
      <c r="O151" s="63" t="str">
        <f t="shared" ca="1" si="32"/>
        <v>N/A</v>
      </c>
      <c r="P151" s="63" t="str">
        <f t="shared" ca="1" si="32"/>
        <v>N/A</v>
      </c>
      <c r="Q151" s="63" t="str">
        <f t="shared" ca="1" si="32"/>
        <v>N/A</v>
      </c>
      <c r="R151" s="63" t="str">
        <f t="shared" ca="1" si="32"/>
        <v>N/A</v>
      </c>
      <c r="S151" s="63" t="str">
        <f t="shared" ca="1" si="32"/>
        <v>N/A</v>
      </c>
    </row>
    <row r="152" spans="1:19" ht="14.25" hidden="1" customHeight="1" x14ac:dyDescent="0.2">
      <c r="A152" s="51">
        <f t="shared" si="26"/>
        <v>0</v>
      </c>
      <c r="B152" s="46" t="e">
        <f t="shared" ca="1" si="27"/>
        <v>#N/A</v>
      </c>
      <c r="C152" s="1" t="str">
        <f>IF(ISERROR(D152),"",IF(D152="","",MAX($C$121:C151)+1))</f>
        <v/>
      </c>
      <c r="D152" t="e">
        <f t="shared" si="28"/>
        <v>#N/A</v>
      </c>
      <c r="E152" s="22"/>
      <c r="F152" s="63" t="e">
        <f t="shared" ca="1" si="31"/>
        <v>#DIV/0!</v>
      </c>
      <c r="G152" s="63" t="str">
        <f t="shared" si="29"/>
        <v>N/A</v>
      </c>
      <c r="H152" s="63"/>
      <c r="I152" s="63" t="str">
        <f t="shared" ca="1" si="32"/>
        <v>N/A</v>
      </c>
      <c r="J152" s="63" t="str">
        <f t="shared" ca="1" si="32"/>
        <v>N/A</v>
      </c>
      <c r="K152" s="63" t="str">
        <f t="shared" ca="1" si="32"/>
        <v>N/A</v>
      </c>
      <c r="L152" s="63" t="str">
        <f t="shared" ca="1" si="32"/>
        <v>N/A</v>
      </c>
      <c r="M152" s="63" t="str">
        <f t="shared" ca="1" si="32"/>
        <v>N/A</v>
      </c>
      <c r="N152" s="63" t="str">
        <f t="shared" ca="1" si="32"/>
        <v>N/A</v>
      </c>
      <c r="O152" s="63" t="str">
        <f t="shared" ca="1" si="32"/>
        <v>N/A</v>
      </c>
      <c r="P152" s="63" t="str">
        <f t="shared" ca="1" si="32"/>
        <v>N/A</v>
      </c>
      <c r="Q152" s="63" t="str">
        <f t="shared" ca="1" si="32"/>
        <v>N/A</v>
      </c>
      <c r="R152" s="63" t="str">
        <f t="shared" ca="1" si="32"/>
        <v>N/A</v>
      </c>
      <c r="S152" s="63" t="str">
        <f t="shared" ca="1" si="32"/>
        <v>N/A</v>
      </c>
    </row>
    <row r="153" spans="1:19" ht="14.25" hidden="1" customHeight="1" x14ac:dyDescent="0.2">
      <c r="A153" s="51">
        <f t="shared" si="26"/>
        <v>0</v>
      </c>
      <c r="B153" s="46" t="e">
        <f t="shared" ca="1" si="27"/>
        <v>#N/A</v>
      </c>
      <c r="C153" s="1" t="str">
        <f>IF(ISERROR(D153),"",IF(D153="","",MAX($C$121:C152)+1))</f>
        <v/>
      </c>
      <c r="D153" t="e">
        <f t="shared" si="28"/>
        <v>#N/A</v>
      </c>
      <c r="E153" s="22"/>
      <c r="F153" s="63" t="e">
        <f t="shared" ca="1" si="31"/>
        <v>#DIV/0!</v>
      </c>
      <c r="G153" s="63" t="str">
        <f t="shared" si="29"/>
        <v>N/A</v>
      </c>
      <c r="H153" s="63"/>
      <c r="I153" s="63" t="str">
        <f t="shared" ca="1" si="32"/>
        <v>N/A</v>
      </c>
      <c r="J153" s="63" t="str">
        <f t="shared" ca="1" si="32"/>
        <v>N/A</v>
      </c>
      <c r="K153" s="63" t="str">
        <f t="shared" ca="1" si="32"/>
        <v>N/A</v>
      </c>
      <c r="L153" s="63" t="str">
        <f t="shared" ca="1" si="32"/>
        <v>N/A</v>
      </c>
      <c r="M153" s="63" t="str">
        <f t="shared" ca="1" si="32"/>
        <v>N/A</v>
      </c>
      <c r="N153" s="63" t="str">
        <f t="shared" ca="1" si="32"/>
        <v>N/A</v>
      </c>
      <c r="O153" s="63" t="str">
        <f t="shared" ca="1" si="32"/>
        <v>N/A</v>
      </c>
      <c r="P153" s="63" t="str">
        <f t="shared" ca="1" si="32"/>
        <v>N/A</v>
      </c>
      <c r="Q153" s="63" t="str">
        <f t="shared" ca="1" si="32"/>
        <v>N/A</v>
      </c>
      <c r="R153" s="63" t="str">
        <f t="shared" ca="1" si="32"/>
        <v>N/A</v>
      </c>
      <c r="S153" s="63" t="str">
        <f t="shared" ca="1" si="32"/>
        <v>N/A</v>
      </c>
    </row>
    <row r="154" spans="1:19" ht="14.25" hidden="1" customHeight="1" x14ac:dyDescent="0.2">
      <c r="A154" s="51">
        <f t="shared" si="26"/>
        <v>0</v>
      </c>
      <c r="B154" s="46" t="e">
        <f t="shared" ca="1" si="27"/>
        <v>#N/A</v>
      </c>
      <c r="C154" s="1" t="str">
        <f>IF(ISERROR(D154),"",IF(D154="","",MAX($C$121:C153)+1))</f>
        <v/>
      </c>
      <c r="D154" t="e">
        <f t="shared" si="28"/>
        <v>#N/A</v>
      </c>
      <c r="E154" s="22"/>
      <c r="F154" s="63" t="e">
        <f t="shared" ca="1" si="31"/>
        <v>#DIV/0!</v>
      </c>
      <c r="G154" s="63" t="str">
        <f t="shared" si="29"/>
        <v>N/A</v>
      </c>
      <c r="H154" s="63"/>
      <c r="I154" s="63" t="str">
        <f t="shared" ca="1" si="32"/>
        <v>N/A</v>
      </c>
      <c r="J154" s="63" t="str">
        <f t="shared" ca="1" si="32"/>
        <v>N/A</v>
      </c>
      <c r="K154" s="63" t="str">
        <f t="shared" ca="1" si="32"/>
        <v>N/A</v>
      </c>
      <c r="L154" s="63" t="str">
        <f t="shared" ca="1" si="32"/>
        <v>N/A</v>
      </c>
      <c r="M154" s="63" t="str">
        <f t="shared" ca="1" si="32"/>
        <v>N/A</v>
      </c>
      <c r="N154" s="63" t="str">
        <f t="shared" ca="1" si="32"/>
        <v>N/A</v>
      </c>
      <c r="O154" s="63" t="str">
        <f t="shared" ca="1" si="32"/>
        <v>N/A</v>
      </c>
      <c r="P154" s="63" t="str">
        <f t="shared" ca="1" si="32"/>
        <v>N/A</v>
      </c>
      <c r="Q154" s="63" t="str">
        <f t="shared" ca="1" si="32"/>
        <v>N/A</v>
      </c>
      <c r="R154" s="63" t="str">
        <f t="shared" ca="1" si="32"/>
        <v>N/A</v>
      </c>
      <c r="S154" s="63" t="str">
        <f t="shared" ca="1" si="32"/>
        <v>N/A</v>
      </c>
    </row>
    <row r="155" spans="1:19" ht="14.25" hidden="1" customHeight="1" x14ac:dyDescent="0.2">
      <c r="A155" s="51">
        <f t="shared" si="26"/>
        <v>0</v>
      </c>
      <c r="B155" s="46" t="e">
        <f t="shared" ca="1" si="27"/>
        <v>#N/A</v>
      </c>
      <c r="C155" s="1" t="str">
        <f>IF(ISERROR(D155),"",IF(D155="","",MAX($C$121:C154)+1))</f>
        <v/>
      </c>
      <c r="D155" t="e">
        <f t="shared" si="28"/>
        <v>#N/A</v>
      </c>
      <c r="E155" s="22"/>
      <c r="F155" s="63" t="e">
        <f t="shared" ca="1" si="31"/>
        <v>#DIV/0!</v>
      </c>
      <c r="G155" s="63" t="str">
        <f t="shared" si="29"/>
        <v>N/A</v>
      </c>
      <c r="H155" s="63"/>
      <c r="I155" s="63" t="str">
        <f t="shared" ca="1" si="32"/>
        <v>N/A</v>
      </c>
      <c r="J155" s="63" t="str">
        <f t="shared" ca="1" si="32"/>
        <v>N/A</v>
      </c>
      <c r="K155" s="63" t="str">
        <f t="shared" ca="1" si="32"/>
        <v>N/A</v>
      </c>
      <c r="L155" s="63" t="str">
        <f t="shared" ca="1" si="32"/>
        <v>N/A</v>
      </c>
      <c r="M155" s="63" t="str">
        <f t="shared" ca="1" si="32"/>
        <v>N/A</v>
      </c>
      <c r="N155" s="63" t="str">
        <f t="shared" ca="1" si="32"/>
        <v>N/A</v>
      </c>
      <c r="O155" s="63" t="str">
        <f t="shared" ca="1" si="32"/>
        <v>N/A</v>
      </c>
      <c r="P155" s="63" t="str">
        <f t="shared" ca="1" si="32"/>
        <v>N/A</v>
      </c>
      <c r="Q155" s="63" t="str">
        <f t="shared" ca="1" si="32"/>
        <v>N/A</v>
      </c>
      <c r="R155" s="63" t="str">
        <f t="shared" ca="1" si="32"/>
        <v>N/A</v>
      </c>
      <c r="S155" s="63" t="str">
        <f t="shared" ca="1" si="32"/>
        <v>N/A</v>
      </c>
    </row>
    <row r="156" spans="1:19" ht="14.25" hidden="1" customHeight="1" x14ac:dyDescent="0.2">
      <c r="A156" s="51">
        <f t="shared" si="26"/>
        <v>0</v>
      </c>
      <c r="B156" s="46" t="e">
        <f t="shared" ca="1" si="27"/>
        <v>#N/A</v>
      </c>
      <c r="C156" s="1" t="str">
        <f>IF(ISERROR(D156),"",IF(D156="","",MAX($C$121:C155)+1))</f>
        <v/>
      </c>
      <c r="D156" t="e">
        <f t="shared" si="28"/>
        <v>#N/A</v>
      </c>
      <c r="E156" s="22"/>
      <c r="F156" s="63" t="e">
        <f t="shared" ca="1" si="31"/>
        <v>#DIV/0!</v>
      </c>
      <c r="G156" s="63" t="str">
        <f t="shared" si="29"/>
        <v>N/A</v>
      </c>
      <c r="H156" s="63"/>
      <c r="I156" s="63" t="str">
        <f t="shared" ca="1" si="32"/>
        <v>N/A</v>
      </c>
      <c r="J156" s="63" t="str">
        <f t="shared" ca="1" si="32"/>
        <v>N/A</v>
      </c>
      <c r="K156" s="63" t="str">
        <f t="shared" ca="1" si="32"/>
        <v>N/A</v>
      </c>
      <c r="L156" s="63" t="str">
        <f t="shared" ca="1" si="32"/>
        <v>N/A</v>
      </c>
      <c r="M156" s="63" t="str">
        <f t="shared" ca="1" si="32"/>
        <v>N/A</v>
      </c>
      <c r="N156" s="63" t="str">
        <f t="shared" ca="1" si="32"/>
        <v>N/A</v>
      </c>
      <c r="O156" s="63" t="str">
        <f t="shared" ca="1" si="32"/>
        <v>N/A</v>
      </c>
      <c r="P156" s="63" t="str">
        <f t="shared" ca="1" si="32"/>
        <v>N/A</v>
      </c>
      <c r="Q156" s="63" t="str">
        <f t="shared" ca="1" si="32"/>
        <v>N/A</v>
      </c>
      <c r="R156" s="63" t="str">
        <f t="shared" ca="1" si="32"/>
        <v>N/A</v>
      </c>
      <c r="S156" s="63" t="str">
        <f t="shared" ca="1" si="32"/>
        <v>N/A</v>
      </c>
    </row>
    <row r="157" spans="1:19" ht="14.25" hidden="1" customHeight="1" x14ac:dyDescent="0.2">
      <c r="A157" s="51">
        <f t="shared" si="26"/>
        <v>0</v>
      </c>
      <c r="B157" s="46" t="e">
        <f t="shared" ca="1" si="27"/>
        <v>#N/A</v>
      </c>
      <c r="C157" s="1" t="str">
        <f>IF(ISERROR(D157),"",IF(D157="","",MAX($C$121:C156)+1))</f>
        <v/>
      </c>
      <c r="D157" t="e">
        <f t="shared" si="28"/>
        <v>#N/A</v>
      </c>
      <c r="E157" s="22"/>
      <c r="F157" s="63" t="e">
        <f t="shared" ca="1" si="31"/>
        <v>#DIV/0!</v>
      </c>
      <c r="G157" s="63" t="str">
        <f t="shared" si="29"/>
        <v>N/A</v>
      </c>
      <c r="H157" s="63"/>
      <c r="I157" s="63" t="str">
        <f t="shared" ca="1" si="32"/>
        <v>N/A</v>
      </c>
      <c r="J157" s="63" t="str">
        <f t="shared" ca="1" si="32"/>
        <v>N/A</v>
      </c>
      <c r="K157" s="63" t="str">
        <f t="shared" ca="1" si="32"/>
        <v>N/A</v>
      </c>
      <c r="L157" s="63" t="str">
        <f t="shared" ca="1" si="32"/>
        <v>N/A</v>
      </c>
      <c r="M157" s="63" t="str">
        <f t="shared" ca="1" si="32"/>
        <v>N/A</v>
      </c>
      <c r="N157" s="63" t="str">
        <f t="shared" ca="1" si="32"/>
        <v>N/A</v>
      </c>
      <c r="O157" s="63" t="str">
        <f t="shared" ca="1" si="32"/>
        <v>N/A</v>
      </c>
      <c r="P157" s="63" t="str">
        <f t="shared" ca="1" si="32"/>
        <v>N/A</v>
      </c>
      <c r="Q157" s="63" t="str">
        <f t="shared" ca="1" si="32"/>
        <v>N/A</v>
      </c>
      <c r="R157" s="63" t="str">
        <f t="shared" ca="1" si="32"/>
        <v>N/A</v>
      </c>
      <c r="S157" s="63" t="str">
        <f t="shared" ca="1" si="32"/>
        <v>N/A</v>
      </c>
    </row>
    <row r="158" spans="1:19" ht="14.25" hidden="1" customHeight="1" x14ac:dyDescent="0.2">
      <c r="A158" s="51">
        <f t="shared" si="26"/>
        <v>0</v>
      </c>
      <c r="B158" s="46" t="e">
        <f t="shared" ca="1" si="27"/>
        <v>#N/A</v>
      </c>
      <c r="C158" s="1" t="str">
        <f>IF(ISERROR(D158),"",IF(D158="","",MAX($C$121:C157)+1))</f>
        <v/>
      </c>
      <c r="D158" t="e">
        <f t="shared" si="28"/>
        <v>#N/A</v>
      </c>
      <c r="E158" s="22"/>
      <c r="F158" s="63" t="e">
        <f t="shared" ca="1" si="31"/>
        <v>#DIV/0!</v>
      </c>
      <c r="G158" s="63" t="str">
        <f t="shared" si="29"/>
        <v>N/A</v>
      </c>
      <c r="H158" s="63"/>
      <c r="I158" s="63" t="str">
        <f t="shared" ca="1" si="32"/>
        <v>N/A</v>
      </c>
      <c r="J158" s="63" t="str">
        <f t="shared" ca="1" si="32"/>
        <v>N/A</v>
      </c>
      <c r="K158" s="63" t="str">
        <f t="shared" ca="1" si="32"/>
        <v>N/A</v>
      </c>
      <c r="L158" s="63" t="str">
        <f t="shared" ca="1" si="32"/>
        <v>N/A</v>
      </c>
      <c r="M158" s="63" t="str">
        <f t="shared" ca="1" si="32"/>
        <v>N/A</v>
      </c>
      <c r="N158" s="63" t="str">
        <f t="shared" ca="1" si="32"/>
        <v>N/A</v>
      </c>
      <c r="O158" s="63" t="str">
        <f t="shared" ca="1" si="32"/>
        <v>N/A</v>
      </c>
      <c r="P158" s="63" t="str">
        <f t="shared" ca="1" si="32"/>
        <v>N/A</v>
      </c>
      <c r="Q158" s="63" t="str">
        <f t="shared" ca="1" si="32"/>
        <v>N/A</v>
      </c>
      <c r="R158" s="63" t="str">
        <f t="shared" ca="1" si="32"/>
        <v>N/A</v>
      </c>
      <c r="S158" s="63" t="str">
        <f t="shared" ca="1" si="32"/>
        <v>N/A</v>
      </c>
    </row>
    <row r="159" spans="1:19" ht="14.25" hidden="1" customHeight="1" x14ac:dyDescent="0.2">
      <c r="A159" s="51">
        <f t="shared" si="26"/>
        <v>0</v>
      </c>
      <c r="B159" s="46" t="e">
        <f t="shared" ca="1" si="27"/>
        <v>#N/A</v>
      </c>
      <c r="C159" s="1" t="str">
        <f>IF(ISERROR(D159),"",IF(D159="","",MAX($C$121:C158)+1))</f>
        <v/>
      </c>
      <c r="D159" t="e">
        <f t="shared" si="28"/>
        <v>#N/A</v>
      </c>
      <c r="E159" s="22"/>
      <c r="F159" s="63" t="e">
        <f t="shared" ca="1" si="31"/>
        <v>#DIV/0!</v>
      </c>
      <c r="G159" s="63" t="str">
        <f t="shared" si="29"/>
        <v>N/A</v>
      </c>
      <c r="H159" s="63"/>
      <c r="I159" s="63" t="str">
        <f t="shared" ca="1" si="32"/>
        <v>N/A</v>
      </c>
      <c r="J159" s="63" t="str">
        <f t="shared" ca="1" si="32"/>
        <v>N/A</v>
      </c>
      <c r="K159" s="63" t="str">
        <f t="shared" ca="1" si="32"/>
        <v>N/A</v>
      </c>
      <c r="L159" s="63" t="str">
        <f t="shared" ca="1" si="32"/>
        <v>N/A</v>
      </c>
      <c r="M159" s="63" t="str">
        <f t="shared" ca="1" si="32"/>
        <v>N/A</v>
      </c>
      <c r="N159" s="63" t="str">
        <f t="shared" ca="1" si="32"/>
        <v>N/A</v>
      </c>
      <c r="O159" s="63" t="str">
        <f t="shared" ca="1" si="32"/>
        <v>N/A</v>
      </c>
      <c r="P159" s="63" t="str">
        <f t="shared" ca="1" si="32"/>
        <v>N/A</v>
      </c>
      <c r="Q159" s="63" t="str">
        <f t="shared" ca="1" si="32"/>
        <v>N/A</v>
      </c>
      <c r="R159" s="63" t="str">
        <f t="shared" ca="1" si="32"/>
        <v>N/A</v>
      </c>
      <c r="S159" s="63" t="str">
        <f t="shared" ca="1" si="32"/>
        <v>N/A</v>
      </c>
    </row>
    <row r="160" spans="1:19" ht="14.25" hidden="1" customHeight="1" x14ac:dyDescent="0.2">
      <c r="A160" s="51">
        <f t="shared" si="26"/>
        <v>0</v>
      </c>
      <c r="B160" s="46" t="e">
        <f t="shared" ca="1" si="27"/>
        <v>#N/A</v>
      </c>
      <c r="C160" s="1" t="str">
        <f>IF(ISERROR(D160),"",IF(D160="","",MAX($C$121:C159)+1))</f>
        <v/>
      </c>
      <c r="D160" t="e">
        <f t="shared" si="28"/>
        <v>#N/A</v>
      </c>
      <c r="E160" s="22"/>
      <c r="F160" s="63" t="e">
        <f t="shared" ca="1" si="31"/>
        <v>#DIV/0!</v>
      </c>
      <c r="G160" s="63" t="str">
        <f t="shared" si="29"/>
        <v>N/A</v>
      </c>
      <c r="H160" s="63"/>
      <c r="I160" s="63" t="str">
        <f t="shared" ca="1" si="32"/>
        <v>N/A</v>
      </c>
      <c r="J160" s="63" t="str">
        <f t="shared" ca="1" si="32"/>
        <v>N/A</v>
      </c>
      <c r="K160" s="63" t="str">
        <f t="shared" ca="1" si="32"/>
        <v>N/A</v>
      </c>
      <c r="L160" s="63" t="str">
        <f t="shared" ca="1" si="32"/>
        <v>N/A</v>
      </c>
      <c r="M160" s="63" t="str">
        <f t="shared" ca="1" si="32"/>
        <v>N/A</v>
      </c>
      <c r="N160" s="63" t="str">
        <f t="shared" ca="1" si="32"/>
        <v>N/A</v>
      </c>
      <c r="O160" s="63" t="str">
        <f t="shared" ca="1" si="32"/>
        <v>N/A</v>
      </c>
      <c r="P160" s="63" t="str">
        <f t="shared" ca="1" si="32"/>
        <v>N/A</v>
      </c>
      <c r="Q160" s="63" t="str">
        <f t="shared" ca="1" si="32"/>
        <v>N/A</v>
      </c>
      <c r="R160" s="63" t="str">
        <f t="shared" ca="1" si="32"/>
        <v>N/A</v>
      </c>
      <c r="S160" s="63" t="str">
        <f t="shared" ca="1" si="32"/>
        <v>N/A</v>
      </c>
    </row>
    <row r="161" spans="1:19" ht="14.25" hidden="1" customHeight="1" x14ac:dyDescent="0.2">
      <c r="A161" s="51">
        <f t="shared" si="26"/>
        <v>0</v>
      </c>
      <c r="B161" s="46" t="e">
        <f t="shared" ca="1" si="27"/>
        <v>#N/A</v>
      </c>
      <c r="C161" s="1" t="str">
        <f>IF(ISERROR(D161),"",IF(D161="","",MAX($C$121:C160)+1))</f>
        <v/>
      </c>
      <c r="D161" t="e">
        <f t="shared" si="28"/>
        <v>#N/A</v>
      </c>
      <c r="E161" s="22"/>
      <c r="F161" s="63" t="e">
        <f t="shared" ca="1" si="31"/>
        <v>#DIV/0!</v>
      </c>
      <c r="G161" s="63" t="str">
        <f t="shared" si="29"/>
        <v>N/A</v>
      </c>
      <c r="H161" s="63"/>
      <c r="I161" s="63" t="str">
        <f t="shared" ca="1" si="32"/>
        <v>N/A</v>
      </c>
      <c r="J161" s="63" t="str">
        <f t="shared" ca="1" si="32"/>
        <v>N/A</v>
      </c>
      <c r="K161" s="63" t="str">
        <f t="shared" ca="1" si="32"/>
        <v>N/A</v>
      </c>
      <c r="L161" s="63" t="str">
        <f t="shared" ca="1" si="32"/>
        <v>N/A</v>
      </c>
      <c r="M161" s="63" t="str">
        <f t="shared" ca="1" si="32"/>
        <v>N/A</v>
      </c>
      <c r="N161" s="63" t="str">
        <f t="shared" ca="1" si="32"/>
        <v>N/A</v>
      </c>
      <c r="O161" s="63" t="str">
        <f t="shared" ca="1" si="32"/>
        <v>N/A</v>
      </c>
      <c r="P161" s="63" t="str">
        <f t="shared" ca="1" si="32"/>
        <v>N/A</v>
      </c>
      <c r="Q161" s="63" t="str">
        <f t="shared" ca="1" si="32"/>
        <v>N/A</v>
      </c>
      <c r="R161" s="63" t="str">
        <f t="shared" ca="1" si="32"/>
        <v>N/A</v>
      </c>
      <c r="S161" s="63" t="str">
        <f t="shared" ca="1" si="32"/>
        <v>N/A</v>
      </c>
    </row>
    <row r="162" spans="1:19" ht="14.25" hidden="1" customHeight="1" x14ac:dyDescent="0.2">
      <c r="A162" s="51">
        <f t="shared" si="26"/>
        <v>0</v>
      </c>
      <c r="B162" s="46" t="e">
        <f t="shared" ca="1" si="27"/>
        <v>#N/A</v>
      </c>
      <c r="C162" s="1" t="str">
        <f>IF(ISERROR(D162),"",IF(D162="","",MAX($C$121:C161)+1))</f>
        <v/>
      </c>
      <c r="D162" t="e">
        <f t="shared" si="28"/>
        <v>#N/A</v>
      </c>
      <c r="E162" s="22"/>
      <c r="F162" s="63" t="e">
        <f t="shared" ca="1" si="31"/>
        <v>#DIV/0!</v>
      </c>
      <c r="G162" s="63" t="str">
        <f t="shared" si="29"/>
        <v>N/A</v>
      </c>
      <c r="H162" s="63"/>
      <c r="I162" s="63" t="str">
        <f t="shared" ca="1" si="32"/>
        <v>N/A</v>
      </c>
      <c r="J162" s="63" t="str">
        <f t="shared" ca="1" si="32"/>
        <v>N/A</v>
      </c>
      <c r="K162" s="63" t="str">
        <f t="shared" ref="J162:S167" ca="1" si="33">IFERROR(IF(INDEX(MP_BV_WP,$B162,K$122)=0,"N/A",INDEX(MP_BV_WP,$B162,K$122)),"N/A")</f>
        <v>N/A</v>
      </c>
      <c r="L162" s="63" t="str">
        <f t="shared" ca="1" si="33"/>
        <v>N/A</v>
      </c>
      <c r="M162" s="63" t="str">
        <f t="shared" ca="1" si="33"/>
        <v>N/A</v>
      </c>
      <c r="N162" s="63" t="str">
        <f t="shared" ca="1" si="33"/>
        <v>N/A</v>
      </c>
      <c r="O162" s="63" t="str">
        <f t="shared" ca="1" si="33"/>
        <v>N/A</v>
      </c>
      <c r="P162" s="63" t="str">
        <f t="shared" ca="1" si="33"/>
        <v>N/A</v>
      </c>
      <c r="Q162" s="63" t="str">
        <f t="shared" ca="1" si="33"/>
        <v>N/A</v>
      </c>
      <c r="R162" s="63" t="str">
        <f t="shared" ca="1" si="33"/>
        <v>N/A</v>
      </c>
      <c r="S162" s="63" t="str">
        <f t="shared" ca="1" si="33"/>
        <v>N/A</v>
      </c>
    </row>
    <row r="163" spans="1:19" ht="14.25" hidden="1" customHeight="1" x14ac:dyDescent="0.2">
      <c r="A163" s="51">
        <f t="shared" si="26"/>
        <v>0</v>
      </c>
      <c r="B163" s="46" t="e">
        <f t="shared" ca="1" si="27"/>
        <v>#N/A</v>
      </c>
      <c r="C163" s="1" t="str">
        <f>IF(ISERROR(D163),"",IF(D163="","",MAX($C$121:C162)+1))</f>
        <v/>
      </c>
      <c r="D163" t="e">
        <f t="shared" si="28"/>
        <v>#N/A</v>
      </c>
      <c r="E163" s="22"/>
      <c r="F163" s="63" t="e">
        <f t="shared" ca="1" si="31"/>
        <v>#DIV/0!</v>
      </c>
      <c r="G163" s="63" t="str">
        <f t="shared" si="29"/>
        <v>N/A</v>
      </c>
      <c r="H163" s="63"/>
      <c r="I163" s="63" t="str">
        <f t="shared" ref="I163:I167" ca="1" si="34">IFERROR(IF(INDEX(MP_BV_WP,$B163,I$122)=0,"N/A",INDEX(MP_BV_WP,$B163,I$122)),"N/A")</f>
        <v>N/A</v>
      </c>
      <c r="J163" s="63" t="str">
        <f t="shared" ca="1" si="33"/>
        <v>N/A</v>
      </c>
      <c r="K163" s="63" t="str">
        <f t="shared" ca="1" si="33"/>
        <v>N/A</v>
      </c>
      <c r="L163" s="63" t="str">
        <f t="shared" ca="1" si="33"/>
        <v>N/A</v>
      </c>
      <c r="M163" s="63" t="str">
        <f t="shared" ca="1" si="33"/>
        <v>N/A</v>
      </c>
      <c r="N163" s="63" t="str">
        <f t="shared" ca="1" si="33"/>
        <v>N/A</v>
      </c>
      <c r="O163" s="63" t="str">
        <f t="shared" ca="1" si="33"/>
        <v>N/A</v>
      </c>
      <c r="P163" s="63" t="str">
        <f t="shared" ca="1" si="33"/>
        <v>N/A</v>
      </c>
      <c r="Q163" s="63" t="str">
        <f t="shared" ca="1" si="33"/>
        <v>N/A</v>
      </c>
      <c r="R163" s="63" t="str">
        <f t="shared" ca="1" si="33"/>
        <v>N/A</v>
      </c>
      <c r="S163" s="63" t="str">
        <f t="shared" ca="1" si="33"/>
        <v>N/A</v>
      </c>
    </row>
    <row r="164" spans="1:19" ht="14.25" hidden="1" customHeight="1" x14ac:dyDescent="0.2">
      <c r="A164" s="51">
        <f t="shared" si="26"/>
        <v>0</v>
      </c>
      <c r="B164" s="46" t="e">
        <f t="shared" ca="1" si="27"/>
        <v>#N/A</v>
      </c>
      <c r="C164" s="1" t="str">
        <f>IF(ISERROR(D164),"",IF(D164="","",MAX($C$121:C163)+1))</f>
        <v/>
      </c>
      <c r="D164" t="e">
        <f t="shared" si="28"/>
        <v>#N/A</v>
      </c>
      <c r="E164" s="22"/>
      <c r="F164" s="63" t="e">
        <f t="shared" ca="1" si="31"/>
        <v>#DIV/0!</v>
      </c>
      <c r="G164" s="63" t="str">
        <f t="shared" si="29"/>
        <v>N/A</v>
      </c>
      <c r="H164" s="63"/>
      <c r="I164" s="63" t="str">
        <f t="shared" ca="1" si="34"/>
        <v>N/A</v>
      </c>
      <c r="J164" s="63" t="str">
        <f t="shared" ca="1" si="33"/>
        <v>N/A</v>
      </c>
      <c r="K164" s="63" t="str">
        <f t="shared" ca="1" si="33"/>
        <v>N/A</v>
      </c>
      <c r="L164" s="63" t="str">
        <f t="shared" ca="1" si="33"/>
        <v>N/A</v>
      </c>
      <c r="M164" s="63" t="str">
        <f t="shared" ca="1" si="33"/>
        <v>N/A</v>
      </c>
      <c r="N164" s="63" t="str">
        <f t="shared" ca="1" si="33"/>
        <v>N/A</v>
      </c>
      <c r="O164" s="63" t="str">
        <f t="shared" ca="1" si="33"/>
        <v>N/A</v>
      </c>
      <c r="P164" s="63" t="str">
        <f t="shared" ca="1" si="33"/>
        <v>N/A</v>
      </c>
      <c r="Q164" s="63" t="str">
        <f t="shared" ca="1" si="33"/>
        <v>N/A</v>
      </c>
      <c r="R164" s="63" t="str">
        <f t="shared" ca="1" si="33"/>
        <v>N/A</v>
      </c>
      <c r="S164" s="63" t="str">
        <f t="shared" ca="1" si="33"/>
        <v>N/A</v>
      </c>
    </row>
    <row r="165" spans="1:19" ht="14.25" hidden="1" customHeight="1" x14ac:dyDescent="0.2">
      <c r="A165" s="51">
        <f t="shared" si="26"/>
        <v>0</v>
      </c>
      <c r="B165" s="46" t="e">
        <f t="shared" ca="1" si="27"/>
        <v>#N/A</v>
      </c>
      <c r="C165" s="1" t="str">
        <f>IF(ISERROR(D165),"",IF(D165="","",MAX($C$121:C164)+1))</f>
        <v/>
      </c>
      <c r="D165" t="e">
        <f t="shared" si="28"/>
        <v>#N/A</v>
      </c>
      <c r="F165" s="63" t="e">
        <f t="shared" ca="1" si="31"/>
        <v>#DIV/0!</v>
      </c>
      <c r="G165" s="63" t="str">
        <f t="shared" si="29"/>
        <v>N/A</v>
      </c>
      <c r="H165" s="63"/>
      <c r="I165" s="63" t="str">
        <f t="shared" ca="1" si="34"/>
        <v>N/A</v>
      </c>
      <c r="J165" s="63" t="str">
        <f t="shared" ca="1" si="33"/>
        <v>N/A</v>
      </c>
      <c r="K165" s="63" t="str">
        <f t="shared" ca="1" si="33"/>
        <v>N/A</v>
      </c>
      <c r="L165" s="63" t="str">
        <f t="shared" ca="1" si="33"/>
        <v>N/A</v>
      </c>
      <c r="M165" s="63" t="str">
        <f t="shared" ca="1" si="33"/>
        <v>N/A</v>
      </c>
      <c r="N165" s="63" t="str">
        <f t="shared" ca="1" si="33"/>
        <v>N/A</v>
      </c>
      <c r="O165" s="63" t="str">
        <f t="shared" ca="1" si="33"/>
        <v>N/A</v>
      </c>
      <c r="P165" s="63" t="str">
        <f t="shared" ca="1" si="33"/>
        <v>N/A</v>
      </c>
      <c r="Q165" s="63" t="str">
        <f t="shared" ca="1" si="33"/>
        <v>N/A</v>
      </c>
      <c r="R165" s="63" t="str">
        <f t="shared" ca="1" si="33"/>
        <v>N/A</v>
      </c>
      <c r="S165" s="63" t="str">
        <f t="shared" ca="1" si="33"/>
        <v>N/A</v>
      </c>
    </row>
    <row r="166" spans="1:19" ht="14.25" hidden="1" customHeight="1" x14ac:dyDescent="0.2">
      <c r="A166" s="51">
        <f t="shared" si="26"/>
        <v>0</v>
      </c>
      <c r="B166" s="46" t="e">
        <f t="shared" ca="1" si="27"/>
        <v>#N/A</v>
      </c>
      <c r="C166" s="1" t="str">
        <f>IF(ISERROR(D166),"",IF(D166="","",MAX($C$121:C165)+1))</f>
        <v/>
      </c>
      <c r="D166" t="e">
        <f t="shared" si="28"/>
        <v>#N/A</v>
      </c>
      <c r="F166" s="63" t="e">
        <f t="shared" ca="1" si="31"/>
        <v>#DIV/0!</v>
      </c>
      <c r="G166" s="63" t="str">
        <f t="shared" si="29"/>
        <v>N/A</v>
      </c>
      <c r="H166" s="63"/>
      <c r="I166" s="63" t="str">
        <f t="shared" ca="1" si="34"/>
        <v>N/A</v>
      </c>
      <c r="J166" s="63" t="str">
        <f t="shared" ca="1" si="33"/>
        <v>N/A</v>
      </c>
      <c r="K166" s="63" t="str">
        <f t="shared" ca="1" si="33"/>
        <v>N/A</v>
      </c>
      <c r="L166" s="63" t="str">
        <f t="shared" ca="1" si="33"/>
        <v>N/A</v>
      </c>
      <c r="M166" s="63" t="str">
        <f t="shared" ca="1" si="33"/>
        <v>N/A</v>
      </c>
      <c r="N166" s="63" t="str">
        <f t="shared" ca="1" si="33"/>
        <v>N/A</v>
      </c>
      <c r="O166" s="63" t="str">
        <f t="shared" ca="1" si="33"/>
        <v>N/A</v>
      </c>
      <c r="P166" s="63" t="str">
        <f t="shared" ca="1" si="33"/>
        <v>N/A</v>
      </c>
      <c r="Q166" s="63" t="str">
        <f t="shared" ca="1" si="33"/>
        <v>N/A</v>
      </c>
      <c r="R166" s="63" t="str">
        <f t="shared" ca="1" si="33"/>
        <v>N/A</v>
      </c>
      <c r="S166" s="63" t="str">
        <f t="shared" ca="1" si="33"/>
        <v>N/A</v>
      </c>
    </row>
    <row r="167" spans="1:19" ht="14.25" hidden="1" customHeight="1" x14ac:dyDescent="0.2">
      <c r="A167" s="51">
        <f t="shared" si="26"/>
        <v>0</v>
      </c>
      <c r="B167" s="46" t="e">
        <f t="shared" ca="1" si="27"/>
        <v>#N/A</v>
      </c>
      <c r="C167" s="1" t="str">
        <f>IF(ISERROR(D167),"",IF(D167="","",MAX($C$121:C166)+1))</f>
        <v/>
      </c>
      <c r="D167" t="e">
        <f t="shared" si="28"/>
        <v>#N/A</v>
      </c>
      <c r="F167" s="63" t="e">
        <f t="shared" ca="1" si="31"/>
        <v>#DIV/0!</v>
      </c>
      <c r="G167" s="63" t="str">
        <f t="shared" si="29"/>
        <v>N/A</v>
      </c>
      <c r="H167" s="63"/>
      <c r="I167" s="63" t="str">
        <f t="shared" ca="1" si="34"/>
        <v>N/A</v>
      </c>
      <c r="J167" s="63" t="str">
        <f t="shared" ca="1" si="33"/>
        <v>N/A</v>
      </c>
      <c r="K167" s="63" t="str">
        <f t="shared" ca="1" si="33"/>
        <v>N/A</v>
      </c>
      <c r="L167" s="63" t="str">
        <f t="shared" ca="1" si="33"/>
        <v>N/A</v>
      </c>
      <c r="M167" s="63" t="str">
        <f t="shared" ca="1" si="33"/>
        <v>N/A</v>
      </c>
      <c r="N167" s="63" t="str">
        <f t="shared" ca="1" si="33"/>
        <v>N/A</v>
      </c>
      <c r="O167" s="63" t="str">
        <f t="shared" ca="1" si="33"/>
        <v>N/A</v>
      </c>
      <c r="P167" s="63" t="str">
        <f t="shared" ca="1" si="33"/>
        <v>N/A</v>
      </c>
      <c r="Q167" s="63" t="str">
        <f t="shared" ca="1" si="33"/>
        <v>N/A</v>
      </c>
      <c r="R167" s="63" t="str">
        <f t="shared" ca="1" si="33"/>
        <v>N/A</v>
      </c>
      <c r="S167" s="63" t="str">
        <f t="shared" ca="1" si="33"/>
        <v>N/A</v>
      </c>
    </row>
    <row r="168" spans="1:19" x14ac:dyDescent="0.2">
      <c r="A168" s="31"/>
      <c r="B168" s="31"/>
      <c r="C168" s="1" t="str">
        <f>IF(ISERROR(D168),"",IF(D168="","",MAX($C$121:C167)+1))</f>
        <v/>
      </c>
      <c r="F168" s="63"/>
      <c r="G168" s="63"/>
      <c r="H168" s="63"/>
      <c r="I168" s="63"/>
      <c r="J168" s="63"/>
      <c r="K168" s="63"/>
      <c r="L168" s="63"/>
      <c r="M168" s="63"/>
      <c r="N168" s="63"/>
      <c r="O168" s="63"/>
      <c r="P168" s="63"/>
      <c r="Q168" s="63"/>
      <c r="R168" s="63"/>
      <c r="S168" s="63"/>
    </row>
    <row r="169" spans="1:19" x14ac:dyDescent="0.2">
      <c r="A169" s="31"/>
      <c r="B169" s="31"/>
      <c r="C169" s="1">
        <f ca="1">IF(ISERROR(D169),"",IF(D169="","",MAX($C$121:C168)+1))</f>
        <v>32</v>
      </c>
      <c r="D169" t="s">
        <v>98</v>
      </c>
      <c r="F169" s="63">
        <f ca="1">AVERAGE(G169:S169)</f>
        <v>2.1139425441783191</v>
      </c>
      <c r="G169" s="63">
        <f t="shared" ref="G169:S169" si="35">AVERAGE(G123:G168)</f>
        <v>2.7363303630856937</v>
      </c>
      <c r="H169" s="63">
        <f t="shared" ca="1" si="35"/>
        <v>2.6797591301363286</v>
      </c>
      <c r="I169" s="63">
        <f t="shared" ca="1" si="35"/>
        <v>2.3609481982432672</v>
      </c>
      <c r="J169" s="63">
        <f t="shared" ca="1" si="35"/>
        <v>2.0678135982429904</v>
      </c>
      <c r="K169" s="63">
        <f t="shared" ca="1" si="35"/>
        <v>1.9399454976037203</v>
      </c>
      <c r="L169" s="63">
        <f t="shared" ca="1" si="35"/>
        <v>1.8925912299479886</v>
      </c>
      <c r="M169" s="63">
        <f t="shared" ca="1" si="35"/>
        <v>1.6638878379053861</v>
      </c>
      <c r="N169" s="63">
        <f t="shared" ca="1" si="35"/>
        <v>1.7203366338837232</v>
      </c>
      <c r="O169" s="63">
        <f t="shared" ca="1" si="35"/>
        <v>1.6821059649433798</v>
      </c>
      <c r="P169" s="63">
        <f t="shared" ca="1" si="35"/>
        <v>1.6970179588809247</v>
      </c>
      <c r="Q169" s="63">
        <f t="shared" ca="1" si="35"/>
        <v>1.9292938465991791</v>
      </c>
      <c r="R169" s="63">
        <f t="shared" ca="1" si="35"/>
        <v>2.5383967470327269</v>
      </c>
      <c r="S169" s="63">
        <f t="shared" ca="1" si="35"/>
        <v>2.5728260678128421</v>
      </c>
    </row>
    <row r="170" spans="1:19" x14ac:dyDescent="0.2">
      <c r="A170" s="31"/>
      <c r="B170" s="31"/>
      <c r="C170" s="1">
        <f ca="1">IF(ISERROR(D170),"",IF(D170="","",MAX($C$121:C169)+1))</f>
        <v>33</v>
      </c>
      <c r="D170" t="s">
        <v>257</v>
      </c>
      <c r="F170" s="63">
        <f ca="1">AVERAGE(G170:S170)</f>
        <v>2.0505183434113219</v>
      </c>
      <c r="G170" s="63">
        <f>MEDIAN(G123:G168)</f>
        <v>2.7946127946127945</v>
      </c>
      <c r="H170" s="63">
        <f t="shared" ref="H170:S170" ca="1" si="36">MEDIAN(H123:H168)</f>
        <v>2.6686357149968476</v>
      </c>
      <c r="I170" s="63">
        <f t="shared" ca="1" si="36"/>
        <v>2.3954920409993665</v>
      </c>
      <c r="J170" s="63">
        <f t="shared" ca="1" si="36"/>
        <v>1.8301279535285344</v>
      </c>
      <c r="K170" s="63">
        <f t="shared" ca="1" si="36"/>
        <v>1.786658877263795</v>
      </c>
      <c r="L170" s="63">
        <f t="shared" ca="1" si="36"/>
        <v>1.7117558402411455</v>
      </c>
      <c r="M170" s="63">
        <f t="shared" ca="1" si="36"/>
        <v>1.6323580633925461</v>
      </c>
      <c r="N170" s="63">
        <f t="shared" ca="1" si="36"/>
        <v>1.6552574124938375</v>
      </c>
      <c r="O170" s="63">
        <f t="shared" ca="1" si="36"/>
        <v>1.7571032239548456</v>
      </c>
      <c r="P170" s="63">
        <f t="shared" ca="1" si="36"/>
        <v>1.7286503551696923</v>
      </c>
      <c r="Q170" s="63">
        <f t="shared" ca="1" si="36"/>
        <v>2.0114444535273441</v>
      </c>
      <c r="R170" s="63">
        <f t="shared" ca="1" si="36"/>
        <v>2.4558983658425459</v>
      </c>
      <c r="S170" s="63">
        <f t="shared" ca="1" si="36"/>
        <v>2.2287433683238906</v>
      </c>
    </row>
    <row r="171" spans="1:19" x14ac:dyDescent="0.2">
      <c r="A171" s="31"/>
      <c r="B171" s="31"/>
      <c r="C171" s="1"/>
    </row>
    <row r="172" spans="1:19" x14ac:dyDescent="0.2">
      <c r="A172" s="31"/>
      <c r="B172" s="31"/>
      <c r="D172" s="18"/>
      <c r="E172" s="91"/>
    </row>
    <row r="173" spans="1:19" x14ac:dyDescent="0.2">
      <c r="A173" s="31"/>
      <c r="B173" s="31"/>
      <c r="D173" s="20" t="s">
        <v>107</v>
      </c>
    </row>
    <row r="174" spans="1:19" ht="16.5" x14ac:dyDescent="0.2">
      <c r="A174" s="31"/>
      <c r="B174" s="31"/>
      <c r="D174" s="79">
        <v>1</v>
      </c>
      <c r="E174" s="21" t="str">
        <f>"The Value Line Investment Survey Investment Analyzer Software, downloaded on "&amp;TEXT('2017'!$A$1,"mmmm d, yyyy.")</f>
        <v>The Value Line Investment Survey Investment Analyzer Software, downloaded on June 21, 2018.</v>
      </c>
    </row>
    <row r="175" spans="1:19" ht="16.5" x14ac:dyDescent="0.2">
      <c r="A175" s="31"/>
      <c r="B175" s="31"/>
      <c r="D175" s="79">
        <v>2</v>
      </c>
      <c r="E175" s="21" t="str">
        <f>"The Value Line Investment Survey, "&amp;'2018 Data (WP)'!$D$3</f>
        <v>The Value Line Investment Survey, October 12, 2018.</v>
      </c>
    </row>
    <row r="176" spans="1:19" x14ac:dyDescent="0.2">
      <c r="A176" s="31"/>
      <c r="B176" s="31"/>
      <c r="D176" s="20" t="s">
        <v>329</v>
      </c>
    </row>
    <row r="177" spans="1:5" ht="16.5" x14ac:dyDescent="0.2">
      <c r="A177" s="31"/>
      <c r="B177" s="31"/>
      <c r="D177" s="79" t="s">
        <v>355</v>
      </c>
      <c r="E177" s="21" t="str">
        <f>"Based on the average of the high and low price for 2017 and the projected 2017 Cash Flow per share, published in The Value Line Investment Survey, "&amp;'2018 Data (WP)'!$D$3</f>
        <v>Based on the average of the high and low price for 2017 and the projected 2017 Cash Flow per share, published in The Value Line Investment Survey, October 12, 2018.</v>
      </c>
    </row>
    <row r="178" spans="1:5" ht="16.5" x14ac:dyDescent="0.2">
      <c r="A178" s="31"/>
      <c r="B178" s="31"/>
      <c r="D178" s="79" t="s">
        <v>356</v>
      </c>
      <c r="E178" s="21" t="str">
        <f>"Based on the average of the high and low price for 2017 and the projected 2017 Book Value per share, published in The Value Line Investment Survey, "&amp;'2018 Data (WP)'!$D$3</f>
        <v>Based on the average of the high and low price for 2017 and the projected 2017 Book Value per share, published in The Value Line Investment Survey, October 12, 2018.</v>
      </c>
    </row>
    <row r="179" spans="1:5" ht="16.5" x14ac:dyDescent="0.2">
      <c r="D179" s="79"/>
      <c r="E179" s="92"/>
    </row>
  </sheetData>
  <mergeCells count="9">
    <mergeCell ref="D65:E65"/>
    <mergeCell ref="D120:E120"/>
    <mergeCell ref="C1:S1"/>
    <mergeCell ref="C4:S4"/>
    <mergeCell ref="C5:S5"/>
    <mergeCell ref="D10:E10"/>
    <mergeCell ref="F8:S8"/>
    <mergeCell ref="F63:S63"/>
    <mergeCell ref="F118:S118"/>
  </mergeCells>
  <printOptions horizontalCentered="1"/>
  <pageMargins left="0.7" right="0.7" top="1" bottom="0.75" header="0.55000000000000004" footer="0.51"/>
  <pageSetup scale="54" fitToHeight="0" orientation="portrait" useFirstPageNumber="1" r:id="rId1"/>
  <headerFooter>
    <oddHeader>&amp;R&amp;17Exhibit MPG-2
Page 1 of 2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165"/>
  <sheetViews>
    <sheetView view="pageBreakPreview" zoomScale="60" zoomScaleNormal="70" workbookViewId="0">
      <selection activeCell="O78" sqref="O78"/>
    </sheetView>
  </sheetViews>
  <sheetFormatPr defaultRowHeight="14.25" x14ac:dyDescent="0.2"/>
  <cols>
    <col min="5" max="5" width="19.875" customWidth="1"/>
  </cols>
  <sheetData>
    <row r="1" spans="1:19" ht="27.75" x14ac:dyDescent="0.4">
      <c r="C1" s="236" t="str">
        <f>GasU</f>
        <v>Enter Utility Name</v>
      </c>
      <c r="D1" s="236"/>
      <c r="E1" s="236"/>
      <c r="F1" s="236"/>
      <c r="G1" s="236"/>
      <c r="H1" s="236"/>
      <c r="I1" s="236"/>
      <c r="J1" s="236"/>
      <c r="K1" s="236"/>
      <c r="L1" s="236"/>
      <c r="M1" s="236"/>
      <c r="N1" s="236"/>
      <c r="O1" s="236"/>
      <c r="P1" s="236"/>
      <c r="Q1" s="236"/>
      <c r="R1" s="236"/>
      <c r="S1" s="236"/>
    </row>
    <row r="2" spans="1:19" x14ac:dyDescent="0.2">
      <c r="C2" s="4"/>
      <c r="D2" s="5"/>
      <c r="E2" s="6"/>
      <c r="F2" s="6"/>
      <c r="G2" s="6"/>
      <c r="H2" s="6"/>
      <c r="I2" s="6"/>
      <c r="J2" s="6"/>
      <c r="K2" s="6"/>
      <c r="L2" s="6"/>
      <c r="M2" s="6"/>
      <c r="N2" s="6"/>
      <c r="O2" s="7"/>
      <c r="P2" s="7"/>
      <c r="Q2" s="7"/>
      <c r="R2" s="7"/>
      <c r="S2" s="7"/>
    </row>
    <row r="3" spans="1:19" x14ac:dyDescent="0.2">
      <c r="C3" s="4"/>
      <c r="D3" s="5"/>
      <c r="E3" s="6"/>
      <c r="F3" s="6"/>
      <c r="G3" s="6"/>
      <c r="H3" s="6"/>
      <c r="I3" s="6"/>
      <c r="J3" s="6"/>
      <c r="K3" s="6"/>
      <c r="L3" s="6"/>
      <c r="M3" s="6"/>
      <c r="N3" s="6"/>
      <c r="O3" s="7"/>
      <c r="P3" s="7"/>
      <c r="Q3" s="7"/>
      <c r="R3" s="7"/>
      <c r="S3" s="7"/>
    </row>
    <row r="4" spans="1:19" ht="20.25" x14ac:dyDescent="0.3">
      <c r="C4" s="237" t="s">
        <v>363</v>
      </c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</row>
    <row r="5" spans="1:19" ht="18" x14ac:dyDescent="0.25">
      <c r="C5" s="238" t="s">
        <v>274</v>
      </c>
      <c r="D5" s="238"/>
      <c r="E5" s="238"/>
      <c r="F5" s="238"/>
      <c r="G5" s="238"/>
      <c r="H5" s="238"/>
      <c r="I5" s="238"/>
      <c r="J5" s="238"/>
      <c r="K5" s="238"/>
      <c r="L5" s="238"/>
      <c r="M5" s="238"/>
      <c r="N5" s="238"/>
      <c r="O5" s="238"/>
      <c r="P5" s="238"/>
      <c r="Q5" s="238"/>
      <c r="R5" s="238"/>
      <c r="S5" s="238"/>
    </row>
    <row r="6" spans="1:19" x14ac:dyDescent="0.2">
      <c r="C6" s="6"/>
      <c r="D6" s="7"/>
      <c r="E6" s="7"/>
      <c r="F6" s="7"/>
      <c r="G6" s="225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</row>
    <row r="7" spans="1:19" x14ac:dyDescent="0.2">
      <c r="C7" s="6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</row>
    <row r="8" spans="1:19" ht="17.25" x14ac:dyDescent="0.25">
      <c r="C8" s="6"/>
      <c r="D8" s="7"/>
      <c r="E8" s="7"/>
      <c r="F8" s="239" t="s">
        <v>380</v>
      </c>
      <c r="G8" s="239"/>
      <c r="H8" s="239"/>
      <c r="I8" s="239"/>
      <c r="J8" s="239"/>
      <c r="K8" s="239"/>
      <c r="L8" s="239"/>
      <c r="M8" s="239"/>
      <c r="N8" s="239"/>
      <c r="O8" s="239"/>
      <c r="P8" s="239"/>
      <c r="Q8" s="239"/>
      <c r="R8" s="239"/>
      <c r="S8" s="239"/>
    </row>
    <row r="9" spans="1:19" ht="15" x14ac:dyDescent="0.25">
      <c r="A9" s="42" t="s">
        <v>99</v>
      </c>
      <c r="B9" s="42" t="s">
        <v>241</v>
      </c>
      <c r="C9" s="6"/>
      <c r="D9" s="7"/>
      <c r="E9" s="7"/>
      <c r="F9" s="8" t="s">
        <v>429</v>
      </c>
      <c r="G9" s="116">
        <v>2018</v>
      </c>
      <c r="H9" s="116"/>
      <c r="I9" s="8"/>
      <c r="J9" s="8"/>
      <c r="K9" s="8"/>
      <c r="L9" s="8"/>
      <c r="M9" s="8"/>
      <c r="N9" s="7"/>
      <c r="O9" s="7"/>
      <c r="P9" s="7"/>
      <c r="Q9" s="7"/>
      <c r="R9" s="7"/>
      <c r="S9" s="7"/>
    </row>
    <row r="10" spans="1:19" ht="17.25" x14ac:dyDescent="0.25">
      <c r="A10" s="42" t="s">
        <v>100</v>
      </c>
      <c r="B10" s="42" t="s">
        <v>242</v>
      </c>
      <c r="C10" s="9" t="s">
        <v>96</v>
      </c>
      <c r="D10" s="234" t="s">
        <v>97</v>
      </c>
      <c r="E10" s="234"/>
      <c r="F10" s="10" t="s">
        <v>98</v>
      </c>
      <c r="G10" s="41" t="s">
        <v>423</v>
      </c>
      <c r="H10" s="41">
        <v>2017</v>
      </c>
      <c r="I10" s="41">
        <v>2016</v>
      </c>
      <c r="J10" s="41">
        <v>2015</v>
      </c>
      <c r="K10" s="41">
        <v>2014</v>
      </c>
      <c r="L10" s="41">
        <v>2013</v>
      </c>
      <c r="M10" s="41">
        <v>2012</v>
      </c>
      <c r="N10" s="41">
        <v>2011</v>
      </c>
      <c r="O10" s="41">
        <v>2010</v>
      </c>
      <c r="P10" s="41">
        <v>2009</v>
      </c>
      <c r="Q10" s="41">
        <v>2008</v>
      </c>
      <c r="R10" s="41">
        <v>2007</v>
      </c>
      <c r="S10" s="41">
        <v>2006</v>
      </c>
    </row>
    <row r="11" spans="1:19" ht="15" x14ac:dyDescent="0.25">
      <c r="A11" s="42"/>
      <c r="B11" s="42"/>
      <c r="C11" s="9"/>
      <c r="D11" s="223"/>
      <c r="E11" s="223"/>
      <c r="F11" s="12">
        <v>-1</v>
      </c>
      <c r="G11" s="12">
        <f t="shared" ref="G11:S11" si="0">+F11-1</f>
        <v>-2</v>
      </c>
      <c r="H11" s="12">
        <f t="shared" si="0"/>
        <v>-3</v>
      </c>
      <c r="I11" s="12">
        <f t="shared" si="0"/>
        <v>-4</v>
      </c>
      <c r="J11" s="12">
        <f t="shared" si="0"/>
        <v>-5</v>
      </c>
      <c r="K11" s="12">
        <f t="shared" si="0"/>
        <v>-6</v>
      </c>
      <c r="L11" s="12">
        <f t="shared" si="0"/>
        <v>-7</v>
      </c>
      <c r="M11" s="12">
        <f t="shared" si="0"/>
        <v>-8</v>
      </c>
      <c r="N11" s="12">
        <f t="shared" si="0"/>
        <v>-9</v>
      </c>
      <c r="O11" s="12">
        <f t="shared" si="0"/>
        <v>-10</v>
      </c>
      <c r="P11" s="12">
        <f t="shared" si="0"/>
        <v>-11</v>
      </c>
      <c r="Q11" s="12">
        <f t="shared" si="0"/>
        <v>-12</v>
      </c>
      <c r="R11" s="12">
        <f t="shared" si="0"/>
        <v>-13</v>
      </c>
      <c r="S11" s="12">
        <f t="shared" si="0"/>
        <v>-14</v>
      </c>
    </row>
    <row r="12" spans="1:19" ht="15" x14ac:dyDescent="0.25">
      <c r="A12" s="43"/>
      <c r="B12" s="44"/>
      <c r="C12" s="9"/>
      <c r="D12" s="14" t="s">
        <v>101</v>
      </c>
      <c r="E12" s="11"/>
      <c r="F12" s="36"/>
      <c r="G12" s="36"/>
      <c r="H12" s="36"/>
      <c r="I12" s="16">
        <f t="shared" ref="I12:S12" ca="1" si="1">MATCH(I10,OFFSET(DIV_MP_WP,-1,0,1,),0)</f>
        <v>6</v>
      </c>
      <c r="J12" s="16">
        <f t="shared" ca="1" si="1"/>
        <v>7</v>
      </c>
      <c r="K12" s="16">
        <f t="shared" ca="1" si="1"/>
        <v>8</v>
      </c>
      <c r="L12" s="16">
        <f t="shared" ca="1" si="1"/>
        <v>9</v>
      </c>
      <c r="M12" s="16">
        <f t="shared" ca="1" si="1"/>
        <v>10</v>
      </c>
      <c r="N12" s="16">
        <f t="shared" ca="1" si="1"/>
        <v>11</v>
      </c>
      <c r="O12" s="16">
        <f t="shared" ca="1" si="1"/>
        <v>12</v>
      </c>
      <c r="P12" s="16">
        <f t="shared" ca="1" si="1"/>
        <v>13</v>
      </c>
      <c r="Q12" s="16">
        <f t="shared" ca="1" si="1"/>
        <v>14</v>
      </c>
      <c r="R12" s="16">
        <f t="shared" ca="1" si="1"/>
        <v>15</v>
      </c>
      <c r="S12" s="16">
        <f t="shared" ca="1" si="1"/>
        <v>16</v>
      </c>
    </row>
    <row r="13" spans="1:19" x14ac:dyDescent="0.2">
      <c r="A13" s="45" t="s">
        <v>165</v>
      </c>
      <c r="B13" s="117">
        <f t="shared" ref="B13:B57" ca="1" si="2">IFERROR(MATCH(A13,OFFSET(DIV_MP_WP,0,0,,1),0),"")</f>
        <v>4</v>
      </c>
      <c r="C13" s="1">
        <f ca="1">IF(ISERROR(D13),"",IF(D13="","",MAX($C$12:C12)+1))</f>
        <v>1</v>
      </c>
      <c r="D13" t="str">
        <f t="shared" ref="D13:D57" ca="1" si="3">VLOOKUP(A13,LUCurYr,2,FALSE)</f>
        <v>Amer. States Water</v>
      </c>
      <c r="E13" s="15"/>
      <c r="F13" s="80">
        <f t="shared" ref="F13:F57" ca="1" si="4">IFERROR(AVERAGE(G13:S13),"N/A")</f>
        <v>2.6019959219216619E-2</v>
      </c>
      <c r="G13" s="80">
        <f t="shared" ref="G13:G57" si="5">IFERROR(IF(VLOOKUP(A13,LUCurYr,22,FALSE)=0,"",VLOOKUP(A13,LUCurYr,22,FALSE)),"N/A")</f>
        <v>1.9320214669051879E-2</v>
      </c>
      <c r="H13" s="80">
        <f ca="1">IFERROR(VLOOKUP($A13,LASTYR,'2017'!$Q$3,FALSE),"N/A")</f>
        <v>2.0479086508626041E-2</v>
      </c>
      <c r="I13" s="80">
        <f t="shared" ref="I13:S28" ca="1" si="6">IFERROR(INDEX(DIV_MP_WP,$B13,I$12),"N/A")</f>
        <v>2.204481319794506E-2</v>
      </c>
      <c r="J13" s="80">
        <f t="shared" ca="1" si="6"/>
        <v>2.2090231265006952E-2</v>
      </c>
      <c r="K13" s="80">
        <f t="shared" ca="1" si="6"/>
        <v>2.633997908016102E-2</v>
      </c>
      <c r="L13" s="80">
        <f t="shared" ca="1" si="6"/>
        <v>2.7498371806932483E-2</v>
      </c>
      <c r="M13" s="80">
        <f t="shared" ca="1" si="6"/>
        <v>3.1491767506447131E-2</v>
      </c>
      <c r="N13" s="80">
        <f t="shared" ca="1" si="6"/>
        <v>3.1976744186046513E-2</v>
      </c>
      <c r="O13" s="80">
        <f t="shared" ca="1" si="6"/>
        <v>2.9778948574046501E-2</v>
      </c>
      <c r="P13" s="80">
        <f t="shared" ca="1" si="6"/>
        <v>2.9413477779719262E-2</v>
      </c>
      <c r="Q13" s="80">
        <f t="shared" ca="1" si="6"/>
        <v>2.8566531451751129E-2</v>
      </c>
      <c r="R13" s="80">
        <f t="shared" ca="1" si="6"/>
        <v>2.4584683433626495E-2</v>
      </c>
      <c r="S13" s="80">
        <f t="shared" ca="1" si="6"/>
        <v>2.467462039045553E-2</v>
      </c>
    </row>
    <row r="14" spans="1:19" x14ac:dyDescent="0.2">
      <c r="A14" s="45" t="s">
        <v>167</v>
      </c>
      <c r="B14" s="117">
        <f t="shared" ca="1" si="2"/>
        <v>5</v>
      </c>
      <c r="C14" s="1">
        <f ca="1">IF(ISERROR(D14),"",IF(D14="","",MAX($C$12:C13)+1))</f>
        <v>2</v>
      </c>
      <c r="D14" t="str">
        <f t="shared" ca="1" si="3"/>
        <v>Amer. Water Works</v>
      </c>
      <c r="E14" s="15"/>
      <c r="F14" s="80">
        <f t="shared" ca="1" si="4"/>
        <v>2.7010086179295897E-2</v>
      </c>
      <c r="G14" s="80">
        <f t="shared" si="5"/>
        <v>2.1253731343283584E-2</v>
      </c>
      <c r="H14" s="80">
        <f ca="1">IFERROR(VLOOKUP($A14,LASTYR,'2017'!$Q$3,FALSE),"N/A")</f>
        <v>2.0145745765662696E-2</v>
      </c>
      <c r="I14" s="80">
        <f t="shared" ca="1" si="6"/>
        <v>2.0246818357115309E-2</v>
      </c>
      <c r="J14" s="80">
        <f t="shared" ca="1" si="6"/>
        <v>2.4565486415101312E-2</v>
      </c>
      <c r="K14" s="80">
        <f t="shared" ca="1" si="6"/>
        <v>2.5292113459166821E-2</v>
      </c>
      <c r="L14" s="80">
        <f t="shared" ca="1" si="6"/>
        <v>2.0489304095421615E-2</v>
      </c>
      <c r="M14" s="80">
        <f t="shared" ca="1" si="6"/>
        <v>3.4324293657097465E-2</v>
      </c>
      <c r="N14" s="80">
        <f t="shared" ca="1" si="6"/>
        <v>3.1149413352715191E-2</v>
      </c>
      <c r="O14" s="80">
        <f t="shared" ca="1" si="6"/>
        <v>3.846497897844172E-2</v>
      </c>
      <c r="P14" s="80">
        <f t="shared" ca="1" si="6"/>
        <v>4.1956610724519033E-2</v>
      </c>
      <c r="Q14" s="80">
        <f t="shared" ca="1" si="6"/>
        <v>1.9222451823730117E-2</v>
      </c>
      <c r="R14" s="80" t="str">
        <f t="shared" ca="1" si="6"/>
        <v>N/A</v>
      </c>
      <c r="S14" s="80" t="str">
        <f t="shared" ca="1" si="6"/>
        <v>N/A</v>
      </c>
    </row>
    <row r="15" spans="1:19" x14ac:dyDescent="0.2">
      <c r="A15" s="45" t="s">
        <v>171</v>
      </c>
      <c r="B15" s="117">
        <f t="shared" ca="1" si="2"/>
        <v>8</v>
      </c>
      <c r="C15" s="1">
        <f ca="1">IF(ISERROR(D15),"",IF(D15="","",MAX($C$12:C14)+1))</f>
        <v>3</v>
      </c>
      <c r="D15" t="str">
        <f t="shared" ca="1" si="3"/>
        <v>Aqua America</v>
      </c>
      <c r="E15" s="15"/>
      <c r="F15" s="80">
        <f t="shared" ca="1" si="4"/>
        <v>2.5490158438569499E-2</v>
      </c>
      <c r="G15" s="80">
        <f t="shared" si="5"/>
        <v>2.3676880222841225E-2</v>
      </c>
      <c r="H15" s="80">
        <f ca="1">IFERROR(VLOOKUP($A15,LASTYR,'2017'!$Q$3,FALSE),"N/A")</f>
        <v>2.3726573762614129E-2</v>
      </c>
      <c r="I15" s="80">
        <f t="shared" ca="1" si="6"/>
        <v>2.3492809295533192E-2</v>
      </c>
      <c r="J15" s="80">
        <f t="shared" ca="1" si="6"/>
        <v>2.5746268656716417E-2</v>
      </c>
      <c r="K15" s="80">
        <f t="shared" ca="1" si="6"/>
        <v>2.5288002247822423E-2</v>
      </c>
      <c r="L15" s="80">
        <f t="shared" ca="1" si="6"/>
        <v>2.3606984411249948E-2</v>
      </c>
      <c r="M15" s="80">
        <f t="shared" ca="1" si="6"/>
        <v>2.8020283339432274E-2</v>
      </c>
      <c r="N15" s="80">
        <f t="shared" ca="1" si="6"/>
        <v>2.8497116363225151E-2</v>
      </c>
      <c r="O15" s="80">
        <f t="shared" ca="1" si="6"/>
        <v>3.1101739588824458E-2</v>
      </c>
      <c r="P15" s="80">
        <f t="shared" ca="1" si="6"/>
        <v>3.0929284408828903E-2</v>
      </c>
      <c r="Q15" s="80">
        <f t="shared" ca="1" si="6"/>
        <v>2.8025827723588404E-2</v>
      </c>
      <c r="R15" s="80">
        <f t="shared" ca="1" si="6"/>
        <v>2.1147703491573962E-2</v>
      </c>
      <c r="S15" s="80">
        <f t="shared" ca="1" si="6"/>
        <v>1.811258618915303E-2</v>
      </c>
    </row>
    <row r="16" spans="1:19" x14ac:dyDescent="0.2">
      <c r="A16" s="45" t="s">
        <v>177</v>
      </c>
      <c r="B16" s="117">
        <f t="shared" ca="1" si="2"/>
        <v>13</v>
      </c>
      <c r="C16" s="1">
        <f ca="1">IF(ISERROR(D16),"",IF(D16="","",MAX($C$12:C15)+1))</f>
        <v>4</v>
      </c>
      <c r="D16" t="str">
        <f t="shared" ca="1" si="3"/>
        <v>California Water</v>
      </c>
      <c r="E16" s="15"/>
      <c r="F16" s="80">
        <f t="shared" ca="1" si="4"/>
        <v>2.8447789652590854E-2</v>
      </c>
      <c r="G16" s="80">
        <f t="shared" si="5"/>
        <v>1.8495684340320593E-2</v>
      </c>
      <c r="H16" s="80">
        <f ca="1">IFERROR(VLOOKUP($A16,LASTYR,'2017'!$Q$3,FALSE),"N/A")</f>
        <v>1.9121474478143091E-2</v>
      </c>
      <c r="I16" s="80">
        <f t="shared" ca="1" si="6"/>
        <v>2.3041474654377878E-2</v>
      </c>
      <c r="J16" s="80">
        <f t="shared" ca="1" si="6"/>
        <v>2.8771417529093488E-2</v>
      </c>
      <c r="K16" s="80">
        <f t="shared" ca="1" si="6"/>
        <v>2.7739842949812226E-2</v>
      </c>
      <c r="L16" s="80">
        <f t="shared" ca="1" si="6"/>
        <v>3.1176929072486363E-2</v>
      </c>
      <c r="M16" s="80">
        <f t="shared" ca="1" si="6"/>
        <v>3.4547049791620967E-2</v>
      </c>
      <c r="N16" s="80">
        <f t="shared" ca="1" si="6"/>
        <v>3.3610230626297956E-2</v>
      </c>
      <c r="O16" s="80">
        <f t="shared" ca="1" si="6"/>
        <v>3.2395056351064405E-2</v>
      </c>
      <c r="P16" s="80">
        <f t="shared" ca="1" si="6"/>
        <v>3.0738772533083256E-2</v>
      </c>
      <c r="Q16" s="80">
        <f t="shared" ca="1" si="6"/>
        <v>3.1153477473639366E-2</v>
      </c>
      <c r="R16" s="80">
        <f t="shared" ca="1" si="6"/>
        <v>2.9678145627590441E-2</v>
      </c>
      <c r="S16" s="80">
        <f t="shared" ca="1" si="6"/>
        <v>2.9351710056151094E-2</v>
      </c>
    </row>
    <row r="17" spans="1:19" x14ac:dyDescent="0.2">
      <c r="A17" s="45" t="s">
        <v>180</v>
      </c>
      <c r="B17" s="117">
        <f t="shared" ca="1" si="2"/>
        <v>19</v>
      </c>
      <c r="C17" s="1">
        <f ca="1">IF(ISERROR(D17),"",IF(D17="","",MAX($C$12:C16)+1))</f>
        <v>5</v>
      </c>
      <c r="D17" t="str">
        <f t="shared" ca="1" si="3"/>
        <v>Conn. Water Services</v>
      </c>
      <c r="E17" s="15"/>
      <c r="F17" s="80">
        <f t="shared" ca="1" si="4"/>
        <v>3.1814601834309814E-2</v>
      </c>
      <c r="G17" s="80">
        <f t="shared" si="5"/>
        <v>2.0893007582139852E-2</v>
      </c>
      <c r="H17" s="80">
        <f ca="1">IFERROR(VLOOKUP($A17,LASTYR,'2017'!$Q$3,FALSE),"N/A")</f>
        <v>2.0883477275945066E-2</v>
      </c>
      <c r="I17" s="80">
        <f t="shared" ca="1" si="6"/>
        <v>2.312472900708195E-2</v>
      </c>
      <c r="J17" s="80">
        <f t="shared" ca="1" si="6"/>
        <v>2.9282985191176062E-2</v>
      </c>
      <c r="K17" s="80">
        <f t="shared" ca="1" si="6"/>
        <v>3.0022888736957881E-2</v>
      </c>
      <c r="L17" s="80">
        <f t="shared" ca="1" si="6"/>
        <v>3.2142740004591816E-2</v>
      </c>
      <c r="M17" s="80">
        <f t="shared" ca="1" si="6"/>
        <v>3.2367915303954956E-2</v>
      </c>
      <c r="N17" s="80">
        <f t="shared" ca="1" si="6"/>
        <v>3.6174716182412928E-2</v>
      </c>
      <c r="O17" s="80">
        <f t="shared" ca="1" si="6"/>
        <v>3.939030655934235E-2</v>
      </c>
      <c r="P17" s="80">
        <f t="shared" ca="1" si="6"/>
        <v>4.1092137704319243E-2</v>
      </c>
      <c r="Q17" s="80">
        <f t="shared" ca="1" si="6"/>
        <v>3.5763634885800206E-2</v>
      </c>
      <c r="R17" s="80">
        <f t="shared" ca="1" si="6"/>
        <v>3.6023353070266238E-2</v>
      </c>
      <c r="S17" s="80">
        <f t="shared" ca="1" si="6"/>
        <v>3.6427932342039109E-2</v>
      </c>
    </row>
    <row r="18" spans="1:19" x14ac:dyDescent="0.2">
      <c r="A18" s="45" t="s">
        <v>182</v>
      </c>
      <c r="B18" s="117">
        <f t="shared" ca="1" si="2"/>
        <v>21</v>
      </c>
      <c r="C18" s="1">
        <f ca="1">IF(ISERROR(D18),"",IF(D18="","",MAX($C$12:C17)+1))</f>
        <v>6</v>
      </c>
      <c r="D18" t="str">
        <f t="shared" ca="1" si="3"/>
        <v>Consolidated Water</v>
      </c>
      <c r="E18" s="15"/>
      <c r="F18" s="80">
        <f t="shared" ca="1" si="4"/>
        <v>2.3273076115946152E-2</v>
      </c>
      <c r="G18" s="80">
        <f t="shared" si="5"/>
        <v>2.5547445255474453E-2</v>
      </c>
      <c r="H18" s="80">
        <f ca="1">IFERROR(VLOOKUP($A18,LASTYR,'2017'!$Q$3,FALSE),"N/A")</f>
        <v>2.6067944836865121E-2</v>
      </c>
      <c r="I18" s="80">
        <f t="shared" ca="1" si="6"/>
        <v>2.4797487187964949E-2</v>
      </c>
      <c r="J18" s="80">
        <f t="shared" ca="1" si="6"/>
        <v>2.5922405599239608E-2</v>
      </c>
      <c r="K18" s="80">
        <f t="shared" ca="1" si="6"/>
        <v>2.52503997979968E-2</v>
      </c>
      <c r="L18" s="80">
        <f t="shared" ca="1" si="6"/>
        <v>2.5833118057349523E-2</v>
      </c>
      <c r="M18" s="80">
        <f t="shared" ca="1" si="6"/>
        <v>3.7759597230962866E-2</v>
      </c>
      <c r="N18" s="80">
        <f t="shared" ca="1" si="6"/>
        <v>3.1897926634768738E-2</v>
      </c>
      <c r="O18" s="80">
        <f t="shared" ca="1" si="6"/>
        <v>2.596728122565567E-2</v>
      </c>
      <c r="P18" s="80">
        <f t="shared" ca="1" si="6"/>
        <v>1.9882127387630479E-2</v>
      </c>
      <c r="Q18" s="80">
        <f t="shared" ca="1" si="6"/>
        <v>1.7200317544323895E-2</v>
      </c>
      <c r="R18" s="80">
        <f t="shared" ca="1" si="6"/>
        <v>6.9747478360397746E-3</v>
      </c>
      <c r="S18" s="80">
        <f t="shared" ca="1" si="6"/>
        <v>9.4491909130280712E-3</v>
      </c>
    </row>
    <row r="19" spans="1:19" x14ac:dyDescent="0.2">
      <c r="A19" s="45" t="s">
        <v>188</v>
      </c>
      <c r="B19" s="117">
        <f t="shared" ca="1" si="2"/>
        <v>41</v>
      </c>
      <c r="C19" s="1">
        <f ca="1">IF(ISERROR(D19),"",IF(D19="","",MAX($C$12:C18)+1))</f>
        <v>7</v>
      </c>
      <c r="D19" t="str">
        <f t="shared" ca="1" si="3"/>
        <v>Middlesex Water</v>
      </c>
      <c r="E19" s="15"/>
      <c r="F19" s="80">
        <f t="shared" ca="1" si="4"/>
        <v>3.5095089236382042E-2</v>
      </c>
      <c r="G19" s="80">
        <f t="shared" si="5"/>
        <v>2.1927710843373496E-2</v>
      </c>
      <c r="H19" s="80">
        <f ca="1">IFERROR(VLOOKUP($A19,LASTYR,'2017'!$Q$3,FALSE),"N/A")</f>
        <v>2.1902841242692671E-2</v>
      </c>
      <c r="I19" s="80">
        <f t="shared" ca="1" si="6"/>
        <v>2.283130827917491E-2</v>
      </c>
      <c r="J19" s="80">
        <f t="shared" ca="1" si="6"/>
        <v>3.3284721626490522E-2</v>
      </c>
      <c r="K19" s="80">
        <f t="shared" ca="1" si="6"/>
        <v>3.652465294399234E-2</v>
      </c>
      <c r="L19" s="80">
        <f t="shared" ca="1" si="6"/>
        <v>3.7102734663710273E-2</v>
      </c>
      <c r="M19" s="80">
        <f t="shared" ca="1" si="6"/>
        <v>3.9635122159394007E-2</v>
      </c>
      <c r="N19" s="80">
        <f t="shared" ca="1" si="6"/>
        <v>4.0164383561643834E-2</v>
      </c>
      <c r="O19" s="80">
        <f t="shared" ca="1" si="6"/>
        <v>4.2288120722933843E-2</v>
      </c>
      <c r="P19" s="80">
        <f t="shared" ca="1" si="6"/>
        <v>4.711868887126619E-2</v>
      </c>
      <c r="Q19" s="80">
        <f t="shared" ca="1" si="6"/>
        <v>3.9895579138527891E-2</v>
      </c>
      <c r="R19" s="80">
        <f t="shared" ca="1" si="6"/>
        <v>3.6897029070386535E-2</v>
      </c>
      <c r="S19" s="80">
        <f t="shared" ca="1" si="6"/>
        <v>3.6663266949379998E-2</v>
      </c>
    </row>
    <row r="20" spans="1:19" x14ac:dyDescent="0.2">
      <c r="A20" s="45" t="s">
        <v>196</v>
      </c>
      <c r="B20" s="117">
        <f t="shared" ca="1" si="2"/>
        <v>60</v>
      </c>
      <c r="C20" s="1">
        <f ca="1">IF(ISERROR(D20),"",IF(D20="","",MAX($C$12:C19)+1))</f>
        <v>8</v>
      </c>
      <c r="D20" t="str">
        <f t="shared" ca="1" si="3"/>
        <v>SJW Corp.</v>
      </c>
      <c r="E20" s="15"/>
      <c r="F20" s="80">
        <f t="shared" ca="1" si="4"/>
        <v>2.4002084302766014E-2</v>
      </c>
      <c r="G20" s="80">
        <f t="shared" si="5"/>
        <v>1.8713450292397661E-2</v>
      </c>
      <c r="H20" s="80">
        <f ca="1">IFERROR(VLOOKUP($A20,LASTYR,'2017'!$Q$3,FALSE),"N/A")</f>
        <v>1.9300361881785286E-2</v>
      </c>
      <c r="I20" s="80">
        <f t="shared" ca="1" si="6"/>
        <v>2.0105741306128529E-2</v>
      </c>
      <c r="J20" s="80">
        <f t="shared" ca="1" si="6"/>
        <v>2.5334545926984541E-2</v>
      </c>
      <c r="K20" s="80">
        <f t="shared" ca="1" si="6"/>
        <v>2.6391723555492998E-2</v>
      </c>
      <c r="L20" s="80">
        <f t="shared" ca="1" si="6"/>
        <v>2.678112847604373E-2</v>
      </c>
      <c r="M20" s="80">
        <f t="shared" ca="1" si="6"/>
        <v>2.9543941411451398E-2</v>
      </c>
      <c r="N20" s="80">
        <f t="shared" ca="1" si="6"/>
        <v>2.9357954303705906E-2</v>
      </c>
      <c r="O20" s="80">
        <f t="shared" ca="1" si="6"/>
        <v>2.7797081306462822E-2</v>
      </c>
      <c r="P20" s="80">
        <f t="shared" ca="1" si="6"/>
        <v>2.8423772609819126E-2</v>
      </c>
      <c r="Q20" s="80">
        <f t="shared" ca="1" si="6"/>
        <v>2.2677730117431967E-2</v>
      </c>
      <c r="R20" s="80">
        <f t="shared" ca="1" si="6"/>
        <v>1.7403060637441028E-2</v>
      </c>
      <c r="S20" s="80">
        <f t="shared" ca="1" si="6"/>
        <v>2.0196604110813223E-2</v>
      </c>
    </row>
    <row r="21" spans="1:19" x14ac:dyDescent="0.2">
      <c r="A21" s="45" t="s">
        <v>208</v>
      </c>
      <c r="B21" s="117">
        <f t="shared" ca="1" si="2"/>
        <v>75</v>
      </c>
      <c r="C21" s="1">
        <f ca="1">IF(ISERROR(D21),"",IF(D21="","",MAX($C$12:C20)+1))</f>
        <v>9</v>
      </c>
      <c r="D21" t="str">
        <f t="shared" ca="1" si="3"/>
        <v>York Water Co. (The)</v>
      </c>
      <c r="E21" s="15"/>
      <c r="F21" s="80">
        <f t="shared" ca="1" si="4"/>
        <v>2.8649454910211966E-2</v>
      </c>
      <c r="G21" s="80">
        <f t="shared" si="5"/>
        <v>2.2690437601296593E-2</v>
      </c>
      <c r="H21" s="80">
        <f ca="1">IFERROR(VLOOKUP($A21,LASTYR,'2017'!$Q$3,FALSE),"N/A")</f>
        <v>1.8586829086957767E-2</v>
      </c>
      <c r="I21" s="80" t="str">
        <f t="shared" ca="1" si="6"/>
        <v>N/A</v>
      </c>
      <c r="J21" s="80">
        <f t="shared" ca="1" si="6"/>
        <v>2.629618267081562E-2</v>
      </c>
      <c r="K21" s="80">
        <f t="shared" ca="1" si="6"/>
        <v>2.7863023040576744E-2</v>
      </c>
      <c r="L21" s="80">
        <f t="shared" ca="1" si="6"/>
        <v>2.8024572269888821E-2</v>
      </c>
      <c r="M21" s="80">
        <f t="shared" ca="1" si="6"/>
        <v>3.0624999999999999E-2</v>
      </c>
      <c r="N21" s="80">
        <f t="shared" ca="1" si="6"/>
        <v>3.1049313615742653E-2</v>
      </c>
      <c r="O21" s="80">
        <f t="shared" ca="1" si="6"/>
        <v>3.5007817279586705E-2</v>
      </c>
      <c r="P21" s="80">
        <f t="shared" ca="1" si="6"/>
        <v>3.6155769917827797E-2</v>
      </c>
      <c r="Q21" s="80">
        <f t="shared" ca="1" si="6"/>
        <v>3.490862364363221E-2</v>
      </c>
      <c r="R21" s="80">
        <f t="shared" ca="1" si="6"/>
        <v>2.753623188405797E-2</v>
      </c>
      <c r="S21" s="80">
        <f t="shared" ca="1" si="6"/>
        <v>2.5049657912160673E-2</v>
      </c>
    </row>
    <row r="22" spans="1:19" hidden="1" x14ac:dyDescent="0.2">
      <c r="A22" s="45"/>
      <c r="B22" s="117" t="str">
        <f t="shared" ca="1" si="2"/>
        <v/>
      </c>
      <c r="C22" s="1" t="str">
        <f>IF(ISERROR(D22),"",IF(D22="","",MAX($C$12:C21)+1))</f>
        <v/>
      </c>
      <c r="D22" t="e">
        <f t="shared" si="3"/>
        <v>#N/A</v>
      </c>
      <c r="E22" s="15"/>
      <c r="F22" s="80" t="str">
        <f t="shared" ca="1" si="4"/>
        <v>N/A</v>
      </c>
      <c r="G22" s="80" t="str">
        <f t="shared" si="5"/>
        <v>N/A</v>
      </c>
      <c r="H22" s="80" t="str">
        <f ca="1">IFERROR(VLOOKUP($A22,LASTYR,'2017'!$Q$3,FALSE),"N/A")</f>
        <v>N/A</v>
      </c>
      <c r="I22" s="80" t="str">
        <f t="shared" ca="1" si="6"/>
        <v>N/A</v>
      </c>
      <c r="J22" s="80" t="str">
        <f t="shared" ca="1" si="6"/>
        <v>N/A</v>
      </c>
      <c r="K22" s="80" t="str">
        <f t="shared" ca="1" si="6"/>
        <v>N/A</v>
      </c>
      <c r="L22" s="80" t="str">
        <f t="shared" ca="1" si="6"/>
        <v>N/A</v>
      </c>
      <c r="M22" s="80" t="str">
        <f t="shared" ca="1" si="6"/>
        <v>N/A</v>
      </c>
      <c r="N22" s="80" t="str">
        <f t="shared" ca="1" si="6"/>
        <v>N/A</v>
      </c>
      <c r="O22" s="80" t="str">
        <f t="shared" ca="1" si="6"/>
        <v>N/A</v>
      </c>
      <c r="P22" s="80" t="str">
        <f t="shared" ca="1" si="6"/>
        <v>N/A</v>
      </c>
      <c r="Q22" s="80" t="str">
        <f t="shared" ca="1" si="6"/>
        <v>N/A</v>
      </c>
      <c r="R22" s="80" t="str">
        <f t="shared" ca="1" si="6"/>
        <v>N/A</v>
      </c>
      <c r="S22" s="80" t="str">
        <f t="shared" ca="1" si="6"/>
        <v>N/A</v>
      </c>
    </row>
    <row r="23" spans="1:19" hidden="1" x14ac:dyDescent="0.2">
      <c r="A23" s="45"/>
      <c r="B23" s="117" t="str">
        <f t="shared" ca="1" si="2"/>
        <v/>
      </c>
      <c r="C23" s="1" t="str">
        <f>IF(ISERROR(D23),"",IF(D23="","",MAX($C$12:C22)+1))</f>
        <v/>
      </c>
      <c r="D23" t="e">
        <f t="shared" si="3"/>
        <v>#N/A</v>
      </c>
      <c r="E23" s="15"/>
      <c r="F23" s="80" t="str">
        <f t="shared" ca="1" si="4"/>
        <v>N/A</v>
      </c>
      <c r="G23" s="80" t="str">
        <f t="shared" si="5"/>
        <v>N/A</v>
      </c>
      <c r="H23" s="80" t="str">
        <f ca="1">IFERROR(VLOOKUP($A23,LASTYR,'2017'!$Q$3,FALSE),"N/A")</f>
        <v>N/A</v>
      </c>
      <c r="I23" s="80" t="str">
        <f t="shared" ca="1" si="6"/>
        <v>N/A</v>
      </c>
      <c r="J23" s="80" t="str">
        <f t="shared" ca="1" si="6"/>
        <v>N/A</v>
      </c>
      <c r="K23" s="80" t="str">
        <f t="shared" ca="1" si="6"/>
        <v>N/A</v>
      </c>
      <c r="L23" s="80" t="str">
        <f t="shared" ca="1" si="6"/>
        <v>N/A</v>
      </c>
      <c r="M23" s="80" t="str">
        <f t="shared" ca="1" si="6"/>
        <v>N/A</v>
      </c>
      <c r="N23" s="80" t="str">
        <f t="shared" ca="1" si="6"/>
        <v>N/A</v>
      </c>
      <c r="O23" s="80" t="str">
        <f t="shared" ca="1" si="6"/>
        <v>N/A</v>
      </c>
      <c r="P23" s="80" t="str">
        <f t="shared" ca="1" si="6"/>
        <v>N/A</v>
      </c>
      <c r="Q23" s="80" t="str">
        <f t="shared" ca="1" si="6"/>
        <v>N/A</v>
      </c>
      <c r="R23" s="80" t="str">
        <f t="shared" ca="1" si="6"/>
        <v>N/A</v>
      </c>
      <c r="S23" s="80" t="str">
        <f t="shared" ca="1" si="6"/>
        <v>N/A</v>
      </c>
    </row>
    <row r="24" spans="1:19" hidden="1" x14ac:dyDescent="0.2">
      <c r="A24" s="45"/>
      <c r="B24" s="117" t="str">
        <f t="shared" ca="1" si="2"/>
        <v/>
      </c>
      <c r="C24" s="1" t="str">
        <f>IF(ISERROR(D24),"",IF(D24="","",MAX($C$12:C23)+1))</f>
        <v/>
      </c>
      <c r="D24" t="e">
        <f t="shared" si="3"/>
        <v>#N/A</v>
      </c>
      <c r="E24" s="15"/>
      <c r="F24" s="80" t="str">
        <f t="shared" ca="1" si="4"/>
        <v>N/A</v>
      </c>
      <c r="G24" s="80" t="str">
        <f t="shared" si="5"/>
        <v>N/A</v>
      </c>
      <c r="H24" s="80" t="str">
        <f ca="1">IFERROR(VLOOKUP($A24,LASTYR,'2017'!$Q$3,FALSE),"N/A")</f>
        <v>N/A</v>
      </c>
      <c r="I24" s="80" t="str">
        <f t="shared" ca="1" si="6"/>
        <v>N/A</v>
      </c>
      <c r="J24" s="80" t="str">
        <f t="shared" ca="1" si="6"/>
        <v>N/A</v>
      </c>
      <c r="K24" s="80" t="str">
        <f t="shared" ca="1" si="6"/>
        <v>N/A</v>
      </c>
      <c r="L24" s="80" t="str">
        <f t="shared" ca="1" si="6"/>
        <v>N/A</v>
      </c>
      <c r="M24" s="80" t="str">
        <f t="shared" ca="1" si="6"/>
        <v>N/A</v>
      </c>
      <c r="N24" s="80" t="str">
        <f t="shared" ca="1" si="6"/>
        <v>N/A</v>
      </c>
      <c r="O24" s="80" t="str">
        <f t="shared" ca="1" si="6"/>
        <v>N/A</v>
      </c>
      <c r="P24" s="80" t="str">
        <f t="shared" ca="1" si="6"/>
        <v>N/A</v>
      </c>
      <c r="Q24" s="80" t="str">
        <f t="shared" ca="1" si="6"/>
        <v>N/A</v>
      </c>
      <c r="R24" s="80" t="str">
        <f t="shared" ca="1" si="6"/>
        <v>N/A</v>
      </c>
      <c r="S24" s="80" t="str">
        <f t="shared" ca="1" si="6"/>
        <v>N/A</v>
      </c>
    </row>
    <row r="25" spans="1:19" hidden="1" x14ac:dyDescent="0.2">
      <c r="A25" s="45"/>
      <c r="B25" s="117" t="str">
        <f t="shared" ca="1" si="2"/>
        <v/>
      </c>
      <c r="C25" s="1" t="str">
        <f>IF(ISERROR(D25),"",IF(D25="","",MAX($C$12:C24)+1))</f>
        <v/>
      </c>
      <c r="D25" t="e">
        <f t="shared" si="3"/>
        <v>#N/A</v>
      </c>
      <c r="E25" s="15"/>
      <c r="F25" s="80" t="str">
        <f t="shared" ca="1" si="4"/>
        <v>N/A</v>
      </c>
      <c r="G25" s="80" t="str">
        <f t="shared" si="5"/>
        <v>N/A</v>
      </c>
      <c r="H25" s="80" t="str">
        <f ca="1">IFERROR(VLOOKUP($A25,LASTYR,'2017'!$Q$3,FALSE),"N/A")</f>
        <v>N/A</v>
      </c>
      <c r="I25" s="80" t="str">
        <f t="shared" ca="1" si="6"/>
        <v>N/A</v>
      </c>
      <c r="J25" s="80" t="str">
        <f t="shared" ca="1" si="6"/>
        <v>N/A</v>
      </c>
      <c r="K25" s="80" t="str">
        <f t="shared" ca="1" si="6"/>
        <v>N/A</v>
      </c>
      <c r="L25" s="80" t="str">
        <f t="shared" ca="1" si="6"/>
        <v>N/A</v>
      </c>
      <c r="M25" s="80" t="str">
        <f t="shared" ca="1" si="6"/>
        <v>N/A</v>
      </c>
      <c r="N25" s="80" t="str">
        <f t="shared" ca="1" si="6"/>
        <v>N/A</v>
      </c>
      <c r="O25" s="80" t="str">
        <f t="shared" ca="1" si="6"/>
        <v>N/A</v>
      </c>
      <c r="P25" s="80" t="str">
        <f t="shared" ca="1" si="6"/>
        <v>N/A</v>
      </c>
      <c r="Q25" s="80" t="str">
        <f t="shared" ca="1" si="6"/>
        <v>N/A</v>
      </c>
      <c r="R25" s="80" t="str">
        <f t="shared" ca="1" si="6"/>
        <v>N/A</v>
      </c>
      <c r="S25" s="80" t="str">
        <f t="shared" ca="1" si="6"/>
        <v>N/A</v>
      </c>
    </row>
    <row r="26" spans="1:19" hidden="1" x14ac:dyDescent="0.2">
      <c r="A26" s="45"/>
      <c r="B26" s="117" t="str">
        <f t="shared" ca="1" si="2"/>
        <v/>
      </c>
      <c r="C26" s="1" t="str">
        <f>IF(ISERROR(D26),"",IF(D26="","",MAX($C$12:C25)+1))</f>
        <v/>
      </c>
      <c r="D26" t="e">
        <f t="shared" si="3"/>
        <v>#N/A</v>
      </c>
      <c r="E26" s="15"/>
      <c r="F26" s="80" t="str">
        <f t="shared" ca="1" si="4"/>
        <v>N/A</v>
      </c>
      <c r="G26" s="80" t="str">
        <f t="shared" si="5"/>
        <v>N/A</v>
      </c>
      <c r="H26" s="80" t="str">
        <f ca="1">IFERROR(VLOOKUP($A26,LASTYR,'2017'!$Q$3,FALSE),"N/A")</f>
        <v>N/A</v>
      </c>
      <c r="I26" s="80" t="str">
        <f t="shared" ca="1" si="6"/>
        <v>N/A</v>
      </c>
      <c r="J26" s="80" t="str">
        <f t="shared" ca="1" si="6"/>
        <v>N/A</v>
      </c>
      <c r="K26" s="80" t="str">
        <f t="shared" ca="1" si="6"/>
        <v>N/A</v>
      </c>
      <c r="L26" s="80" t="str">
        <f t="shared" ca="1" si="6"/>
        <v>N/A</v>
      </c>
      <c r="M26" s="80" t="str">
        <f t="shared" ca="1" si="6"/>
        <v>N/A</v>
      </c>
      <c r="N26" s="80" t="str">
        <f t="shared" ca="1" si="6"/>
        <v>N/A</v>
      </c>
      <c r="O26" s="80" t="str">
        <f t="shared" ca="1" si="6"/>
        <v>N/A</v>
      </c>
      <c r="P26" s="80" t="str">
        <f t="shared" ca="1" si="6"/>
        <v>N/A</v>
      </c>
      <c r="Q26" s="80" t="str">
        <f t="shared" ca="1" si="6"/>
        <v>N/A</v>
      </c>
      <c r="R26" s="80" t="str">
        <f t="shared" ca="1" si="6"/>
        <v>N/A</v>
      </c>
      <c r="S26" s="80" t="str">
        <f t="shared" ca="1" si="6"/>
        <v>N/A</v>
      </c>
    </row>
    <row r="27" spans="1:19" hidden="1" x14ac:dyDescent="0.2">
      <c r="A27" s="45"/>
      <c r="B27" s="117" t="str">
        <f t="shared" ca="1" si="2"/>
        <v/>
      </c>
      <c r="C27" s="1" t="str">
        <f>IF(ISERROR(D27),"",IF(D27="","",MAX($C$12:C26)+1))</f>
        <v/>
      </c>
      <c r="D27" t="e">
        <f t="shared" si="3"/>
        <v>#N/A</v>
      </c>
      <c r="E27" s="15"/>
      <c r="F27" s="80" t="str">
        <f t="shared" ca="1" si="4"/>
        <v>N/A</v>
      </c>
      <c r="G27" s="80" t="str">
        <f t="shared" si="5"/>
        <v>N/A</v>
      </c>
      <c r="H27" s="80" t="str">
        <f ca="1">IFERROR(VLOOKUP($A27,LASTYR,'2017'!$Q$3,FALSE),"N/A")</f>
        <v>N/A</v>
      </c>
      <c r="I27" s="80" t="str">
        <f t="shared" ca="1" si="6"/>
        <v>N/A</v>
      </c>
      <c r="J27" s="80" t="str">
        <f t="shared" ca="1" si="6"/>
        <v>N/A</v>
      </c>
      <c r="K27" s="80" t="str">
        <f t="shared" ca="1" si="6"/>
        <v>N/A</v>
      </c>
      <c r="L27" s="80" t="str">
        <f t="shared" ca="1" si="6"/>
        <v>N/A</v>
      </c>
      <c r="M27" s="80" t="str">
        <f t="shared" ca="1" si="6"/>
        <v>N/A</v>
      </c>
      <c r="N27" s="80" t="str">
        <f t="shared" ca="1" si="6"/>
        <v>N/A</v>
      </c>
      <c r="O27" s="80" t="str">
        <f t="shared" ca="1" si="6"/>
        <v>N/A</v>
      </c>
      <c r="P27" s="80" t="str">
        <f t="shared" ca="1" si="6"/>
        <v>N/A</v>
      </c>
      <c r="Q27" s="80" t="str">
        <f t="shared" ca="1" si="6"/>
        <v>N/A</v>
      </c>
      <c r="R27" s="80" t="str">
        <f t="shared" ca="1" si="6"/>
        <v>N/A</v>
      </c>
      <c r="S27" s="80" t="str">
        <f t="shared" ca="1" si="6"/>
        <v>N/A</v>
      </c>
    </row>
    <row r="28" spans="1:19" hidden="1" x14ac:dyDescent="0.2">
      <c r="A28" s="45"/>
      <c r="B28" s="117" t="str">
        <f t="shared" ca="1" si="2"/>
        <v/>
      </c>
      <c r="C28" s="1" t="str">
        <f>IF(ISERROR(D28),"",IF(D28="","",MAX($C$12:C27)+1))</f>
        <v/>
      </c>
      <c r="D28" t="e">
        <f t="shared" si="3"/>
        <v>#N/A</v>
      </c>
      <c r="E28" s="15"/>
      <c r="F28" s="80" t="str">
        <f t="shared" ca="1" si="4"/>
        <v>N/A</v>
      </c>
      <c r="G28" s="80" t="str">
        <f t="shared" si="5"/>
        <v>N/A</v>
      </c>
      <c r="H28" s="80" t="str">
        <f ca="1">IFERROR(VLOOKUP($A28,LASTYR,'2017'!$Q$3,FALSE),"N/A")</f>
        <v>N/A</v>
      </c>
      <c r="I28" s="80" t="str">
        <f t="shared" ca="1" si="6"/>
        <v>N/A</v>
      </c>
      <c r="J28" s="80" t="str">
        <f t="shared" ca="1" si="6"/>
        <v>N/A</v>
      </c>
      <c r="K28" s="80" t="str">
        <f t="shared" ca="1" si="6"/>
        <v>N/A</v>
      </c>
      <c r="L28" s="80" t="str">
        <f t="shared" ca="1" si="6"/>
        <v>N/A</v>
      </c>
      <c r="M28" s="80" t="str">
        <f t="shared" ca="1" si="6"/>
        <v>N/A</v>
      </c>
      <c r="N28" s="80" t="str">
        <f t="shared" ca="1" si="6"/>
        <v>N/A</v>
      </c>
      <c r="O28" s="80" t="str">
        <f t="shared" ca="1" si="6"/>
        <v>N/A</v>
      </c>
      <c r="P28" s="80" t="str">
        <f t="shared" ca="1" si="6"/>
        <v>N/A</v>
      </c>
      <c r="Q28" s="80" t="str">
        <f t="shared" ca="1" si="6"/>
        <v>N/A</v>
      </c>
      <c r="R28" s="80" t="str">
        <f t="shared" ca="1" si="6"/>
        <v>N/A</v>
      </c>
      <c r="S28" s="80" t="str">
        <f t="shared" ca="1" si="6"/>
        <v>N/A</v>
      </c>
    </row>
    <row r="29" spans="1:19" hidden="1" x14ac:dyDescent="0.2">
      <c r="A29" s="45"/>
      <c r="B29" s="117" t="str">
        <f t="shared" ca="1" si="2"/>
        <v/>
      </c>
      <c r="C29" s="1" t="str">
        <f>IF(ISERROR(D29),"",IF(D29="","",MAX($C$12:C28)+1))</f>
        <v/>
      </c>
      <c r="D29" t="e">
        <f t="shared" si="3"/>
        <v>#N/A</v>
      </c>
      <c r="E29" s="15"/>
      <c r="F29" s="80" t="str">
        <f t="shared" ca="1" si="4"/>
        <v>N/A</v>
      </c>
      <c r="G29" s="80" t="str">
        <f t="shared" si="5"/>
        <v>N/A</v>
      </c>
      <c r="H29" s="80" t="str">
        <f ca="1">IFERROR(VLOOKUP($A29,LASTYR,'2017'!$Q$3,FALSE),"N/A")</f>
        <v>N/A</v>
      </c>
      <c r="I29" s="80" t="str">
        <f t="shared" ref="I29:S52" ca="1" si="7">IFERROR(INDEX(DIV_MP_WP,$B29,I$12),"N/A")</f>
        <v>N/A</v>
      </c>
      <c r="J29" s="80" t="str">
        <f t="shared" ca="1" si="7"/>
        <v>N/A</v>
      </c>
      <c r="K29" s="80" t="str">
        <f t="shared" ca="1" si="7"/>
        <v>N/A</v>
      </c>
      <c r="L29" s="80" t="str">
        <f t="shared" ca="1" si="7"/>
        <v>N/A</v>
      </c>
      <c r="M29" s="80" t="str">
        <f t="shared" ca="1" si="7"/>
        <v>N/A</v>
      </c>
      <c r="N29" s="80" t="str">
        <f t="shared" ca="1" si="7"/>
        <v>N/A</v>
      </c>
      <c r="O29" s="80" t="str">
        <f t="shared" ca="1" si="7"/>
        <v>N/A</v>
      </c>
      <c r="P29" s="80" t="str">
        <f t="shared" ca="1" si="7"/>
        <v>N/A</v>
      </c>
      <c r="Q29" s="80" t="str">
        <f t="shared" ca="1" si="7"/>
        <v>N/A</v>
      </c>
      <c r="R29" s="80" t="str">
        <f t="shared" ca="1" si="7"/>
        <v>N/A</v>
      </c>
      <c r="S29" s="80" t="str">
        <f t="shared" ca="1" si="7"/>
        <v>N/A</v>
      </c>
    </row>
    <row r="30" spans="1:19" hidden="1" x14ac:dyDescent="0.2">
      <c r="A30" s="45"/>
      <c r="B30" s="117" t="str">
        <f t="shared" ca="1" si="2"/>
        <v/>
      </c>
      <c r="C30" s="1" t="str">
        <f>IF(ISERROR(D30),"",IF(D30="","",MAX($C$12:C29)+1))</f>
        <v/>
      </c>
      <c r="D30" t="e">
        <f t="shared" si="3"/>
        <v>#N/A</v>
      </c>
      <c r="E30" s="15"/>
      <c r="F30" s="80" t="str">
        <f t="shared" ca="1" si="4"/>
        <v>N/A</v>
      </c>
      <c r="G30" s="80" t="str">
        <f t="shared" si="5"/>
        <v>N/A</v>
      </c>
      <c r="H30" s="80" t="str">
        <f ca="1">IFERROR(VLOOKUP($A30,LASTYR,'2017'!$Q$3,FALSE),"N/A")</f>
        <v>N/A</v>
      </c>
      <c r="I30" s="80" t="str">
        <f t="shared" ca="1" si="7"/>
        <v>N/A</v>
      </c>
      <c r="J30" s="80" t="str">
        <f t="shared" ca="1" si="7"/>
        <v>N/A</v>
      </c>
      <c r="K30" s="80" t="str">
        <f t="shared" ca="1" si="7"/>
        <v>N/A</v>
      </c>
      <c r="L30" s="80" t="str">
        <f t="shared" ca="1" si="7"/>
        <v>N/A</v>
      </c>
      <c r="M30" s="80" t="str">
        <f t="shared" ca="1" si="7"/>
        <v>N/A</v>
      </c>
      <c r="N30" s="80" t="str">
        <f t="shared" ca="1" si="7"/>
        <v>N/A</v>
      </c>
      <c r="O30" s="80" t="str">
        <f t="shared" ca="1" si="7"/>
        <v>N/A</v>
      </c>
      <c r="P30" s="80" t="str">
        <f t="shared" ca="1" si="7"/>
        <v>N/A</v>
      </c>
      <c r="Q30" s="80" t="str">
        <f t="shared" ca="1" si="7"/>
        <v>N/A</v>
      </c>
      <c r="R30" s="80" t="str">
        <f t="shared" ca="1" si="7"/>
        <v>N/A</v>
      </c>
      <c r="S30" s="80" t="str">
        <f t="shared" ca="1" si="7"/>
        <v>N/A</v>
      </c>
    </row>
    <row r="31" spans="1:19" hidden="1" x14ac:dyDescent="0.2">
      <c r="A31" s="45"/>
      <c r="B31" s="117" t="str">
        <f t="shared" ca="1" si="2"/>
        <v/>
      </c>
      <c r="C31" s="1" t="str">
        <f>IF(ISERROR(D31),"",IF(D31="","",MAX($C$12:C30)+1))</f>
        <v/>
      </c>
      <c r="D31" t="e">
        <f t="shared" si="3"/>
        <v>#N/A</v>
      </c>
      <c r="E31" s="15"/>
      <c r="F31" s="80" t="str">
        <f t="shared" ca="1" si="4"/>
        <v>N/A</v>
      </c>
      <c r="G31" s="80" t="str">
        <f t="shared" si="5"/>
        <v>N/A</v>
      </c>
      <c r="H31" s="80" t="str">
        <f ca="1">IFERROR(VLOOKUP($A31,LASTYR,'2017'!$Q$3,FALSE),"N/A")</f>
        <v>N/A</v>
      </c>
      <c r="I31" s="80" t="str">
        <f t="shared" ca="1" si="7"/>
        <v>N/A</v>
      </c>
      <c r="J31" s="80" t="str">
        <f t="shared" ca="1" si="7"/>
        <v>N/A</v>
      </c>
      <c r="K31" s="80" t="str">
        <f t="shared" ca="1" si="7"/>
        <v>N/A</v>
      </c>
      <c r="L31" s="80" t="str">
        <f t="shared" ca="1" si="7"/>
        <v>N/A</v>
      </c>
      <c r="M31" s="80" t="str">
        <f t="shared" ca="1" si="7"/>
        <v>N/A</v>
      </c>
      <c r="N31" s="80" t="str">
        <f t="shared" ca="1" si="7"/>
        <v>N/A</v>
      </c>
      <c r="O31" s="80" t="str">
        <f t="shared" ca="1" si="7"/>
        <v>N/A</v>
      </c>
      <c r="P31" s="80" t="str">
        <f t="shared" ca="1" si="7"/>
        <v>N/A</v>
      </c>
      <c r="Q31" s="80" t="str">
        <f t="shared" ca="1" si="7"/>
        <v>N/A</v>
      </c>
      <c r="R31" s="80" t="str">
        <f t="shared" ca="1" si="7"/>
        <v>N/A</v>
      </c>
      <c r="S31" s="80" t="str">
        <f t="shared" ca="1" si="7"/>
        <v>N/A</v>
      </c>
    </row>
    <row r="32" spans="1:19" hidden="1" x14ac:dyDescent="0.2">
      <c r="A32" s="45"/>
      <c r="B32" s="117" t="str">
        <f t="shared" ca="1" si="2"/>
        <v/>
      </c>
      <c r="C32" s="1" t="str">
        <f>IF(ISERROR(D32),"",IF(D32="","",MAX($C$12:C31)+1))</f>
        <v/>
      </c>
      <c r="D32" t="e">
        <f t="shared" si="3"/>
        <v>#N/A</v>
      </c>
      <c r="E32" s="15"/>
      <c r="F32" s="80" t="str">
        <f t="shared" ca="1" si="4"/>
        <v>N/A</v>
      </c>
      <c r="G32" s="80" t="str">
        <f t="shared" si="5"/>
        <v>N/A</v>
      </c>
      <c r="H32" s="80" t="str">
        <f ca="1">IFERROR(VLOOKUP($A32,LASTYR,'2017'!$Q$3,FALSE),"N/A")</f>
        <v>N/A</v>
      </c>
      <c r="I32" s="80" t="str">
        <f t="shared" ca="1" si="7"/>
        <v>N/A</v>
      </c>
      <c r="J32" s="80" t="str">
        <f t="shared" ca="1" si="7"/>
        <v>N/A</v>
      </c>
      <c r="K32" s="80" t="str">
        <f t="shared" ca="1" si="7"/>
        <v>N/A</v>
      </c>
      <c r="L32" s="80" t="str">
        <f t="shared" ca="1" si="7"/>
        <v>N/A</v>
      </c>
      <c r="M32" s="80" t="str">
        <f t="shared" ca="1" si="7"/>
        <v>N/A</v>
      </c>
      <c r="N32" s="80" t="str">
        <f t="shared" ca="1" si="7"/>
        <v>N/A</v>
      </c>
      <c r="O32" s="80" t="str">
        <f t="shared" ca="1" si="7"/>
        <v>N/A</v>
      </c>
      <c r="P32" s="80" t="str">
        <f t="shared" ca="1" si="7"/>
        <v>N/A</v>
      </c>
      <c r="Q32" s="80" t="str">
        <f t="shared" ca="1" si="7"/>
        <v>N/A</v>
      </c>
      <c r="R32" s="80" t="str">
        <f t="shared" ca="1" si="7"/>
        <v>N/A</v>
      </c>
      <c r="S32" s="80" t="str">
        <f t="shared" ca="1" si="7"/>
        <v>N/A</v>
      </c>
    </row>
    <row r="33" spans="1:19" hidden="1" x14ac:dyDescent="0.2">
      <c r="A33" s="45"/>
      <c r="B33" s="117" t="str">
        <f t="shared" ca="1" si="2"/>
        <v/>
      </c>
      <c r="C33" s="1" t="str">
        <f>IF(ISERROR(D33),"",IF(D33="","",MAX($C$12:C32)+1))</f>
        <v/>
      </c>
      <c r="D33" t="e">
        <f t="shared" si="3"/>
        <v>#N/A</v>
      </c>
      <c r="E33" s="15"/>
      <c r="F33" s="80" t="str">
        <f t="shared" ca="1" si="4"/>
        <v>N/A</v>
      </c>
      <c r="G33" s="80" t="str">
        <f t="shared" si="5"/>
        <v>N/A</v>
      </c>
      <c r="H33" s="80" t="str">
        <f ca="1">IFERROR(VLOOKUP($A33,LASTYR,'2017'!$Q$3,FALSE),"N/A")</f>
        <v>N/A</v>
      </c>
      <c r="I33" s="80" t="str">
        <f t="shared" ca="1" si="7"/>
        <v>N/A</v>
      </c>
      <c r="J33" s="80" t="str">
        <f t="shared" ca="1" si="7"/>
        <v>N/A</v>
      </c>
      <c r="K33" s="80" t="str">
        <f t="shared" ca="1" si="7"/>
        <v>N/A</v>
      </c>
      <c r="L33" s="80" t="str">
        <f t="shared" ca="1" si="7"/>
        <v>N/A</v>
      </c>
      <c r="M33" s="80" t="str">
        <f t="shared" ca="1" si="7"/>
        <v>N/A</v>
      </c>
      <c r="N33" s="80" t="str">
        <f t="shared" ca="1" si="7"/>
        <v>N/A</v>
      </c>
      <c r="O33" s="80" t="str">
        <f t="shared" ca="1" si="7"/>
        <v>N/A</v>
      </c>
      <c r="P33" s="80" t="str">
        <f t="shared" ca="1" si="7"/>
        <v>N/A</v>
      </c>
      <c r="Q33" s="80" t="str">
        <f t="shared" ca="1" si="7"/>
        <v>N/A</v>
      </c>
      <c r="R33" s="80" t="str">
        <f t="shared" ca="1" si="7"/>
        <v>N/A</v>
      </c>
      <c r="S33" s="80" t="str">
        <f t="shared" ca="1" si="7"/>
        <v>N/A</v>
      </c>
    </row>
    <row r="34" spans="1:19" hidden="1" x14ac:dyDescent="0.2">
      <c r="A34" s="45"/>
      <c r="B34" s="117" t="str">
        <f t="shared" ca="1" si="2"/>
        <v/>
      </c>
      <c r="C34" s="1" t="str">
        <f>IF(ISERROR(D34),"",IF(D34="","",MAX($C$12:C33)+1))</f>
        <v/>
      </c>
      <c r="D34" t="e">
        <f t="shared" si="3"/>
        <v>#N/A</v>
      </c>
      <c r="E34" s="15"/>
      <c r="F34" s="80" t="str">
        <f t="shared" ca="1" si="4"/>
        <v>N/A</v>
      </c>
      <c r="G34" s="80" t="str">
        <f t="shared" si="5"/>
        <v>N/A</v>
      </c>
      <c r="H34" s="80" t="str">
        <f ca="1">IFERROR(VLOOKUP($A34,LASTYR,'2017'!$Q$3,FALSE),"N/A")</f>
        <v>N/A</v>
      </c>
      <c r="I34" s="80" t="str">
        <f t="shared" ca="1" si="7"/>
        <v>N/A</v>
      </c>
      <c r="J34" s="80" t="str">
        <f t="shared" ca="1" si="7"/>
        <v>N/A</v>
      </c>
      <c r="K34" s="80" t="str">
        <f t="shared" ca="1" si="7"/>
        <v>N/A</v>
      </c>
      <c r="L34" s="80" t="str">
        <f t="shared" ca="1" si="7"/>
        <v>N/A</v>
      </c>
      <c r="M34" s="80" t="str">
        <f t="shared" ca="1" si="7"/>
        <v>N/A</v>
      </c>
      <c r="N34" s="80" t="str">
        <f t="shared" ca="1" si="7"/>
        <v>N/A</v>
      </c>
      <c r="O34" s="80" t="str">
        <f t="shared" ca="1" si="7"/>
        <v>N/A</v>
      </c>
      <c r="P34" s="80" t="str">
        <f t="shared" ca="1" si="7"/>
        <v>N/A</v>
      </c>
      <c r="Q34" s="80" t="str">
        <f t="shared" ca="1" si="7"/>
        <v>N/A</v>
      </c>
      <c r="R34" s="80" t="str">
        <f t="shared" ca="1" si="7"/>
        <v>N/A</v>
      </c>
      <c r="S34" s="80" t="str">
        <f t="shared" ca="1" si="7"/>
        <v>N/A</v>
      </c>
    </row>
    <row r="35" spans="1:19" hidden="1" x14ac:dyDescent="0.2">
      <c r="A35" s="45"/>
      <c r="B35" s="117" t="str">
        <f t="shared" ca="1" si="2"/>
        <v/>
      </c>
      <c r="C35" s="1" t="str">
        <f>IF(ISERROR(D35),"",IF(D35="","",MAX($C$12:C34)+1))</f>
        <v/>
      </c>
      <c r="D35" t="e">
        <f t="shared" si="3"/>
        <v>#N/A</v>
      </c>
      <c r="E35" s="15"/>
      <c r="F35" s="80" t="str">
        <f t="shared" ca="1" si="4"/>
        <v>N/A</v>
      </c>
      <c r="G35" s="80" t="str">
        <f t="shared" si="5"/>
        <v>N/A</v>
      </c>
      <c r="H35" s="80" t="str">
        <f ca="1">IFERROR(VLOOKUP($A35,LASTYR,'2017'!$Q$3,FALSE),"N/A")</f>
        <v>N/A</v>
      </c>
      <c r="I35" s="80" t="str">
        <f t="shared" ca="1" si="7"/>
        <v>N/A</v>
      </c>
      <c r="J35" s="80" t="str">
        <f t="shared" ca="1" si="7"/>
        <v>N/A</v>
      </c>
      <c r="K35" s="80" t="str">
        <f t="shared" ca="1" si="7"/>
        <v>N/A</v>
      </c>
      <c r="L35" s="80" t="str">
        <f t="shared" ca="1" si="7"/>
        <v>N/A</v>
      </c>
      <c r="M35" s="80" t="str">
        <f t="shared" ca="1" si="7"/>
        <v>N/A</v>
      </c>
      <c r="N35" s="80" t="str">
        <f t="shared" ca="1" si="7"/>
        <v>N/A</v>
      </c>
      <c r="O35" s="80" t="str">
        <f t="shared" ca="1" si="7"/>
        <v>N/A</v>
      </c>
      <c r="P35" s="80" t="str">
        <f t="shared" ca="1" si="7"/>
        <v>N/A</v>
      </c>
      <c r="Q35" s="80" t="str">
        <f t="shared" ca="1" si="7"/>
        <v>N/A</v>
      </c>
      <c r="R35" s="80" t="str">
        <f t="shared" ca="1" si="7"/>
        <v>N/A</v>
      </c>
      <c r="S35" s="80" t="str">
        <f t="shared" ca="1" si="7"/>
        <v>N/A</v>
      </c>
    </row>
    <row r="36" spans="1:19" hidden="1" x14ac:dyDescent="0.2">
      <c r="A36" s="45"/>
      <c r="B36" s="117" t="str">
        <f t="shared" ca="1" si="2"/>
        <v/>
      </c>
      <c r="C36" s="1" t="str">
        <f>IF(ISERROR(D36),"",IF(D36="","",MAX($C$12:C35)+1))</f>
        <v/>
      </c>
      <c r="D36" t="e">
        <f t="shared" si="3"/>
        <v>#N/A</v>
      </c>
      <c r="E36" s="15"/>
      <c r="F36" s="80" t="str">
        <f t="shared" ca="1" si="4"/>
        <v>N/A</v>
      </c>
      <c r="G36" s="80" t="str">
        <f t="shared" si="5"/>
        <v>N/A</v>
      </c>
      <c r="H36" s="80" t="str">
        <f ca="1">IFERROR(VLOOKUP($A36,LASTYR,'2017'!$Q$3,FALSE),"N/A")</f>
        <v>N/A</v>
      </c>
      <c r="I36" s="80" t="str">
        <f t="shared" ca="1" si="7"/>
        <v>N/A</v>
      </c>
      <c r="J36" s="80" t="str">
        <f t="shared" ca="1" si="7"/>
        <v>N/A</v>
      </c>
      <c r="K36" s="80" t="str">
        <f t="shared" ca="1" si="7"/>
        <v>N/A</v>
      </c>
      <c r="L36" s="80" t="str">
        <f t="shared" ca="1" si="7"/>
        <v>N/A</v>
      </c>
      <c r="M36" s="80" t="str">
        <f t="shared" ca="1" si="7"/>
        <v>N/A</v>
      </c>
      <c r="N36" s="80" t="str">
        <f t="shared" ca="1" si="7"/>
        <v>N/A</v>
      </c>
      <c r="O36" s="80" t="str">
        <f t="shared" ca="1" si="7"/>
        <v>N/A</v>
      </c>
      <c r="P36" s="80" t="str">
        <f t="shared" ca="1" si="7"/>
        <v>N/A</v>
      </c>
      <c r="Q36" s="80" t="str">
        <f t="shared" ca="1" si="7"/>
        <v>N/A</v>
      </c>
      <c r="R36" s="80" t="str">
        <f t="shared" ca="1" si="7"/>
        <v>N/A</v>
      </c>
      <c r="S36" s="80" t="str">
        <f t="shared" ca="1" si="7"/>
        <v>N/A</v>
      </c>
    </row>
    <row r="37" spans="1:19" hidden="1" x14ac:dyDescent="0.2">
      <c r="A37" s="45"/>
      <c r="B37" s="117" t="str">
        <f t="shared" ca="1" si="2"/>
        <v/>
      </c>
      <c r="C37" s="1" t="str">
        <f>IF(ISERROR(D37),"",IF(D37="","",MAX($C$12:C36)+1))</f>
        <v/>
      </c>
      <c r="D37" t="e">
        <f t="shared" si="3"/>
        <v>#N/A</v>
      </c>
      <c r="E37" s="15"/>
      <c r="F37" s="80" t="str">
        <f t="shared" ca="1" si="4"/>
        <v>N/A</v>
      </c>
      <c r="G37" s="80" t="str">
        <f t="shared" si="5"/>
        <v>N/A</v>
      </c>
      <c r="H37" s="80" t="str">
        <f ca="1">IFERROR(VLOOKUP($A37,LASTYR,'2017'!$Q$3,FALSE),"N/A")</f>
        <v>N/A</v>
      </c>
      <c r="I37" s="80" t="str">
        <f t="shared" ca="1" si="7"/>
        <v>N/A</v>
      </c>
      <c r="J37" s="80" t="str">
        <f t="shared" ca="1" si="7"/>
        <v>N/A</v>
      </c>
      <c r="K37" s="80" t="str">
        <f t="shared" ca="1" si="7"/>
        <v>N/A</v>
      </c>
      <c r="L37" s="80" t="str">
        <f t="shared" ca="1" si="7"/>
        <v>N/A</v>
      </c>
      <c r="M37" s="80" t="str">
        <f t="shared" ca="1" si="7"/>
        <v>N/A</v>
      </c>
      <c r="N37" s="80" t="str">
        <f t="shared" ca="1" si="7"/>
        <v>N/A</v>
      </c>
      <c r="O37" s="80" t="str">
        <f t="shared" ca="1" si="7"/>
        <v>N/A</v>
      </c>
      <c r="P37" s="80" t="str">
        <f t="shared" ca="1" si="7"/>
        <v>N/A</v>
      </c>
      <c r="Q37" s="80" t="str">
        <f t="shared" ca="1" si="7"/>
        <v>N/A</v>
      </c>
      <c r="R37" s="80" t="str">
        <f t="shared" ca="1" si="7"/>
        <v>N/A</v>
      </c>
      <c r="S37" s="80" t="str">
        <f t="shared" ca="1" si="7"/>
        <v>N/A</v>
      </c>
    </row>
    <row r="38" spans="1:19" hidden="1" x14ac:dyDescent="0.2">
      <c r="A38" s="45"/>
      <c r="B38" s="117" t="str">
        <f t="shared" ca="1" si="2"/>
        <v/>
      </c>
      <c r="C38" s="1" t="str">
        <f>IF(ISERROR(D38),"",IF(D38="","",MAX($C$12:C37)+1))</f>
        <v/>
      </c>
      <c r="D38" t="e">
        <f t="shared" si="3"/>
        <v>#N/A</v>
      </c>
      <c r="E38" s="15"/>
      <c r="F38" s="80" t="str">
        <f t="shared" ca="1" si="4"/>
        <v>N/A</v>
      </c>
      <c r="G38" s="80" t="str">
        <f t="shared" si="5"/>
        <v>N/A</v>
      </c>
      <c r="H38" s="80" t="str">
        <f ca="1">IFERROR(VLOOKUP($A38,LASTYR,'2017'!$Q$3,FALSE),"N/A")</f>
        <v>N/A</v>
      </c>
      <c r="I38" s="80" t="str">
        <f t="shared" ca="1" si="7"/>
        <v>N/A</v>
      </c>
      <c r="J38" s="80" t="str">
        <f t="shared" ca="1" si="7"/>
        <v>N/A</v>
      </c>
      <c r="K38" s="80" t="str">
        <f t="shared" ca="1" si="7"/>
        <v>N/A</v>
      </c>
      <c r="L38" s="80" t="str">
        <f t="shared" ca="1" si="7"/>
        <v>N/A</v>
      </c>
      <c r="M38" s="80" t="str">
        <f t="shared" ca="1" si="7"/>
        <v>N/A</v>
      </c>
      <c r="N38" s="80" t="str">
        <f t="shared" ca="1" si="7"/>
        <v>N/A</v>
      </c>
      <c r="O38" s="80" t="str">
        <f t="shared" ca="1" si="7"/>
        <v>N/A</v>
      </c>
      <c r="P38" s="80" t="str">
        <f t="shared" ca="1" si="7"/>
        <v>N/A</v>
      </c>
      <c r="Q38" s="80" t="str">
        <f t="shared" ca="1" si="7"/>
        <v>N/A</v>
      </c>
      <c r="R38" s="80" t="str">
        <f t="shared" ca="1" si="7"/>
        <v>N/A</v>
      </c>
      <c r="S38" s="80" t="str">
        <f t="shared" ca="1" si="7"/>
        <v>N/A</v>
      </c>
    </row>
    <row r="39" spans="1:19" hidden="1" x14ac:dyDescent="0.2">
      <c r="A39" s="45"/>
      <c r="B39" s="117" t="str">
        <f t="shared" ca="1" si="2"/>
        <v/>
      </c>
      <c r="C39" s="1" t="str">
        <f>IF(ISERROR(D39),"",IF(D39="","",MAX($C$12:C38)+1))</f>
        <v/>
      </c>
      <c r="D39" t="e">
        <f t="shared" si="3"/>
        <v>#N/A</v>
      </c>
      <c r="E39" s="15"/>
      <c r="F39" s="80" t="str">
        <f t="shared" ca="1" si="4"/>
        <v>N/A</v>
      </c>
      <c r="G39" s="80" t="str">
        <f t="shared" si="5"/>
        <v>N/A</v>
      </c>
      <c r="H39" s="80" t="str">
        <f ca="1">IFERROR(VLOOKUP($A39,LASTYR,'2017'!$Q$3,FALSE),"N/A")</f>
        <v>N/A</v>
      </c>
      <c r="I39" s="80" t="str">
        <f t="shared" ca="1" si="7"/>
        <v>N/A</v>
      </c>
      <c r="J39" s="80" t="str">
        <f t="shared" ca="1" si="7"/>
        <v>N/A</v>
      </c>
      <c r="K39" s="80" t="str">
        <f t="shared" ca="1" si="7"/>
        <v>N/A</v>
      </c>
      <c r="L39" s="80" t="str">
        <f t="shared" ca="1" si="7"/>
        <v>N/A</v>
      </c>
      <c r="M39" s="80" t="str">
        <f t="shared" ca="1" si="7"/>
        <v>N/A</v>
      </c>
      <c r="N39" s="80" t="str">
        <f t="shared" ca="1" si="7"/>
        <v>N/A</v>
      </c>
      <c r="O39" s="80" t="str">
        <f t="shared" ca="1" si="7"/>
        <v>N/A</v>
      </c>
      <c r="P39" s="80" t="str">
        <f t="shared" ca="1" si="7"/>
        <v>N/A</v>
      </c>
      <c r="Q39" s="80" t="str">
        <f t="shared" ca="1" si="7"/>
        <v>N/A</v>
      </c>
      <c r="R39" s="80" t="str">
        <f t="shared" ca="1" si="7"/>
        <v>N/A</v>
      </c>
      <c r="S39" s="80" t="str">
        <f t="shared" ca="1" si="7"/>
        <v>N/A</v>
      </c>
    </row>
    <row r="40" spans="1:19" hidden="1" x14ac:dyDescent="0.2">
      <c r="A40" s="45"/>
      <c r="B40" s="117" t="str">
        <f t="shared" ca="1" si="2"/>
        <v/>
      </c>
      <c r="C40" s="1" t="str">
        <f>IF(ISERROR(D40),"",IF(D40="","",MAX($C$12:C39)+1))</f>
        <v/>
      </c>
      <c r="D40" t="e">
        <f t="shared" si="3"/>
        <v>#N/A</v>
      </c>
      <c r="E40" s="15"/>
      <c r="F40" s="80" t="str">
        <f t="shared" ca="1" si="4"/>
        <v>N/A</v>
      </c>
      <c r="G40" s="80" t="str">
        <f t="shared" si="5"/>
        <v>N/A</v>
      </c>
      <c r="H40" s="80" t="str">
        <f ca="1">IFERROR(VLOOKUP($A40,LASTYR,'2017'!$Q$3,FALSE),"N/A")</f>
        <v>N/A</v>
      </c>
      <c r="I40" s="80" t="str">
        <f t="shared" ca="1" si="7"/>
        <v>N/A</v>
      </c>
      <c r="J40" s="80" t="str">
        <f t="shared" ca="1" si="7"/>
        <v>N/A</v>
      </c>
      <c r="K40" s="80" t="str">
        <f t="shared" ca="1" si="7"/>
        <v>N/A</v>
      </c>
      <c r="L40" s="80" t="str">
        <f t="shared" ca="1" si="7"/>
        <v>N/A</v>
      </c>
      <c r="M40" s="80" t="str">
        <f t="shared" ca="1" si="7"/>
        <v>N/A</v>
      </c>
      <c r="N40" s="80" t="str">
        <f t="shared" ca="1" si="7"/>
        <v>N/A</v>
      </c>
      <c r="O40" s="80" t="str">
        <f t="shared" ca="1" si="7"/>
        <v>N/A</v>
      </c>
      <c r="P40" s="80" t="str">
        <f t="shared" ca="1" si="7"/>
        <v>N/A</v>
      </c>
      <c r="Q40" s="80" t="str">
        <f t="shared" ca="1" si="7"/>
        <v>N/A</v>
      </c>
      <c r="R40" s="80" t="str">
        <f t="shared" ca="1" si="7"/>
        <v>N/A</v>
      </c>
      <c r="S40" s="80" t="str">
        <f t="shared" ca="1" si="7"/>
        <v>N/A</v>
      </c>
    </row>
    <row r="41" spans="1:19" hidden="1" x14ac:dyDescent="0.2">
      <c r="A41" s="45"/>
      <c r="B41" s="117" t="str">
        <f t="shared" ca="1" si="2"/>
        <v/>
      </c>
      <c r="C41" s="1" t="str">
        <f>IF(ISERROR(D41),"",IF(D41="","",MAX($C$12:C40)+1))</f>
        <v/>
      </c>
      <c r="D41" t="e">
        <f t="shared" si="3"/>
        <v>#N/A</v>
      </c>
      <c r="E41" s="15"/>
      <c r="F41" s="80" t="str">
        <f t="shared" ca="1" si="4"/>
        <v>N/A</v>
      </c>
      <c r="G41" s="80" t="str">
        <f t="shared" si="5"/>
        <v>N/A</v>
      </c>
      <c r="H41" s="80" t="str">
        <f ca="1">IFERROR(VLOOKUP($A41,LASTYR,'2017'!$Q$3,FALSE),"N/A")</f>
        <v>N/A</v>
      </c>
      <c r="I41" s="80" t="str">
        <f t="shared" ca="1" si="7"/>
        <v>N/A</v>
      </c>
      <c r="J41" s="80" t="str">
        <f t="shared" ca="1" si="7"/>
        <v>N/A</v>
      </c>
      <c r="K41" s="80" t="str">
        <f t="shared" ca="1" si="7"/>
        <v>N/A</v>
      </c>
      <c r="L41" s="80" t="str">
        <f t="shared" ca="1" si="7"/>
        <v>N/A</v>
      </c>
      <c r="M41" s="80" t="str">
        <f t="shared" ca="1" si="7"/>
        <v>N/A</v>
      </c>
      <c r="N41" s="80" t="str">
        <f t="shared" ca="1" si="7"/>
        <v>N/A</v>
      </c>
      <c r="O41" s="80" t="str">
        <f t="shared" ca="1" si="7"/>
        <v>N/A</v>
      </c>
      <c r="P41" s="80" t="str">
        <f t="shared" ca="1" si="7"/>
        <v>N/A</v>
      </c>
      <c r="Q41" s="80" t="str">
        <f t="shared" ca="1" si="7"/>
        <v>N/A</v>
      </c>
      <c r="R41" s="80" t="str">
        <f t="shared" ca="1" si="7"/>
        <v>N/A</v>
      </c>
      <c r="S41" s="80" t="str">
        <f t="shared" ca="1" si="7"/>
        <v>N/A</v>
      </c>
    </row>
    <row r="42" spans="1:19" hidden="1" x14ac:dyDescent="0.2">
      <c r="A42" s="45"/>
      <c r="B42" s="117" t="str">
        <f t="shared" ca="1" si="2"/>
        <v/>
      </c>
      <c r="C42" s="1" t="str">
        <f>IF(ISERROR(D42),"",IF(D42="","",MAX($C$12:C41)+1))</f>
        <v/>
      </c>
      <c r="D42" t="e">
        <f t="shared" si="3"/>
        <v>#N/A</v>
      </c>
      <c r="E42" s="15"/>
      <c r="F42" s="80" t="str">
        <f t="shared" ca="1" si="4"/>
        <v>N/A</v>
      </c>
      <c r="G42" s="80" t="str">
        <f t="shared" si="5"/>
        <v>N/A</v>
      </c>
      <c r="H42" s="80" t="str">
        <f ca="1">IFERROR(VLOOKUP($A42,LASTYR,'2017'!$Q$3,FALSE),"N/A")</f>
        <v>N/A</v>
      </c>
      <c r="I42" s="80" t="str">
        <f t="shared" ca="1" si="7"/>
        <v>N/A</v>
      </c>
      <c r="J42" s="80" t="str">
        <f t="shared" ca="1" si="7"/>
        <v>N/A</v>
      </c>
      <c r="K42" s="80" t="str">
        <f t="shared" ca="1" si="7"/>
        <v>N/A</v>
      </c>
      <c r="L42" s="80" t="str">
        <f t="shared" ca="1" si="7"/>
        <v>N/A</v>
      </c>
      <c r="M42" s="80" t="str">
        <f t="shared" ca="1" si="7"/>
        <v>N/A</v>
      </c>
      <c r="N42" s="80" t="str">
        <f t="shared" ca="1" si="7"/>
        <v>N/A</v>
      </c>
      <c r="O42" s="80" t="str">
        <f t="shared" ca="1" si="7"/>
        <v>N/A</v>
      </c>
      <c r="P42" s="80" t="str">
        <f t="shared" ca="1" si="7"/>
        <v>N/A</v>
      </c>
      <c r="Q42" s="80" t="str">
        <f t="shared" ca="1" si="7"/>
        <v>N/A</v>
      </c>
      <c r="R42" s="80" t="str">
        <f t="shared" ca="1" si="7"/>
        <v>N/A</v>
      </c>
      <c r="S42" s="80" t="str">
        <f t="shared" ca="1" si="7"/>
        <v>N/A</v>
      </c>
    </row>
    <row r="43" spans="1:19" hidden="1" x14ac:dyDescent="0.2">
      <c r="A43" s="45"/>
      <c r="B43" s="117" t="str">
        <f t="shared" ca="1" si="2"/>
        <v/>
      </c>
      <c r="C43" s="1" t="str">
        <f>IF(ISERROR(D43),"",IF(D43="","",MAX($C$12:C42)+1))</f>
        <v/>
      </c>
      <c r="D43" t="e">
        <f t="shared" si="3"/>
        <v>#N/A</v>
      </c>
      <c r="E43" s="15"/>
      <c r="F43" s="80" t="str">
        <f t="shared" ca="1" si="4"/>
        <v>N/A</v>
      </c>
      <c r="G43" s="80" t="str">
        <f t="shared" si="5"/>
        <v>N/A</v>
      </c>
      <c r="H43" s="80" t="str">
        <f ca="1">IFERROR(VLOOKUP($A43,LASTYR,'2017'!$Q$3,FALSE),"N/A")</f>
        <v>N/A</v>
      </c>
      <c r="I43" s="80" t="str">
        <f t="shared" ca="1" si="7"/>
        <v>N/A</v>
      </c>
      <c r="J43" s="80" t="str">
        <f t="shared" ca="1" si="7"/>
        <v>N/A</v>
      </c>
      <c r="K43" s="80" t="str">
        <f t="shared" ca="1" si="7"/>
        <v>N/A</v>
      </c>
      <c r="L43" s="80" t="str">
        <f t="shared" ca="1" si="7"/>
        <v>N/A</v>
      </c>
      <c r="M43" s="80" t="str">
        <f t="shared" ca="1" si="7"/>
        <v>N/A</v>
      </c>
      <c r="N43" s="80" t="str">
        <f t="shared" ca="1" si="7"/>
        <v>N/A</v>
      </c>
      <c r="O43" s="80" t="str">
        <f t="shared" ca="1" si="7"/>
        <v>N/A</v>
      </c>
      <c r="P43" s="80" t="str">
        <f t="shared" ca="1" si="7"/>
        <v>N/A</v>
      </c>
      <c r="Q43" s="80" t="str">
        <f t="shared" ca="1" si="7"/>
        <v>N/A</v>
      </c>
      <c r="R43" s="80" t="str">
        <f t="shared" ca="1" si="7"/>
        <v>N/A</v>
      </c>
      <c r="S43" s="80" t="str">
        <f t="shared" ca="1" si="7"/>
        <v>N/A</v>
      </c>
    </row>
    <row r="44" spans="1:19" hidden="1" x14ac:dyDescent="0.2">
      <c r="A44" s="45"/>
      <c r="B44" s="117" t="str">
        <f t="shared" ca="1" si="2"/>
        <v/>
      </c>
      <c r="C44" s="1" t="str">
        <f>IF(ISERROR(D44),"",IF(D44="","",MAX($C$12:C43)+1))</f>
        <v/>
      </c>
      <c r="D44" t="e">
        <f t="shared" si="3"/>
        <v>#N/A</v>
      </c>
      <c r="E44" s="15"/>
      <c r="F44" s="80" t="str">
        <f t="shared" ca="1" si="4"/>
        <v>N/A</v>
      </c>
      <c r="G44" s="80" t="str">
        <f t="shared" si="5"/>
        <v>N/A</v>
      </c>
      <c r="H44" s="80" t="str">
        <f ca="1">IFERROR(VLOOKUP($A44,LASTYR,'2017'!$Q$3,FALSE),"N/A")</f>
        <v>N/A</v>
      </c>
      <c r="I44" s="80" t="str">
        <f t="shared" ca="1" si="7"/>
        <v>N/A</v>
      </c>
      <c r="J44" s="80" t="str">
        <f t="shared" ca="1" si="7"/>
        <v>N/A</v>
      </c>
      <c r="K44" s="80" t="str">
        <f t="shared" ca="1" si="7"/>
        <v>N/A</v>
      </c>
      <c r="L44" s="80" t="str">
        <f t="shared" ca="1" si="7"/>
        <v>N/A</v>
      </c>
      <c r="M44" s="80" t="str">
        <f t="shared" ca="1" si="7"/>
        <v>N/A</v>
      </c>
      <c r="N44" s="80" t="str">
        <f t="shared" ca="1" si="7"/>
        <v>N/A</v>
      </c>
      <c r="O44" s="80" t="str">
        <f t="shared" ca="1" si="7"/>
        <v>N/A</v>
      </c>
      <c r="P44" s="80" t="str">
        <f t="shared" ca="1" si="7"/>
        <v>N/A</v>
      </c>
      <c r="Q44" s="80" t="str">
        <f t="shared" ca="1" si="7"/>
        <v>N/A</v>
      </c>
      <c r="R44" s="80" t="str">
        <f t="shared" ca="1" si="7"/>
        <v>N/A</v>
      </c>
      <c r="S44" s="80" t="str">
        <f t="shared" ca="1" si="7"/>
        <v>N/A</v>
      </c>
    </row>
    <row r="45" spans="1:19" hidden="1" x14ac:dyDescent="0.2">
      <c r="A45" s="45"/>
      <c r="B45" s="117" t="str">
        <f t="shared" ca="1" si="2"/>
        <v/>
      </c>
      <c r="C45" s="1" t="str">
        <f>IF(ISERROR(D45),"",IF(D45="","",MAX($C$12:C44)+1))</f>
        <v/>
      </c>
      <c r="D45" t="e">
        <f t="shared" si="3"/>
        <v>#N/A</v>
      </c>
      <c r="E45" s="15"/>
      <c r="F45" s="80" t="str">
        <f t="shared" ca="1" si="4"/>
        <v>N/A</v>
      </c>
      <c r="G45" s="80" t="str">
        <f t="shared" si="5"/>
        <v>N/A</v>
      </c>
      <c r="H45" s="80" t="str">
        <f ca="1">IFERROR(VLOOKUP($A45,LASTYR,'2017'!$Q$3,FALSE),"N/A")</f>
        <v>N/A</v>
      </c>
      <c r="I45" s="80" t="str">
        <f t="shared" ca="1" si="7"/>
        <v>N/A</v>
      </c>
      <c r="J45" s="80" t="str">
        <f t="shared" ca="1" si="7"/>
        <v>N/A</v>
      </c>
      <c r="K45" s="80" t="str">
        <f t="shared" ca="1" si="7"/>
        <v>N/A</v>
      </c>
      <c r="L45" s="80" t="str">
        <f t="shared" ca="1" si="7"/>
        <v>N/A</v>
      </c>
      <c r="M45" s="80" t="str">
        <f t="shared" ca="1" si="7"/>
        <v>N/A</v>
      </c>
      <c r="N45" s="80" t="str">
        <f t="shared" ca="1" si="7"/>
        <v>N/A</v>
      </c>
      <c r="O45" s="80" t="str">
        <f t="shared" ca="1" si="7"/>
        <v>N/A</v>
      </c>
      <c r="P45" s="80" t="str">
        <f t="shared" ca="1" si="7"/>
        <v>N/A</v>
      </c>
      <c r="Q45" s="80" t="str">
        <f t="shared" ca="1" si="7"/>
        <v>N/A</v>
      </c>
      <c r="R45" s="80" t="str">
        <f t="shared" ca="1" si="7"/>
        <v>N/A</v>
      </c>
      <c r="S45" s="80" t="str">
        <f t="shared" ca="1" si="7"/>
        <v>N/A</v>
      </c>
    </row>
    <row r="46" spans="1:19" hidden="1" x14ac:dyDescent="0.2">
      <c r="A46" s="45"/>
      <c r="B46" s="117" t="str">
        <f t="shared" ca="1" si="2"/>
        <v/>
      </c>
      <c r="C46" s="1" t="str">
        <f>IF(ISERROR(D46),"",IF(D46="","",MAX($C$12:C45)+1))</f>
        <v/>
      </c>
      <c r="D46" t="e">
        <f t="shared" si="3"/>
        <v>#N/A</v>
      </c>
      <c r="E46" s="15"/>
      <c r="F46" s="80" t="str">
        <f t="shared" ca="1" si="4"/>
        <v>N/A</v>
      </c>
      <c r="G46" s="80" t="str">
        <f t="shared" si="5"/>
        <v>N/A</v>
      </c>
      <c r="H46" s="80" t="str">
        <f ca="1">IFERROR(VLOOKUP($A46,LASTYR,'2017'!$Q$3,FALSE),"N/A")</f>
        <v>N/A</v>
      </c>
      <c r="I46" s="80" t="str">
        <f t="shared" ca="1" si="7"/>
        <v>N/A</v>
      </c>
      <c r="J46" s="80" t="str">
        <f t="shared" ca="1" si="7"/>
        <v>N/A</v>
      </c>
      <c r="K46" s="80" t="str">
        <f t="shared" ca="1" si="7"/>
        <v>N/A</v>
      </c>
      <c r="L46" s="80" t="str">
        <f t="shared" ca="1" si="7"/>
        <v>N/A</v>
      </c>
      <c r="M46" s="80" t="str">
        <f t="shared" ca="1" si="7"/>
        <v>N/A</v>
      </c>
      <c r="N46" s="80" t="str">
        <f t="shared" ca="1" si="7"/>
        <v>N/A</v>
      </c>
      <c r="O46" s="80" t="str">
        <f t="shared" ca="1" si="7"/>
        <v>N/A</v>
      </c>
      <c r="P46" s="80" t="str">
        <f t="shared" ca="1" si="7"/>
        <v>N/A</v>
      </c>
      <c r="Q46" s="80" t="str">
        <f t="shared" ca="1" si="7"/>
        <v>N/A</v>
      </c>
      <c r="R46" s="80" t="str">
        <f t="shared" ca="1" si="7"/>
        <v>N/A</v>
      </c>
      <c r="S46" s="80" t="str">
        <f t="shared" ca="1" si="7"/>
        <v>N/A</v>
      </c>
    </row>
    <row r="47" spans="1:19" hidden="1" x14ac:dyDescent="0.2">
      <c r="A47" s="45"/>
      <c r="B47" s="117" t="str">
        <f t="shared" ca="1" si="2"/>
        <v/>
      </c>
      <c r="C47" s="1" t="str">
        <f>IF(ISERROR(D47),"",IF(D47="","",MAX($C$12:C46)+1))</f>
        <v/>
      </c>
      <c r="D47" t="e">
        <f t="shared" si="3"/>
        <v>#N/A</v>
      </c>
      <c r="E47" s="15"/>
      <c r="F47" s="80" t="str">
        <f t="shared" ca="1" si="4"/>
        <v>N/A</v>
      </c>
      <c r="G47" s="80" t="str">
        <f t="shared" si="5"/>
        <v>N/A</v>
      </c>
      <c r="H47" s="80" t="str">
        <f ca="1">IFERROR(VLOOKUP($A47,LASTYR,'2017'!$Q$3,FALSE),"N/A")</f>
        <v>N/A</v>
      </c>
      <c r="I47" s="80" t="str">
        <f t="shared" ca="1" si="7"/>
        <v>N/A</v>
      </c>
      <c r="J47" s="80" t="str">
        <f t="shared" ca="1" si="7"/>
        <v>N/A</v>
      </c>
      <c r="K47" s="80" t="str">
        <f t="shared" ca="1" si="7"/>
        <v>N/A</v>
      </c>
      <c r="L47" s="80" t="str">
        <f t="shared" ca="1" si="7"/>
        <v>N/A</v>
      </c>
      <c r="M47" s="80" t="str">
        <f t="shared" ca="1" si="7"/>
        <v>N/A</v>
      </c>
      <c r="N47" s="80" t="str">
        <f t="shared" ca="1" si="7"/>
        <v>N/A</v>
      </c>
      <c r="O47" s="80" t="str">
        <f t="shared" ca="1" si="7"/>
        <v>N/A</v>
      </c>
      <c r="P47" s="80" t="str">
        <f t="shared" ca="1" si="7"/>
        <v>N/A</v>
      </c>
      <c r="Q47" s="80" t="str">
        <f t="shared" ca="1" si="7"/>
        <v>N/A</v>
      </c>
      <c r="R47" s="80" t="str">
        <f t="shared" ca="1" si="7"/>
        <v>N/A</v>
      </c>
      <c r="S47" s="80" t="str">
        <f t="shared" ca="1" si="7"/>
        <v>N/A</v>
      </c>
    </row>
    <row r="48" spans="1:19" hidden="1" x14ac:dyDescent="0.2">
      <c r="A48" s="45"/>
      <c r="B48" s="117" t="str">
        <f t="shared" ca="1" si="2"/>
        <v/>
      </c>
      <c r="C48" s="1" t="str">
        <f>IF(ISERROR(D48),"",IF(D48="","",MAX($C$12:C47)+1))</f>
        <v/>
      </c>
      <c r="D48" t="e">
        <f t="shared" si="3"/>
        <v>#N/A</v>
      </c>
      <c r="E48" s="15"/>
      <c r="F48" s="80" t="str">
        <f t="shared" ca="1" si="4"/>
        <v>N/A</v>
      </c>
      <c r="G48" s="80" t="str">
        <f t="shared" si="5"/>
        <v>N/A</v>
      </c>
      <c r="H48" s="80" t="str">
        <f ca="1">IFERROR(VLOOKUP($A48,LASTYR,'2017'!$Q$3,FALSE),"N/A")</f>
        <v>N/A</v>
      </c>
      <c r="I48" s="80" t="str">
        <f t="shared" ca="1" si="7"/>
        <v>N/A</v>
      </c>
      <c r="J48" s="80" t="str">
        <f t="shared" ca="1" si="7"/>
        <v>N/A</v>
      </c>
      <c r="K48" s="80" t="str">
        <f t="shared" ca="1" si="7"/>
        <v>N/A</v>
      </c>
      <c r="L48" s="80" t="str">
        <f t="shared" ca="1" si="7"/>
        <v>N/A</v>
      </c>
      <c r="M48" s="80" t="str">
        <f t="shared" ca="1" si="7"/>
        <v>N/A</v>
      </c>
      <c r="N48" s="80" t="str">
        <f t="shared" ca="1" si="7"/>
        <v>N/A</v>
      </c>
      <c r="O48" s="80" t="str">
        <f t="shared" ca="1" si="7"/>
        <v>N/A</v>
      </c>
      <c r="P48" s="80" t="str">
        <f t="shared" ca="1" si="7"/>
        <v>N/A</v>
      </c>
      <c r="Q48" s="80" t="str">
        <f t="shared" ca="1" si="7"/>
        <v>N/A</v>
      </c>
      <c r="R48" s="80" t="str">
        <f t="shared" ca="1" si="7"/>
        <v>N/A</v>
      </c>
      <c r="S48" s="80" t="str">
        <f t="shared" ca="1" si="7"/>
        <v>N/A</v>
      </c>
    </row>
    <row r="49" spans="1:19" hidden="1" x14ac:dyDescent="0.2">
      <c r="A49" s="45"/>
      <c r="B49" s="117" t="str">
        <f t="shared" ca="1" si="2"/>
        <v/>
      </c>
      <c r="C49" s="1" t="str">
        <f>IF(ISERROR(D49),"",IF(D49="","",MAX($C$12:C48)+1))</f>
        <v/>
      </c>
      <c r="D49" t="e">
        <f t="shared" si="3"/>
        <v>#N/A</v>
      </c>
      <c r="E49" s="15"/>
      <c r="F49" s="80" t="str">
        <f t="shared" ca="1" si="4"/>
        <v>N/A</v>
      </c>
      <c r="G49" s="80" t="str">
        <f t="shared" si="5"/>
        <v>N/A</v>
      </c>
      <c r="H49" s="80" t="str">
        <f ca="1">IFERROR(VLOOKUP($A49,LASTYR,'2017'!$Q$3,FALSE),"N/A")</f>
        <v>N/A</v>
      </c>
      <c r="I49" s="80" t="str">
        <f t="shared" ca="1" si="7"/>
        <v>N/A</v>
      </c>
      <c r="J49" s="80" t="str">
        <f t="shared" ca="1" si="7"/>
        <v>N/A</v>
      </c>
      <c r="K49" s="80" t="str">
        <f t="shared" ca="1" si="7"/>
        <v>N/A</v>
      </c>
      <c r="L49" s="80" t="str">
        <f t="shared" ca="1" si="7"/>
        <v>N/A</v>
      </c>
      <c r="M49" s="80" t="str">
        <f t="shared" ca="1" si="7"/>
        <v>N/A</v>
      </c>
      <c r="N49" s="80" t="str">
        <f t="shared" ca="1" si="7"/>
        <v>N/A</v>
      </c>
      <c r="O49" s="80" t="str">
        <f t="shared" ca="1" si="7"/>
        <v>N/A</v>
      </c>
      <c r="P49" s="80" t="str">
        <f t="shared" ca="1" si="7"/>
        <v>N/A</v>
      </c>
      <c r="Q49" s="80" t="str">
        <f t="shared" ca="1" si="7"/>
        <v>N/A</v>
      </c>
      <c r="R49" s="80" t="str">
        <f t="shared" ca="1" si="7"/>
        <v>N/A</v>
      </c>
      <c r="S49" s="80" t="str">
        <f t="shared" ca="1" si="7"/>
        <v>N/A</v>
      </c>
    </row>
    <row r="50" spans="1:19" hidden="1" x14ac:dyDescent="0.2">
      <c r="A50" s="45"/>
      <c r="B50" s="117" t="str">
        <f t="shared" ca="1" si="2"/>
        <v/>
      </c>
      <c r="C50" s="1" t="str">
        <f>IF(ISERROR(D50),"",IF(D50="","",MAX($C$12:C49)+1))</f>
        <v/>
      </c>
      <c r="D50" t="e">
        <f t="shared" si="3"/>
        <v>#N/A</v>
      </c>
      <c r="E50" s="15"/>
      <c r="F50" s="80" t="str">
        <f t="shared" ca="1" si="4"/>
        <v>N/A</v>
      </c>
      <c r="G50" s="80" t="str">
        <f t="shared" si="5"/>
        <v>N/A</v>
      </c>
      <c r="H50" s="80" t="str">
        <f ca="1">IFERROR(VLOOKUP($A50,LASTYR,'2017'!$Q$3,FALSE),"N/A")</f>
        <v>N/A</v>
      </c>
      <c r="I50" s="80" t="str">
        <f t="shared" ca="1" si="7"/>
        <v>N/A</v>
      </c>
      <c r="J50" s="80" t="str">
        <f t="shared" ca="1" si="7"/>
        <v>N/A</v>
      </c>
      <c r="K50" s="80" t="str">
        <f t="shared" ca="1" si="7"/>
        <v>N/A</v>
      </c>
      <c r="L50" s="80" t="str">
        <f t="shared" ca="1" si="7"/>
        <v>N/A</v>
      </c>
      <c r="M50" s="80" t="str">
        <f t="shared" ca="1" si="7"/>
        <v>N/A</v>
      </c>
      <c r="N50" s="80" t="str">
        <f t="shared" ca="1" si="7"/>
        <v>N/A</v>
      </c>
      <c r="O50" s="80" t="str">
        <f t="shared" ca="1" si="7"/>
        <v>N/A</v>
      </c>
      <c r="P50" s="80" t="str">
        <f t="shared" ca="1" si="7"/>
        <v>N/A</v>
      </c>
      <c r="Q50" s="80" t="str">
        <f t="shared" ca="1" si="7"/>
        <v>N/A</v>
      </c>
      <c r="R50" s="80" t="str">
        <f t="shared" ca="1" si="7"/>
        <v>N/A</v>
      </c>
      <c r="S50" s="80" t="str">
        <f t="shared" ca="1" si="7"/>
        <v>N/A</v>
      </c>
    </row>
    <row r="51" spans="1:19" hidden="1" x14ac:dyDescent="0.2">
      <c r="A51" s="45"/>
      <c r="B51" s="117" t="str">
        <f t="shared" ca="1" si="2"/>
        <v/>
      </c>
      <c r="C51" s="1" t="str">
        <f>IF(ISERROR(D51),"",IF(D51="","",MAX($C$12:C50)+1))</f>
        <v/>
      </c>
      <c r="D51" t="e">
        <f t="shared" si="3"/>
        <v>#N/A</v>
      </c>
      <c r="E51" s="15"/>
      <c r="F51" s="80" t="str">
        <f t="shared" ca="1" si="4"/>
        <v>N/A</v>
      </c>
      <c r="G51" s="80" t="str">
        <f t="shared" si="5"/>
        <v>N/A</v>
      </c>
      <c r="H51" s="80" t="str">
        <f ca="1">IFERROR(VLOOKUP($A51,LASTYR,'2017'!$Q$3,FALSE),"N/A")</f>
        <v>N/A</v>
      </c>
      <c r="I51" s="80" t="str">
        <f t="shared" ca="1" si="7"/>
        <v>N/A</v>
      </c>
      <c r="J51" s="80" t="str">
        <f t="shared" ca="1" si="7"/>
        <v>N/A</v>
      </c>
      <c r="K51" s="80" t="str">
        <f t="shared" ca="1" si="7"/>
        <v>N/A</v>
      </c>
      <c r="L51" s="80" t="str">
        <f t="shared" ca="1" si="7"/>
        <v>N/A</v>
      </c>
      <c r="M51" s="80" t="str">
        <f t="shared" ca="1" si="7"/>
        <v>N/A</v>
      </c>
      <c r="N51" s="80" t="str">
        <f t="shared" ca="1" si="7"/>
        <v>N/A</v>
      </c>
      <c r="O51" s="80" t="str">
        <f t="shared" ca="1" si="7"/>
        <v>N/A</v>
      </c>
      <c r="P51" s="80" t="str">
        <f t="shared" ca="1" si="7"/>
        <v>N/A</v>
      </c>
      <c r="Q51" s="80" t="str">
        <f t="shared" ca="1" si="7"/>
        <v>N/A</v>
      </c>
      <c r="R51" s="80" t="str">
        <f t="shared" ca="1" si="7"/>
        <v>N/A</v>
      </c>
      <c r="S51" s="80" t="str">
        <f t="shared" ca="1" si="7"/>
        <v>N/A</v>
      </c>
    </row>
    <row r="52" spans="1:19" hidden="1" x14ac:dyDescent="0.2">
      <c r="A52" s="45"/>
      <c r="B52" s="117" t="str">
        <f t="shared" ca="1" si="2"/>
        <v/>
      </c>
      <c r="C52" s="1" t="str">
        <f>IF(ISERROR(D52),"",IF(D52="","",MAX($C$12:C51)+1))</f>
        <v/>
      </c>
      <c r="D52" t="e">
        <f t="shared" si="3"/>
        <v>#N/A</v>
      </c>
      <c r="E52" s="15"/>
      <c r="F52" s="80" t="str">
        <f t="shared" ca="1" si="4"/>
        <v>N/A</v>
      </c>
      <c r="G52" s="80" t="str">
        <f t="shared" si="5"/>
        <v>N/A</v>
      </c>
      <c r="H52" s="80" t="str">
        <f ca="1">IFERROR(VLOOKUP($A52,LASTYR,'2017'!$Q$3,FALSE),"N/A")</f>
        <v>N/A</v>
      </c>
      <c r="I52" s="80" t="str">
        <f t="shared" ca="1" si="7"/>
        <v>N/A</v>
      </c>
      <c r="J52" s="80" t="str">
        <f t="shared" ca="1" si="7"/>
        <v>N/A</v>
      </c>
      <c r="K52" s="80" t="str">
        <f t="shared" ref="J52:S57" ca="1" si="8">IFERROR(INDEX(DIV_MP_WP,$B52,K$12),"N/A")</f>
        <v>N/A</v>
      </c>
      <c r="L52" s="80" t="str">
        <f t="shared" ca="1" si="8"/>
        <v>N/A</v>
      </c>
      <c r="M52" s="80" t="str">
        <f t="shared" ca="1" si="8"/>
        <v>N/A</v>
      </c>
      <c r="N52" s="80" t="str">
        <f t="shared" ca="1" si="8"/>
        <v>N/A</v>
      </c>
      <c r="O52" s="80" t="str">
        <f t="shared" ca="1" si="8"/>
        <v>N/A</v>
      </c>
      <c r="P52" s="80" t="str">
        <f t="shared" ca="1" si="8"/>
        <v>N/A</v>
      </c>
      <c r="Q52" s="80" t="str">
        <f t="shared" ca="1" si="8"/>
        <v>N/A</v>
      </c>
      <c r="R52" s="80" t="str">
        <f t="shared" ca="1" si="8"/>
        <v>N/A</v>
      </c>
      <c r="S52" s="80" t="str">
        <f t="shared" ca="1" si="8"/>
        <v>N/A</v>
      </c>
    </row>
    <row r="53" spans="1:19" hidden="1" x14ac:dyDescent="0.2">
      <c r="A53" s="45"/>
      <c r="B53" s="117" t="str">
        <f t="shared" ca="1" si="2"/>
        <v/>
      </c>
      <c r="C53" s="1" t="str">
        <f>IF(ISERROR(D53),"",IF(D53="","",MAX($C$12:C52)+1))</f>
        <v/>
      </c>
      <c r="D53" t="e">
        <f t="shared" si="3"/>
        <v>#N/A</v>
      </c>
      <c r="E53" s="15"/>
      <c r="F53" s="80" t="str">
        <f t="shared" ca="1" si="4"/>
        <v>N/A</v>
      </c>
      <c r="G53" s="80" t="str">
        <f t="shared" si="5"/>
        <v>N/A</v>
      </c>
      <c r="H53" s="80" t="str">
        <f ca="1">IFERROR(VLOOKUP($A53,LASTYR,'2017'!$Q$3,FALSE),"N/A")</f>
        <v>N/A</v>
      </c>
      <c r="I53" s="80" t="str">
        <f t="shared" ref="I53:I57" ca="1" si="9">IFERROR(INDEX(DIV_MP_WP,$B53,I$12),"N/A")</f>
        <v>N/A</v>
      </c>
      <c r="J53" s="80" t="str">
        <f t="shared" ca="1" si="8"/>
        <v>N/A</v>
      </c>
      <c r="K53" s="80" t="str">
        <f t="shared" ca="1" si="8"/>
        <v>N/A</v>
      </c>
      <c r="L53" s="80" t="str">
        <f t="shared" ca="1" si="8"/>
        <v>N/A</v>
      </c>
      <c r="M53" s="80" t="str">
        <f t="shared" ca="1" si="8"/>
        <v>N/A</v>
      </c>
      <c r="N53" s="80" t="str">
        <f t="shared" ca="1" si="8"/>
        <v>N/A</v>
      </c>
      <c r="O53" s="80" t="str">
        <f t="shared" ca="1" si="8"/>
        <v>N/A</v>
      </c>
      <c r="P53" s="80" t="str">
        <f t="shared" ca="1" si="8"/>
        <v>N/A</v>
      </c>
      <c r="Q53" s="80" t="str">
        <f t="shared" ca="1" si="8"/>
        <v>N/A</v>
      </c>
      <c r="R53" s="80" t="str">
        <f t="shared" ca="1" si="8"/>
        <v>N/A</v>
      </c>
      <c r="S53" s="80" t="str">
        <f t="shared" ca="1" si="8"/>
        <v>N/A</v>
      </c>
    </row>
    <row r="54" spans="1:19" hidden="1" x14ac:dyDescent="0.2">
      <c r="A54" s="45"/>
      <c r="B54" s="117" t="str">
        <f t="shared" ca="1" si="2"/>
        <v/>
      </c>
      <c r="C54" s="1" t="str">
        <f>IF(ISERROR(D54),"",IF(D54="","",MAX($C$12:C53)+1))</f>
        <v/>
      </c>
      <c r="D54" t="e">
        <f t="shared" si="3"/>
        <v>#N/A</v>
      </c>
      <c r="E54" s="15"/>
      <c r="F54" s="80" t="str">
        <f t="shared" ca="1" si="4"/>
        <v>N/A</v>
      </c>
      <c r="G54" s="80" t="str">
        <f t="shared" si="5"/>
        <v>N/A</v>
      </c>
      <c r="H54" s="80" t="str">
        <f ca="1">IFERROR(VLOOKUP($A54,LASTYR,'2017'!$Q$3,FALSE),"N/A")</f>
        <v>N/A</v>
      </c>
      <c r="I54" s="80" t="str">
        <f t="shared" ca="1" si="9"/>
        <v>N/A</v>
      </c>
      <c r="J54" s="80" t="str">
        <f t="shared" ca="1" si="8"/>
        <v>N/A</v>
      </c>
      <c r="K54" s="80" t="str">
        <f t="shared" ca="1" si="8"/>
        <v>N/A</v>
      </c>
      <c r="L54" s="80" t="str">
        <f t="shared" ca="1" si="8"/>
        <v>N/A</v>
      </c>
      <c r="M54" s="80" t="str">
        <f t="shared" ca="1" si="8"/>
        <v>N/A</v>
      </c>
      <c r="N54" s="80" t="str">
        <f t="shared" ca="1" si="8"/>
        <v>N/A</v>
      </c>
      <c r="O54" s="80" t="str">
        <f t="shared" ca="1" si="8"/>
        <v>N/A</v>
      </c>
      <c r="P54" s="80" t="str">
        <f t="shared" ca="1" si="8"/>
        <v>N/A</v>
      </c>
      <c r="Q54" s="80" t="str">
        <f t="shared" ca="1" si="8"/>
        <v>N/A</v>
      </c>
      <c r="R54" s="80" t="str">
        <f t="shared" ca="1" si="8"/>
        <v>N/A</v>
      </c>
      <c r="S54" s="80" t="str">
        <f t="shared" ca="1" si="8"/>
        <v>N/A</v>
      </c>
    </row>
    <row r="55" spans="1:19" hidden="1" x14ac:dyDescent="0.2">
      <c r="A55" s="51"/>
      <c r="B55" s="117" t="str">
        <f t="shared" ca="1" si="2"/>
        <v/>
      </c>
      <c r="C55" s="1" t="str">
        <f>IF(ISERROR(D55),"",IF(D55="","",MAX($C$12:C54)+1))</f>
        <v/>
      </c>
      <c r="D55" t="e">
        <f t="shared" si="3"/>
        <v>#N/A</v>
      </c>
      <c r="F55" s="80" t="str">
        <f t="shared" ca="1" si="4"/>
        <v>N/A</v>
      </c>
      <c r="G55" s="80" t="str">
        <f t="shared" si="5"/>
        <v>N/A</v>
      </c>
      <c r="H55" s="80" t="str">
        <f ca="1">IFERROR(VLOOKUP($A55,LASTYR,'2017'!$Q$3,FALSE),"N/A")</f>
        <v>N/A</v>
      </c>
      <c r="I55" s="80" t="str">
        <f t="shared" ca="1" si="9"/>
        <v>N/A</v>
      </c>
      <c r="J55" s="80" t="str">
        <f t="shared" ca="1" si="8"/>
        <v>N/A</v>
      </c>
      <c r="K55" s="80" t="str">
        <f t="shared" ca="1" si="8"/>
        <v>N/A</v>
      </c>
      <c r="L55" s="80" t="str">
        <f t="shared" ca="1" si="8"/>
        <v>N/A</v>
      </c>
      <c r="M55" s="80" t="str">
        <f t="shared" ca="1" si="8"/>
        <v>N/A</v>
      </c>
      <c r="N55" s="80" t="str">
        <f t="shared" ca="1" si="8"/>
        <v>N/A</v>
      </c>
      <c r="O55" s="80" t="str">
        <f t="shared" ca="1" si="8"/>
        <v>N/A</v>
      </c>
      <c r="P55" s="80" t="str">
        <f t="shared" ca="1" si="8"/>
        <v>N/A</v>
      </c>
      <c r="Q55" s="80" t="str">
        <f t="shared" ca="1" si="8"/>
        <v>N/A</v>
      </c>
      <c r="R55" s="80" t="str">
        <f t="shared" ca="1" si="8"/>
        <v>N/A</v>
      </c>
      <c r="S55" s="80" t="str">
        <f t="shared" ca="1" si="8"/>
        <v>N/A</v>
      </c>
    </row>
    <row r="56" spans="1:19" hidden="1" x14ac:dyDescent="0.2">
      <c r="A56" s="51"/>
      <c r="B56" s="117" t="str">
        <f t="shared" ca="1" si="2"/>
        <v/>
      </c>
      <c r="C56" s="1" t="str">
        <f>IF(ISERROR(D56),"",IF(D56="","",MAX($C$12:C55)+1))</f>
        <v/>
      </c>
      <c r="D56" t="e">
        <f t="shared" si="3"/>
        <v>#N/A</v>
      </c>
      <c r="F56" s="80" t="str">
        <f t="shared" ca="1" si="4"/>
        <v>N/A</v>
      </c>
      <c r="G56" s="80" t="str">
        <f t="shared" si="5"/>
        <v>N/A</v>
      </c>
      <c r="H56" s="80" t="str">
        <f ca="1">IFERROR(VLOOKUP($A56,LASTYR,'2017'!$Q$3,FALSE),"N/A")</f>
        <v>N/A</v>
      </c>
      <c r="I56" s="80" t="str">
        <f t="shared" ca="1" si="9"/>
        <v>N/A</v>
      </c>
      <c r="J56" s="80" t="str">
        <f t="shared" ca="1" si="8"/>
        <v>N/A</v>
      </c>
      <c r="K56" s="80" t="str">
        <f t="shared" ca="1" si="8"/>
        <v>N/A</v>
      </c>
      <c r="L56" s="80" t="str">
        <f t="shared" ca="1" si="8"/>
        <v>N/A</v>
      </c>
      <c r="M56" s="80" t="str">
        <f t="shared" ca="1" si="8"/>
        <v>N/A</v>
      </c>
      <c r="N56" s="80" t="str">
        <f t="shared" ca="1" si="8"/>
        <v>N/A</v>
      </c>
      <c r="O56" s="80" t="str">
        <f t="shared" ca="1" si="8"/>
        <v>N/A</v>
      </c>
      <c r="P56" s="80" t="str">
        <f t="shared" ca="1" si="8"/>
        <v>N/A</v>
      </c>
      <c r="Q56" s="80" t="str">
        <f t="shared" ca="1" si="8"/>
        <v>N/A</v>
      </c>
      <c r="R56" s="80" t="str">
        <f t="shared" ca="1" si="8"/>
        <v>N/A</v>
      </c>
      <c r="S56" s="80" t="str">
        <f t="shared" ca="1" si="8"/>
        <v>N/A</v>
      </c>
    </row>
    <row r="57" spans="1:19" hidden="1" x14ac:dyDescent="0.2">
      <c r="A57" s="51"/>
      <c r="B57" s="117" t="str">
        <f t="shared" ca="1" si="2"/>
        <v/>
      </c>
      <c r="C57" s="1" t="str">
        <f>IF(ISERROR(D57),"",IF(D57="","",MAX($C$12:C56)+1))</f>
        <v/>
      </c>
      <c r="D57" t="e">
        <f t="shared" si="3"/>
        <v>#N/A</v>
      </c>
      <c r="F57" s="80" t="str">
        <f t="shared" ca="1" si="4"/>
        <v>N/A</v>
      </c>
      <c r="G57" s="80" t="str">
        <f t="shared" si="5"/>
        <v>N/A</v>
      </c>
      <c r="H57" s="80" t="str">
        <f ca="1">IFERROR(VLOOKUP($A57,LASTYR,'2017'!$Q$3,FALSE),"N/A")</f>
        <v>N/A</v>
      </c>
      <c r="I57" s="80" t="str">
        <f t="shared" ca="1" si="9"/>
        <v>N/A</v>
      </c>
      <c r="J57" s="80" t="str">
        <f t="shared" ca="1" si="8"/>
        <v>N/A</v>
      </c>
      <c r="K57" s="80" t="str">
        <f t="shared" ca="1" si="8"/>
        <v>N/A</v>
      </c>
      <c r="L57" s="80" t="str">
        <f t="shared" ca="1" si="8"/>
        <v>N/A</v>
      </c>
      <c r="M57" s="80" t="str">
        <f t="shared" ca="1" si="8"/>
        <v>N/A</v>
      </c>
      <c r="N57" s="80" t="str">
        <f t="shared" ca="1" si="8"/>
        <v>N/A</v>
      </c>
      <c r="O57" s="80" t="str">
        <f t="shared" ca="1" si="8"/>
        <v>N/A</v>
      </c>
      <c r="P57" s="80" t="str">
        <f t="shared" ca="1" si="8"/>
        <v>N/A</v>
      </c>
      <c r="Q57" s="80" t="str">
        <f t="shared" ca="1" si="8"/>
        <v>N/A</v>
      </c>
      <c r="R57" s="80" t="str">
        <f t="shared" ca="1" si="8"/>
        <v>N/A</v>
      </c>
      <c r="S57" s="80" t="str">
        <f t="shared" ca="1" si="8"/>
        <v>N/A</v>
      </c>
    </row>
    <row r="58" spans="1:19" x14ac:dyDescent="0.2">
      <c r="A58" s="31"/>
      <c r="B58" s="31"/>
      <c r="C58" s="1" t="str">
        <f>IF(ISERROR(D58),"",IF(D58="","",MAX($C$12:C57)+1))</f>
        <v/>
      </c>
      <c r="F58" s="80"/>
      <c r="G58" s="80"/>
      <c r="H58" s="80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</row>
    <row r="59" spans="1:19" ht="15" x14ac:dyDescent="0.25">
      <c r="A59" s="31"/>
      <c r="B59" s="31"/>
      <c r="C59" s="1">
        <f ca="1">IF(ISERROR(D59),"",IF(D59="","",MAX($C$12:C58)+1))</f>
        <v>10</v>
      </c>
      <c r="D59" s="111" t="s">
        <v>98</v>
      </c>
      <c r="E59" s="111"/>
      <c r="F59" s="115">
        <f ca="1">AVERAGE(G59:S59)</f>
        <v>2.7668737046511856E-2</v>
      </c>
      <c r="G59" s="115">
        <f t="shared" ref="G59:S59" si="10">AVERAGE(G13:G58)</f>
        <v>2.1390951350019928E-2</v>
      </c>
      <c r="H59" s="115">
        <f t="shared" ca="1" si="10"/>
        <v>2.1134926093254652E-2</v>
      </c>
      <c r="I59" s="115">
        <f t="shared" ca="1" si="10"/>
        <v>2.2460647660665221E-2</v>
      </c>
      <c r="J59" s="115">
        <f t="shared" ca="1" si="10"/>
        <v>2.6810471653402723E-2</v>
      </c>
      <c r="K59" s="115">
        <f t="shared" ca="1" si="10"/>
        <v>2.7856958423553253E-2</v>
      </c>
      <c r="L59" s="115">
        <f t="shared" ca="1" si="10"/>
        <v>2.807287587307495E-2</v>
      </c>
      <c r="M59" s="115">
        <f t="shared" ca="1" si="10"/>
        <v>3.3146107822262336E-2</v>
      </c>
      <c r="N59" s="115">
        <f t="shared" ca="1" si="10"/>
        <v>3.2653088758506539E-2</v>
      </c>
      <c r="O59" s="115">
        <f t="shared" ca="1" si="10"/>
        <v>3.3576814509595383E-2</v>
      </c>
      <c r="P59" s="115">
        <f t="shared" ca="1" si="10"/>
        <v>3.3967849104112588E-2</v>
      </c>
      <c r="Q59" s="115">
        <f t="shared" ca="1" si="10"/>
        <v>2.8601574866936128E-2</v>
      </c>
      <c r="R59" s="115">
        <f t="shared" ca="1" si="10"/>
        <v>2.5030619381372805E-2</v>
      </c>
      <c r="S59" s="115">
        <f t="shared" ca="1" si="10"/>
        <v>2.4990696107897593E-2</v>
      </c>
    </row>
    <row r="60" spans="1:19" x14ac:dyDescent="0.2">
      <c r="A60" s="31"/>
      <c r="B60" s="31"/>
      <c r="C60" s="1">
        <f ca="1">IF(ISERROR(D60),"",IF(D60="","",MAX($C$12:C59)+1))</f>
        <v>11</v>
      </c>
      <c r="D60" t="s">
        <v>257</v>
      </c>
      <c r="F60" s="80">
        <f ca="1">AVERAGE(G60:S60)</f>
        <v>2.7043155480066892E-2</v>
      </c>
      <c r="G60" s="80">
        <f t="shared" ref="G60:S60" si="11">MEDIAN(G13:G58)</f>
        <v>2.1253731343283584E-2</v>
      </c>
      <c r="H60" s="80">
        <f t="shared" ca="1" si="11"/>
        <v>2.0479086508626041E-2</v>
      </c>
      <c r="I60" s="80">
        <f t="shared" ca="1" si="11"/>
        <v>2.2936391466776396E-2</v>
      </c>
      <c r="J60" s="80">
        <f t="shared" ca="1" si="11"/>
        <v>2.5922405599239608E-2</v>
      </c>
      <c r="K60" s="80">
        <f t="shared" ca="1" si="11"/>
        <v>2.6391723555492998E-2</v>
      </c>
      <c r="L60" s="80">
        <f t="shared" ca="1" si="11"/>
        <v>2.7498371806932483E-2</v>
      </c>
      <c r="M60" s="80">
        <f t="shared" ca="1" si="11"/>
        <v>3.2367915303954956E-2</v>
      </c>
      <c r="N60" s="80">
        <f t="shared" ca="1" si="11"/>
        <v>3.1897926634768738E-2</v>
      </c>
      <c r="O60" s="80">
        <f t="shared" ca="1" si="11"/>
        <v>3.2395056351064405E-2</v>
      </c>
      <c r="P60" s="80">
        <f t="shared" ca="1" si="11"/>
        <v>3.0929284408828903E-2</v>
      </c>
      <c r="Q60" s="80">
        <f t="shared" ca="1" si="11"/>
        <v>2.8566531451751129E-2</v>
      </c>
      <c r="R60" s="80">
        <f t="shared" ca="1" si="11"/>
        <v>2.6060457658842233E-2</v>
      </c>
      <c r="S60" s="80">
        <f t="shared" ca="1" si="11"/>
        <v>2.4862139151308103E-2</v>
      </c>
    </row>
    <row r="61" spans="1:19" x14ac:dyDescent="0.2">
      <c r="A61" s="31"/>
      <c r="B61" s="31"/>
      <c r="C61" s="1" t="str">
        <f>IF(ISERROR(D61),"",IF(D61="","",MAX($C$12:C60)+1))</f>
        <v/>
      </c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</row>
    <row r="62" spans="1:19" ht="16.5" x14ac:dyDescent="0.2">
      <c r="A62" s="31"/>
      <c r="B62" s="31"/>
      <c r="C62" s="1">
        <f ca="1">IF(ISERROR(D62),"",IF(D62="","",MAX($C$12:C61)+1))</f>
        <v>12</v>
      </c>
      <c r="D62" t="s">
        <v>491</v>
      </c>
      <c r="F62" s="80">
        <f t="shared" ref="F62:F63" si="12">AVERAGE(G62:S62)</f>
        <v>3.4773193473193471E-2</v>
      </c>
      <c r="G62" s="80">
        <f>VLOOKUP(2018,'Implied Inflation'!$B$13:$F$27,3,0)</f>
        <v>3.0218181818181821E-2</v>
      </c>
      <c r="H62" s="80">
        <f>VLOOKUP(H10,'Implied Inflation'!$B$13:$F$27,3,0)</f>
        <v>2.6525000000000003E-2</v>
      </c>
      <c r="I62" s="80">
        <f>VLOOKUP(I10,'Implied Inflation'!$B$13:$F$27,3,0)</f>
        <v>2.2250000000000002E-2</v>
      </c>
      <c r="J62" s="80">
        <f>VLOOKUP(J10,'Implied Inflation'!$B$13:$F$27,3,0)</f>
        <v>2.5466666666666669E-2</v>
      </c>
      <c r="K62" s="80">
        <f>VLOOKUP(K10,'Implied Inflation'!$B$13:$F$27,3,0)</f>
        <v>3.0741666666666667E-2</v>
      </c>
      <c r="L62" s="80">
        <f>VLOOKUP(L10,'Implied Inflation'!$B$13:$F$27,3,0)</f>
        <v>3.1191666666666666E-2</v>
      </c>
      <c r="M62" s="80">
        <f>VLOOKUP(M10,'Implied Inflation'!$B$13:$F$27,3,0)</f>
        <v>2.5441666666666661E-2</v>
      </c>
      <c r="N62" s="80">
        <f>VLOOKUP(N10,'Implied Inflation'!$B$13:$F$27,3,0)</f>
        <v>3.6208333333333328E-2</v>
      </c>
      <c r="O62" s="80">
        <f>VLOOKUP(O10,'Implied Inflation'!$B$13:$F$27,3,0)</f>
        <v>4.0300000000000002E-2</v>
      </c>
      <c r="P62" s="80">
        <f>VLOOKUP(P10,'Implied Inflation'!$B$13:$F$27,3,0)</f>
        <v>4.1075000000000007E-2</v>
      </c>
      <c r="Q62" s="80">
        <f>VLOOKUP(Q10,'Implied Inflation'!$B$13:$F$27,3,0)</f>
        <v>4.3624999999999997E-2</v>
      </c>
      <c r="R62" s="80">
        <f>VLOOKUP(R10,'Implied Inflation'!$B$13:$F$27,3,0)</f>
        <v>4.9083333333333333E-2</v>
      </c>
      <c r="S62" s="80">
        <f>VLOOKUP(S10,'Implied Inflation'!$B$13:$F$27,3,0)</f>
        <v>4.9924999999999997E-2</v>
      </c>
    </row>
    <row r="63" spans="1:19" ht="16.5" x14ac:dyDescent="0.2">
      <c r="A63" s="31"/>
      <c r="B63" s="31"/>
      <c r="C63" s="1">
        <f ca="1">IF(ISERROR(D63),"",IF(D63="","",MAX($C$12:C62)+1))</f>
        <v>13</v>
      </c>
      <c r="D63" t="s">
        <v>492</v>
      </c>
      <c r="F63" s="80">
        <f t="shared" si="12"/>
        <v>1.3015967365967367E-2</v>
      </c>
      <c r="G63" s="80">
        <f>VLOOKUP(2018,'Implied Inflation'!$B$13:$F$27,4,0)</f>
        <v>9.1909090909090899E-3</v>
      </c>
      <c r="H63" s="80">
        <f>VLOOKUP(H10,'Implied Inflation'!$B$13:$F$27,4,0)</f>
        <v>7.4583333333333324E-3</v>
      </c>
      <c r="I63" s="80">
        <f>VLOOKUP(I10,'Implied Inflation'!$B$13:$F$27,4,0)</f>
        <v>6.5750000000000001E-3</v>
      </c>
      <c r="J63" s="80">
        <f>VLOOKUP(J10,'Implied Inflation'!$B$13:$F$27,4,0)</f>
        <v>7.8333333333333328E-3</v>
      </c>
      <c r="K63" s="80">
        <f>VLOOKUP(K10,'Implied Inflation'!$B$13:$F$27,4,0)</f>
        <v>8.6583333333333339E-3</v>
      </c>
      <c r="L63" s="80">
        <f>VLOOKUP(L10,'Implied Inflation'!$B$13:$F$27,4,0)</f>
        <v>7.5166666666666663E-3</v>
      </c>
      <c r="M63" s="80">
        <f>VLOOKUP(M10,'Implied Inflation'!$B$13:$F$27,4,0)</f>
        <v>2.1333333333333339E-3</v>
      </c>
      <c r="N63" s="80">
        <f>VLOOKUP(N10,'Implied Inflation'!$B$13:$F$27,4,0)</f>
        <v>1.1916666666666666E-2</v>
      </c>
      <c r="O63" s="80">
        <f>VLOOKUP(O10,'Implied Inflation'!$B$13:$F$27,4,0)</f>
        <v>1.7316666666666668E-2</v>
      </c>
      <c r="P63" s="80">
        <f>VLOOKUP(P10,'Implied Inflation'!$B$13:$F$27,4,0)</f>
        <v>2.2133333333333324E-2</v>
      </c>
      <c r="Q63" s="80">
        <f>VLOOKUP(Q10,'Implied Inflation'!$B$13:$F$27,4,0)</f>
        <v>2.1850000000000001E-2</v>
      </c>
      <c r="R63" s="80">
        <f>VLOOKUP(R10,'Implied Inflation'!$B$13:$F$27,4,0)</f>
        <v>2.3550000000000001E-2</v>
      </c>
      <c r="S63" s="80">
        <f>VLOOKUP(S10,'Implied Inflation'!$B$13:$F$27,4,0)</f>
        <v>2.3074999999999998E-2</v>
      </c>
    </row>
    <row r="64" spans="1:19" ht="16.5" x14ac:dyDescent="0.2">
      <c r="A64" s="31"/>
      <c r="B64" s="31"/>
      <c r="C64" s="1">
        <f ca="1">IF(ISERROR(D64),"",IF(D64="","",MAX($C$12:C63)+1))</f>
        <v>14</v>
      </c>
      <c r="D64" t="s">
        <v>493</v>
      </c>
      <c r="F64" s="80">
        <f>AVERAGE(G64:S64)</f>
        <v>2.1469992737658792E-2</v>
      </c>
      <c r="G64" s="80">
        <f>(1+G62)/(1+G63)-1</f>
        <v>2.0835773031501637E-2</v>
      </c>
      <c r="H64" s="80">
        <f>(1+H62)/(1+H63)-1</f>
        <v>1.8925513875677202E-2</v>
      </c>
      <c r="I64" s="80">
        <f t="shared" ref="I64:S64" si="13">(1+I62)/(1+I63)-1</f>
        <v>1.557261008866706E-2</v>
      </c>
      <c r="J64" s="80">
        <f t="shared" si="13"/>
        <v>1.749627914668439E-2</v>
      </c>
      <c r="K64" s="80">
        <f t="shared" si="13"/>
        <v>2.1893769776683447E-2</v>
      </c>
      <c r="L64" s="80">
        <f t="shared" si="13"/>
        <v>2.3498370581132022E-2</v>
      </c>
      <c r="M64" s="80">
        <f t="shared" si="13"/>
        <v>2.3258714741883901E-2</v>
      </c>
      <c r="N64" s="80">
        <f t="shared" si="13"/>
        <v>2.400559993411866E-2</v>
      </c>
      <c r="O64" s="80">
        <f t="shared" si="13"/>
        <v>2.2592113239076728E-2</v>
      </c>
      <c r="P64" s="80">
        <f t="shared" si="13"/>
        <v>1.8531502739368655E-2</v>
      </c>
      <c r="Q64" s="80">
        <f t="shared" si="13"/>
        <v>2.1309389832167236E-2</v>
      </c>
      <c r="R64" s="80">
        <f t="shared" si="13"/>
        <v>2.4945858368749407E-2</v>
      </c>
      <c r="S64" s="80">
        <f t="shared" si="13"/>
        <v>2.6244410233853932E-2</v>
      </c>
    </row>
    <row r="65" spans="1:19" x14ac:dyDescent="0.2">
      <c r="A65" s="31"/>
      <c r="B65" s="31"/>
      <c r="C65" s="1" t="str">
        <f>IF(ISERROR(D65),"",IF(D65="","",MAX($C$12:C64)+1))</f>
        <v/>
      </c>
      <c r="F65" s="80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</row>
    <row r="66" spans="1:19" ht="17.25" x14ac:dyDescent="0.25">
      <c r="A66" s="31"/>
      <c r="B66" s="31"/>
      <c r="C66" s="1">
        <f ca="1">IF(ISERROR(D66),"",IF(D66="","",MAX($C$12:C65)+1))</f>
        <v>15</v>
      </c>
      <c r="D66" s="111" t="s">
        <v>494</v>
      </c>
      <c r="F66" s="115">
        <f t="shared" ref="F66:S66" ca="1" si="14">(1+F59)/(1+F64)-1</f>
        <v>6.0684546319758059E-3</v>
      </c>
      <c r="G66" s="115">
        <f t="shared" si="14"/>
        <v>5.4384684900843361E-4</v>
      </c>
      <c r="H66" s="115">
        <f t="shared" ca="1" si="14"/>
        <v>2.1683746137375337E-3</v>
      </c>
      <c r="I66" s="115">
        <f t="shared" ca="1" si="14"/>
        <v>6.7824176268369563E-3</v>
      </c>
      <c r="J66" s="115">
        <f t="shared" ca="1" si="14"/>
        <v>9.1540310245947776E-3</v>
      </c>
      <c r="K66" s="115">
        <f t="shared" ca="1" si="14"/>
        <v>5.8354291054860674E-3</v>
      </c>
      <c r="L66" s="115">
        <f t="shared" ca="1" si="14"/>
        <v>4.4694797993138913E-3</v>
      </c>
      <c r="M66" s="115">
        <f t="shared" ca="1" si="14"/>
        <v>9.6626522089993117E-3</v>
      </c>
      <c r="N66" s="115">
        <f t="shared" ca="1" si="14"/>
        <v>8.4447671232894539E-3</v>
      </c>
      <c r="O66" s="115">
        <f t="shared" ca="1" si="14"/>
        <v>1.0742016419160949E-2</v>
      </c>
      <c r="P66" s="115">
        <f t="shared" ca="1" si="14"/>
        <v>1.5155492317348473E-2</v>
      </c>
      <c r="Q66" s="115">
        <f t="shared" ca="1" si="14"/>
        <v>7.1400352404153988E-3</v>
      </c>
      <c r="R66" s="115">
        <f t="shared" ca="1" si="14"/>
        <v>8.2698039053807904E-5</v>
      </c>
      <c r="S66" s="115">
        <f t="shared" ca="1" si="14"/>
        <v>-1.2216525746245877E-3</v>
      </c>
    </row>
    <row r="67" spans="1:19" ht="15" x14ac:dyDescent="0.25">
      <c r="A67" s="31"/>
      <c r="B67" s="31"/>
      <c r="C67" s="1"/>
      <c r="D67" s="111"/>
      <c r="F67" s="115"/>
      <c r="G67" s="115"/>
      <c r="H67" s="115"/>
      <c r="I67" s="115"/>
      <c r="J67" s="115"/>
      <c r="K67" s="115"/>
      <c r="L67" s="115"/>
      <c r="M67" s="115"/>
      <c r="N67" s="115"/>
      <c r="O67" s="115"/>
      <c r="P67" s="115"/>
      <c r="Q67" s="115"/>
      <c r="R67" s="115"/>
      <c r="S67" s="115"/>
    </row>
    <row r="68" spans="1:19" ht="15" x14ac:dyDescent="0.25">
      <c r="A68" s="31"/>
      <c r="B68" s="31"/>
      <c r="C68" s="1"/>
      <c r="D68" s="239" t="s">
        <v>510</v>
      </c>
      <c r="E68" s="239"/>
      <c r="H68" s="80"/>
    </row>
    <row r="69" spans="1:19" ht="17.25" x14ac:dyDescent="0.25">
      <c r="A69" s="102"/>
      <c r="B69" s="102"/>
      <c r="C69" s="1">
        <f ca="1">IF(ISERROR(D69),"",IF(D69="","",MAX($C$12:C68)+1))</f>
        <v>16</v>
      </c>
      <c r="D69" s="111" t="s">
        <v>511</v>
      </c>
      <c r="E69" s="111"/>
      <c r="F69" s="113">
        <f>AVERAGE(G69:S69)</f>
        <v>4.9536525629956814E-2</v>
      </c>
      <c r="G69" s="113">
        <f>VLOOKUP(2018,'Annual Yields (WP)'!$B$6:$C$46,2,FALSE)</f>
        <v>4.254454527705958E-2</v>
      </c>
      <c r="H69" s="113">
        <f>VLOOKUP(H10,'Annual Yields (WP)'!$B$6:$C$43,2,FALSE)</f>
        <v>3.9988761663160968E-2</v>
      </c>
      <c r="I69" s="113">
        <f>VLOOKUP(I10,'Annual Yields (WP)'!$B$6:$C$43,2,FALSE)</f>
        <v>3.930199127182251E-2</v>
      </c>
      <c r="J69" s="113">
        <f>VLOOKUP(J10,'Annual Yields (WP)'!$B$6:$C$43,2,FALSE)</f>
        <v>4.1153967589428117E-2</v>
      </c>
      <c r="K69" s="113">
        <f>VLOOKUP(K10,'Annual Yields (WP)'!$B$6:$C$43,2,FALSE)</f>
        <v>4.2774094021446961E-2</v>
      </c>
      <c r="L69" s="113">
        <f>VLOOKUP(L10,'Annual Yields (WP)'!$B$6:$C$43,2,FALSE)</f>
        <v>4.4759707479483019E-2</v>
      </c>
      <c r="M69" s="113">
        <f>VLOOKUP(M10,'Annual Yields (WP)'!$B$6:$C$43,2,FALSE)</f>
        <v>4.1308564221010043E-2</v>
      </c>
      <c r="N69" s="113">
        <f>VLOOKUP(N10,'Annual Yields (WP)'!$B$6:$C$43,2,FALSE)</f>
        <v>5.0407157265811221E-2</v>
      </c>
      <c r="O69" s="113">
        <f>VLOOKUP(O10,'Annual Yields (WP)'!$B$6:$C$43,2,FALSE)</f>
        <v>5.4644377733549555E-2</v>
      </c>
      <c r="P69" s="113">
        <f>VLOOKUP(P10,'Annual Yields (WP)'!$B$6:$C$43,2,FALSE)</f>
        <v>6.0391666666666656E-2</v>
      </c>
      <c r="Q69" s="113">
        <f>VLOOKUP(Q10,'Annual Yields (WP)'!$B$6:$C$43,2,FALSE)</f>
        <v>6.5283333333333332E-2</v>
      </c>
      <c r="R69" s="113">
        <f>VLOOKUP(R10,'Annual Yields (WP)'!$B$6:$C$43,2,FALSE)</f>
        <v>6.0733333333333334E-2</v>
      </c>
      <c r="S69" s="113">
        <f>VLOOKUP(S10,'Annual Yields (WP)'!$B$6:$C$43,2,FALSE)</f>
        <v>6.0683333333333332E-2</v>
      </c>
    </row>
    <row r="70" spans="1:19" ht="15" x14ac:dyDescent="0.25">
      <c r="A70" s="102"/>
      <c r="B70" s="102"/>
      <c r="C70" s="1">
        <f ca="1">IF(ISERROR(D70),"",IF(D70="","",MAX($C$12:C69)+1))</f>
        <v>17</v>
      </c>
      <c r="D70" s="111" t="s">
        <v>512</v>
      </c>
      <c r="E70" s="111"/>
      <c r="F70" s="113">
        <f>AVERAGE(G70:S70)</f>
        <v>2.747355867298076E-2</v>
      </c>
      <c r="G70" s="113">
        <f>(1+G69)/(1+G64)-1</f>
        <v>2.1265685254241218E-2</v>
      </c>
      <c r="H70" s="113">
        <f t="shared" ref="H70:S70" si="15">(1+H69)/(1+H64)-1</f>
        <v>2.0672019201252168E-2</v>
      </c>
      <c r="I70" s="113">
        <f t="shared" si="15"/>
        <v>2.3365519065233098E-2</v>
      </c>
      <c r="J70" s="113">
        <f t="shared" si="15"/>
        <v>2.3250884477517886E-2</v>
      </c>
      <c r="K70" s="113">
        <f t="shared" si="15"/>
        <v>2.0432969514362131E-2</v>
      </c>
      <c r="L70" s="113">
        <f t="shared" si="15"/>
        <v>2.0773200534045744E-2</v>
      </c>
      <c r="M70" s="113">
        <f t="shared" si="15"/>
        <v>1.763957562157592E-2</v>
      </c>
      <c r="N70" s="113">
        <f t="shared" si="15"/>
        <v>2.5782629834632864E-2</v>
      </c>
      <c r="O70" s="113">
        <f t="shared" si="15"/>
        <v>3.1344134263804113E-2</v>
      </c>
      <c r="P70" s="113">
        <f t="shared" si="15"/>
        <v>4.1098546107522393E-2</v>
      </c>
      <c r="Q70" s="113">
        <f t="shared" si="15"/>
        <v>4.3056437098255129E-2</v>
      </c>
      <c r="R70" s="113">
        <f t="shared" si="15"/>
        <v>3.4916454047183798E-2</v>
      </c>
      <c r="S70" s="113">
        <f t="shared" si="15"/>
        <v>3.3558207729123435E-2</v>
      </c>
    </row>
    <row r="71" spans="1:19" ht="15" x14ac:dyDescent="0.2">
      <c r="A71" s="102"/>
      <c r="B71" s="102"/>
      <c r="C71" s="1"/>
      <c r="D71" s="224"/>
      <c r="E71" s="224"/>
      <c r="F71" s="113"/>
      <c r="G71" s="113"/>
      <c r="H71" s="113"/>
      <c r="I71" s="113"/>
      <c r="J71" s="113"/>
      <c r="K71" s="113"/>
      <c r="L71" s="113"/>
      <c r="M71" s="113"/>
      <c r="N71" s="113"/>
      <c r="O71" s="113"/>
      <c r="P71" s="113"/>
      <c r="Q71" s="113"/>
      <c r="R71" s="113"/>
      <c r="S71" s="113"/>
    </row>
    <row r="72" spans="1:19" ht="15" x14ac:dyDescent="0.25">
      <c r="A72" s="102"/>
      <c r="B72" s="102"/>
      <c r="C72" s="1"/>
      <c r="D72" s="239" t="s">
        <v>509</v>
      </c>
      <c r="E72" s="239"/>
      <c r="F72" s="8"/>
      <c r="G72" s="8"/>
      <c r="H72" s="8"/>
      <c r="I72" s="8"/>
      <c r="J72" s="8"/>
      <c r="K72" s="8"/>
      <c r="L72" s="8"/>
      <c r="M72" s="8"/>
      <c r="N72" s="8"/>
      <c r="O72" s="8"/>
      <c r="P72" s="108"/>
      <c r="Q72" s="108"/>
      <c r="R72" s="108"/>
      <c r="S72" s="108"/>
    </row>
    <row r="73" spans="1:19" ht="17.25" x14ac:dyDescent="0.25">
      <c r="A73" s="102"/>
      <c r="B73" s="102"/>
      <c r="C73" s="1">
        <f ca="1">IF(ISERROR(D73),"",IF(D73="","",MAX($C$12:C72)+1))</f>
        <v>18</v>
      </c>
      <c r="D73" s="111" t="s">
        <v>499</v>
      </c>
      <c r="F73" s="110">
        <f t="shared" ref="F73:S73" ca="1" si="16">F69-F59</f>
        <v>2.1867788583444958E-2</v>
      </c>
      <c r="G73" s="110">
        <f t="shared" si="16"/>
        <v>2.1153593927039652E-2</v>
      </c>
      <c r="H73" s="110">
        <f t="shared" ca="1" si="16"/>
        <v>1.8853835569906316E-2</v>
      </c>
      <c r="I73" s="110">
        <f t="shared" ca="1" si="16"/>
        <v>1.684134361115729E-2</v>
      </c>
      <c r="J73" s="110">
        <f t="shared" ca="1" si="16"/>
        <v>1.4343495936025394E-2</v>
      </c>
      <c r="K73" s="110">
        <f t="shared" ca="1" si="16"/>
        <v>1.4917135597893708E-2</v>
      </c>
      <c r="L73" s="110">
        <f t="shared" ca="1" si="16"/>
        <v>1.6686831606408069E-2</v>
      </c>
      <c r="M73" s="110">
        <f t="shared" ca="1" si="16"/>
        <v>8.162456398747707E-3</v>
      </c>
      <c r="N73" s="110">
        <f t="shared" ca="1" si="16"/>
        <v>1.7754068507304682E-2</v>
      </c>
      <c r="O73" s="110">
        <f t="shared" ca="1" si="16"/>
        <v>2.1067563223954172E-2</v>
      </c>
      <c r="P73" s="110">
        <f t="shared" ca="1" si="16"/>
        <v>2.6423817562554068E-2</v>
      </c>
      <c r="Q73" s="110">
        <f t="shared" ca="1" si="16"/>
        <v>3.6681758466397207E-2</v>
      </c>
      <c r="R73" s="110">
        <f t="shared" ca="1" si="16"/>
        <v>3.5702713951960528E-2</v>
      </c>
      <c r="S73" s="110">
        <f t="shared" ca="1" si="16"/>
        <v>3.5692637225435739E-2</v>
      </c>
    </row>
    <row r="74" spans="1:19" ht="17.25" x14ac:dyDescent="0.25">
      <c r="A74" s="102"/>
      <c r="B74" s="102"/>
      <c r="C74" s="1">
        <f ca="1">IF(ISERROR(D74),"",IF(D74="","",MAX($C$12:C73)+1))</f>
        <v>19</v>
      </c>
      <c r="D74" s="111" t="s">
        <v>500</v>
      </c>
      <c r="E74" s="10"/>
      <c r="F74" s="110">
        <f ca="1">F70-F66</f>
        <v>2.1405104041004954E-2</v>
      </c>
      <c r="G74" s="110">
        <f>G70-G66</f>
        <v>2.0721838405232784E-2</v>
      </c>
      <c r="H74" s="110">
        <f t="shared" ref="H74:S74" ca="1" si="17">H70-H66</f>
        <v>1.8503644587514634E-2</v>
      </c>
      <c r="I74" s="110">
        <f t="shared" ca="1" si="17"/>
        <v>1.6583101438396142E-2</v>
      </c>
      <c r="J74" s="110">
        <f t="shared" ca="1" si="17"/>
        <v>1.4096853452923108E-2</v>
      </c>
      <c r="K74" s="110">
        <f t="shared" ca="1" si="17"/>
        <v>1.4597540408876064E-2</v>
      </c>
      <c r="L74" s="110">
        <f t="shared" ca="1" si="17"/>
        <v>1.6303720734731852E-2</v>
      </c>
      <c r="M74" s="110">
        <f t="shared" ca="1" si="17"/>
        <v>7.9769234125766086E-3</v>
      </c>
      <c r="N74" s="110">
        <f t="shared" ca="1" si="17"/>
        <v>1.733786271134341E-2</v>
      </c>
      <c r="O74" s="110">
        <f t="shared" ca="1" si="17"/>
        <v>2.0602117844643164E-2</v>
      </c>
      <c r="P74" s="110">
        <f t="shared" ca="1" si="17"/>
        <v>2.594305379017392E-2</v>
      </c>
      <c r="Q74" s="110">
        <f t="shared" ca="1" si="17"/>
        <v>3.591640185783973E-2</v>
      </c>
      <c r="R74" s="110">
        <f t="shared" ca="1" si="17"/>
        <v>3.483375600812999E-2</v>
      </c>
      <c r="S74" s="110">
        <f t="shared" ca="1" si="17"/>
        <v>3.4779860303748023E-2</v>
      </c>
    </row>
    <row r="75" spans="1:19" ht="15" x14ac:dyDescent="0.25">
      <c r="A75" s="102"/>
      <c r="B75" s="102"/>
      <c r="C75" s="1" t="str">
        <f>IF(ISERROR(D75),"",IF(D75="","",MAX($C$12:C74)+1))</f>
        <v/>
      </c>
      <c r="D75" s="111"/>
      <c r="E75" s="10"/>
      <c r="F75" s="110"/>
      <c r="G75" s="110"/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</row>
    <row r="76" spans="1:19" ht="15" x14ac:dyDescent="0.25">
      <c r="A76" s="102"/>
      <c r="B76" s="102"/>
      <c r="C76" s="1"/>
      <c r="D76" s="239" t="s">
        <v>508</v>
      </c>
      <c r="E76" s="239"/>
      <c r="F76" s="110"/>
      <c r="G76" s="110"/>
      <c r="H76" s="110"/>
      <c r="I76" s="110"/>
      <c r="J76" s="110"/>
      <c r="K76" s="110"/>
      <c r="L76" s="110"/>
      <c r="M76" s="110"/>
      <c r="N76" s="110"/>
      <c r="O76" s="110"/>
      <c r="P76" s="110"/>
      <c r="Q76" s="110"/>
      <c r="R76" s="110"/>
      <c r="S76" s="110"/>
    </row>
    <row r="77" spans="1:19" ht="17.25" x14ac:dyDescent="0.25">
      <c r="A77" s="102"/>
      <c r="B77" s="105"/>
      <c r="C77" s="1">
        <f ca="1">IF(ISERROR(D77),"",IF(D77="","",MAX($C$12:C76)+1))</f>
        <v>20</v>
      </c>
      <c r="D77" s="111" t="s">
        <v>501</v>
      </c>
      <c r="F77" s="110">
        <f ca="1">F62-F59</f>
        <v>7.1044564266816157E-3</v>
      </c>
      <c r="G77" s="110">
        <f>G62-G59</f>
        <v>8.8272304681618931E-3</v>
      </c>
      <c r="H77" s="110">
        <f ca="1">H62-H59</f>
        <v>5.3900739067453511E-3</v>
      </c>
      <c r="I77" s="110">
        <f t="shared" ref="I77:S77" ca="1" si="18">I62-I59</f>
        <v>-2.1064766066521828E-4</v>
      </c>
      <c r="J77" s="110">
        <f t="shared" ca="1" si="18"/>
        <v>-1.3438049867360545E-3</v>
      </c>
      <c r="K77" s="110">
        <f t="shared" ca="1" si="18"/>
        <v>2.8847082431134145E-3</v>
      </c>
      <c r="L77" s="110">
        <f t="shared" ca="1" si="18"/>
        <v>3.1187907935917164E-3</v>
      </c>
      <c r="M77" s="110">
        <f t="shared" ca="1" si="18"/>
        <v>-7.7044411555956746E-3</v>
      </c>
      <c r="N77" s="110">
        <f t="shared" ca="1" si="18"/>
        <v>3.5552445748267894E-3</v>
      </c>
      <c r="O77" s="110">
        <f t="shared" ca="1" si="18"/>
        <v>6.7231854904046193E-3</v>
      </c>
      <c r="P77" s="110">
        <f t="shared" ca="1" si="18"/>
        <v>7.1071508958874194E-3</v>
      </c>
      <c r="Q77" s="110">
        <f t="shared" ca="1" si="18"/>
        <v>1.5023425133063869E-2</v>
      </c>
      <c r="R77" s="110">
        <f t="shared" ca="1" si="18"/>
        <v>2.4052713951960528E-2</v>
      </c>
      <c r="S77" s="110">
        <f t="shared" ca="1" si="18"/>
        <v>2.4934303892102404E-2</v>
      </c>
    </row>
    <row r="78" spans="1:19" ht="17.25" x14ac:dyDescent="0.25">
      <c r="A78" s="102"/>
      <c r="B78" s="105"/>
      <c r="C78" s="1">
        <f ca="1">IF(ISERROR(D78),"",IF(D78="","",MAX($C$12:C77)+1))</f>
        <v>21</v>
      </c>
      <c r="D78" s="111" t="s">
        <v>502</v>
      </c>
      <c r="E78" s="10"/>
      <c r="F78" s="110">
        <f ca="1">F63-F66</f>
        <v>6.9475127339915614E-3</v>
      </c>
      <c r="G78" s="110">
        <f>G63-G66</f>
        <v>8.6470622419006563E-3</v>
      </c>
      <c r="H78" s="110">
        <f t="shared" ref="H78:S78" ca="1" si="19">H63-H66</f>
        <v>5.2899587195957987E-3</v>
      </c>
      <c r="I78" s="110">
        <f t="shared" ca="1" si="19"/>
        <v>-2.0741762683695614E-4</v>
      </c>
      <c r="J78" s="110">
        <f t="shared" ca="1" si="19"/>
        <v>-1.3206976912614448E-3</v>
      </c>
      <c r="K78" s="110">
        <f t="shared" ca="1" si="19"/>
        <v>2.8229042278472664E-3</v>
      </c>
      <c r="L78" s="110">
        <f t="shared" ca="1" si="19"/>
        <v>3.047186867352775E-3</v>
      </c>
      <c r="M78" s="110">
        <f t="shared" ca="1" si="19"/>
        <v>-7.5293188756659774E-3</v>
      </c>
      <c r="N78" s="110">
        <f t="shared" ca="1" si="19"/>
        <v>3.4718995433772118E-3</v>
      </c>
      <c r="O78" s="110">
        <f t="shared" ca="1" si="19"/>
        <v>6.5746502475057186E-3</v>
      </c>
      <c r="P78" s="110">
        <f t="shared" ca="1" si="19"/>
        <v>6.9778410159848508E-3</v>
      </c>
      <c r="Q78" s="110">
        <f t="shared" ca="1" si="19"/>
        <v>1.4709964759584603E-2</v>
      </c>
      <c r="R78" s="110">
        <f t="shared" ca="1" si="19"/>
        <v>2.3467301960946194E-2</v>
      </c>
      <c r="S78" s="110">
        <f t="shared" ca="1" si="19"/>
        <v>2.4296652574624586E-2</v>
      </c>
    </row>
    <row r="79" spans="1:19" x14ac:dyDescent="0.2">
      <c r="A79" s="102"/>
      <c r="B79" s="105"/>
      <c r="C79" s="106"/>
      <c r="D79" s="102"/>
      <c r="E79" s="20"/>
      <c r="F79" s="104"/>
      <c r="G79" s="104"/>
      <c r="H79" s="104"/>
      <c r="I79" s="104"/>
      <c r="J79" s="104"/>
      <c r="K79" s="104"/>
      <c r="L79" s="104"/>
      <c r="M79" s="104"/>
      <c r="N79" s="104"/>
      <c r="O79" s="104"/>
      <c r="P79" s="104"/>
      <c r="Q79" s="104"/>
      <c r="R79" s="104"/>
      <c r="S79" s="104"/>
    </row>
    <row r="80" spans="1:19" x14ac:dyDescent="0.2">
      <c r="A80" s="102"/>
      <c r="B80" s="105"/>
      <c r="C80" s="106"/>
      <c r="D80" s="102"/>
      <c r="E80" s="20"/>
      <c r="F80" s="104"/>
      <c r="G80" s="104"/>
      <c r="H80" s="104"/>
      <c r="I80" s="104"/>
      <c r="J80" s="104"/>
      <c r="K80" s="104"/>
      <c r="L80" s="104"/>
      <c r="M80" s="104"/>
      <c r="N80" s="104"/>
      <c r="O80" s="104"/>
      <c r="P80" s="104"/>
      <c r="Q80" s="104"/>
      <c r="R80" s="104"/>
      <c r="S80" s="104"/>
    </row>
    <row r="81" spans="1:19" x14ac:dyDescent="0.2">
      <c r="A81" s="102"/>
      <c r="B81" s="105"/>
      <c r="C81" s="106"/>
      <c r="D81" s="102"/>
      <c r="E81" s="20"/>
      <c r="F81" s="104"/>
      <c r="G81" s="104"/>
      <c r="H81" s="104"/>
      <c r="I81" s="104"/>
      <c r="J81" s="104"/>
      <c r="K81" s="104"/>
      <c r="L81" s="104"/>
      <c r="M81" s="104"/>
      <c r="N81" s="104"/>
      <c r="O81" s="104"/>
      <c r="P81" s="104"/>
      <c r="Q81" s="104"/>
      <c r="R81" s="104"/>
      <c r="S81" s="104"/>
    </row>
    <row r="82" spans="1:19" x14ac:dyDescent="0.2">
      <c r="A82" s="102"/>
      <c r="B82" s="105"/>
      <c r="C82" s="106"/>
      <c r="D82" s="102"/>
      <c r="E82" s="20"/>
      <c r="F82" s="104"/>
      <c r="G82" s="104"/>
      <c r="H82" s="104"/>
      <c r="I82" s="104"/>
      <c r="J82" s="104"/>
      <c r="K82" s="104"/>
      <c r="L82" s="104"/>
      <c r="M82" s="104"/>
      <c r="N82" s="104"/>
      <c r="O82" s="104"/>
      <c r="P82" s="104"/>
      <c r="Q82" s="104"/>
      <c r="R82" s="104"/>
      <c r="S82" s="104"/>
    </row>
    <row r="83" spans="1:19" x14ac:dyDescent="0.2">
      <c r="A83" s="102"/>
      <c r="B83" s="105"/>
      <c r="C83" s="106"/>
      <c r="D83" s="102"/>
      <c r="E83" s="20"/>
      <c r="F83" s="104"/>
      <c r="G83" s="104"/>
      <c r="H83" s="104"/>
      <c r="I83" s="104"/>
      <c r="J83" s="104"/>
      <c r="K83" s="104"/>
      <c r="L83" s="104"/>
      <c r="M83" s="104"/>
      <c r="N83" s="104"/>
      <c r="O83" s="104"/>
      <c r="P83" s="104"/>
      <c r="Q83" s="104"/>
      <c r="R83" s="104"/>
      <c r="S83" s="104"/>
    </row>
    <row r="84" spans="1:19" x14ac:dyDescent="0.2">
      <c r="A84" s="102"/>
      <c r="B84" s="105"/>
      <c r="C84" s="106"/>
      <c r="D84" s="102"/>
      <c r="E84" s="20"/>
      <c r="F84" s="104"/>
      <c r="G84" s="104"/>
      <c r="H84" s="104"/>
      <c r="I84" s="104"/>
      <c r="J84" s="104"/>
      <c r="K84" s="104"/>
      <c r="L84" s="104"/>
      <c r="M84" s="104"/>
      <c r="N84" s="104"/>
      <c r="O84" s="104"/>
      <c r="P84" s="104"/>
      <c r="Q84" s="104"/>
      <c r="R84" s="104"/>
      <c r="S84" s="104"/>
    </row>
    <row r="85" spans="1:19" x14ac:dyDescent="0.2">
      <c r="A85" s="102"/>
      <c r="B85" s="105"/>
      <c r="C85" s="106"/>
      <c r="D85" s="102"/>
      <c r="E85" s="20"/>
      <c r="F85" s="104"/>
      <c r="G85" s="104"/>
      <c r="H85" s="104"/>
      <c r="I85" s="104"/>
      <c r="J85" s="104"/>
      <c r="K85" s="104"/>
      <c r="L85" s="104"/>
      <c r="M85" s="104"/>
      <c r="N85" s="104"/>
      <c r="O85" s="104"/>
      <c r="P85" s="104"/>
      <c r="Q85" s="104"/>
      <c r="R85" s="104"/>
      <c r="S85" s="104"/>
    </row>
    <row r="86" spans="1:19" x14ac:dyDescent="0.2">
      <c r="A86" s="102"/>
      <c r="B86" s="105"/>
      <c r="C86" s="106"/>
      <c r="D86" s="102"/>
      <c r="E86" s="20"/>
      <c r="F86" s="104"/>
      <c r="G86" s="104"/>
      <c r="H86" s="104"/>
      <c r="I86" s="104"/>
      <c r="J86" s="104"/>
      <c r="K86" s="104"/>
      <c r="L86" s="104"/>
      <c r="M86" s="104"/>
      <c r="N86" s="104"/>
      <c r="O86" s="104"/>
      <c r="P86" s="104"/>
      <c r="Q86" s="104"/>
      <c r="R86" s="104"/>
      <c r="S86" s="104"/>
    </row>
    <row r="87" spans="1:19" x14ac:dyDescent="0.2">
      <c r="A87" s="102"/>
      <c r="B87" s="105"/>
      <c r="C87" s="106"/>
      <c r="D87" s="102"/>
      <c r="E87" s="20"/>
      <c r="F87" s="104"/>
      <c r="G87" s="104"/>
      <c r="H87" s="104"/>
      <c r="I87" s="104"/>
      <c r="J87" s="104"/>
      <c r="K87" s="104"/>
      <c r="L87" s="104"/>
      <c r="M87" s="104"/>
      <c r="N87" s="104"/>
      <c r="O87" s="104"/>
      <c r="P87" s="104"/>
      <c r="Q87" s="104"/>
      <c r="R87" s="104"/>
      <c r="S87" s="104"/>
    </row>
    <row r="88" spans="1:19" hidden="1" x14ac:dyDescent="0.2">
      <c r="A88" s="102"/>
      <c r="B88" s="105"/>
      <c r="C88" s="106"/>
      <c r="D88" s="102"/>
      <c r="E88" s="20"/>
      <c r="F88" s="104"/>
      <c r="G88" s="104"/>
      <c r="H88" s="104"/>
      <c r="I88" s="104"/>
      <c r="J88" s="104"/>
      <c r="K88" s="104"/>
      <c r="L88" s="104"/>
      <c r="M88" s="104"/>
      <c r="N88" s="104"/>
      <c r="O88" s="104"/>
      <c r="P88" s="104"/>
      <c r="Q88" s="104"/>
      <c r="R88" s="104"/>
      <c r="S88" s="104"/>
    </row>
    <row r="89" spans="1:19" hidden="1" x14ac:dyDescent="0.2">
      <c r="A89" s="102"/>
      <c r="B89" s="105"/>
      <c r="C89" s="106"/>
      <c r="D89" s="102"/>
      <c r="E89" s="20"/>
      <c r="F89" s="104"/>
      <c r="G89" s="104"/>
      <c r="H89" s="104"/>
      <c r="I89" s="104"/>
      <c r="J89" s="104"/>
      <c r="K89" s="104"/>
      <c r="L89" s="104"/>
      <c r="M89" s="104"/>
      <c r="N89" s="104"/>
      <c r="O89" s="104"/>
      <c r="P89" s="104"/>
      <c r="Q89" s="104"/>
      <c r="R89" s="104"/>
      <c r="S89" s="104"/>
    </row>
    <row r="90" spans="1:19" hidden="1" x14ac:dyDescent="0.2">
      <c r="A90" s="102"/>
      <c r="B90" s="105"/>
      <c r="C90" s="106"/>
      <c r="D90" s="102"/>
      <c r="E90" s="20"/>
      <c r="F90" s="104"/>
      <c r="G90" s="104"/>
      <c r="H90" s="104"/>
      <c r="I90" s="104"/>
      <c r="J90" s="104"/>
      <c r="K90" s="104"/>
      <c r="L90" s="104"/>
      <c r="M90" s="104"/>
      <c r="N90" s="104"/>
      <c r="O90" s="104"/>
      <c r="P90" s="104"/>
      <c r="Q90" s="104"/>
      <c r="R90" s="104"/>
      <c r="S90" s="104"/>
    </row>
    <row r="91" spans="1:19" hidden="1" x14ac:dyDescent="0.2">
      <c r="A91" s="102"/>
      <c r="B91" s="105"/>
      <c r="C91" s="106"/>
      <c r="D91" s="102"/>
      <c r="E91" s="20"/>
      <c r="F91" s="104"/>
      <c r="G91" s="104"/>
      <c r="H91" s="104"/>
      <c r="I91" s="104"/>
      <c r="J91" s="104"/>
      <c r="K91" s="104"/>
      <c r="L91" s="104"/>
      <c r="M91" s="104"/>
      <c r="N91" s="104"/>
      <c r="O91" s="104"/>
      <c r="P91" s="104"/>
      <c r="Q91" s="104"/>
      <c r="R91" s="104"/>
      <c r="S91" s="104"/>
    </row>
    <row r="92" spans="1:19" hidden="1" x14ac:dyDescent="0.2">
      <c r="A92" s="102"/>
      <c r="B92" s="105"/>
      <c r="C92" s="106"/>
      <c r="D92" s="102"/>
      <c r="E92" s="20"/>
      <c r="F92" s="104"/>
      <c r="G92" s="104"/>
      <c r="H92" s="104"/>
      <c r="I92" s="104"/>
      <c r="J92" s="104"/>
      <c r="K92" s="104"/>
      <c r="L92" s="104"/>
      <c r="M92" s="104"/>
      <c r="N92" s="104"/>
      <c r="O92" s="104"/>
      <c r="P92" s="104"/>
      <c r="Q92" s="104"/>
      <c r="R92" s="104"/>
      <c r="S92" s="104"/>
    </row>
    <row r="93" spans="1:19" hidden="1" x14ac:dyDescent="0.2">
      <c r="A93" s="102"/>
      <c r="B93" s="105"/>
      <c r="C93" s="106"/>
      <c r="D93" s="102"/>
      <c r="E93" s="20"/>
      <c r="F93" s="104"/>
      <c r="G93" s="104"/>
      <c r="H93" s="104"/>
      <c r="I93" s="104"/>
      <c r="J93" s="104"/>
      <c r="K93" s="104"/>
      <c r="L93" s="104"/>
      <c r="M93" s="104"/>
      <c r="N93" s="104"/>
      <c r="O93" s="104"/>
      <c r="P93" s="104"/>
      <c r="Q93" s="104"/>
      <c r="R93" s="104"/>
      <c r="S93" s="104"/>
    </row>
    <row r="94" spans="1:19" hidden="1" x14ac:dyDescent="0.2">
      <c r="A94" s="102"/>
      <c r="B94" s="105"/>
      <c r="C94" s="106"/>
      <c r="D94" s="102"/>
      <c r="E94" s="20"/>
      <c r="F94" s="104"/>
      <c r="G94" s="104"/>
      <c r="H94" s="104"/>
      <c r="I94" s="104"/>
      <c r="J94" s="104"/>
      <c r="K94" s="104"/>
      <c r="L94" s="104"/>
      <c r="M94" s="104"/>
      <c r="N94" s="104"/>
      <c r="O94" s="104"/>
      <c r="P94" s="104"/>
      <c r="Q94" s="104"/>
      <c r="R94" s="104"/>
      <c r="S94" s="104"/>
    </row>
    <row r="95" spans="1:19" hidden="1" x14ac:dyDescent="0.2">
      <c r="A95" s="102"/>
      <c r="B95" s="105"/>
      <c r="C95" s="106"/>
      <c r="D95" s="102"/>
      <c r="E95" s="20"/>
      <c r="F95" s="104"/>
      <c r="G95" s="104"/>
      <c r="H95" s="104"/>
      <c r="I95" s="104"/>
      <c r="J95" s="104"/>
      <c r="K95" s="104"/>
      <c r="L95" s="104"/>
      <c r="M95" s="104"/>
      <c r="N95" s="104"/>
      <c r="O95" s="104"/>
      <c r="P95" s="104"/>
      <c r="Q95" s="104"/>
      <c r="R95" s="104"/>
      <c r="S95" s="104"/>
    </row>
    <row r="96" spans="1:19" hidden="1" x14ac:dyDescent="0.2">
      <c r="A96" s="102"/>
      <c r="B96" s="105"/>
      <c r="C96" s="106"/>
      <c r="D96" s="102"/>
      <c r="E96" s="20"/>
      <c r="F96" s="104"/>
      <c r="G96" s="104"/>
      <c r="H96" s="104"/>
      <c r="I96" s="104"/>
      <c r="J96" s="104"/>
      <c r="K96" s="104"/>
      <c r="L96" s="104"/>
      <c r="M96" s="104"/>
      <c r="N96" s="104"/>
      <c r="O96" s="104"/>
      <c r="P96" s="104"/>
      <c r="Q96" s="104"/>
      <c r="R96" s="104"/>
      <c r="S96" s="104"/>
    </row>
    <row r="97" spans="1:19" hidden="1" x14ac:dyDescent="0.2">
      <c r="A97" s="102"/>
      <c r="B97" s="105"/>
      <c r="C97" s="106"/>
      <c r="D97" s="102"/>
      <c r="E97" s="20"/>
      <c r="F97" s="104"/>
      <c r="G97" s="104"/>
      <c r="H97" s="104"/>
      <c r="I97" s="104"/>
      <c r="J97" s="104"/>
      <c r="K97" s="104"/>
      <c r="L97" s="104"/>
      <c r="M97" s="104"/>
      <c r="N97" s="104"/>
      <c r="O97" s="104"/>
      <c r="P97" s="104"/>
      <c r="Q97" s="104"/>
      <c r="R97" s="104"/>
      <c r="S97" s="104"/>
    </row>
    <row r="98" spans="1:19" hidden="1" x14ac:dyDescent="0.2">
      <c r="A98" s="102"/>
      <c r="B98" s="105"/>
      <c r="C98" s="106"/>
      <c r="D98" s="102"/>
      <c r="E98" s="20"/>
      <c r="F98" s="104"/>
      <c r="G98" s="104"/>
      <c r="H98" s="104"/>
      <c r="I98" s="104"/>
      <c r="J98" s="104"/>
      <c r="K98" s="104"/>
      <c r="L98" s="104"/>
      <c r="M98" s="104"/>
      <c r="N98" s="104"/>
      <c r="O98" s="104"/>
      <c r="P98" s="104"/>
      <c r="Q98" s="104"/>
      <c r="R98" s="104"/>
      <c r="S98" s="104"/>
    </row>
    <row r="99" spans="1:19" hidden="1" x14ac:dyDescent="0.2">
      <c r="A99" s="102"/>
      <c r="B99" s="105"/>
      <c r="C99" s="106"/>
      <c r="D99" s="102"/>
      <c r="E99" s="20"/>
      <c r="F99" s="104"/>
      <c r="G99" s="104"/>
      <c r="H99" s="104"/>
      <c r="I99" s="104"/>
      <c r="J99" s="104"/>
      <c r="K99" s="104"/>
      <c r="L99" s="104"/>
      <c r="M99" s="104"/>
      <c r="N99" s="104"/>
      <c r="O99" s="104"/>
      <c r="P99" s="104"/>
      <c r="Q99" s="104"/>
      <c r="R99" s="104"/>
      <c r="S99" s="104"/>
    </row>
    <row r="100" spans="1:19" hidden="1" x14ac:dyDescent="0.2">
      <c r="A100" s="102"/>
      <c r="B100" s="105"/>
      <c r="C100" s="106"/>
      <c r="D100" s="102"/>
      <c r="E100" s="20"/>
      <c r="F100" s="104"/>
      <c r="G100" s="104"/>
      <c r="H100" s="104"/>
      <c r="I100" s="104"/>
      <c r="J100" s="104"/>
      <c r="K100" s="104"/>
      <c r="L100" s="104"/>
      <c r="M100" s="104"/>
      <c r="N100" s="104"/>
      <c r="O100" s="104"/>
      <c r="P100" s="104"/>
      <c r="Q100" s="104"/>
      <c r="R100" s="104"/>
      <c r="S100" s="104"/>
    </row>
    <row r="101" spans="1:19" hidden="1" x14ac:dyDescent="0.2">
      <c r="A101" s="102"/>
      <c r="B101" s="105"/>
      <c r="C101" s="106"/>
      <c r="D101" s="102"/>
      <c r="E101" s="20"/>
      <c r="F101" s="104"/>
      <c r="G101" s="104"/>
      <c r="H101" s="104"/>
      <c r="I101" s="104"/>
      <c r="J101" s="104"/>
      <c r="K101" s="104"/>
      <c r="L101" s="104"/>
      <c r="M101" s="104"/>
      <c r="N101" s="104"/>
      <c r="O101" s="104"/>
      <c r="P101" s="104"/>
      <c r="Q101" s="104"/>
      <c r="R101" s="104"/>
      <c r="S101" s="104"/>
    </row>
    <row r="102" spans="1:19" hidden="1" x14ac:dyDescent="0.2">
      <c r="A102" s="102"/>
      <c r="B102" s="105"/>
      <c r="C102" s="106"/>
      <c r="D102" s="102"/>
      <c r="E102" s="20"/>
      <c r="F102" s="104"/>
      <c r="G102" s="104"/>
      <c r="H102" s="104"/>
      <c r="I102" s="104"/>
      <c r="J102" s="104"/>
      <c r="K102" s="104"/>
      <c r="L102" s="104"/>
      <c r="M102" s="104"/>
      <c r="N102" s="104"/>
      <c r="O102" s="104"/>
      <c r="P102" s="104"/>
      <c r="Q102" s="104"/>
      <c r="R102" s="104"/>
      <c r="S102" s="104"/>
    </row>
    <row r="103" spans="1:19" hidden="1" x14ac:dyDescent="0.2">
      <c r="A103" s="102"/>
      <c r="B103" s="105"/>
      <c r="C103" s="106"/>
      <c r="D103" s="102"/>
      <c r="E103" s="20"/>
      <c r="F103" s="104"/>
      <c r="G103" s="104"/>
      <c r="H103" s="104"/>
      <c r="I103" s="104"/>
      <c r="J103" s="104"/>
      <c r="K103" s="104"/>
      <c r="L103" s="104"/>
      <c r="M103" s="104"/>
      <c r="N103" s="104"/>
      <c r="O103" s="104"/>
      <c r="P103" s="104"/>
      <c r="Q103" s="104"/>
      <c r="R103" s="104"/>
      <c r="S103" s="104"/>
    </row>
    <row r="104" spans="1:19" hidden="1" x14ac:dyDescent="0.2">
      <c r="A104" s="102"/>
      <c r="B104" s="105"/>
      <c r="C104" s="106"/>
      <c r="D104" s="102"/>
      <c r="E104" s="20"/>
      <c r="F104" s="104"/>
      <c r="G104" s="104"/>
      <c r="H104" s="104"/>
      <c r="I104" s="104"/>
      <c r="J104" s="104"/>
      <c r="K104" s="104"/>
      <c r="L104" s="104"/>
      <c r="M104" s="104"/>
      <c r="N104" s="104"/>
      <c r="O104" s="104"/>
      <c r="P104" s="104"/>
      <c r="Q104" s="104"/>
      <c r="R104" s="104"/>
      <c r="S104" s="104"/>
    </row>
    <row r="105" spans="1:19" hidden="1" x14ac:dyDescent="0.2">
      <c r="A105" s="102"/>
      <c r="B105" s="105"/>
      <c r="C105" s="106"/>
      <c r="D105" s="102"/>
      <c r="E105" s="20"/>
      <c r="F105" s="104"/>
      <c r="G105" s="104"/>
      <c r="H105" s="104"/>
      <c r="I105" s="104"/>
      <c r="J105" s="104"/>
      <c r="K105" s="104"/>
      <c r="L105" s="104"/>
      <c r="M105" s="104"/>
      <c r="N105" s="104"/>
      <c r="O105" s="104"/>
      <c r="P105" s="104"/>
      <c r="Q105" s="104"/>
      <c r="R105" s="104"/>
      <c r="S105" s="104"/>
    </row>
    <row r="106" spans="1:19" hidden="1" x14ac:dyDescent="0.2">
      <c r="A106" s="102"/>
      <c r="B106" s="105"/>
      <c r="C106" s="106"/>
      <c r="D106" s="102"/>
      <c r="E106" s="20"/>
      <c r="F106" s="104"/>
      <c r="G106" s="104"/>
      <c r="H106" s="104"/>
      <c r="I106" s="104"/>
      <c r="J106" s="104"/>
      <c r="K106" s="104"/>
      <c r="L106" s="104"/>
      <c r="M106" s="104"/>
      <c r="N106" s="104"/>
      <c r="O106" s="104"/>
      <c r="P106" s="104"/>
      <c r="Q106" s="104"/>
      <c r="R106" s="104"/>
      <c r="S106" s="104"/>
    </row>
    <row r="107" spans="1:19" hidden="1" x14ac:dyDescent="0.2">
      <c r="A107" s="102"/>
      <c r="B107" s="105"/>
      <c r="C107" s="106"/>
      <c r="D107" s="102"/>
      <c r="E107" s="20"/>
      <c r="F107" s="104"/>
      <c r="G107" s="104"/>
      <c r="H107" s="104"/>
      <c r="I107" s="104"/>
      <c r="J107" s="104"/>
      <c r="K107" s="104"/>
      <c r="L107" s="104"/>
      <c r="M107" s="104"/>
      <c r="N107" s="104"/>
      <c r="O107" s="104"/>
      <c r="P107" s="104"/>
      <c r="Q107" s="104"/>
      <c r="R107" s="104"/>
      <c r="S107" s="104"/>
    </row>
    <row r="108" spans="1:19" hidden="1" x14ac:dyDescent="0.2">
      <c r="A108" s="102"/>
      <c r="B108" s="105"/>
      <c r="C108" s="106"/>
      <c r="D108" s="102"/>
      <c r="E108" s="20"/>
      <c r="F108" s="104"/>
      <c r="G108" s="104"/>
      <c r="H108" s="104"/>
      <c r="I108" s="104"/>
      <c r="J108" s="104"/>
      <c r="K108" s="104"/>
      <c r="L108" s="104"/>
      <c r="M108" s="104"/>
      <c r="N108" s="104"/>
      <c r="O108" s="104"/>
      <c r="P108" s="104"/>
      <c r="Q108" s="104"/>
      <c r="R108" s="104"/>
      <c r="S108" s="104"/>
    </row>
    <row r="109" spans="1:19" hidden="1" x14ac:dyDescent="0.2">
      <c r="A109" s="102"/>
      <c r="B109" s="105"/>
      <c r="C109" s="106"/>
      <c r="D109" s="102"/>
      <c r="E109" s="20"/>
      <c r="F109" s="104"/>
      <c r="G109" s="104"/>
      <c r="H109" s="104"/>
      <c r="I109" s="104"/>
      <c r="J109" s="104"/>
      <c r="K109" s="104"/>
      <c r="L109" s="104"/>
      <c r="M109" s="104"/>
      <c r="N109" s="104"/>
      <c r="O109" s="104"/>
      <c r="P109" s="104"/>
      <c r="Q109" s="104"/>
      <c r="R109" s="104"/>
      <c r="S109" s="104"/>
    </row>
    <row r="110" spans="1:19" hidden="1" x14ac:dyDescent="0.2">
      <c r="A110" s="102"/>
      <c r="B110" s="105"/>
      <c r="C110" s="106"/>
      <c r="D110" s="102"/>
      <c r="E110" s="20"/>
      <c r="F110" s="104"/>
      <c r="G110" s="104"/>
      <c r="H110" s="104"/>
      <c r="I110" s="104"/>
      <c r="J110" s="104"/>
      <c r="K110" s="104"/>
      <c r="L110" s="104"/>
      <c r="M110" s="104"/>
      <c r="N110" s="104"/>
      <c r="O110" s="104"/>
      <c r="P110" s="104"/>
      <c r="Q110" s="104"/>
      <c r="R110" s="104"/>
      <c r="S110" s="104"/>
    </row>
    <row r="111" spans="1:19" hidden="1" x14ac:dyDescent="0.2">
      <c r="A111" s="102"/>
      <c r="B111" s="105"/>
      <c r="C111" s="106"/>
      <c r="D111" s="102"/>
      <c r="E111" s="20"/>
      <c r="F111" s="104"/>
      <c r="G111" s="104"/>
      <c r="H111" s="104"/>
      <c r="I111" s="104"/>
      <c r="J111" s="104"/>
      <c r="K111" s="104"/>
      <c r="L111" s="104"/>
      <c r="M111" s="104"/>
      <c r="N111" s="104"/>
      <c r="O111" s="104"/>
      <c r="P111" s="104"/>
      <c r="Q111" s="104"/>
      <c r="R111" s="104"/>
      <c r="S111" s="104"/>
    </row>
    <row r="112" spans="1:19" hidden="1" x14ac:dyDescent="0.2">
      <c r="A112" s="102"/>
      <c r="B112" s="105"/>
      <c r="C112" s="106"/>
      <c r="D112" s="102"/>
      <c r="E112" s="20"/>
      <c r="F112" s="104"/>
      <c r="G112" s="104"/>
      <c r="H112" s="104"/>
      <c r="I112" s="104"/>
      <c r="J112" s="104"/>
      <c r="K112" s="104"/>
      <c r="L112" s="104"/>
      <c r="M112" s="104"/>
      <c r="N112" s="104"/>
      <c r="O112" s="104"/>
      <c r="P112" s="104"/>
      <c r="Q112" s="104"/>
      <c r="R112" s="104"/>
      <c r="S112" s="104"/>
    </row>
    <row r="113" spans="1:19" hidden="1" x14ac:dyDescent="0.2">
      <c r="A113" s="102"/>
      <c r="B113" s="105"/>
      <c r="C113" s="106"/>
      <c r="D113" s="102"/>
      <c r="E113" s="20"/>
      <c r="F113" s="104"/>
      <c r="G113" s="104"/>
      <c r="H113" s="104"/>
      <c r="I113" s="104"/>
      <c r="J113" s="104"/>
      <c r="K113" s="104"/>
      <c r="L113" s="104"/>
      <c r="M113" s="104"/>
      <c r="N113" s="104"/>
      <c r="O113" s="104"/>
      <c r="P113" s="104"/>
      <c r="Q113" s="104"/>
      <c r="R113" s="104"/>
      <c r="S113" s="104"/>
    </row>
    <row r="114" spans="1:19" hidden="1" x14ac:dyDescent="0.2">
      <c r="A114" s="102"/>
      <c r="B114" s="105"/>
      <c r="C114" s="106"/>
      <c r="D114" s="102"/>
      <c r="E114" s="20"/>
      <c r="F114" s="104"/>
      <c r="G114" s="104"/>
      <c r="H114" s="104"/>
      <c r="I114" s="104"/>
      <c r="J114" s="104"/>
      <c r="K114" s="104"/>
      <c r="L114" s="104"/>
      <c r="M114" s="104"/>
      <c r="N114" s="104"/>
      <c r="O114" s="104"/>
      <c r="P114" s="104"/>
      <c r="Q114" s="104"/>
      <c r="R114" s="104"/>
      <c r="S114" s="104"/>
    </row>
    <row r="115" spans="1:19" hidden="1" x14ac:dyDescent="0.2">
      <c r="A115" s="102"/>
      <c r="B115" s="105"/>
      <c r="C115" s="106"/>
      <c r="D115" s="102"/>
      <c r="E115" s="20"/>
      <c r="F115" s="104"/>
      <c r="G115" s="104"/>
      <c r="H115" s="104"/>
      <c r="I115" s="104"/>
      <c r="J115" s="104"/>
      <c r="K115" s="104"/>
      <c r="L115" s="104"/>
      <c r="M115" s="104"/>
      <c r="N115" s="104"/>
      <c r="O115" s="104"/>
      <c r="P115" s="104"/>
      <c r="Q115" s="104"/>
      <c r="R115" s="104"/>
      <c r="S115" s="104"/>
    </row>
    <row r="116" spans="1:19" hidden="1" x14ac:dyDescent="0.2">
      <c r="A116" s="102"/>
      <c r="B116" s="105"/>
      <c r="C116" s="106"/>
      <c r="D116" s="102"/>
      <c r="E116" s="20"/>
      <c r="F116" s="104"/>
      <c r="G116" s="104"/>
      <c r="H116" s="104"/>
      <c r="I116" s="104"/>
      <c r="J116" s="104"/>
      <c r="K116" s="104"/>
      <c r="L116" s="104"/>
      <c r="M116" s="104"/>
      <c r="N116" s="104"/>
      <c r="O116" s="104"/>
      <c r="P116" s="104"/>
      <c r="Q116" s="104"/>
      <c r="R116" s="104"/>
      <c r="S116" s="104"/>
    </row>
    <row r="117" spans="1:19" hidden="1" x14ac:dyDescent="0.2">
      <c r="A117" s="102"/>
      <c r="B117" s="105"/>
      <c r="C117" s="106"/>
      <c r="D117" s="102"/>
      <c r="E117" s="20"/>
      <c r="F117" s="104"/>
      <c r="G117" s="104"/>
      <c r="H117" s="104"/>
      <c r="I117" s="104"/>
      <c r="J117" s="104"/>
      <c r="K117" s="104"/>
      <c r="L117" s="104"/>
      <c r="M117" s="104"/>
      <c r="N117" s="104"/>
      <c r="O117" s="104"/>
      <c r="P117" s="104"/>
      <c r="Q117" s="104"/>
      <c r="R117" s="104"/>
      <c r="S117" s="104"/>
    </row>
    <row r="118" spans="1:19" hidden="1" x14ac:dyDescent="0.2">
      <c r="A118" s="102"/>
      <c r="B118" s="105"/>
      <c r="C118" s="106"/>
      <c r="D118" s="102"/>
      <c r="E118" s="20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</row>
    <row r="119" spans="1:19" hidden="1" x14ac:dyDescent="0.2">
      <c r="A119" s="102"/>
      <c r="B119" s="105"/>
      <c r="C119" s="106"/>
      <c r="D119" s="102"/>
      <c r="E119" s="102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</row>
    <row r="120" spans="1:19" hidden="1" x14ac:dyDescent="0.2">
      <c r="A120" s="102"/>
      <c r="B120" s="105"/>
      <c r="C120" s="106"/>
      <c r="D120" s="102"/>
      <c r="E120" s="102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</row>
    <row r="121" spans="1:19" hidden="1" x14ac:dyDescent="0.2">
      <c r="A121" s="102"/>
      <c r="B121" s="105"/>
      <c r="C121" s="106"/>
      <c r="D121" s="102"/>
      <c r="E121" s="102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</row>
    <row r="122" spans="1:19" x14ac:dyDescent="0.2">
      <c r="A122" s="102"/>
      <c r="B122" s="102"/>
      <c r="C122" s="106"/>
      <c r="D122" s="102"/>
      <c r="E122" s="102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</row>
    <row r="123" spans="1:19" x14ac:dyDescent="0.2">
      <c r="A123" s="102"/>
      <c r="B123" s="102"/>
      <c r="C123" s="106"/>
      <c r="D123" s="102"/>
      <c r="E123" s="102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</row>
    <row r="124" spans="1:19" x14ac:dyDescent="0.2">
      <c r="A124" s="102"/>
      <c r="B124" s="102"/>
      <c r="C124" s="106"/>
      <c r="D124" s="102"/>
      <c r="E124" s="102"/>
      <c r="F124" s="104"/>
      <c r="G124" s="104"/>
      <c r="H124" s="104"/>
      <c r="I124" s="104"/>
      <c r="J124" s="104"/>
      <c r="K124" s="104"/>
      <c r="L124" s="104"/>
      <c r="M124" s="104"/>
      <c r="N124" s="104"/>
      <c r="O124" s="104"/>
      <c r="P124" s="104"/>
      <c r="Q124" s="104"/>
      <c r="R124" s="104"/>
      <c r="S124" s="104"/>
    </row>
    <row r="125" spans="1:19" x14ac:dyDescent="0.2">
      <c r="A125" s="102"/>
      <c r="B125" s="102"/>
      <c r="C125" s="106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</row>
    <row r="126" spans="1:19" x14ac:dyDescent="0.2">
      <c r="A126" s="102"/>
      <c r="B126" s="102"/>
      <c r="C126" s="106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</row>
    <row r="127" spans="1:19" ht="15" x14ac:dyDescent="0.25">
      <c r="A127" s="102"/>
      <c r="B127" s="102"/>
      <c r="C127" s="107"/>
      <c r="D127" s="107"/>
      <c r="E127" s="109"/>
      <c r="F127" s="241"/>
      <c r="G127" s="241"/>
      <c r="H127" s="241"/>
      <c r="I127" s="241"/>
      <c r="J127" s="241"/>
      <c r="K127" s="241"/>
      <c r="L127" s="241"/>
      <c r="M127" s="241"/>
      <c r="N127" s="241"/>
      <c r="O127" s="241"/>
      <c r="P127" s="241"/>
      <c r="Q127" s="241"/>
      <c r="R127" s="241"/>
      <c r="S127" s="241"/>
    </row>
    <row r="128" spans="1:19" ht="15" x14ac:dyDescent="0.25">
      <c r="A128" s="102"/>
      <c r="B128" s="102"/>
      <c r="C128" s="107"/>
      <c r="D128" s="108"/>
      <c r="E128" s="10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108"/>
      <c r="Q128" s="108"/>
      <c r="R128" s="108"/>
      <c r="S128" s="108"/>
    </row>
    <row r="129" spans="1:19" ht="15" x14ac:dyDescent="0.25">
      <c r="A129" s="102"/>
      <c r="B129" s="102"/>
      <c r="C129" s="10"/>
      <c r="D129" s="242"/>
      <c r="E129" s="242"/>
      <c r="F129" s="10"/>
      <c r="G129" s="10"/>
      <c r="H129" s="10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</row>
    <row r="130" spans="1:19" ht="15" x14ac:dyDescent="0.25">
      <c r="A130" s="102"/>
      <c r="B130" s="102"/>
      <c r="C130" s="10"/>
      <c r="D130" s="10"/>
      <c r="E130" s="10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</row>
    <row r="131" spans="1:19" x14ac:dyDescent="0.2">
      <c r="A131" s="102"/>
      <c r="B131" s="102"/>
      <c r="C131" s="107"/>
      <c r="D131" s="102"/>
      <c r="E131" s="20"/>
      <c r="F131" s="102"/>
      <c r="G131" s="102"/>
      <c r="H131" s="102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</row>
    <row r="132" spans="1:19" x14ac:dyDescent="0.2">
      <c r="A132" s="102"/>
      <c r="B132" s="105"/>
      <c r="C132" s="106"/>
      <c r="D132" s="102"/>
      <c r="E132" s="20"/>
      <c r="F132" s="104"/>
      <c r="G132" s="104"/>
      <c r="H132" s="104"/>
      <c r="I132" s="104"/>
      <c r="J132" s="104"/>
      <c r="K132" s="104"/>
      <c r="L132" s="104"/>
      <c r="M132" s="104"/>
      <c r="N132" s="104"/>
      <c r="O132" s="104"/>
      <c r="P132" s="104"/>
      <c r="Q132" s="104"/>
      <c r="R132" s="104"/>
      <c r="S132" s="104"/>
    </row>
    <row r="133" spans="1:19" x14ac:dyDescent="0.2">
      <c r="A133" s="102"/>
      <c r="B133" s="105"/>
      <c r="C133" s="106"/>
      <c r="D133" s="102"/>
      <c r="E133" s="20"/>
      <c r="F133" s="104"/>
      <c r="G133" s="104"/>
      <c r="H133" s="104"/>
      <c r="I133" s="104"/>
      <c r="J133" s="104"/>
      <c r="K133" s="104"/>
      <c r="L133" s="104"/>
      <c r="M133" s="104"/>
      <c r="N133" s="104"/>
      <c r="O133" s="104"/>
      <c r="P133" s="104"/>
      <c r="Q133" s="104"/>
      <c r="R133" s="104"/>
      <c r="S133" s="104"/>
    </row>
    <row r="134" spans="1:19" x14ac:dyDescent="0.2">
      <c r="A134" s="102"/>
      <c r="B134" s="105"/>
      <c r="C134" s="106"/>
      <c r="D134" s="102"/>
      <c r="E134" s="20"/>
      <c r="F134" s="104"/>
      <c r="G134" s="104"/>
      <c r="H134" s="104"/>
      <c r="I134" s="104"/>
      <c r="J134" s="104"/>
      <c r="K134" s="104"/>
      <c r="L134" s="104"/>
      <c r="M134" s="104"/>
      <c r="N134" s="104"/>
      <c r="O134" s="104"/>
      <c r="P134" s="104"/>
      <c r="Q134" s="104"/>
      <c r="R134" s="104"/>
      <c r="S134" s="104"/>
    </row>
    <row r="135" spans="1:19" x14ac:dyDescent="0.2">
      <c r="A135" s="102"/>
      <c r="B135" s="105"/>
      <c r="C135" s="106"/>
      <c r="D135" s="102"/>
      <c r="E135" s="20"/>
      <c r="F135" s="104"/>
      <c r="G135" s="104"/>
      <c r="H135" s="104"/>
      <c r="I135" s="104"/>
      <c r="J135" s="104"/>
      <c r="K135" s="104"/>
      <c r="L135" s="104"/>
      <c r="M135" s="104"/>
      <c r="N135" s="104"/>
      <c r="O135" s="104"/>
      <c r="P135" s="104"/>
      <c r="Q135" s="104"/>
      <c r="R135" s="104"/>
      <c r="S135" s="104"/>
    </row>
    <row r="136" spans="1:19" x14ac:dyDescent="0.2">
      <c r="A136" s="102"/>
      <c r="B136" s="105"/>
      <c r="C136" s="106"/>
      <c r="D136" s="102"/>
      <c r="E136" s="20"/>
      <c r="F136" s="104"/>
      <c r="G136" s="104"/>
      <c r="H136" s="104"/>
      <c r="I136" s="104"/>
      <c r="J136" s="104"/>
      <c r="K136" s="104"/>
      <c r="L136" s="104"/>
      <c r="M136" s="104"/>
      <c r="N136" s="104"/>
      <c r="O136" s="104"/>
      <c r="P136" s="104"/>
      <c r="Q136" s="104"/>
      <c r="R136" s="104"/>
      <c r="S136" s="104"/>
    </row>
    <row r="137" spans="1:19" x14ac:dyDescent="0.2">
      <c r="A137" s="102"/>
      <c r="B137" s="105"/>
      <c r="C137" s="106"/>
      <c r="D137" s="102"/>
      <c r="E137" s="20"/>
      <c r="F137" s="104"/>
      <c r="G137" s="104"/>
      <c r="H137" s="104"/>
      <c r="I137" s="104"/>
      <c r="J137" s="104"/>
      <c r="K137" s="104"/>
      <c r="L137" s="104"/>
      <c r="M137" s="104"/>
      <c r="N137" s="104"/>
      <c r="O137" s="104"/>
      <c r="P137" s="104"/>
      <c r="Q137" s="104"/>
      <c r="R137" s="104"/>
      <c r="S137" s="104"/>
    </row>
    <row r="138" spans="1:19" x14ac:dyDescent="0.2">
      <c r="A138" s="102"/>
      <c r="B138" s="105"/>
      <c r="C138" s="106"/>
      <c r="D138" s="102"/>
      <c r="E138" s="20"/>
      <c r="F138" s="104"/>
      <c r="G138" s="104"/>
      <c r="H138" s="104"/>
      <c r="I138" s="104"/>
      <c r="J138" s="104"/>
      <c r="K138" s="104"/>
      <c r="L138" s="104"/>
      <c r="M138" s="104"/>
      <c r="N138" s="104"/>
      <c r="O138" s="104"/>
      <c r="P138" s="104"/>
      <c r="Q138" s="104"/>
      <c r="R138" s="104"/>
      <c r="S138" s="104"/>
    </row>
    <row r="139" spans="1:19" x14ac:dyDescent="0.2">
      <c r="A139" s="102"/>
      <c r="B139" s="105"/>
      <c r="C139" s="106"/>
      <c r="D139" s="102"/>
      <c r="E139" s="20"/>
      <c r="F139" s="104"/>
      <c r="G139" s="104"/>
      <c r="H139" s="104"/>
      <c r="I139" s="104"/>
      <c r="J139" s="104"/>
      <c r="K139" s="104"/>
      <c r="L139" s="104"/>
      <c r="M139" s="104"/>
      <c r="N139" s="104"/>
      <c r="O139" s="104"/>
      <c r="P139" s="104"/>
      <c r="Q139" s="104"/>
      <c r="R139" s="104"/>
      <c r="S139" s="104"/>
    </row>
    <row r="140" spans="1:19" x14ac:dyDescent="0.2">
      <c r="A140" s="102"/>
      <c r="B140" s="105"/>
      <c r="C140" s="106"/>
      <c r="D140" s="102"/>
      <c r="E140" s="20"/>
      <c r="F140" s="104"/>
      <c r="G140" s="104"/>
      <c r="H140" s="104"/>
      <c r="I140" s="104"/>
      <c r="J140" s="104"/>
      <c r="K140" s="104"/>
      <c r="L140" s="104"/>
      <c r="M140" s="104"/>
      <c r="N140" s="104"/>
      <c r="O140" s="104"/>
      <c r="P140" s="104"/>
      <c r="Q140" s="104"/>
      <c r="R140" s="104"/>
      <c r="S140" s="104"/>
    </row>
    <row r="141" spans="1:19" x14ac:dyDescent="0.2">
      <c r="A141" s="102"/>
      <c r="B141" s="105"/>
      <c r="C141" s="106"/>
      <c r="D141" s="102"/>
      <c r="E141" s="20"/>
      <c r="F141" s="104"/>
      <c r="G141" s="104"/>
      <c r="H141" s="104"/>
      <c r="I141" s="104"/>
      <c r="J141" s="104"/>
      <c r="K141" s="104"/>
      <c r="L141" s="104"/>
      <c r="M141" s="104"/>
      <c r="N141" s="104"/>
      <c r="O141" s="104"/>
      <c r="P141" s="104"/>
      <c r="Q141" s="104"/>
      <c r="R141" s="104"/>
      <c r="S141" s="104"/>
    </row>
    <row r="142" spans="1:19" x14ac:dyDescent="0.2">
      <c r="A142" s="102"/>
      <c r="B142" s="105"/>
      <c r="C142" s="106"/>
      <c r="D142" s="102"/>
      <c r="E142" s="20"/>
      <c r="F142" s="104"/>
      <c r="G142" s="104"/>
      <c r="H142" s="104"/>
      <c r="I142" s="104"/>
      <c r="J142" s="104"/>
      <c r="K142" s="104"/>
      <c r="L142" s="104"/>
      <c r="M142" s="104"/>
      <c r="N142" s="104"/>
      <c r="O142" s="104"/>
      <c r="P142" s="104"/>
      <c r="Q142" s="104"/>
      <c r="R142" s="104"/>
      <c r="S142" s="104"/>
    </row>
    <row r="143" spans="1:19" x14ac:dyDescent="0.2">
      <c r="A143" s="102"/>
      <c r="B143" s="105"/>
      <c r="C143" s="106"/>
      <c r="D143" s="102"/>
      <c r="E143" s="20"/>
      <c r="F143" s="104"/>
      <c r="G143" s="104"/>
      <c r="H143" s="104"/>
      <c r="I143" s="104"/>
      <c r="J143" s="104"/>
      <c r="K143" s="104"/>
      <c r="L143" s="104"/>
      <c r="M143" s="104"/>
      <c r="N143" s="104"/>
      <c r="O143" s="104"/>
      <c r="P143" s="104"/>
      <c r="Q143" s="104"/>
      <c r="R143" s="104"/>
      <c r="S143" s="104"/>
    </row>
    <row r="144" spans="1:19" x14ac:dyDescent="0.2">
      <c r="A144" s="102"/>
      <c r="B144" s="105"/>
      <c r="C144" s="106"/>
      <c r="D144" s="102"/>
      <c r="E144" s="20"/>
      <c r="F144" s="104"/>
      <c r="G144" s="104"/>
      <c r="H144" s="104"/>
      <c r="I144" s="104"/>
      <c r="J144" s="104"/>
      <c r="K144" s="104"/>
      <c r="L144" s="104"/>
      <c r="M144" s="104"/>
      <c r="N144" s="104"/>
      <c r="O144" s="104"/>
      <c r="P144" s="104"/>
      <c r="Q144" s="104"/>
      <c r="R144" s="104"/>
      <c r="S144" s="104"/>
    </row>
    <row r="145" spans="1:19" x14ac:dyDescent="0.2">
      <c r="A145" s="102"/>
      <c r="B145" s="105"/>
      <c r="C145" s="106"/>
      <c r="D145" s="102"/>
      <c r="E145" s="20"/>
      <c r="F145" s="104"/>
      <c r="G145" s="104"/>
      <c r="H145" s="104"/>
      <c r="I145" s="104"/>
      <c r="J145" s="104"/>
      <c r="K145" s="104"/>
      <c r="L145" s="104"/>
      <c r="M145" s="104"/>
      <c r="N145" s="104"/>
      <c r="O145" s="104"/>
      <c r="P145" s="104"/>
      <c r="Q145" s="104"/>
      <c r="R145" s="104"/>
      <c r="S145" s="104"/>
    </row>
    <row r="146" spans="1:19" x14ac:dyDescent="0.2">
      <c r="A146" s="102"/>
      <c r="B146" s="105"/>
      <c r="C146" s="106"/>
      <c r="D146" s="102"/>
      <c r="E146" s="20"/>
      <c r="F146" s="104"/>
      <c r="G146" s="104"/>
      <c r="H146" s="104"/>
      <c r="I146" s="104"/>
      <c r="J146" s="104"/>
      <c r="K146" s="104"/>
      <c r="L146" s="104"/>
      <c r="M146" s="104"/>
      <c r="N146" s="104"/>
      <c r="O146" s="104"/>
      <c r="P146" s="104"/>
      <c r="Q146" s="104"/>
      <c r="R146" s="104"/>
      <c r="S146" s="104"/>
    </row>
    <row r="147" spans="1:19" x14ac:dyDescent="0.2">
      <c r="A147" s="102"/>
      <c r="B147" s="105"/>
      <c r="C147" s="106"/>
      <c r="D147" s="102"/>
      <c r="E147" s="20"/>
      <c r="F147" s="104"/>
      <c r="G147" s="104"/>
      <c r="H147" s="104"/>
      <c r="I147" s="104"/>
      <c r="J147" s="104"/>
      <c r="K147" s="104"/>
      <c r="L147" s="104"/>
      <c r="M147" s="104"/>
      <c r="N147" s="104"/>
      <c r="O147" s="104"/>
      <c r="P147" s="104"/>
      <c r="Q147" s="104"/>
      <c r="R147" s="104"/>
      <c r="S147" s="104"/>
    </row>
    <row r="148" spans="1:19" x14ac:dyDescent="0.2">
      <c r="A148" s="102"/>
      <c r="B148" s="105"/>
      <c r="C148" s="106"/>
      <c r="D148" s="102"/>
      <c r="E148" s="20"/>
      <c r="F148" s="104"/>
      <c r="G148" s="104"/>
      <c r="H148" s="104"/>
      <c r="I148" s="104"/>
      <c r="J148" s="104"/>
      <c r="K148" s="104"/>
      <c r="L148" s="104"/>
      <c r="M148" s="104"/>
      <c r="N148" s="104"/>
      <c r="O148" s="104"/>
      <c r="P148" s="104"/>
      <c r="Q148" s="104"/>
      <c r="R148" s="104"/>
      <c r="S148" s="104"/>
    </row>
    <row r="149" spans="1:19" x14ac:dyDescent="0.2">
      <c r="A149" s="102"/>
      <c r="B149" s="105"/>
      <c r="C149" s="106"/>
      <c r="D149" s="102"/>
      <c r="E149" s="20"/>
      <c r="F149" s="104"/>
      <c r="G149" s="104"/>
      <c r="H149" s="104"/>
      <c r="I149" s="104"/>
      <c r="J149" s="104"/>
      <c r="K149" s="104"/>
      <c r="L149" s="104"/>
      <c r="M149" s="104"/>
      <c r="N149" s="104"/>
      <c r="O149" s="104"/>
      <c r="P149" s="104"/>
      <c r="Q149" s="104"/>
      <c r="R149" s="104"/>
      <c r="S149" s="104"/>
    </row>
    <row r="150" spans="1:19" x14ac:dyDescent="0.2">
      <c r="A150" s="102"/>
      <c r="B150" s="105"/>
      <c r="C150" s="106"/>
      <c r="D150" s="102"/>
      <c r="E150" s="20"/>
      <c r="F150" s="104"/>
      <c r="G150" s="104"/>
      <c r="H150" s="104"/>
      <c r="I150" s="104"/>
      <c r="J150" s="104"/>
      <c r="K150" s="104"/>
      <c r="L150" s="104"/>
      <c r="M150" s="104"/>
      <c r="N150" s="104"/>
      <c r="O150" s="104"/>
      <c r="P150" s="104"/>
      <c r="Q150" s="104"/>
      <c r="R150" s="104"/>
      <c r="S150" s="104"/>
    </row>
    <row r="151" spans="1:19" x14ac:dyDescent="0.2">
      <c r="A151" s="102"/>
      <c r="B151" s="105"/>
      <c r="C151" s="106"/>
      <c r="D151" s="18"/>
      <c r="E151" s="91"/>
      <c r="J151" s="104"/>
      <c r="K151" s="104"/>
      <c r="L151" s="104"/>
      <c r="M151" s="104"/>
      <c r="N151" s="104"/>
      <c r="O151" s="104"/>
      <c r="P151" s="104"/>
      <c r="Q151" s="104"/>
      <c r="R151" s="104"/>
      <c r="S151" s="104"/>
    </row>
    <row r="152" spans="1:19" x14ac:dyDescent="0.2">
      <c r="A152" s="102"/>
      <c r="B152" s="105"/>
      <c r="C152" s="1"/>
      <c r="D152" s="20" t="s">
        <v>107</v>
      </c>
      <c r="J152" s="104"/>
      <c r="K152" s="104"/>
      <c r="L152" s="104"/>
      <c r="M152" s="104"/>
      <c r="N152" s="104"/>
      <c r="O152" s="104"/>
      <c r="P152" s="104"/>
      <c r="Q152" s="104"/>
      <c r="R152" s="104"/>
      <c r="S152" s="104"/>
    </row>
    <row r="153" spans="1:19" ht="16.5" x14ac:dyDescent="0.2">
      <c r="A153" s="102"/>
      <c r="B153" s="105"/>
      <c r="D153" s="79">
        <v>1</v>
      </c>
      <c r="E153" s="21" t="str">
        <f>"The Value Line Investment Survey Investment Analyzer Software, downloaded on "&amp;TEXT('2017'!$A$1,"mmmm d, yyyy.")</f>
        <v>The Value Line Investment Survey Investment Analyzer Software, downloaded on June 21, 2018.</v>
      </c>
    </row>
    <row r="154" spans="1:19" ht="16.5" x14ac:dyDescent="0.2">
      <c r="A154" s="31"/>
      <c r="B154" s="31"/>
      <c r="D154" s="79">
        <v>2</v>
      </c>
      <c r="E154" s="21" t="str">
        <f>"The Value Line Investment Survey, "&amp;'2018 Data (WP)'!$D$3</f>
        <v>The Value Line Investment Survey, October 12, 2018.</v>
      </c>
    </row>
    <row r="155" spans="1:19" ht="16.5" x14ac:dyDescent="0.2">
      <c r="A155" s="31"/>
      <c r="B155" s="31"/>
      <c r="D155" s="79">
        <v>3</v>
      </c>
      <c r="E155" s="22" t="s">
        <v>416</v>
      </c>
    </row>
    <row r="156" spans="1:19" ht="16.5" x14ac:dyDescent="0.2">
      <c r="A156" s="31"/>
      <c r="B156" s="31"/>
      <c r="D156" s="79">
        <v>4</v>
      </c>
      <c r="E156" t="str">
        <f>"www.moodys.com, Bond Yields and Key Indicators, through "&amp;'Annual Yields (WP)'!$E$1&amp;"."</f>
        <v>www.moodys.com, Bond Yields and Key Indicators, through December 14, 2018.</v>
      </c>
    </row>
    <row r="157" spans="1:19" x14ac:dyDescent="0.2">
      <c r="A157" s="31"/>
      <c r="B157" s="31"/>
      <c r="D157" s="20" t="s">
        <v>329</v>
      </c>
    </row>
    <row r="158" spans="1:19" ht="16.5" x14ac:dyDescent="0.2">
      <c r="A158" s="31"/>
      <c r="B158" s="31"/>
      <c r="D158" s="79" t="s">
        <v>355</v>
      </c>
      <c r="E158" s="21" t="str">
        <f>"Based on the average of the high and low price for 2018 and the projected 2018 Dividends Declared per share, "</f>
        <v xml:space="preserve">Based on the average of the high and low price for 2018 and the projected 2018 Dividends Declared per share, </v>
      </c>
    </row>
    <row r="159" spans="1:19" x14ac:dyDescent="0.2">
      <c r="A159" s="31"/>
      <c r="B159" s="31"/>
      <c r="E159" t="str">
        <f>"published in The Value Line Investment Survey, "&amp;'2018 Data (WP)'!$D$3</f>
        <v>published in The Value Line Investment Survey, October 12, 2018.</v>
      </c>
    </row>
    <row r="160" spans="1:19" ht="16.5" x14ac:dyDescent="0.2">
      <c r="D160" s="79" t="s">
        <v>356</v>
      </c>
      <c r="E160" t="s">
        <v>495</v>
      </c>
    </row>
    <row r="161" spans="4:5" ht="16.5" x14ac:dyDescent="0.2">
      <c r="D161" s="79" t="s">
        <v>357</v>
      </c>
      <c r="E161" t="s">
        <v>498</v>
      </c>
    </row>
    <row r="162" spans="4:5" ht="16.5" x14ac:dyDescent="0.2">
      <c r="D162" s="79" t="s">
        <v>496</v>
      </c>
      <c r="E162" t="s">
        <v>513</v>
      </c>
    </row>
    <row r="163" spans="4:5" ht="16.5" x14ac:dyDescent="0.2">
      <c r="D163" s="79" t="s">
        <v>497</v>
      </c>
      <c r="E163" t="s">
        <v>507</v>
      </c>
    </row>
    <row r="164" spans="4:5" ht="16.5" x14ac:dyDescent="0.2">
      <c r="D164" s="79" t="s">
        <v>503</v>
      </c>
      <c r="E164" t="s">
        <v>505</v>
      </c>
    </row>
    <row r="165" spans="4:5" ht="16.5" x14ac:dyDescent="0.2">
      <c r="D165" s="79" t="s">
        <v>504</v>
      </c>
      <c r="E165" t="s">
        <v>506</v>
      </c>
    </row>
  </sheetData>
  <mergeCells count="10">
    <mergeCell ref="D72:E72"/>
    <mergeCell ref="D76:E76"/>
    <mergeCell ref="F127:S127"/>
    <mergeCell ref="D129:E129"/>
    <mergeCell ref="C1:S1"/>
    <mergeCell ref="C4:S4"/>
    <mergeCell ref="C5:S5"/>
    <mergeCell ref="F8:S8"/>
    <mergeCell ref="D10:E10"/>
    <mergeCell ref="D68:E68"/>
  </mergeCells>
  <pageMargins left="0.7" right="0.7" top="0.75" bottom="0.75" header="0.3" footer="0.3"/>
  <pageSetup scale="4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pageSetUpPr fitToPage="1"/>
  </sheetPr>
  <dimension ref="A1:V70"/>
  <sheetViews>
    <sheetView zoomScale="70" zoomScaleNormal="70" workbookViewId="0">
      <selection activeCell="O78" sqref="O78"/>
    </sheetView>
  </sheetViews>
  <sheetFormatPr defaultRowHeight="14.25" x14ac:dyDescent="0.2"/>
  <cols>
    <col min="1" max="2" width="8" customWidth="1"/>
    <col min="3" max="3" width="5.875" bestFit="1" customWidth="1"/>
    <col min="4" max="4" width="1.75" customWidth="1"/>
    <col min="5" max="5" width="34.625" customWidth="1"/>
    <col min="6" max="19" width="9" customWidth="1"/>
    <col min="20" max="22" width="8.75" customWidth="1"/>
  </cols>
  <sheetData>
    <row r="1" spans="1:22" ht="27.75" x14ac:dyDescent="0.4">
      <c r="C1" s="236" t="str">
        <f>WaterU</f>
        <v>Indiana-American Water Company, Inc.</v>
      </c>
      <c r="D1" s="236"/>
      <c r="E1" s="236"/>
      <c r="F1" s="236"/>
      <c r="G1" s="236"/>
      <c r="H1" s="236"/>
      <c r="I1" s="236"/>
      <c r="J1" s="236"/>
      <c r="K1" s="236"/>
      <c r="L1" s="236"/>
      <c r="M1" s="236"/>
      <c r="N1" s="236"/>
      <c r="O1" s="236"/>
      <c r="P1" s="236"/>
      <c r="Q1" s="236"/>
      <c r="R1" s="236"/>
      <c r="S1" s="138"/>
      <c r="T1" s="138"/>
      <c r="U1" s="138"/>
      <c r="V1" s="138"/>
    </row>
    <row r="2" spans="1:22" x14ac:dyDescent="0.2">
      <c r="C2" s="4"/>
      <c r="D2" s="5"/>
      <c r="E2" s="6"/>
      <c r="F2" s="6"/>
      <c r="G2" s="6"/>
      <c r="H2" s="6"/>
      <c r="I2" s="6"/>
      <c r="J2" s="6"/>
      <c r="K2" s="6"/>
      <c r="L2" s="6"/>
      <c r="M2" s="6"/>
      <c r="N2" s="7"/>
      <c r="O2" s="7"/>
      <c r="P2" s="7"/>
      <c r="Q2" s="7"/>
      <c r="R2" s="7"/>
      <c r="S2" s="7"/>
      <c r="T2" s="7"/>
      <c r="U2" s="7"/>
    </row>
    <row r="3" spans="1:22" x14ac:dyDescent="0.2">
      <c r="C3" s="4"/>
      <c r="D3" s="5"/>
      <c r="E3" s="6"/>
      <c r="F3" s="6"/>
      <c r="G3" s="6"/>
      <c r="H3" s="6"/>
      <c r="I3" s="6"/>
      <c r="J3" s="6"/>
      <c r="K3" s="6"/>
      <c r="L3" s="6"/>
      <c r="M3" s="6"/>
      <c r="N3" s="7"/>
      <c r="O3" s="7"/>
      <c r="P3" s="7"/>
      <c r="Q3" s="7"/>
      <c r="R3" s="7"/>
      <c r="S3" s="7"/>
      <c r="T3" s="7"/>
      <c r="U3" s="7"/>
    </row>
    <row r="4" spans="1:22" ht="20.25" x14ac:dyDescent="0.3">
      <c r="C4" s="237" t="s">
        <v>363</v>
      </c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139"/>
      <c r="T4" s="139"/>
      <c r="U4" s="139"/>
      <c r="V4" s="139"/>
    </row>
    <row r="5" spans="1:22" ht="18" x14ac:dyDescent="0.25">
      <c r="C5" s="238" t="s">
        <v>274</v>
      </c>
      <c r="D5" s="238"/>
      <c r="E5" s="238"/>
      <c r="F5" s="238"/>
      <c r="G5" s="238"/>
      <c r="H5" s="238"/>
      <c r="I5" s="238"/>
      <c r="J5" s="238"/>
      <c r="K5" s="238"/>
      <c r="L5" s="238"/>
      <c r="M5" s="238"/>
      <c r="N5" s="238"/>
      <c r="O5" s="238"/>
      <c r="P5" s="238"/>
      <c r="Q5" s="238"/>
      <c r="R5" s="238"/>
      <c r="S5" s="140"/>
      <c r="T5" s="140"/>
      <c r="U5" s="140"/>
      <c r="V5" s="140"/>
    </row>
    <row r="6" spans="1:22" x14ac:dyDescent="0.2">
      <c r="C6" s="6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</row>
    <row r="7" spans="1:22" x14ac:dyDescent="0.2">
      <c r="C7" s="6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</row>
    <row r="8" spans="1:22" ht="17.25" x14ac:dyDescent="0.25">
      <c r="C8" s="6"/>
      <c r="D8" s="7"/>
      <c r="E8" s="7"/>
      <c r="F8" s="239" t="s">
        <v>381</v>
      </c>
      <c r="G8" s="239"/>
      <c r="H8" s="239"/>
      <c r="I8" s="239"/>
      <c r="J8" s="239"/>
      <c r="K8" s="239"/>
      <c r="L8" s="239"/>
      <c r="M8" s="239"/>
      <c r="N8" s="239"/>
      <c r="O8" s="239"/>
      <c r="P8" s="239"/>
      <c r="Q8" s="239"/>
      <c r="R8" s="239"/>
      <c r="S8" s="239"/>
      <c r="T8" s="218"/>
      <c r="U8" s="218"/>
      <c r="V8" s="141"/>
    </row>
    <row r="9" spans="1:22" ht="15" x14ac:dyDescent="0.25">
      <c r="A9" s="42" t="s">
        <v>99</v>
      </c>
      <c r="B9" s="42" t="s">
        <v>241</v>
      </c>
      <c r="C9" s="6"/>
      <c r="D9" s="7"/>
      <c r="E9" s="7"/>
      <c r="F9" s="8" t="s">
        <v>429</v>
      </c>
      <c r="G9" s="116">
        <v>2017</v>
      </c>
      <c r="H9" s="116"/>
      <c r="I9" s="8"/>
      <c r="J9" s="8"/>
      <c r="K9" s="8"/>
      <c r="L9" s="8"/>
      <c r="M9" s="8"/>
      <c r="N9" s="7"/>
      <c r="O9" s="7"/>
      <c r="P9" s="7"/>
      <c r="Q9" s="7"/>
      <c r="R9" s="7"/>
      <c r="S9" s="7"/>
      <c r="T9" s="210"/>
      <c r="U9" s="210"/>
    </row>
    <row r="10" spans="1:22" ht="17.25" x14ac:dyDescent="0.25">
      <c r="A10" s="42" t="s">
        <v>100</v>
      </c>
      <c r="B10" s="42" t="s">
        <v>242</v>
      </c>
      <c r="C10" s="9" t="s">
        <v>96</v>
      </c>
      <c r="D10" s="234" t="s">
        <v>97</v>
      </c>
      <c r="E10" s="234"/>
      <c r="F10" s="10" t="s">
        <v>98</v>
      </c>
      <c r="G10" s="41" t="s">
        <v>422</v>
      </c>
      <c r="H10" s="41">
        <v>2017</v>
      </c>
      <c r="I10" s="41">
        <v>2016</v>
      </c>
      <c r="J10" s="41">
        <v>2015</v>
      </c>
      <c r="K10" s="41">
        <v>2014</v>
      </c>
      <c r="L10" s="41">
        <v>2013</v>
      </c>
      <c r="M10" s="41">
        <v>2012</v>
      </c>
      <c r="N10" s="41">
        <v>2011</v>
      </c>
      <c r="O10" s="41">
        <v>2010</v>
      </c>
      <c r="P10" s="41">
        <v>2009</v>
      </c>
      <c r="Q10" s="41">
        <v>2008</v>
      </c>
      <c r="R10" s="41">
        <v>2007</v>
      </c>
      <c r="S10" s="41">
        <v>2006</v>
      </c>
      <c r="T10" s="41"/>
      <c r="U10" s="41"/>
      <c r="V10" s="41"/>
    </row>
    <row r="11" spans="1:22" ht="15" x14ac:dyDescent="0.25">
      <c r="A11" s="42"/>
      <c r="B11" s="42"/>
      <c r="C11" s="9"/>
      <c r="D11" s="137"/>
      <c r="E11" s="137"/>
      <c r="F11" s="12">
        <v>-1</v>
      </c>
      <c r="G11" s="12">
        <f t="shared" ref="G11:S11" si="0">+F11-1</f>
        <v>-2</v>
      </c>
      <c r="H11" s="12">
        <f t="shared" si="0"/>
        <v>-3</v>
      </c>
      <c r="I11" s="12">
        <f t="shared" si="0"/>
        <v>-4</v>
      </c>
      <c r="J11" s="12">
        <f t="shared" si="0"/>
        <v>-5</v>
      </c>
      <c r="K11" s="12">
        <f t="shared" si="0"/>
        <v>-6</v>
      </c>
      <c r="L11" s="12">
        <f t="shared" si="0"/>
        <v>-7</v>
      </c>
      <c r="M11" s="12">
        <f t="shared" si="0"/>
        <v>-8</v>
      </c>
      <c r="N11" s="12">
        <f t="shared" si="0"/>
        <v>-9</v>
      </c>
      <c r="O11" s="12">
        <f t="shared" si="0"/>
        <v>-10</v>
      </c>
      <c r="P11" s="12">
        <f t="shared" si="0"/>
        <v>-11</v>
      </c>
      <c r="Q11" s="12">
        <f t="shared" si="0"/>
        <v>-12</v>
      </c>
      <c r="R11" s="12">
        <f t="shared" si="0"/>
        <v>-13</v>
      </c>
      <c r="S11" s="12">
        <f t="shared" si="0"/>
        <v>-14</v>
      </c>
      <c r="T11" s="12"/>
      <c r="U11" s="12"/>
      <c r="V11" s="12"/>
    </row>
    <row r="12" spans="1:22" ht="15" x14ac:dyDescent="0.25">
      <c r="A12" s="43"/>
      <c r="B12" s="44"/>
      <c r="C12" s="9"/>
      <c r="D12" s="14" t="s">
        <v>101</v>
      </c>
      <c r="E12" s="11"/>
      <c r="F12" s="36"/>
      <c r="G12" s="36"/>
      <c r="H12" s="36"/>
      <c r="I12" s="134">
        <f t="shared" ref="I12:S12" ca="1" si="1">MATCH(I10,OFFSET(Dividends,-2,0,1,),0)</f>
        <v>2</v>
      </c>
      <c r="J12" s="134">
        <f t="shared" ca="1" si="1"/>
        <v>3</v>
      </c>
      <c r="K12" s="134">
        <f t="shared" ca="1" si="1"/>
        <v>4</v>
      </c>
      <c r="L12" s="134">
        <f t="shared" ca="1" si="1"/>
        <v>5</v>
      </c>
      <c r="M12" s="134">
        <f t="shared" ca="1" si="1"/>
        <v>6</v>
      </c>
      <c r="N12" s="134">
        <f t="shared" ca="1" si="1"/>
        <v>7</v>
      </c>
      <c r="O12" s="134">
        <f t="shared" ca="1" si="1"/>
        <v>8</v>
      </c>
      <c r="P12" s="134">
        <f t="shared" ca="1" si="1"/>
        <v>9</v>
      </c>
      <c r="Q12" s="134">
        <f t="shared" ca="1" si="1"/>
        <v>10</v>
      </c>
      <c r="R12" s="134">
        <f t="shared" ca="1" si="1"/>
        <v>11</v>
      </c>
      <c r="S12" s="134">
        <f t="shared" ca="1" si="1"/>
        <v>12</v>
      </c>
      <c r="T12" s="16"/>
      <c r="U12" s="16"/>
      <c r="V12" s="16"/>
    </row>
    <row r="13" spans="1:22" x14ac:dyDescent="0.2">
      <c r="A13" s="45" t="s">
        <v>165</v>
      </c>
      <c r="B13" s="117">
        <f t="shared" ref="B13:B57" ca="1" si="2">IFERROR(MATCH(A13,OFFSET(Dividends,0,0,,1),0),"")</f>
        <v>6</v>
      </c>
      <c r="C13" s="1">
        <f ca="1">IF(ISERROR(D13),"",IF(D13="","",MAX($C$12:C12)+1))</f>
        <v>1</v>
      </c>
      <c r="D13" t="str">
        <f t="shared" ref="D13:D57" ca="1" si="3">VLOOKUP(A13,LUCurYr,2,FALSE)</f>
        <v>Amer. States Water</v>
      </c>
      <c r="E13" s="15"/>
      <c r="F13" s="133">
        <f t="shared" ref="F13:F57" ca="1" si="4">IFERROR(AVERAGE(G13:S13),"N/A")</f>
        <v>0.69938461538461527</v>
      </c>
      <c r="G13" s="133">
        <f t="shared" ref="G13:G57" si="5">IFERROR(IF(VLOOKUP(A13,LUCurYr,9,FALSE)=0,"",VLOOKUP(A13,LUCurYr,9,FALSE)),"N/A")</f>
        <v>1.08</v>
      </c>
      <c r="H13" s="133">
        <f ca="1">IFERROR(IF(VLOOKUP($A13,LASTYR,'2017'!$I$3,FALSE)=0,"N/A",VLOOKUP($A13,LASTYR,'2017'!$I$3,FALSE)),"N/A")</f>
        <v>0.99</v>
      </c>
      <c r="I13" s="133">
        <f t="shared" ref="I13:S28" ca="1" si="6">IFERROR(IF(INDEX(Dividends,$B13,I$12)=0,"N/A",INDEX(Dividends,$B13,I$12)),"N/A")</f>
        <v>0.91400000000000003</v>
      </c>
      <c r="J13" s="133">
        <f t="shared" ca="1" si="6"/>
        <v>0.874</v>
      </c>
      <c r="K13" s="133">
        <f t="shared" ca="1" si="6"/>
        <v>0.83099999999999996</v>
      </c>
      <c r="L13" s="133">
        <f t="shared" ca="1" si="6"/>
        <v>0.76</v>
      </c>
      <c r="M13" s="133">
        <f t="shared" ca="1" si="6"/>
        <v>0.63500000000000001</v>
      </c>
      <c r="N13" s="133">
        <f t="shared" ca="1" si="6"/>
        <v>0.55000000000000004</v>
      </c>
      <c r="O13" s="133">
        <f t="shared" ca="1" si="6"/>
        <v>0.52</v>
      </c>
      <c r="P13" s="133">
        <f t="shared" ca="1" si="6"/>
        <v>0.505</v>
      </c>
      <c r="Q13" s="133">
        <f t="shared" ca="1" si="6"/>
        <v>0.5</v>
      </c>
      <c r="R13" s="133">
        <f t="shared" ca="1" si="6"/>
        <v>0.47799999999999998</v>
      </c>
      <c r="S13" s="133">
        <f t="shared" ca="1" si="6"/>
        <v>0.45500000000000002</v>
      </c>
      <c r="T13" s="80"/>
      <c r="U13" s="80"/>
      <c r="V13" s="63"/>
    </row>
    <row r="14" spans="1:22" x14ac:dyDescent="0.2">
      <c r="A14" s="45" t="s">
        <v>167</v>
      </c>
      <c r="B14" s="117">
        <f t="shared" ca="1" si="2"/>
        <v>7</v>
      </c>
      <c r="C14" s="1">
        <f ca="1">IF(ISERROR(D14),"",IF(D14="","",MAX($C$12:C13)+1))</f>
        <v>2</v>
      </c>
      <c r="D14" t="str">
        <f t="shared" ca="1" si="3"/>
        <v>Amer. Water Works</v>
      </c>
      <c r="E14" s="15"/>
      <c r="F14" s="133">
        <f t="shared" ca="1" si="4"/>
        <v>1.1309090909090911</v>
      </c>
      <c r="G14" s="133">
        <f t="shared" si="5"/>
        <v>1.78</v>
      </c>
      <c r="H14" s="133">
        <f ca="1">IFERROR(IF(VLOOKUP($A14,LASTYR,'2017'!$I$3,FALSE)=0,"N/A",VLOOKUP($A14,LASTYR,'2017'!$I$3,FALSE)),"N/A")</f>
        <v>1.62</v>
      </c>
      <c r="I14" s="133">
        <f t="shared" ca="1" si="6"/>
        <v>1.47</v>
      </c>
      <c r="J14" s="133">
        <f t="shared" ca="1" si="6"/>
        <v>1.33</v>
      </c>
      <c r="K14" s="133">
        <f t="shared" ca="1" si="6"/>
        <v>1.21</v>
      </c>
      <c r="L14" s="133">
        <f t="shared" ca="1" si="6"/>
        <v>0.84</v>
      </c>
      <c r="M14" s="133">
        <f t="shared" ca="1" si="6"/>
        <v>1.21</v>
      </c>
      <c r="N14" s="133">
        <f t="shared" ca="1" si="6"/>
        <v>0.9</v>
      </c>
      <c r="O14" s="133">
        <f t="shared" ca="1" si="6"/>
        <v>0.86</v>
      </c>
      <c r="P14" s="133">
        <f t="shared" ca="1" si="6"/>
        <v>0.82</v>
      </c>
      <c r="Q14" s="133">
        <f t="shared" ca="1" si="6"/>
        <v>0.4</v>
      </c>
      <c r="R14" s="133" t="str">
        <f t="shared" ca="1" si="6"/>
        <v>N/A</v>
      </c>
      <c r="S14" s="133" t="str">
        <f t="shared" ca="1" si="6"/>
        <v>N/A</v>
      </c>
      <c r="T14" s="80"/>
      <c r="U14" s="80"/>
      <c r="V14" s="63"/>
    </row>
    <row r="15" spans="1:22" x14ac:dyDescent="0.2">
      <c r="A15" s="45" t="s">
        <v>171</v>
      </c>
      <c r="B15" s="117">
        <f t="shared" ca="1" si="2"/>
        <v>10</v>
      </c>
      <c r="C15" s="1">
        <f ca="1">IF(ISERROR(D15),"",IF(D15="","",MAX($C$12:C14)+1))</f>
        <v>3</v>
      </c>
      <c r="D15" t="str">
        <f t="shared" ca="1" si="3"/>
        <v>Aqua America</v>
      </c>
      <c r="E15" s="15"/>
      <c r="F15" s="133">
        <f t="shared" ca="1" si="4"/>
        <v>0.56738461538461538</v>
      </c>
      <c r="G15" s="133">
        <f t="shared" si="5"/>
        <v>0.85</v>
      </c>
      <c r="H15" s="133">
        <f ca="1">IFERROR(IF(VLOOKUP($A15,LASTYR,'2017'!$I$3,FALSE)=0,"N/A",VLOOKUP($A15,LASTYR,'2017'!$I$3,FALSE)),"N/A")</f>
        <v>0.79</v>
      </c>
      <c r="I15" s="133">
        <f t="shared" ca="1" si="6"/>
        <v>0.74</v>
      </c>
      <c r="J15" s="133">
        <f t="shared" ca="1" si="6"/>
        <v>0.69</v>
      </c>
      <c r="K15" s="133">
        <f t="shared" ca="1" si="6"/>
        <v>0.63</v>
      </c>
      <c r="L15" s="133">
        <f t="shared" ca="1" si="6"/>
        <v>0.57999999999999996</v>
      </c>
      <c r="M15" s="133">
        <f t="shared" ca="1" si="6"/>
        <v>0.53600000000000003</v>
      </c>
      <c r="N15" s="133">
        <f t="shared" ca="1" si="6"/>
        <v>0.504</v>
      </c>
      <c r="O15" s="133">
        <f t="shared" ca="1" si="6"/>
        <v>0.47199999999999998</v>
      </c>
      <c r="P15" s="133">
        <f t="shared" ca="1" si="6"/>
        <v>0.44</v>
      </c>
      <c r="Q15" s="133">
        <f t="shared" ca="1" si="6"/>
        <v>0.40799999999999997</v>
      </c>
      <c r="R15" s="133">
        <f t="shared" ca="1" si="6"/>
        <v>0.38400000000000001</v>
      </c>
      <c r="S15" s="133">
        <f t="shared" ca="1" si="6"/>
        <v>0.35199999999999998</v>
      </c>
      <c r="T15" s="80"/>
      <c r="U15" s="80"/>
      <c r="V15" s="63"/>
    </row>
    <row r="16" spans="1:22" x14ac:dyDescent="0.2">
      <c r="A16" s="45" t="s">
        <v>177</v>
      </c>
      <c r="B16" s="117">
        <f t="shared" ca="1" si="2"/>
        <v>16</v>
      </c>
      <c r="C16" s="1">
        <f ca="1">IF(ISERROR(D16),"",IF(D16="","",MAX($C$12:C15)+1))</f>
        <v>4</v>
      </c>
      <c r="D16" t="str">
        <f t="shared" ca="1" si="3"/>
        <v>California Water</v>
      </c>
      <c r="E16" s="15"/>
      <c r="F16" s="133">
        <f t="shared" ca="1" si="4"/>
        <v>0.63769230769230767</v>
      </c>
      <c r="G16" s="133">
        <f t="shared" si="5"/>
        <v>0.75</v>
      </c>
      <c r="H16" s="133">
        <f ca="1">IFERROR(IF(VLOOKUP($A16,LASTYR,'2017'!$I$3,FALSE)=0,"N/A",VLOOKUP($A16,LASTYR,'2017'!$I$3,FALSE)),"N/A")</f>
        <v>0.72</v>
      </c>
      <c r="I16" s="133">
        <f t="shared" ca="1" si="6"/>
        <v>0.69</v>
      </c>
      <c r="J16" s="133">
        <f t="shared" ca="1" si="6"/>
        <v>0.67</v>
      </c>
      <c r="K16" s="133">
        <f t="shared" ca="1" si="6"/>
        <v>0.65</v>
      </c>
      <c r="L16" s="133">
        <f t="shared" ca="1" si="6"/>
        <v>0.64</v>
      </c>
      <c r="M16" s="133">
        <f t="shared" ca="1" si="6"/>
        <v>0.63</v>
      </c>
      <c r="N16" s="133">
        <f t="shared" ca="1" si="6"/>
        <v>0.61499999999999999</v>
      </c>
      <c r="O16" s="133">
        <f t="shared" ca="1" si="6"/>
        <v>0.59499999999999997</v>
      </c>
      <c r="P16" s="133">
        <f t="shared" ca="1" si="6"/>
        <v>0.59</v>
      </c>
      <c r="Q16" s="133">
        <f t="shared" ca="1" si="6"/>
        <v>0.58499999999999996</v>
      </c>
      <c r="R16" s="133">
        <f t="shared" ca="1" si="6"/>
        <v>0.57999999999999996</v>
      </c>
      <c r="S16" s="133">
        <f t="shared" ca="1" si="6"/>
        <v>0.57499999999999996</v>
      </c>
      <c r="T16" s="80"/>
      <c r="U16" s="80"/>
      <c r="V16" s="63"/>
    </row>
    <row r="17" spans="1:22" x14ac:dyDescent="0.2">
      <c r="A17" s="45" t="s">
        <v>180</v>
      </c>
      <c r="B17" s="117">
        <f t="shared" ca="1" si="2"/>
        <v>20</v>
      </c>
      <c r="C17" s="1">
        <f ca="1">IF(ISERROR(D17),"",IF(D17="","",MAX($C$12:C16)+1))</f>
        <v>5</v>
      </c>
      <c r="D17" t="str">
        <f t="shared" ca="1" si="3"/>
        <v>Conn. Water Services</v>
      </c>
      <c r="E17" s="15"/>
      <c r="F17" s="133">
        <f t="shared" ca="1" si="4"/>
        <v>0.99269230769230776</v>
      </c>
      <c r="G17" s="133">
        <f t="shared" si="5"/>
        <v>1.24</v>
      </c>
      <c r="H17" s="133">
        <f ca="1">IFERROR(IF(VLOOKUP($A17,LASTYR,'2017'!$I$3,FALSE)=0,"N/A",VLOOKUP($A17,LASTYR,'2017'!$I$3,FALSE)),"N/A")</f>
        <v>1.18</v>
      </c>
      <c r="I17" s="133">
        <f t="shared" ca="1" si="6"/>
        <v>1.1200000000000001</v>
      </c>
      <c r="J17" s="133">
        <f t="shared" ca="1" si="6"/>
        <v>1.05</v>
      </c>
      <c r="K17" s="133">
        <f t="shared" ca="1" si="6"/>
        <v>1.01</v>
      </c>
      <c r="L17" s="133">
        <f t="shared" ca="1" si="6"/>
        <v>0.98</v>
      </c>
      <c r="M17" s="133">
        <f t="shared" ca="1" si="6"/>
        <v>0.96</v>
      </c>
      <c r="N17" s="133">
        <f t="shared" ca="1" si="6"/>
        <v>0.94</v>
      </c>
      <c r="O17" s="133">
        <f t="shared" ca="1" si="6"/>
        <v>0.92</v>
      </c>
      <c r="P17" s="133">
        <f t="shared" ca="1" si="6"/>
        <v>0.9</v>
      </c>
      <c r="Q17" s="133">
        <f t="shared" ca="1" si="6"/>
        <v>0.88</v>
      </c>
      <c r="R17" s="133">
        <f t="shared" ca="1" si="6"/>
        <v>0.87</v>
      </c>
      <c r="S17" s="133">
        <f t="shared" ca="1" si="6"/>
        <v>0.85499999999999998</v>
      </c>
      <c r="T17" s="80"/>
      <c r="U17" s="80"/>
      <c r="V17" s="63"/>
    </row>
    <row r="18" spans="1:22" x14ac:dyDescent="0.2">
      <c r="A18" s="45" t="s">
        <v>182</v>
      </c>
      <c r="B18" s="117">
        <f t="shared" ca="1" si="2"/>
        <v>22</v>
      </c>
      <c r="C18" s="1">
        <f ca="1">IF(ISERROR(D18),"",IF(D18="","",MAX($C$12:C17)+1))</f>
        <v>6</v>
      </c>
      <c r="D18" t="str">
        <f t="shared" ca="1" si="3"/>
        <v>Consolidated Water</v>
      </c>
      <c r="E18" s="15"/>
      <c r="F18" s="133">
        <f t="shared" ca="1" si="4"/>
        <v>0.29230769230769227</v>
      </c>
      <c r="G18" s="133">
        <f t="shared" si="5"/>
        <v>0.35</v>
      </c>
      <c r="H18" s="133">
        <f ca="1">IFERROR(IF(VLOOKUP($A18,LASTYR,'2017'!$I$3,FALSE)=0,"N/A",VLOOKUP($A18,LASTYR,'2017'!$I$3,FALSE)),"N/A")</f>
        <v>0.31</v>
      </c>
      <c r="I18" s="133">
        <f t="shared" ca="1" si="6"/>
        <v>0.3</v>
      </c>
      <c r="J18" s="133">
        <f t="shared" ca="1" si="6"/>
        <v>0.3</v>
      </c>
      <c r="K18" s="133">
        <f t="shared" ca="1" si="6"/>
        <v>0.3</v>
      </c>
      <c r="L18" s="133">
        <f t="shared" ca="1" si="6"/>
        <v>0.3</v>
      </c>
      <c r="M18" s="133">
        <f t="shared" ca="1" si="6"/>
        <v>0.3</v>
      </c>
      <c r="N18" s="133">
        <f t="shared" ca="1" si="6"/>
        <v>0.3</v>
      </c>
      <c r="O18" s="133">
        <f t="shared" ca="1" si="6"/>
        <v>0.3</v>
      </c>
      <c r="P18" s="133">
        <f t="shared" ca="1" si="6"/>
        <v>0.28000000000000003</v>
      </c>
      <c r="Q18" s="133">
        <f t="shared" ca="1" si="6"/>
        <v>0.32500000000000001</v>
      </c>
      <c r="R18" s="133">
        <f t="shared" ca="1" si="6"/>
        <v>0.19500000000000001</v>
      </c>
      <c r="S18" s="133">
        <f t="shared" ca="1" si="6"/>
        <v>0.24</v>
      </c>
      <c r="T18" s="80"/>
      <c r="U18" s="80"/>
      <c r="V18" s="63"/>
    </row>
    <row r="19" spans="1:22" x14ac:dyDescent="0.2">
      <c r="A19" s="45" t="s">
        <v>188</v>
      </c>
      <c r="B19" s="117">
        <f t="shared" ca="1" si="2"/>
        <v>39</v>
      </c>
      <c r="C19" s="1">
        <f ca="1">IF(ISERROR(D19),"",IF(D19="","",MAX($C$12:C18)+1))</f>
        <v>7</v>
      </c>
      <c r="D19" t="str">
        <f t="shared" ca="1" si="3"/>
        <v>Middlesex Water</v>
      </c>
      <c r="E19" s="15"/>
      <c r="F19" s="133">
        <f t="shared" ca="1" si="4"/>
        <v>0.75838461538461543</v>
      </c>
      <c r="G19" s="133">
        <f t="shared" si="5"/>
        <v>0.91</v>
      </c>
      <c r="H19" s="133">
        <f ca="1">IFERROR(IF(VLOOKUP($A19,LASTYR,'2017'!$I$3,FALSE)=0,"N/A",VLOOKUP($A19,LASTYR,'2017'!$I$3,FALSE)),"N/A")</f>
        <v>0.85799999999999998</v>
      </c>
      <c r="I19" s="133">
        <f t="shared" ca="1" si="6"/>
        <v>0.80800000000000005</v>
      </c>
      <c r="J19" s="133">
        <f t="shared" ca="1" si="6"/>
        <v>0.77600000000000002</v>
      </c>
      <c r="K19" s="133">
        <f t="shared" ca="1" si="6"/>
        <v>0.76300000000000001</v>
      </c>
      <c r="L19" s="133">
        <f t="shared" ca="1" si="6"/>
        <v>0.753</v>
      </c>
      <c r="M19" s="133">
        <f t="shared" ca="1" si="6"/>
        <v>0.74299999999999999</v>
      </c>
      <c r="N19" s="133">
        <f t="shared" ca="1" si="6"/>
        <v>0.73299999999999998</v>
      </c>
      <c r="O19" s="133">
        <f t="shared" ca="1" si="6"/>
        <v>0.72299999999999998</v>
      </c>
      <c r="P19" s="133">
        <f t="shared" ca="1" si="6"/>
        <v>0.71299999999999997</v>
      </c>
      <c r="Q19" s="133">
        <f t="shared" ca="1" si="6"/>
        <v>0.70299999999999996</v>
      </c>
      <c r="R19" s="133">
        <f t="shared" ca="1" si="6"/>
        <v>0.69299999999999995</v>
      </c>
      <c r="S19" s="133">
        <f t="shared" ca="1" si="6"/>
        <v>0.68300000000000005</v>
      </c>
      <c r="T19" s="80"/>
      <c r="U19" s="80"/>
      <c r="V19" s="63"/>
    </row>
    <row r="20" spans="1:22" x14ac:dyDescent="0.2">
      <c r="A20" s="45" t="s">
        <v>196</v>
      </c>
      <c r="B20" s="117">
        <f t="shared" ca="1" si="2"/>
        <v>57</v>
      </c>
      <c r="C20" s="1">
        <f ca="1">IF(ISERROR(D20),"",IF(D20="","",MAX($C$12:C19)+1))</f>
        <v>8</v>
      </c>
      <c r="D20" t="str">
        <f t="shared" ca="1" si="3"/>
        <v>SJW Corp.</v>
      </c>
      <c r="E20" s="15"/>
      <c r="F20" s="133">
        <f t="shared" ca="1" si="4"/>
        <v>0.75269230769230766</v>
      </c>
      <c r="G20" s="133">
        <f t="shared" si="5"/>
        <v>1.1200000000000001</v>
      </c>
      <c r="H20" s="133">
        <f ca="1">IFERROR(IF(VLOOKUP($A20,LASTYR,'2017'!$I$3,FALSE)=0,"N/A",VLOOKUP($A20,LASTYR,'2017'!$I$3,FALSE)),"N/A")</f>
        <v>1.04</v>
      </c>
      <c r="I20" s="133">
        <f t="shared" ca="1" si="6"/>
        <v>0.81</v>
      </c>
      <c r="J20" s="133">
        <f t="shared" ca="1" si="6"/>
        <v>0.78</v>
      </c>
      <c r="K20" s="133">
        <f t="shared" ca="1" si="6"/>
        <v>0.75</v>
      </c>
      <c r="L20" s="133">
        <f t="shared" ca="1" si="6"/>
        <v>0.73</v>
      </c>
      <c r="M20" s="133">
        <f t="shared" ca="1" si="6"/>
        <v>0.71</v>
      </c>
      <c r="N20" s="133">
        <f t="shared" ca="1" si="6"/>
        <v>0.69</v>
      </c>
      <c r="O20" s="133">
        <f t="shared" ca="1" si="6"/>
        <v>0.68</v>
      </c>
      <c r="P20" s="133">
        <f t="shared" ca="1" si="6"/>
        <v>0.66</v>
      </c>
      <c r="Q20" s="133">
        <f t="shared" ca="1" si="6"/>
        <v>0.64500000000000002</v>
      </c>
      <c r="R20" s="133">
        <f t="shared" ca="1" si="6"/>
        <v>0.60499999999999998</v>
      </c>
      <c r="S20" s="133">
        <f t="shared" ca="1" si="6"/>
        <v>0.56499999999999995</v>
      </c>
      <c r="T20" s="80"/>
      <c r="U20" s="80"/>
      <c r="V20" s="63"/>
    </row>
    <row r="21" spans="1:22" x14ac:dyDescent="0.2">
      <c r="A21" s="45" t="s">
        <v>208</v>
      </c>
      <c r="B21" s="117">
        <f t="shared" ca="1" si="2"/>
        <v>70</v>
      </c>
      <c r="C21" s="1">
        <f ca="1">IF(ISERROR(D21),"",IF(D21="","",MAX($C$12:C20)+1))</f>
        <v>9</v>
      </c>
      <c r="D21" t="str">
        <f t="shared" ca="1" si="3"/>
        <v>York Water Co. (The)</v>
      </c>
      <c r="E21" s="15"/>
      <c r="F21" s="133">
        <f t="shared" ca="1" si="4"/>
        <v>0.54825000000000002</v>
      </c>
      <c r="G21" s="133">
        <f t="shared" si="5"/>
        <v>0.7</v>
      </c>
      <c r="H21" s="133">
        <f ca="1">IFERROR(IF(VLOOKUP($A21,LASTYR,'2017'!$I$3,FALSE)=0,"N/A",VLOOKUP($A21,LASTYR,'2017'!$I$3,FALSE)),"N/A")</f>
        <v>0.65</v>
      </c>
      <c r="I21" s="133" t="str">
        <f t="shared" ca="1" si="6"/>
        <v>N/A</v>
      </c>
      <c r="J21" s="133">
        <f t="shared" ca="1" si="6"/>
        <v>0.6</v>
      </c>
      <c r="K21" s="133">
        <f t="shared" ca="1" si="6"/>
        <v>0.57199999999999995</v>
      </c>
      <c r="L21" s="133">
        <f t="shared" ca="1" si="6"/>
        <v>0.55200000000000005</v>
      </c>
      <c r="M21" s="133">
        <f t="shared" ca="1" si="6"/>
        <v>0.53900000000000003</v>
      </c>
      <c r="N21" s="133">
        <f t="shared" ca="1" si="6"/>
        <v>0.52700000000000002</v>
      </c>
      <c r="O21" s="133">
        <f t="shared" ca="1" si="6"/>
        <v>0.51500000000000001</v>
      </c>
      <c r="P21" s="133">
        <f t="shared" ca="1" si="6"/>
        <v>0.50600000000000001</v>
      </c>
      <c r="Q21" s="133">
        <f t="shared" ca="1" si="6"/>
        <v>0.48899999999999999</v>
      </c>
      <c r="R21" s="133">
        <f t="shared" ca="1" si="6"/>
        <v>0.47499999999999998</v>
      </c>
      <c r="S21" s="133">
        <f t="shared" ca="1" si="6"/>
        <v>0.45400000000000001</v>
      </c>
      <c r="T21" s="80"/>
      <c r="U21" s="80"/>
      <c r="V21" s="63"/>
    </row>
    <row r="22" spans="1:22" ht="14.25" hidden="1" customHeight="1" x14ac:dyDescent="0.2">
      <c r="A22" s="45"/>
      <c r="B22" s="117" t="str">
        <f t="shared" ca="1" si="2"/>
        <v/>
      </c>
      <c r="C22" s="1" t="str">
        <f>IF(ISERROR(D22),"",IF(D22="","",MAX($C$12:C21)+1))</f>
        <v/>
      </c>
      <c r="D22" t="e">
        <f t="shared" si="3"/>
        <v>#N/A</v>
      </c>
      <c r="E22" s="15"/>
      <c r="F22" s="133" t="str">
        <f t="shared" ca="1" si="4"/>
        <v>N/A</v>
      </c>
      <c r="G22" s="133" t="str">
        <f t="shared" si="5"/>
        <v>N/A</v>
      </c>
      <c r="H22" s="133" t="str">
        <f ca="1">IFERROR(IF(VLOOKUP($A22,LASTYR,'2017'!$I$3,FALSE)=0,"N/A",VLOOKUP($A22,LASTYR,'2017'!$I$3,FALSE)),"N/A")</f>
        <v>N/A</v>
      </c>
      <c r="I22" s="133" t="str">
        <f t="shared" ca="1" si="6"/>
        <v>N/A</v>
      </c>
      <c r="J22" s="133" t="str">
        <f t="shared" ca="1" si="6"/>
        <v>N/A</v>
      </c>
      <c r="K22" s="133" t="str">
        <f t="shared" ca="1" si="6"/>
        <v>N/A</v>
      </c>
      <c r="L22" s="133" t="str">
        <f t="shared" ca="1" si="6"/>
        <v>N/A</v>
      </c>
      <c r="M22" s="133" t="str">
        <f t="shared" ca="1" si="6"/>
        <v>N/A</v>
      </c>
      <c r="N22" s="133" t="str">
        <f t="shared" ca="1" si="6"/>
        <v>N/A</v>
      </c>
      <c r="O22" s="133" t="str">
        <f t="shared" ca="1" si="6"/>
        <v>N/A</v>
      </c>
      <c r="P22" s="133" t="str">
        <f t="shared" ca="1" si="6"/>
        <v>N/A</v>
      </c>
      <c r="Q22" s="133" t="str">
        <f t="shared" ca="1" si="6"/>
        <v>N/A</v>
      </c>
      <c r="R22" s="133" t="str">
        <f t="shared" ca="1" si="6"/>
        <v>N/A</v>
      </c>
      <c r="S22" s="133" t="str">
        <f t="shared" ca="1" si="6"/>
        <v>N/A</v>
      </c>
      <c r="T22" s="80"/>
      <c r="U22" s="80"/>
      <c r="V22" s="63"/>
    </row>
    <row r="23" spans="1:22" ht="14.25" hidden="1" customHeight="1" x14ac:dyDescent="0.2">
      <c r="A23" s="45"/>
      <c r="B23" s="117" t="str">
        <f t="shared" ca="1" si="2"/>
        <v/>
      </c>
      <c r="C23" s="1" t="str">
        <f>IF(ISERROR(D23),"",IF(D23="","",MAX($C$12:C22)+1))</f>
        <v/>
      </c>
      <c r="D23" t="e">
        <f t="shared" si="3"/>
        <v>#N/A</v>
      </c>
      <c r="E23" s="15"/>
      <c r="F23" s="133" t="str">
        <f t="shared" ca="1" si="4"/>
        <v>N/A</v>
      </c>
      <c r="G23" s="133" t="str">
        <f t="shared" si="5"/>
        <v>N/A</v>
      </c>
      <c r="H23" s="133" t="str">
        <f ca="1">IFERROR(IF(VLOOKUP($A23,LASTYR,'2017'!$I$3,FALSE)=0,"N/A",VLOOKUP($A23,LASTYR,'2017'!$I$3,FALSE)),"N/A")</f>
        <v>N/A</v>
      </c>
      <c r="I23" s="133" t="str">
        <f t="shared" ca="1" si="6"/>
        <v>N/A</v>
      </c>
      <c r="J23" s="133" t="str">
        <f t="shared" ca="1" si="6"/>
        <v>N/A</v>
      </c>
      <c r="K23" s="133" t="str">
        <f t="shared" ca="1" si="6"/>
        <v>N/A</v>
      </c>
      <c r="L23" s="133" t="str">
        <f t="shared" ca="1" si="6"/>
        <v>N/A</v>
      </c>
      <c r="M23" s="133" t="str">
        <f t="shared" ca="1" si="6"/>
        <v>N/A</v>
      </c>
      <c r="N23" s="133" t="str">
        <f t="shared" ca="1" si="6"/>
        <v>N/A</v>
      </c>
      <c r="O23" s="133" t="str">
        <f t="shared" ca="1" si="6"/>
        <v>N/A</v>
      </c>
      <c r="P23" s="133" t="str">
        <f t="shared" ca="1" si="6"/>
        <v>N/A</v>
      </c>
      <c r="Q23" s="133" t="str">
        <f t="shared" ca="1" si="6"/>
        <v>N/A</v>
      </c>
      <c r="R23" s="133" t="str">
        <f t="shared" ca="1" si="6"/>
        <v>N/A</v>
      </c>
      <c r="S23" s="133" t="str">
        <f t="shared" ca="1" si="6"/>
        <v>N/A</v>
      </c>
      <c r="T23" s="80"/>
      <c r="U23" s="80"/>
      <c r="V23" s="63"/>
    </row>
    <row r="24" spans="1:22" ht="14.25" hidden="1" customHeight="1" x14ac:dyDescent="0.2">
      <c r="A24" s="45"/>
      <c r="B24" s="117" t="str">
        <f t="shared" ca="1" si="2"/>
        <v/>
      </c>
      <c r="C24" s="1" t="str">
        <f>IF(ISERROR(D24),"",IF(D24="","",MAX($C$12:C23)+1))</f>
        <v/>
      </c>
      <c r="D24" t="e">
        <f t="shared" si="3"/>
        <v>#N/A</v>
      </c>
      <c r="E24" s="15"/>
      <c r="F24" s="133" t="str">
        <f t="shared" ca="1" si="4"/>
        <v>N/A</v>
      </c>
      <c r="G24" s="133" t="str">
        <f t="shared" si="5"/>
        <v>N/A</v>
      </c>
      <c r="H24" s="133" t="str">
        <f ca="1">IFERROR(IF(VLOOKUP($A24,LASTYR,'2017'!$I$3,FALSE)=0,"N/A",VLOOKUP($A24,LASTYR,'2017'!$I$3,FALSE)),"N/A")</f>
        <v>N/A</v>
      </c>
      <c r="I24" s="133" t="str">
        <f t="shared" ca="1" si="6"/>
        <v>N/A</v>
      </c>
      <c r="J24" s="133" t="str">
        <f t="shared" ca="1" si="6"/>
        <v>N/A</v>
      </c>
      <c r="K24" s="133" t="str">
        <f t="shared" ca="1" si="6"/>
        <v>N/A</v>
      </c>
      <c r="L24" s="133" t="str">
        <f t="shared" ca="1" si="6"/>
        <v>N/A</v>
      </c>
      <c r="M24" s="133" t="str">
        <f t="shared" ca="1" si="6"/>
        <v>N/A</v>
      </c>
      <c r="N24" s="133" t="str">
        <f t="shared" ca="1" si="6"/>
        <v>N/A</v>
      </c>
      <c r="O24" s="133" t="str">
        <f t="shared" ca="1" si="6"/>
        <v>N/A</v>
      </c>
      <c r="P24" s="133" t="str">
        <f t="shared" ca="1" si="6"/>
        <v>N/A</v>
      </c>
      <c r="Q24" s="133" t="str">
        <f t="shared" ca="1" si="6"/>
        <v>N/A</v>
      </c>
      <c r="R24" s="133" t="str">
        <f t="shared" ca="1" si="6"/>
        <v>N/A</v>
      </c>
      <c r="S24" s="133" t="str">
        <f t="shared" ca="1" si="6"/>
        <v>N/A</v>
      </c>
      <c r="T24" s="80"/>
      <c r="U24" s="80"/>
      <c r="V24" s="63"/>
    </row>
    <row r="25" spans="1:22" ht="14.25" hidden="1" customHeight="1" x14ac:dyDescent="0.2">
      <c r="A25" s="45"/>
      <c r="B25" s="117" t="str">
        <f t="shared" ca="1" si="2"/>
        <v/>
      </c>
      <c r="C25" s="1" t="str">
        <f>IF(ISERROR(D25),"",IF(D25="","",MAX($C$12:C24)+1))</f>
        <v/>
      </c>
      <c r="D25" t="e">
        <f t="shared" si="3"/>
        <v>#N/A</v>
      </c>
      <c r="E25" s="15"/>
      <c r="F25" s="133" t="str">
        <f t="shared" ca="1" si="4"/>
        <v>N/A</v>
      </c>
      <c r="G25" s="133" t="str">
        <f t="shared" si="5"/>
        <v>N/A</v>
      </c>
      <c r="H25" s="133" t="str">
        <f ca="1">IFERROR(IF(VLOOKUP($A25,LASTYR,'2017'!$I$3,FALSE)=0,"N/A",VLOOKUP($A25,LASTYR,'2017'!$I$3,FALSE)),"N/A")</f>
        <v>N/A</v>
      </c>
      <c r="I25" s="133" t="str">
        <f t="shared" ca="1" si="6"/>
        <v>N/A</v>
      </c>
      <c r="J25" s="133" t="str">
        <f t="shared" ca="1" si="6"/>
        <v>N/A</v>
      </c>
      <c r="K25" s="133" t="str">
        <f t="shared" ca="1" si="6"/>
        <v>N/A</v>
      </c>
      <c r="L25" s="133" t="str">
        <f t="shared" ca="1" si="6"/>
        <v>N/A</v>
      </c>
      <c r="M25" s="133" t="str">
        <f t="shared" ca="1" si="6"/>
        <v>N/A</v>
      </c>
      <c r="N25" s="133" t="str">
        <f t="shared" ca="1" si="6"/>
        <v>N/A</v>
      </c>
      <c r="O25" s="133" t="str">
        <f t="shared" ca="1" si="6"/>
        <v>N/A</v>
      </c>
      <c r="P25" s="133" t="str">
        <f t="shared" ca="1" si="6"/>
        <v>N/A</v>
      </c>
      <c r="Q25" s="133" t="str">
        <f t="shared" ca="1" si="6"/>
        <v>N/A</v>
      </c>
      <c r="R25" s="133" t="str">
        <f t="shared" ca="1" si="6"/>
        <v>N/A</v>
      </c>
      <c r="S25" s="133" t="str">
        <f t="shared" ca="1" si="6"/>
        <v>N/A</v>
      </c>
      <c r="T25" s="80"/>
      <c r="U25" s="80"/>
      <c r="V25" s="63"/>
    </row>
    <row r="26" spans="1:22" ht="14.25" hidden="1" customHeight="1" x14ac:dyDescent="0.2">
      <c r="A26" s="45"/>
      <c r="B26" s="117" t="str">
        <f t="shared" ca="1" si="2"/>
        <v/>
      </c>
      <c r="C26" s="1" t="str">
        <f>IF(ISERROR(D26),"",IF(D26="","",MAX($C$12:C25)+1))</f>
        <v/>
      </c>
      <c r="D26" t="e">
        <f t="shared" si="3"/>
        <v>#N/A</v>
      </c>
      <c r="E26" s="15"/>
      <c r="F26" s="133" t="str">
        <f t="shared" ca="1" si="4"/>
        <v>N/A</v>
      </c>
      <c r="G26" s="133" t="str">
        <f t="shared" si="5"/>
        <v>N/A</v>
      </c>
      <c r="H26" s="133" t="str">
        <f ca="1">IFERROR(IF(VLOOKUP($A26,LASTYR,'2017'!$I$3,FALSE)=0,"N/A",VLOOKUP($A26,LASTYR,'2017'!$I$3,FALSE)),"N/A")</f>
        <v>N/A</v>
      </c>
      <c r="I26" s="133" t="str">
        <f t="shared" ca="1" si="6"/>
        <v>N/A</v>
      </c>
      <c r="J26" s="133" t="str">
        <f t="shared" ca="1" si="6"/>
        <v>N/A</v>
      </c>
      <c r="K26" s="133" t="str">
        <f t="shared" ca="1" si="6"/>
        <v>N/A</v>
      </c>
      <c r="L26" s="133" t="str">
        <f t="shared" ca="1" si="6"/>
        <v>N/A</v>
      </c>
      <c r="M26" s="133" t="str">
        <f t="shared" ca="1" si="6"/>
        <v>N/A</v>
      </c>
      <c r="N26" s="133" t="str">
        <f t="shared" ca="1" si="6"/>
        <v>N/A</v>
      </c>
      <c r="O26" s="133" t="str">
        <f t="shared" ca="1" si="6"/>
        <v>N/A</v>
      </c>
      <c r="P26" s="133" t="str">
        <f t="shared" ca="1" si="6"/>
        <v>N/A</v>
      </c>
      <c r="Q26" s="133" t="str">
        <f t="shared" ca="1" si="6"/>
        <v>N/A</v>
      </c>
      <c r="R26" s="133" t="str">
        <f t="shared" ca="1" si="6"/>
        <v>N/A</v>
      </c>
      <c r="S26" s="133" t="str">
        <f t="shared" ca="1" si="6"/>
        <v>N/A</v>
      </c>
      <c r="T26" s="80"/>
      <c r="U26" s="80"/>
      <c r="V26" s="63"/>
    </row>
    <row r="27" spans="1:22" ht="14.25" hidden="1" customHeight="1" x14ac:dyDescent="0.2">
      <c r="A27" s="45"/>
      <c r="B27" s="117" t="str">
        <f t="shared" ca="1" si="2"/>
        <v/>
      </c>
      <c r="C27" s="1" t="str">
        <f>IF(ISERROR(D27),"",IF(D27="","",MAX($C$12:C26)+1))</f>
        <v/>
      </c>
      <c r="D27" t="e">
        <f t="shared" si="3"/>
        <v>#N/A</v>
      </c>
      <c r="E27" s="15"/>
      <c r="F27" s="133" t="str">
        <f t="shared" ca="1" si="4"/>
        <v>N/A</v>
      </c>
      <c r="G27" s="133" t="str">
        <f t="shared" si="5"/>
        <v>N/A</v>
      </c>
      <c r="H27" s="133" t="str">
        <f ca="1">IFERROR(IF(VLOOKUP($A27,LASTYR,'2017'!$I$3,FALSE)=0,"N/A",VLOOKUP($A27,LASTYR,'2017'!$I$3,FALSE)),"N/A")</f>
        <v>N/A</v>
      </c>
      <c r="I27" s="133" t="str">
        <f t="shared" ca="1" si="6"/>
        <v>N/A</v>
      </c>
      <c r="J27" s="133" t="str">
        <f t="shared" ca="1" si="6"/>
        <v>N/A</v>
      </c>
      <c r="K27" s="133" t="str">
        <f t="shared" ca="1" si="6"/>
        <v>N/A</v>
      </c>
      <c r="L27" s="133" t="str">
        <f t="shared" ca="1" si="6"/>
        <v>N/A</v>
      </c>
      <c r="M27" s="133" t="str">
        <f t="shared" ca="1" si="6"/>
        <v>N/A</v>
      </c>
      <c r="N27" s="133" t="str">
        <f t="shared" ca="1" si="6"/>
        <v>N/A</v>
      </c>
      <c r="O27" s="133" t="str">
        <f t="shared" ca="1" si="6"/>
        <v>N/A</v>
      </c>
      <c r="P27" s="133" t="str">
        <f t="shared" ca="1" si="6"/>
        <v>N/A</v>
      </c>
      <c r="Q27" s="133" t="str">
        <f t="shared" ca="1" si="6"/>
        <v>N/A</v>
      </c>
      <c r="R27" s="133" t="str">
        <f t="shared" ca="1" si="6"/>
        <v>N/A</v>
      </c>
      <c r="S27" s="133" t="str">
        <f t="shared" ca="1" si="6"/>
        <v>N/A</v>
      </c>
      <c r="T27" s="80"/>
      <c r="U27" s="80"/>
      <c r="V27" s="63"/>
    </row>
    <row r="28" spans="1:22" ht="14.25" hidden="1" customHeight="1" x14ac:dyDescent="0.2">
      <c r="A28" s="45"/>
      <c r="B28" s="117" t="str">
        <f t="shared" ca="1" si="2"/>
        <v/>
      </c>
      <c r="C28" s="1" t="str">
        <f>IF(ISERROR(D28),"",IF(D28="","",MAX($C$12:C27)+1))</f>
        <v/>
      </c>
      <c r="D28" t="e">
        <f t="shared" si="3"/>
        <v>#N/A</v>
      </c>
      <c r="E28" s="15"/>
      <c r="F28" s="133" t="str">
        <f t="shared" ca="1" si="4"/>
        <v>N/A</v>
      </c>
      <c r="G28" s="133" t="str">
        <f t="shared" si="5"/>
        <v>N/A</v>
      </c>
      <c r="H28" s="133" t="str">
        <f ca="1">IFERROR(IF(VLOOKUP($A28,LASTYR,'2017'!$I$3,FALSE)=0,"N/A",VLOOKUP($A28,LASTYR,'2017'!$I$3,FALSE)),"N/A")</f>
        <v>N/A</v>
      </c>
      <c r="I28" s="133" t="str">
        <f t="shared" ca="1" si="6"/>
        <v>N/A</v>
      </c>
      <c r="J28" s="133" t="str">
        <f t="shared" ca="1" si="6"/>
        <v>N/A</v>
      </c>
      <c r="K28" s="133" t="str">
        <f t="shared" ca="1" si="6"/>
        <v>N/A</v>
      </c>
      <c r="L28" s="133" t="str">
        <f t="shared" ca="1" si="6"/>
        <v>N/A</v>
      </c>
      <c r="M28" s="133" t="str">
        <f t="shared" ca="1" si="6"/>
        <v>N/A</v>
      </c>
      <c r="N28" s="133" t="str">
        <f t="shared" ca="1" si="6"/>
        <v>N/A</v>
      </c>
      <c r="O28" s="133" t="str">
        <f t="shared" ca="1" si="6"/>
        <v>N/A</v>
      </c>
      <c r="P28" s="133" t="str">
        <f t="shared" ca="1" si="6"/>
        <v>N/A</v>
      </c>
      <c r="Q28" s="133" t="str">
        <f t="shared" ca="1" si="6"/>
        <v>N/A</v>
      </c>
      <c r="R28" s="133" t="str">
        <f t="shared" ca="1" si="6"/>
        <v>N/A</v>
      </c>
      <c r="S28" s="133" t="str">
        <f t="shared" ca="1" si="6"/>
        <v>N/A</v>
      </c>
      <c r="T28" s="80"/>
      <c r="U28" s="80"/>
      <c r="V28" s="63"/>
    </row>
    <row r="29" spans="1:22" ht="14.25" hidden="1" customHeight="1" x14ac:dyDescent="0.2">
      <c r="A29" s="45"/>
      <c r="B29" s="117" t="str">
        <f t="shared" ca="1" si="2"/>
        <v/>
      </c>
      <c r="C29" s="1" t="str">
        <f>IF(ISERROR(D29),"",IF(D29="","",MAX($C$12:C28)+1))</f>
        <v/>
      </c>
      <c r="D29" t="e">
        <f t="shared" si="3"/>
        <v>#N/A</v>
      </c>
      <c r="E29" s="15"/>
      <c r="F29" s="133" t="str">
        <f t="shared" ca="1" si="4"/>
        <v>N/A</v>
      </c>
      <c r="G29" s="133" t="str">
        <f t="shared" si="5"/>
        <v>N/A</v>
      </c>
      <c r="H29" s="133" t="str">
        <f ca="1">IFERROR(IF(VLOOKUP($A29,LASTYR,'2017'!$I$3,FALSE)=0,"N/A",VLOOKUP($A29,LASTYR,'2017'!$I$3,FALSE)),"N/A")</f>
        <v>N/A</v>
      </c>
      <c r="I29" s="133" t="str">
        <f t="shared" ref="I29:S52" ca="1" si="7">IFERROR(IF(INDEX(Dividends,$B29,I$12)=0,"N/A",INDEX(Dividends,$B29,I$12)),"N/A")</f>
        <v>N/A</v>
      </c>
      <c r="J29" s="133" t="str">
        <f t="shared" ca="1" si="7"/>
        <v>N/A</v>
      </c>
      <c r="K29" s="133" t="str">
        <f t="shared" ca="1" si="7"/>
        <v>N/A</v>
      </c>
      <c r="L29" s="133" t="str">
        <f t="shared" ca="1" si="7"/>
        <v>N/A</v>
      </c>
      <c r="M29" s="133" t="str">
        <f t="shared" ca="1" si="7"/>
        <v>N/A</v>
      </c>
      <c r="N29" s="133" t="str">
        <f t="shared" ca="1" si="7"/>
        <v>N/A</v>
      </c>
      <c r="O29" s="133" t="str">
        <f t="shared" ca="1" si="7"/>
        <v>N/A</v>
      </c>
      <c r="P29" s="133" t="str">
        <f t="shared" ca="1" si="7"/>
        <v>N/A</v>
      </c>
      <c r="Q29" s="133" t="str">
        <f t="shared" ca="1" si="7"/>
        <v>N/A</v>
      </c>
      <c r="R29" s="133" t="str">
        <f t="shared" ca="1" si="7"/>
        <v>N/A</v>
      </c>
      <c r="S29" s="133" t="str">
        <f t="shared" ca="1" si="7"/>
        <v>N/A</v>
      </c>
      <c r="T29" s="80"/>
      <c r="U29" s="80"/>
      <c r="V29" s="63"/>
    </row>
    <row r="30" spans="1:22" ht="14.25" hidden="1" customHeight="1" x14ac:dyDescent="0.2">
      <c r="A30" s="45"/>
      <c r="B30" s="117" t="str">
        <f t="shared" ca="1" si="2"/>
        <v/>
      </c>
      <c r="C30" s="1" t="str">
        <f>IF(ISERROR(D30),"",IF(D30="","",MAX($C$12:C29)+1))</f>
        <v/>
      </c>
      <c r="D30" t="e">
        <f t="shared" si="3"/>
        <v>#N/A</v>
      </c>
      <c r="E30" s="15"/>
      <c r="F30" s="133" t="str">
        <f t="shared" ca="1" si="4"/>
        <v>N/A</v>
      </c>
      <c r="G30" s="133" t="str">
        <f t="shared" si="5"/>
        <v>N/A</v>
      </c>
      <c r="H30" s="133" t="str">
        <f ca="1">IFERROR(IF(VLOOKUP($A30,LASTYR,'2017'!$I$3,FALSE)=0,"N/A",VLOOKUP($A30,LASTYR,'2017'!$I$3,FALSE)),"N/A")</f>
        <v>N/A</v>
      </c>
      <c r="I30" s="133" t="str">
        <f t="shared" ca="1" si="7"/>
        <v>N/A</v>
      </c>
      <c r="J30" s="133" t="str">
        <f t="shared" ca="1" si="7"/>
        <v>N/A</v>
      </c>
      <c r="K30" s="133" t="str">
        <f t="shared" ca="1" si="7"/>
        <v>N/A</v>
      </c>
      <c r="L30" s="133" t="str">
        <f t="shared" ca="1" si="7"/>
        <v>N/A</v>
      </c>
      <c r="M30" s="133" t="str">
        <f t="shared" ca="1" si="7"/>
        <v>N/A</v>
      </c>
      <c r="N30" s="133" t="str">
        <f t="shared" ca="1" si="7"/>
        <v>N/A</v>
      </c>
      <c r="O30" s="133" t="str">
        <f t="shared" ca="1" si="7"/>
        <v>N/A</v>
      </c>
      <c r="P30" s="133" t="str">
        <f t="shared" ca="1" si="7"/>
        <v>N/A</v>
      </c>
      <c r="Q30" s="133" t="str">
        <f t="shared" ca="1" si="7"/>
        <v>N/A</v>
      </c>
      <c r="R30" s="133" t="str">
        <f t="shared" ca="1" si="7"/>
        <v>N/A</v>
      </c>
      <c r="S30" s="133" t="str">
        <f t="shared" ca="1" si="7"/>
        <v>N/A</v>
      </c>
      <c r="T30" s="80"/>
      <c r="U30" s="80"/>
      <c r="V30" s="63"/>
    </row>
    <row r="31" spans="1:22" ht="14.25" hidden="1" customHeight="1" x14ac:dyDescent="0.2">
      <c r="A31" s="45"/>
      <c r="B31" s="117" t="str">
        <f t="shared" ca="1" si="2"/>
        <v/>
      </c>
      <c r="C31" s="1" t="str">
        <f>IF(ISERROR(D31),"",IF(D31="","",MAX($C$12:C30)+1))</f>
        <v/>
      </c>
      <c r="D31" t="e">
        <f t="shared" si="3"/>
        <v>#N/A</v>
      </c>
      <c r="E31" s="15"/>
      <c r="F31" s="133" t="str">
        <f t="shared" ca="1" si="4"/>
        <v>N/A</v>
      </c>
      <c r="G31" s="133" t="str">
        <f t="shared" si="5"/>
        <v>N/A</v>
      </c>
      <c r="H31" s="133" t="str">
        <f ca="1">IFERROR(IF(VLOOKUP($A31,LASTYR,'2017'!$I$3,FALSE)=0,"N/A",VLOOKUP($A31,LASTYR,'2017'!$I$3,FALSE)),"N/A")</f>
        <v>N/A</v>
      </c>
      <c r="I31" s="133" t="str">
        <f t="shared" ca="1" si="7"/>
        <v>N/A</v>
      </c>
      <c r="J31" s="133" t="str">
        <f t="shared" ca="1" si="7"/>
        <v>N/A</v>
      </c>
      <c r="K31" s="133" t="str">
        <f t="shared" ca="1" si="7"/>
        <v>N/A</v>
      </c>
      <c r="L31" s="133" t="str">
        <f t="shared" ca="1" si="7"/>
        <v>N/A</v>
      </c>
      <c r="M31" s="133" t="str">
        <f t="shared" ca="1" si="7"/>
        <v>N/A</v>
      </c>
      <c r="N31" s="133" t="str">
        <f t="shared" ca="1" si="7"/>
        <v>N/A</v>
      </c>
      <c r="O31" s="133" t="str">
        <f t="shared" ca="1" si="7"/>
        <v>N/A</v>
      </c>
      <c r="P31" s="133" t="str">
        <f t="shared" ca="1" si="7"/>
        <v>N/A</v>
      </c>
      <c r="Q31" s="133" t="str">
        <f t="shared" ca="1" si="7"/>
        <v>N/A</v>
      </c>
      <c r="R31" s="133" t="str">
        <f t="shared" ca="1" si="7"/>
        <v>N/A</v>
      </c>
      <c r="S31" s="133" t="str">
        <f t="shared" ca="1" si="7"/>
        <v>N/A</v>
      </c>
      <c r="T31" s="80"/>
      <c r="U31" s="80"/>
      <c r="V31" s="63"/>
    </row>
    <row r="32" spans="1:22" ht="14.25" hidden="1" customHeight="1" x14ac:dyDescent="0.2">
      <c r="A32" s="45"/>
      <c r="B32" s="117" t="str">
        <f t="shared" ca="1" si="2"/>
        <v/>
      </c>
      <c r="C32" s="1" t="str">
        <f>IF(ISERROR(D32),"",IF(D32="","",MAX($C$12:C31)+1))</f>
        <v/>
      </c>
      <c r="D32" t="e">
        <f t="shared" si="3"/>
        <v>#N/A</v>
      </c>
      <c r="E32" s="15"/>
      <c r="F32" s="133" t="str">
        <f t="shared" ca="1" si="4"/>
        <v>N/A</v>
      </c>
      <c r="G32" s="133" t="str">
        <f t="shared" si="5"/>
        <v>N/A</v>
      </c>
      <c r="H32" s="133" t="str">
        <f ca="1">IFERROR(IF(VLOOKUP($A32,LASTYR,'2017'!$I$3,FALSE)=0,"N/A",VLOOKUP($A32,LASTYR,'2017'!$I$3,FALSE)),"N/A")</f>
        <v>N/A</v>
      </c>
      <c r="I32" s="133" t="str">
        <f t="shared" ca="1" si="7"/>
        <v>N/A</v>
      </c>
      <c r="J32" s="133" t="str">
        <f t="shared" ca="1" si="7"/>
        <v>N/A</v>
      </c>
      <c r="K32" s="133" t="str">
        <f t="shared" ca="1" si="7"/>
        <v>N/A</v>
      </c>
      <c r="L32" s="133" t="str">
        <f t="shared" ca="1" si="7"/>
        <v>N/A</v>
      </c>
      <c r="M32" s="133" t="str">
        <f t="shared" ca="1" si="7"/>
        <v>N/A</v>
      </c>
      <c r="N32" s="133" t="str">
        <f t="shared" ca="1" si="7"/>
        <v>N/A</v>
      </c>
      <c r="O32" s="133" t="str">
        <f t="shared" ca="1" si="7"/>
        <v>N/A</v>
      </c>
      <c r="P32" s="133" t="str">
        <f t="shared" ca="1" si="7"/>
        <v>N/A</v>
      </c>
      <c r="Q32" s="133" t="str">
        <f t="shared" ca="1" si="7"/>
        <v>N/A</v>
      </c>
      <c r="R32" s="133" t="str">
        <f t="shared" ca="1" si="7"/>
        <v>N/A</v>
      </c>
      <c r="S32" s="133" t="str">
        <f t="shared" ca="1" si="7"/>
        <v>N/A</v>
      </c>
      <c r="T32" s="80"/>
      <c r="U32" s="80"/>
      <c r="V32" s="63"/>
    </row>
    <row r="33" spans="1:22" ht="14.25" hidden="1" customHeight="1" x14ac:dyDescent="0.2">
      <c r="A33" s="45"/>
      <c r="B33" s="117" t="str">
        <f t="shared" ca="1" si="2"/>
        <v/>
      </c>
      <c r="C33" s="1" t="str">
        <f>IF(ISERROR(D33),"",IF(D33="","",MAX($C$12:C32)+1))</f>
        <v/>
      </c>
      <c r="D33" t="e">
        <f t="shared" si="3"/>
        <v>#N/A</v>
      </c>
      <c r="E33" s="15"/>
      <c r="F33" s="133" t="str">
        <f t="shared" ca="1" si="4"/>
        <v>N/A</v>
      </c>
      <c r="G33" s="133" t="str">
        <f t="shared" si="5"/>
        <v>N/A</v>
      </c>
      <c r="H33" s="133" t="str">
        <f ca="1">IFERROR(IF(VLOOKUP($A33,LASTYR,'2017'!$I$3,FALSE)=0,"N/A",VLOOKUP($A33,LASTYR,'2017'!$I$3,FALSE)),"N/A")</f>
        <v>N/A</v>
      </c>
      <c r="I33" s="133" t="str">
        <f t="shared" ca="1" si="7"/>
        <v>N/A</v>
      </c>
      <c r="J33" s="133" t="str">
        <f t="shared" ca="1" si="7"/>
        <v>N/A</v>
      </c>
      <c r="K33" s="133" t="str">
        <f t="shared" ca="1" si="7"/>
        <v>N/A</v>
      </c>
      <c r="L33" s="133" t="str">
        <f t="shared" ca="1" si="7"/>
        <v>N/A</v>
      </c>
      <c r="M33" s="133" t="str">
        <f t="shared" ca="1" si="7"/>
        <v>N/A</v>
      </c>
      <c r="N33" s="133" t="str">
        <f t="shared" ca="1" si="7"/>
        <v>N/A</v>
      </c>
      <c r="O33" s="133" t="str">
        <f t="shared" ca="1" si="7"/>
        <v>N/A</v>
      </c>
      <c r="P33" s="133" t="str">
        <f t="shared" ca="1" si="7"/>
        <v>N/A</v>
      </c>
      <c r="Q33" s="133" t="str">
        <f t="shared" ca="1" si="7"/>
        <v>N/A</v>
      </c>
      <c r="R33" s="133" t="str">
        <f t="shared" ca="1" si="7"/>
        <v>N/A</v>
      </c>
      <c r="S33" s="133" t="str">
        <f t="shared" ca="1" si="7"/>
        <v>N/A</v>
      </c>
      <c r="T33" s="80"/>
      <c r="U33" s="80"/>
      <c r="V33" s="63"/>
    </row>
    <row r="34" spans="1:22" ht="14.25" hidden="1" customHeight="1" x14ac:dyDescent="0.2">
      <c r="A34" s="45"/>
      <c r="B34" s="117" t="str">
        <f t="shared" ca="1" si="2"/>
        <v/>
      </c>
      <c r="C34" s="1" t="str">
        <f>IF(ISERROR(D34),"",IF(D34="","",MAX($C$12:C33)+1))</f>
        <v/>
      </c>
      <c r="D34" t="e">
        <f t="shared" si="3"/>
        <v>#N/A</v>
      </c>
      <c r="E34" s="15"/>
      <c r="F34" s="133" t="str">
        <f t="shared" ca="1" si="4"/>
        <v>N/A</v>
      </c>
      <c r="G34" s="133" t="str">
        <f t="shared" si="5"/>
        <v>N/A</v>
      </c>
      <c r="H34" s="133" t="str">
        <f ca="1">IFERROR(IF(VLOOKUP($A34,LASTYR,'2017'!$I$3,FALSE)=0,"N/A",VLOOKUP($A34,LASTYR,'2017'!$I$3,FALSE)),"N/A")</f>
        <v>N/A</v>
      </c>
      <c r="I34" s="133" t="str">
        <f t="shared" ca="1" si="7"/>
        <v>N/A</v>
      </c>
      <c r="J34" s="133" t="str">
        <f t="shared" ca="1" si="7"/>
        <v>N/A</v>
      </c>
      <c r="K34" s="133" t="str">
        <f t="shared" ca="1" si="7"/>
        <v>N/A</v>
      </c>
      <c r="L34" s="133" t="str">
        <f t="shared" ca="1" si="7"/>
        <v>N/A</v>
      </c>
      <c r="M34" s="133" t="str">
        <f t="shared" ca="1" si="7"/>
        <v>N/A</v>
      </c>
      <c r="N34" s="133" t="str">
        <f t="shared" ca="1" si="7"/>
        <v>N/A</v>
      </c>
      <c r="O34" s="133" t="str">
        <f t="shared" ca="1" si="7"/>
        <v>N/A</v>
      </c>
      <c r="P34" s="133" t="str">
        <f t="shared" ca="1" si="7"/>
        <v>N/A</v>
      </c>
      <c r="Q34" s="133" t="str">
        <f t="shared" ca="1" si="7"/>
        <v>N/A</v>
      </c>
      <c r="R34" s="133" t="str">
        <f t="shared" ca="1" si="7"/>
        <v>N/A</v>
      </c>
      <c r="S34" s="133" t="str">
        <f t="shared" ca="1" si="7"/>
        <v>N/A</v>
      </c>
      <c r="T34" s="80"/>
      <c r="U34" s="80"/>
      <c r="V34" s="63"/>
    </row>
    <row r="35" spans="1:22" ht="14.25" hidden="1" customHeight="1" x14ac:dyDescent="0.2">
      <c r="A35" s="45"/>
      <c r="B35" s="117" t="str">
        <f t="shared" ca="1" si="2"/>
        <v/>
      </c>
      <c r="C35" s="1" t="str">
        <f>IF(ISERROR(D35),"",IF(D35="","",MAX($C$12:C34)+1))</f>
        <v/>
      </c>
      <c r="D35" t="e">
        <f t="shared" si="3"/>
        <v>#N/A</v>
      </c>
      <c r="E35" s="15"/>
      <c r="F35" s="133" t="str">
        <f t="shared" ca="1" si="4"/>
        <v>N/A</v>
      </c>
      <c r="G35" s="133" t="str">
        <f t="shared" si="5"/>
        <v>N/A</v>
      </c>
      <c r="H35" s="133" t="str">
        <f ca="1">IFERROR(IF(VLOOKUP($A35,LASTYR,'2017'!$I$3,FALSE)=0,"N/A",VLOOKUP($A35,LASTYR,'2017'!$I$3,FALSE)),"N/A")</f>
        <v>N/A</v>
      </c>
      <c r="I35" s="133" t="str">
        <f t="shared" ca="1" si="7"/>
        <v>N/A</v>
      </c>
      <c r="J35" s="133" t="str">
        <f t="shared" ca="1" si="7"/>
        <v>N/A</v>
      </c>
      <c r="K35" s="133" t="str">
        <f t="shared" ca="1" si="7"/>
        <v>N/A</v>
      </c>
      <c r="L35" s="133" t="str">
        <f t="shared" ca="1" si="7"/>
        <v>N/A</v>
      </c>
      <c r="M35" s="133" t="str">
        <f t="shared" ca="1" si="7"/>
        <v>N/A</v>
      </c>
      <c r="N35" s="133" t="str">
        <f t="shared" ca="1" si="7"/>
        <v>N/A</v>
      </c>
      <c r="O35" s="133" t="str">
        <f t="shared" ca="1" si="7"/>
        <v>N/A</v>
      </c>
      <c r="P35" s="133" t="str">
        <f t="shared" ca="1" si="7"/>
        <v>N/A</v>
      </c>
      <c r="Q35" s="133" t="str">
        <f t="shared" ca="1" si="7"/>
        <v>N/A</v>
      </c>
      <c r="R35" s="133" t="str">
        <f t="shared" ca="1" si="7"/>
        <v>N/A</v>
      </c>
      <c r="S35" s="133" t="str">
        <f t="shared" ca="1" si="7"/>
        <v>N/A</v>
      </c>
      <c r="T35" s="80"/>
      <c r="U35" s="80"/>
      <c r="V35" s="63"/>
    </row>
    <row r="36" spans="1:22" ht="14.25" hidden="1" customHeight="1" x14ac:dyDescent="0.2">
      <c r="A36" s="45"/>
      <c r="B36" s="117" t="str">
        <f t="shared" ca="1" si="2"/>
        <v/>
      </c>
      <c r="C36" s="1" t="str">
        <f>IF(ISERROR(D36),"",IF(D36="","",MAX($C$12:C35)+1))</f>
        <v/>
      </c>
      <c r="D36" t="e">
        <f t="shared" si="3"/>
        <v>#N/A</v>
      </c>
      <c r="E36" s="15"/>
      <c r="F36" s="133" t="str">
        <f t="shared" ca="1" si="4"/>
        <v>N/A</v>
      </c>
      <c r="G36" s="133" t="str">
        <f t="shared" si="5"/>
        <v>N/A</v>
      </c>
      <c r="H36" s="133" t="str">
        <f ca="1">IFERROR(IF(VLOOKUP($A36,LASTYR,'2017'!$I$3,FALSE)=0,"N/A",VLOOKUP($A36,LASTYR,'2017'!$I$3,FALSE)),"N/A")</f>
        <v>N/A</v>
      </c>
      <c r="I36" s="133" t="str">
        <f t="shared" ca="1" si="7"/>
        <v>N/A</v>
      </c>
      <c r="J36" s="133" t="str">
        <f t="shared" ca="1" si="7"/>
        <v>N/A</v>
      </c>
      <c r="K36" s="133" t="str">
        <f t="shared" ca="1" si="7"/>
        <v>N/A</v>
      </c>
      <c r="L36" s="133" t="str">
        <f t="shared" ca="1" si="7"/>
        <v>N/A</v>
      </c>
      <c r="M36" s="133" t="str">
        <f t="shared" ca="1" si="7"/>
        <v>N/A</v>
      </c>
      <c r="N36" s="133" t="str">
        <f t="shared" ca="1" si="7"/>
        <v>N/A</v>
      </c>
      <c r="O36" s="133" t="str">
        <f t="shared" ca="1" si="7"/>
        <v>N/A</v>
      </c>
      <c r="P36" s="133" t="str">
        <f t="shared" ca="1" si="7"/>
        <v>N/A</v>
      </c>
      <c r="Q36" s="133" t="str">
        <f t="shared" ca="1" si="7"/>
        <v>N/A</v>
      </c>
      <c r="R36" s="133" t="str">
        <f t="shared" ca="1" si="7"/>
        <v>N/A</v>
      </c>
      <c r="S36" s="133" t="str">
        <f t="shared" ca="1" si="7"/>
        <v>N/A</v>
      </c>
      <c r="T36" s="80"/>
      <c r="U36" s="80"/>
      <c r="V36" s="63"/>
    </row>
    <row r="37" spans="1:22" ht="14.25" hidden="1" customHeight="1" x14ac:dyDescent="0.2">
      <c r="A37" s="45"/>
      <c r="B37" s="117" t="str">
        <f t="shared" ca="1" si="2"/>
        <v/>
      </c>
      <c r="C37" s="1" t="str">
        <f>IF(ISERROR(D37),"",IF(D37="","",MAX($C$12:C36)+1))</f>
        <v/>
      </c>
      <c r="D37" t="e">
        <f t="shared" si="3"/>
        <v>#N/A</v>
      </c>
      <c r="E37" s="15"/>
      <c r="F37" s="133" t="str">
        <f t="shared" ca="1" si="4"/>
        <v>N/A</v>
      </c>
      <c r="G37" s="133" t="str">
        <f t="shared" si="5"/>
        <v>N/A</v>
      </c>
      <c r="H37" s="133" t="str">
        <f ca="1">IFERROR(IF(VLOOKUP($A37,LASTYR,'2017'!$I$3,FALSE)=0,"N/A",VLOOKUP($A37,LASTYR,'2017'!$I$3,FALSE)),"N/A")</f>
        <v>N/A</v>
      </c>
      <c r="I37" s="133" t="str">
        <f t="shared" ca="1" si="7"/>
        <v>N/A</v>
      </c>
      <c r="J37" s="133" t="str">
        <f t="shared" ca="1" si="7"/>
        <v>N/A</v>
      </c>
      <c r="K37" s="133" t="str">
        <f t="shared" ca="1" si="7"/>
        <v>N/A</v>
      </c>
      <c r="L37" s="133" t="str">
        <f t="shared" ca="1" si="7"/>
        <v>N/A</v>
      </c>
      <c r="M37" s="133" t="str">
        <f t="shared" ca="1" si="7"/>
        <v>N/A</v>
      </c>
      <c r="N37" s="133" t="str">
        <f t="shared" ca="1" si="7"/>
        <v>N/A</v>
      </c>
      <c r="O37" s="133" t="str">
        <f t="shared" ca="1" si="7"/>
        <v>N/A</v>
      </c>
      <c r="P37" s="133" t="str">
        <f t="shared" ca="1" si="7"/>
        <v>N/A</v>
      </c>
      <c r="Q37" s="133" t="str">
        <f t="shared" ca="1" si="7"/>
        <v>N/A</v>
      </c>
      <c r="R37" s="133" t="str">
        <f t="shared" ca="1" si="7"/>
        <v>N/A</v>
      </c>
      <c r="S37" s="133" t="str">
        <f t="shared" ca="1" si="7"/>
        <v>N/A</v>
      </c>
      <c r="T37" s="80"/>
      <c r="U37" s="80"/>
      <c r="V37" s="63"/>
    </row>
    <row r="38" spans="1:22" ht="14.25" hidden="1" customHeight="1" x14ac:dyDescent="0.2">
      <c r="A38" s="45"/>
      <c r="B38" s="117" t="str">
        <f t="shared" ca="1" si="2"/>
        <v/>
      </c>
      <c r="C38" s="1" t="str">
        <f>IF(ISERROR(D38),"",IF(D38="","",MAX($C$12:C37)+1))</f>
        <v/>
      </c>
      <c r="D38" t="e">
        <f t="shared" si="3"/>
        <v>#N/A</v>
      </c>
      <c r="E38" s="15"/>
      <c r="F38" s="133" t="str">
        <f t="shared" ca="1" si="4"/>
        <v>N/A</v>
      </c>
      <c r="G38" s="133" t="str">
        <f t="shared" si="5"/>
        <v>N/A</v>
      </c>
      <c r="H38" s="133" t="str">
        <f ca="1">IFERROR(IF(VLOOKUP($A38,LASTYR,'2017'!$I$3,FALSE)=0,"N/A",VLOOKUP($A38,LASTYR,'2017'!$I$3,FALSE)),"N/A")</f>
        <v>N/A</v>
      </c>
      <c r="I38" s="133" t="str">
        <f t="shared" ca="1" si="7"/>
        <v>N/A</v>
      </c>
      <c r="J38" s="133" t="str">
        <f t="shared" ca="1" si="7"/>
        <v>N/A</v>
      </c>
      <c r="K38" s="133" t="str">
        <f t="shared" ca="1" si="7"/>
        <v>N/A</v>
      </c>
      <c r="L38" s="133" t="str">
        <f t="shared" ca="1" si="7"/>
        <v>N/A</v>
      </c>
      <c r="M38" s="133" t="str">
        <f t="shared" ca="1" si="7"/>
        <v>N/A</v>
      </c>
      <c r="N38" s="133" t="str">
        <f t="shared" ca="1" si="7"/>
        <v>N/A</v>
      </c>
      <c r="O38" s="133" t="str">
        <f t="shared" ca="1" si="7"/>
        <v>N/A</v>
      </c>
      <c r="P38" s="133" t="str">
        <f t="shared" ca="1" si="7"/>
        <v>N/A</v>
      </c>
      <c r="Q38" s="133" t="str">
        <f t="shared" ca="1" si="7"/>
        <v>N/A</v>
      </c>
      <c r="R38" s="133" t="str">
        <f t="shared" ca="1" si="7"/>
        <v>N/A</v>
      </c>
      <c r="S38" s="133" t="str">
        <f t="shared" ca="1" si="7"/>
        <v>N/A</v>
      </c>
      <c r="T38" s="80"/>
      <c r="U38" s="80"/>
      <c r="V38" s="63"/>
    </row>
    <row r="39" spans="1:22" ht="14.25" hidden="1" customHeight="1" x14ac:dyDescent="0.2">
      <c r="A39" s="45"/>
      <c r="B39" s="117" t="str">
        <f t="shared" ca="1" si="2"/>
        <v/>
      </c>
      <c r="C39" s="1" t="str">
        <f>IF(ISERROR(D39),"",IF(D39="","",MAX($C$12:C38)+1))</f>
        <v/>
      </c>
      <c r="D39" t="e">
        <f t="shared" si="3"/>
        <v>#N/A</v>
      </c>
      <c r="E39" s="15"/>
      <c r="F39" s="133" t="str">
        <f t="shared" ca="1" si="4"/>
        <v>N/A</v>
      </c>
      <c r="G39" s="133" t="str">
        <f t="shared" si="5"/>
        <v>N/A</v>
      </c>
      <c r="H39" s="133" t="str">
        <f ca="1">IFERROR(IF(VLOOKUP($A39,LASTYR,'2017'!$I$3,FALSE)=0,"N/A",VLOOKUP($A39,LASTYR,'2017'!$I$3,FALSE)),"N/A")</f>
        <v>N/A</v>
      </c>
      <c r="I39" s="133" t="str">
        <f t="shared" ca="1" si="7"/>
        <v>N/A</v>
      </c>
      <c r="J39" s="133" t="str">
        <f t="shared" ca="1" si="7"/>
        <v>N/A</v>
      </c>
      <c r="K39" s="133" t="str">
        <f t="shared" ca="1" si="7"/>
        <v>N/A</v>
      </c>
      <c r="L39" s="133" t="str">
        <f t="shared" ca="1" si="7"/>
        <v>N/A</v>
      </c>
      <c r="M39" s="133" t="str">
        <f t="shared" ca="1" si="7"/>
        <v>N/A</v>
      </c>
      <c r="N39" s="133" t="str">
        <f t="shared" ca="1" si="7"/>
        <v>N/A</v>
      </c>
      <c r="O39" s="133" t="str">
        <f t="shared" ca="1" si="7"/>
        <v>N/A</v>
      </c>
      <c r="P39" s="133" t="str">
        <f t="shared" ca="1" si="7"/>
        <v>N/A</v>
      </c>
      <c r="Q39" s="133" t="str">
        <f t="shared" ca="1" si="7"/>
        <v>N/A</v>
      </c>
      <c r="R39" s="133" t="str">
        <f t="shared" ca="1" si="7"/>
        <v>N/A</v>
      </c>
      <c r="S39" s="133" t="str">
        <f t="shared" ca="1" si="7"/>
        <v>N/A</v>
      </c>
      <c r="T39" s="80"/>
      <c r="U39" s="80"/>
      <c r="V39" s="63"/>
    </row>
    <row r="40" spans="1:22" ht="14.25" hidden="1" customHeight="1" x14ac:dyDescent="0.2">
      <c r="A40" s="45"/>
      <c r="B40" s="117" t="str">
        <f t="shared" ca="1" si="2"/>
        <v/>
      </c>
      <c r="C40" s="1" t="str">
        <f>IF(ISERROR(D40),"",IF(D40="","",MAX($C$12:C39)+1))</f>
        <v/>
      </c>
      <c r="D40" t="e">
        <f t="shared" si="3"/>
        <v>#N/A</v>
      </c>
      <c r="E40" s="15"/>
      <c r="F40" s="133" t="str">
        <f t="shared" ca="1" si="4"/>
        <v>N/A</v>
      </c>
      <c r="G40" s="133" t="str">
        <f t="shared" si="5"/>
        <v>N/A</v>
      </c>
      <c r="H40" s="133" t="str">
        <f ca="1">IFERROR(IF(VLOOKUP($A40,LASTYR,'2017'!$I$3,FALSE)=0,"N/A",VLOOKUP($A40,LASTYR,'2017'!$I$3,FALSE)),"N/A")</f>
        <v>N/A</v>
      </c>
      <c r="I40" s="133" t="str">
        <f t="shared" ca="1" si="7"/>
        <v>N/A</v>
      </c>
      <c r="J40" s="133" t="str">
        <f t="shared" ca="1" si="7"/>
        <v>N/A</v>
      </c>
      <c r="K40" s="133" t="str">
        <f t="shared" ca="1" si="7"/>
        <v>N/A</v>
      </c>
      <c r="L40" s="133" t="str">
        <f t="shared" ca="1" si="7"/>
        <v>N/A</v>
      </c>
      <c r="M40" s="133" t="str">
        <f t="shared" ca="1" si="7"/>
        <v>N/A</v>
      </c>
      <c r="N40" s="133" t="str">
        <f t="shared" ca="1" si="7"/>
        <v>N/A</v>
      </c>
      <c r="O40" s="133" t="str">
        <f t="shared" ca="1" si="7"/>
        <v>N/A</v>
      </c>
      <c r="P40" s="133" t="str">
        <f t="shared" ca="1" si="7"/>
        <v>N/A</v>
      </c>
      <c r="Q40" s="133" t="str">
        <f t="shared" ca="1" si="7"/>
        <v>N/A</v>
      </c>
      <c r="R40" s="133" t="str">
        <f t="shared" ca="1" si="7"/>
        <v>N/A</v>
      </c>
      <c r="S40" s="133" t="str">
        <f t="shared" ca="1" si="7"/>
        <v>N/A</v>
      </c>
      <c r="T40" s="80"/>
      <c r="U40" s="80"/>
      <c r="V40" s="63"/>
    </row>
    <row r="41" spans="1:22" ht="14.25" hidden="1" customHeight="1" x14ac:dyDescent="0.2">
      <c r="A41" s="45"/>
      <c r="B41" s="117" t="str">
        <f t="shared" ca="1" si="2"/>
        <v/>
      </c>
      <c r="C41" s="1" t="str">
        <f>IF(ISERROR(D41),"",IF(D41="","",MAX($C$12:C40)+1))</f>
        <v/>
      </c>
      <c r="D41" t="e">
        <f t="shared" si="3"/>
        <v>#N/A</v>
      </c>
      <c r="E41" s="15"/>
      <c r="F41" s="133" t="str">
        <f t="shared" ca="1" si="4"/>
        <v>N/A</v>
      </c>
      <c r="G41" s="133" t="str">
        <f t="shared" si="5"/>
        <v>N/A</v>
      </c>
      <c r="H41" s="133" t="str">
        <f ca="1">IFERROR(IF(VLOOKUP($A41,LASTYR,'2017'!$I$3,FALSE)=0,"N/A",VLOOKUP($A41,LASTYR,'2017'!$I$3,FALSE)),"N/A")</f>
        <v>N/A</v>
      </c>
      <c r="I41" s="133" t="str">
        <f t="shared" ca="1" si="7"/>
        <v>N/A</v>
      </c>
      <c r="J41" s="133" t="str">
        <f t="shared" ca="1" si="7"/>
        <v>N/A</v>
      </c>
      <c r="K41" s="133" t="str">
        <f t="shared" ca="1" si="7"/>
        <v>N/A</v>
      </c>
      <c r="L41" s="133" t="str">
        <f t="shared" ca="1" si="7"/>
        <v>N/A</v>
      </c>
      <c r="M41" s="133" t="str">
        <f t="shared" ca="1" si="7"/>
        <v>N/A</v>
      </c>
      <c r="N41" s="133" t="str">
        <f t="shared" ca="1" si="7"/>
        <v>N/A</v>
      </c>
      <c r="O41" s="133" t="str">
        <f t="shared" ca="1" si="7"/>
        <v>N/A</v>
      </c>
      <c r="P41" s="133" t="str">
        <f t="shared" ca="1" si="7"/>
        <v>N/A</v>
      </c>
      <c r="Q41" s="133" t="str">
        <f t="shared" ca="1" si="7"/>
        <v>N/A</v>
      </c>
      <c r="R41" s="133" t="str">
        <f t="shared" ca="1" si="7"/>
        <v>N/A</v>
      </c>
      <c r="S41" s="133" t="str">
        <f t="shared" ca="1" si="7"/>
        <v>N/A</v>
      </c>
      <c r="T41" s="80"/>
      <c r="U41" s="80"/>
      <c r="V41" s="63"/>
    </row>
    <row r="42" spans="1:22" ht="14.25" hidden="1" customHeight="1" x14ac:dyDescent="0.2">
      <c r="A42" s="45"/>
      <c r="B42" s="117" t="str">
        <f t="shared" ca="1" si="2"/>
        <v/>
      </c>
      <c r="C42" s="1" t="str">
        <f>IF(ISERROR(D42),"",IF(D42="","",MAX($C$12:C41)+1))</f>
        <v/>
      </c>
      <c r="D42" t="e">
        <f t="shared" si="3"/>
        <v>#N/A</v>
      </c>
      <c r="E42" s="15"/>
      <c r="F42" s="133" t="str">
        <f t="shared" ca="1" si="4"/>
        <v>N/A</v>
      </c>
      <c r="G42" s="133" t="str">
        <f t="shared" si="5"/>
        <v>N/A</v>
      </c>
      <c r="H42" s="133" t="str">
        <f ca="1">IFERROR(IF(VLOOKUP($A42,LASTYR,'2017'!$I$3,FALSE)=0,"N/A",VLOOKUP($A42,LASTYR,'2017'!$I$3,FALSE)),"N/A")</f>
        <v>N/A</v>
      </c>
      <c r="I42" s="133" t="str">
        <f t="shared" ca="1" si="7"/>
        <v>N/A</v>
      </c>
      <c r="J42" s="133" t="str">
        <f t="shared" ca="1" si="7"/>
        <v>N/A</v>
      </c>
      <c r="K42" s="133" t="str">
        <f t="shared" ca="1" si="7"/>
        <v>N/A</v>
      </c>
      <c r="L42" s="133" t="str">
        <f t="shared" ca="1" si="7"/>
        <v>N/A</v>
      </c>
      <c r="M42" s="133" t="str">
        <f t="shared" ca="1" si="7"/>
        <v>N/A</v>
      </c>
      <c r="N42" s="133" t="str">
        <f t="shared" ca="1" si="7"/>
        <v>N/A</v>
      </c>
      <c r="O42" s="133" t="str">
        <f t="shared" ca="1" si="7"/>
        <v>N/A</v>
      </c>
      <c r="P42" s="133" t="str">
        <f t="shared" ca="1" si="7"/>
        <v>N/A</v>
      </c>
      <c r="Q42" s="133" t="str">
        <f t="shared" ca="1" si="7"/>
        <v>N/A</v>
      </c>
      <c r="R42" s="133" t="str">
        <f t="shared" ca="1" si="7"/>
        <v>N/A</v>
      </c>
      <c r="S42" s="133" t="str">
        <f t="shared" ca="1" si="7"/>
        <v>N/A</v>
      </c>
      <c r="T42" s="80"/>
      <c r="U42" s="80"/>
      <c r="V42" s="63"/>
    </row>
    <row r="43" spans="1:22" ht="14.25" hidden="1" customHeight="1" x14ac:dyDescent="0.2">
      <c r="A43" s="45"/>
      <c r="B43" s="117" t="str">
        <f t="shared" ca="1" si="2"/>
        <v/>
      </c>
      <c r="C43" s="1" t="str">
        <f>IF(ISERROR(D43),"",IF(D43="","",MAX($C$12:C42)+1))</f>
        <v/>
      </c>
      <c r="D43" t="e">
        <f t="shared" si="3"/>
        <v>#N/A</v>
      </c>
      <c r="E43" s="15"/>
      <c r="F43" s="133" t="str">
        <f t="shared" ca="1" si="4"/>
        <v>N/A</v>
      </c>
      <c r="G43" s="133" t="str">
        <f t="shared" si="5"/>
        <v>N/A</v>
      </c>
      <c r="H43" s="133" t="str">
        <f ca="1">IFERROR(IF(VLOOKUP($A43,LASTYR,'2017'!$I$3,FALSE)=0,"N/A",VLOOKUP($A43,LASTYR,'2017'!$I$3,FALSE)),"N/A")</f>
        <v>N/A</v>
      </c>
      <c r="I43" s="133" t="str">
        <f t="shared" ca="1" si="7"/>
        <v>N/A</v>
      </c>
      <c r="J43" s="133" t="str">
        <f t="shared" ca="1" si="7"/>
        <v>N/A</v>
      </c>
      <c r="K43" s="133" t="str">
        <f t="shared" ca="1" si="7"/>
        <v>N/A</v>
      </c>
      <c r="L43" s="133" t="str">
        <f t="shared" ca="1" si="7"/>
        <v>N/A</v>
      </c>
      <c r="M43" s="133" t="str">
        <f t="shared" ca="1" si="7"/>
        <v>N/A</v>
      </c>
      <c r="N43" s="133" t="str">
        <f t="shared" ca="1" si="7"/>
        <v>N/A</v>
      </c>
      <c r="O43" s="133" t="str">
        <f t="shared" ca="1" si="7"/>
        <v>N/A</v>
      </c>
      <c r="P43" s="133" t="str">
        <f t="shared" ca="1" si="7"/>
        <v>N/A</v>
      </c>
      <c r="Q43" s="133" t="str">
        <f t="shared" ca="1" si="7"/>
        <v>N/A</v>
      </c>
      <c r="R43" s="133" t="str">
        <f t="shared" ca="1" si="7"/>
        <v>N/A</v>
      </c>
      <c r="S43" s="133" t="str">
        <f t="shared" ca="1" si="7"/>
        <v>N/A</v>
      </c>
      <c r="T43" s="80"/>
      <c r="U43" s="80"/>
      <c r="V43" s="63"/>
    </row>
    <row r="44" spans="1:22" ht="14.25" hidden="1" customHeight="1" x14ac:dyDescent="0.2">
      <c r="A44" s="45"/>
      <c r="B44" s="117" t="str">
        <f t="shared" ca="1" si="2"/>
        <v/>
      </c>
      <c r="C44" s="1" t="str">
        <f>IF(ISERROR(D44),"",IF(D44="","",MAX($C$12:C43)+1))</f>
        <v/>
      </c>
      <c r="D44" t="e">
        <f t="shared" si="3"/>
        <v>#N/A</v>
      </c>
      <c r="E44" s="15"/>
      <c r="F44" s="133" t="str">
        <f t="shared" ca="1" si="4"/>
        <v>N/A</v>
      </c>
      <c r="G44" s="133" t="str">
        <f t="shared" si="5"/>
        <v>N/A</v>
      </c>
      <c r="H44" s="133" t="str">
        <f ca="1">IFERROR(IF(VLOOKUP($A44,LASTYR,'2017'!$I$3,FALSE)=0,"N/A",VLOOKUP($A44,LASTYR,'2017'!$I$3,FALSE)),"N/A")</f>
        <v>N/A</v>
      </c>
      <c r="I44" s="133" t="str">
        <f t="shared" ca="1" si="7"/>
        <v>N/A</v>
      </c>
      <c r="J44" s="133" t="str">
        <f t="shared" ca="1" si="7"/>
        <v>N/A</v>
      </c>
      <c r="K44" s="133" t="str">
        <f t="shared" ca="1" si="7"/>
        <v>N/A</v>
      </c>
      <c r="L44" s="133" t="str">
        <f t="shared" ca="1" si="7"/>
        <v>N/A</v>
      </c>
      <c r="M44" s="133" t="str">
        <f t="shared" ca="1" si="7"/>
        <v>N/A</v>
      </c>
      <c r="N44" s="133" t="str">
        <f t="shared" ca="1" si="7"/>
        <v>N/A</v>
      </c>
      <c r="O44" s="133" t="str">
        <f t="shared" ca="1" si="7"/>
        <v>N/A</v>
      </c>
      <c r="P44" s="133" t="str">
        <f t="shared" ca="1" si="7"/>
        <v>N/A</v>
      </c>
      <c r="Q44" s="133" t="str">
        <f t="shared" ca="1" si="7"/>
        <v>N/A</v>
      </c>
      <c r="R44" s="133" t="str">
        <f t="shared" ca="1" si="7"/>
        <v>N/A</v>
      </c>
      <c r="S44" s="133" t="str">
        <f t="shared" ca="1" si="7"/>
        <v>N/A</v>
      </c>
      <c r="T44" s="80"/>
      <c r="U44" s="80"/>
      <c r="V44" s="63"/>
    </row>
    <row r="45" spans="1:22" ht="14.25" hidden="1" customHeight="1" x14ac:dyDescent="0.2">
      <c r="A45" s="45"/>
      <c r="B45" s="117" t="str">
        <f t="shared" ca="1" si="2"/>
        <v/>
      </c>
      <c r="C45" s="1" t="str">
        <f>IF(ISERROR(D45),"",IF(D45="","",MAX($C$12:C44)+1))</f>
        <v/>
      </c>
      <c r="D45" t="e">
        <f t="shared" si="3"/>
        <v>#N/A</v>
      </c>
      <c r="E45" s="15"/>
      <c r="F45" s="133" t="str">
        <f t="shared" ca="1" si="4"/>
        <v>N/A</v>
      </c>
      <c r="G45" s="133" t="str">
        <f t="shared" si="5"/>
        <v>N/A</v>
      </c>
      <c r="H45" s="133" t="str">
        <f ca="1">IFERROR(IF(VLOOKUP($A45,LASTYR,'2017'!$I$3,FALSE)=0,"N/A",VLOOKUP($A45,LASTYR,'2017'!$I$3,FALSE)),"N/A")</f>
        <v>N/A</v>
      </c>
      <c r="I45" s="133" t="str">
        <f t="shared" ca="1" si="7"/>
        <v>N/A</v>
      </c>
      <c r="J45" s="133" t="str">
        <f t="shared" ca="1" si="7"/>
        <v>N/A</v>
      </c>
      <c r="K45" s="133" t="str">
        <f t="shared" ca="1" si="7"/>
        <v>N/A</v>
      </c>
      <c r="L45" s="133" t="str">
        <f t="shared" ca="1" si="7"/>
        <v>N/A</v>
      </c>
      <c r="M45" s="133" t="str">
        <f t="shared" ca="1" si="7"/>
        <v>N/A</v>
      </c>
      <c r="N45" s="133" t="str">
        <f t="shared" ca="1" si="7"/>
        <v>N/A</v>
      </c>
      <c r="O45" s="133" t="str">
        <f t="shared" ca="1" si="7"/>
        <v>N/A</v>
      </c>
      <c r="P45" s="133" t="str">
        <f t="shared" ca="1" si="7"/>
        <v>N/A</v>
      </c>
      <c r="Q45" s="133" t="str">
        <f t="shared" ca="1" si="7"/>
        <v>N/A</v>
      </c>
      <c r="R45" s="133" t="str">
        <f t="shared" ca="1" si="7"/>
        <v>N/A</v>
      </c>
      <c r="S45" s="133" t="str">
        <f t="shared" ca="1" si="7"/>
        <v>N/A</v>
      </c>
      <c r="T45" s="80"/>
      <c r="U45" s="80"/>
      <c r="V45" s="63"/>
    </row>
    <row r="46" spans="1:22" ht="14.25" hidden="1" customHeight="1" x14ac:dyDescent="0.2">
      <c r="A46" s="45"/>
      <c r="B46" s="117" t="str">
        <f t="shared" ca="1" si="2"/>
        <v/>
      </c>
      <c r="C46" s="1" t="str">
        <f>IF(ISERROR(D46),"",IF(D46="","",MAX($C$12:C45)+1))</f>
        <v/>
      </c>
      <c r="D46" t="e">
        <f t="shared" si="3"/>
        <v>#N/A</v>
      </c>
      <c r="E46" s="15"/>
      <c r="F46" s="133" t="str">
        <f t="shared" ca="1" si="4"/>
        <v>N/A</v>
      </c>
      <c r="G46" s="133" t="str">
        <f t="shared" si="5"/>
        <v>N/A</v>
      </c>
      <c r="H46" s="133" t="str">
        <f ca="1">IFERROR(IF(VLOOKUP($A46,LASTYR,'2017'!$I$3,FALSE)=0,"N/A",VLOOKUP($A46,LASTYR,'2017'!$I$3,FALSE)),"N/A")</f>
        <v>N/A</v>
      </c>
      <c r="I46" s="133" t="str">
        <f t="shared" ca="1" si="7"/>
        <v>N/A</v>
      </c>
      <c r="J46" s="133" t="str">
        <f t="shared" ca="1" si="7"/>
        <v>N/A</v>
      </c>
      <c r="K46" s="133" t="str">
        <f t="shared" ca="1" si="7"/>
        <v>N/A</v>
      </c>
      <c r="L46" s="133" t="str">
        <f t="shared" ca="1" si="7"/>
        <v>N/A</v>
      </c>
      <c r="M46" s="133" t="str">
        <f t="shared" ca="1" si="7"/>
        <v>N/A</v>
      </c>
      <c r="N46" s="133" t="str">
        <f t="shared" ca="1" si="7"/>
        <v>N/A</v>
      </c>
      <c r="O46" s="133" t="str">
        <f t="shared" ca="1" si="7"/>
        <v>N/A</v>
      </c>
      <c r="P46" s="133" t="str">
        <f t="shared" ca="1" si="7"/>
        <v>N/A</v>
      </c>
      <c r="Q46" s="133" t="str">
        <f t="shared" ca="1" si="7"/>
        <v>N/A</v>
      </c>
      <c r="R46" s="133" t="str">
        <f t="shared" ca="1" si="7"/>
        <v>N/A</v>
      </c>
      <c r="S46" s="133" t="str">
        <f t="shared" ca="1" si="7"/>
        <v>N/A</v>
      </c>
      <c r="T46" s="80"/>
      <c r="U46" s="80"/>
      <c r="V46" s="63"/>
    </row>
    <row r="47" spans="1:22" ht="14.25" hidden="1" customHeight="1" x14ac:dyDescent="0.2">
      <c r="A47" s="45"/>
      <c r="B47" s="117" t="str">
        <f t="shared" ca="1" si="2"/>
        <v/>
      </c>
      <c r="C47" s="1" t="str">
        <f>IF(ISERROR(D47),"",IF(D47="","",MAX($C$12:C46)+1))</f>
        <v/>
      </c>
      <c r="D47" t="e">
        <f t="shared" si="3"/>
        <v>#N/A</v>
      </c>
      <c r="E47" s="15"/>
      <c r="F47" s="133" t="str">
        <f t="shared" ca="1" si="4"/>
        <v>N/A</v>
      </c>
      <c r="G47" s="133" t="str">
        <f t="shared" si="5"/>
        <v>N/A</v>
      </c>
      <c r="H47" s="133" t="str">
        <f ca="1">IFERROR(IF(VLOOKUP($A47,LASTYR,'2017'!$I$3,FALSE)=0,"N/A",VLOOKUP($A47,LASTYR,'2017'!$I$3,FALSE)),"N/A")</f>
        <v>N/A</v>
      </c>
      <c r="I47" s="133" t="str">
        <f t="shared" ca="1" si="7"/>
        <v>N/A</v>
      </c>
      <c r="J47" s="133" t="str">
        <f t="shared" ca="1" si="7"/>
        <v>N/A</v>
      </c>
      <c r="K47" s="133" t="str">
        <f t="shared" ca="1" si="7"/>
        <v>N/A</v>
      </c>
      <c r="L47" s="133" t="str">
        <f t="shared" ca="1" si="7"/>
        <v>N/A</v>
      </c>
      <c r="M47" s="133" t="str">
        <f t="shared" ca="1" si="7"/>
        <v>N/A</v>
      </c>
      <c r="N47" s="133" t="str">
        <f t="shared" ca="1" si="7"/>
        <v>N/A</v>
      </c>
      <c r="O47" s="133" t="str">
        <f t="shared" ca="1" si="7"/>
        <v>N/A</v>
      </c>
      <c r="P47" s="133" t="str">
        <f t="shared" ca="1" si="7"/>
        <v>N/A</v>
      </c>
      <c r="Q47" s="133" t="str">
        <f t="shared" ca="1" si="7"/>
        <v>N/A</v>
      </c>
      <c r="R47" s="133" t="str">
        <f t="shared" ca="1" si="7"/>
        <v>N/A</v>
      </c>
      <c r="S47" s="133" t="str">
        <f t="shared" ca="1" si="7"/>
        <v>N/A</v>
      </c>
      <c r="T47" s="80"/>
      <c r="U47" s="80"/>
      <c r="V47" s="63"/>
    </row>
    <row r="48" spans="1:22" ht="14.25" hidden="1" customHeight="1" x14ac:dyDescent="0.2">
      <c r="A48" s="45"/>
      <c r="B48" s="117" t="str">
        <f t="shared" ca="1" si="2"/>
        <v/>
      </c>
      <c r="C48" s="1" t="str">
        <f>IF(ISERROR(D48),"",IF(D48="","",MAX($C$12:C47)+1))</f>
        <v/>
      </c>
      <c r="D48" t="e">
        <f t="shared" si="3"/>
        <v>#N/A</v>
      </c>
      <c r="E48" s="15"/>
      <c r="F48" s="133" t="str">
        <f t="shared" ca="1" si="4"/>
        <v>N/A</v>
      </c>
      <c r="G48" s="133" t="str">
        <f t="shared" si="5"/>
        <v>N/A</v>
      </c>
      <c r="H48" s="133" t="str">
        <f ca="1">IFERROR(IF(VLOOKUP($A48,LASTYR,'2017'!$I$3,FALSE)=0,"N/A",VLOOKUP($A48,LASTYR,'2017'!$I$3,FALSE)),"N/A")</f>
        <v>N/A</v>
      </c>
      <c r="I48" s="133" t="str">
        <f t="shared" ca="1" si="7"/>
        <v>N/A</v>
      </c>
      <c r="J48" s="133" t="str">
        <f t="shared" ca="1" si="7"/>
        <v>N/A</v>
      </c>
      <c r="K48" s="133" t="str">
        <f t="shared" ca="1" si="7"/>
        <v>N/A</v>
      </c>
      <c r="L48" s="133" t="str">
        <f t="shared" ca="1" si="7"/>
        <v>N/A</v>
      </c>
      <c r="M48" s="133" t="str">
        <f t="shared" ca="1" si="7"/>
        <v>N/A</v>
      </c>
      <c r="N48" s="133" t="str">
        <f t="shared" ca="1" si="7"/>
        <v>N/A</v>
      </c>
      <c r="O48" s="133" t="str">
        <f t="shared" ca="1" si="7"/>
        <v>N/A</v>
      </c>
      <c r="P48" s="133" t="str">
        <f t="shared" ca="1" si="7"/>
        <v>N/A</v>
      </c>
      <c r="Q48" s="133" t="str">
        <f t="shared" ca="1" si="7"/>
        <v>N/A</v>
      </c>
      <c r="R48" s="133" t="str">
        <f t="shared" ca="1" si="7"/>
        <v>N/A</v>
      </c>
      <c r="S48" s="133" t="str">
        <f t="shared" ca="1" si="7"/>
        <v>N/A</v>
      </c>
      <c r="T48" s="80"/>
      <c r="U48" s="80"/>
      <c r="V48" s="63"/>
    </row>
    <row r="49" spans="1:22" ht="14.25" hidden="1" customHeight="1" x14ac:dyDescent="0.2">
      <c r="A49" s="45"/>
      <c r="B49" s="117" t="str">
        <f t="shared" ca="1" si="2"/>
        <v/>
      </c>
      <c r="C49" s="1" t="str">
        <f>IF(ISERROR(D49),"",IF(D49="","",MAX($C$12:C48)+1))</f>
        <v/>
      </c>
      <c r="D49" t="e">
        <f t="shared" si="3"/>
        <v>#N/A</v>
      </c>
      <c r="E49" s="15"/>
      <c r="F49" s="133" t="str">
        <f t="shared" ca="1" si="4"/>
        <v>N/A</v>
      </c>
      <c r="G49" s="133" t="str">
        <f t="shared" si="5"/>
        <v>N/A</v>
      </c>
      <c r="H49" s="133" t="str">
        <f ca="1">IFERROR(IF(VLOOKUP($A49,LASTYR,'2017'!$I$3,FALSE)=0,"N/A",VLOOKUP($A49,LASTYR,'2017'!$I$3,FALSE)),"N/A")</f>
        <v>N/A</v>
      </c>
      <c r="I49" s="133" t="str">
        <f t="shared" ca="1" si="7"/>
        <v>N/A</v>
      </c>
      <c r="J49" s="133" t="str">
        <f t="shared" ca="1" si="7"/>
        <v>N/A</v>
      </c>
      <c r="K49" s="133" t="str">
        <f t="shared" ca="1" si="7"/>
        <v>N/A</v>
      </c>
      <c r="L49" s="133" t="str">
        <f t="shared" ca="1" si="7"/>
        <v>N/A</v>
      </c>
      <c r="M49" s="133" t="str">
        <f t="shared" ca="1" si="7"/>
        <v>N/A</v>
      </c>
      <c r="N49" s="133" t="str">
        <f t="shared" ca="1" si="7"/>
        <v>N/A</v>
      </c>
      <c r="O49" s="133" t="str">
        <f t="shared" ca="1" si="7"/>
        <v>N/A</v>
      </c>
      <c r="P49" s="133" t="str">
        <f t="shared" ca="1" si="7"/>
        <v>N/A</v>
      </c>
      <c r="Q49" s="133" t="str">
        <f t="shared" ca="1" si="7"/>
        <v>N/A</v>
      </c>
      <c r="R49" s="133" t="str">
        <f t="shared" ca="1" si="7"/>
        <v>N/A</v>
      </c>
      <c r="S49" s="133" t="str">
        <f t="shared" ca="1" si="7"/>
        <v>N/A</v>
      </c>
      <c r="T49" s="80"/>
      <c r="U49" s="80"/>
      <c r="V49" s="63"/>
    </row>
    <row r="50" spans="1:22" ht="14.25" hidden="1" customHeight="1" x14ac:dyDescent="0.2">
      <c r="A50" s="45"/>
      <c r="B50" s="117" t="str">
        <f t="shared" ca="1" si="2"/>
        <v/>
      </c>
      <c r="C50" s="1" t="str">
        <f>IF(ISERROR(D50),"",IF(D50="","",MAX($C$12:C49)+1))</f>
        <v/>
      </c>
      <c r="D50" t="e">
        <f t="shared" si="3"/>
        <v>#N/A</v>
      </c>
      <c r="E50" s="15"/>
      <c r="F50" s="133" t="str">
        <f t="shared" ca="1" si="4"/>
        <v>N/A</v>
      </c>
      <c r="G50" s="133" t="str">
        <f t="shared" si="5"/>
        <v>N/A</v>
      </c>
      <c r="H50" s="133" t="str">
        <f ca="1">IFERROR(IF(VLOOKUP($A50,LASTYR,'2017'!$I$3,FALSE)=0,"N/A",VLOOKUP($A50,LASTYR,'2017'!$I$3,FALSE)),"N/A")</f>
        <v>N/A</v>
      </c>
      <c r="I50" s="133" t="str">
        <f t="shared" ca="1" si="7"/>
        <v>N/A</v>
      </c>
      <c r="J50" s="133" t="str">
        <f t="shared" ca="1" si="7"/>
        <v>N/A</v>
      </c>
      <c r="K50" s="133" t="str">
        <f t="shared" ca="1" si="7"/>
        <v>N/A</v>
      </c>
      <c r="L50" s="133" t="str">
        <f t="shared" ca="1" si="7"/>
        <v>N/A</v>
      </c>
      <c r="M50" s="133" t="str">
        <f t="shared" ca="1" si="7"/>
        <v>N/A</v>
      </c>
      <c r="N50" s="133" t="str">
        <f t="shared" ca="1" si="7"/>
        <v>N/A</v>
      </c>
      <c r="O50" s="133" t="str">
        <f t="shared" ca="1" si="7"/>
        <v>N/A</v>
      </c>
      <c r="P50" s="133" t="str">
        <f t="shared" ca="1" si="7"/>
        <v>N/A</v>
      </c>
      <c r="Q50" s="133" t="str">
        <f t="shared" ca="1" si="7"/>
        <v>N/A</v>
      </c>
      <c r="R50" s="133" t="str">
        <f t="shared" ca="1" si="7"/>
        <v>N/A</v>
      </c>
      <c r="S50" s="133" t="str">
        <f t="shared" ca="1" si="7"/>
        <v>N/A</v>
      </c>
      <c r="T50" s="80"/>
      <c r="U50" s="80"/>
      <c r="V50" s="63"/>
    </row>
    <row r="51" spans="1:22" ht="14.25" hidden="1" customHeight="1" x14ac:dyDescent="0.2">
      <c r="A51" s="45"/>
      <c r="B51" s="117" t="str">
        <f t="shared" ca="1" si="2"/>
        <v/>
      </c>
      <c r="C51" s="1" t="str">
        <f>IF(ISERROR(D51),"",IF(D51="","",MAX($C$12:C50)+1))</f>
        <v/>
      </c>
      <c r="D51" t="e">
        <f t="shared" si="3"/>
        <v>#N/A</v>
      </c>
      <c r="E51" s="15"/>
      <c r="F51" s="133" t="str">
        <f t="shared" ca="1" si="4"/>
        <v>N/A</v>
      </c>
      <c r="G51" s="133" t="str">
        <f t="shared" si="5"/>
        <v>N/A</v>
      </c>
      <c r="H51" s="133" t="str">
        <f ca="1">IFERROR(IF(VLOOKUP($A51,LASTYR,'2017'!$I$3,FALSE)=0,"N/A",VLOOKUP($A51,LASTYR,'2017'!$I$3,FALSE)),"N/A")</f>
        <v>N/A</v>
      </c>
      <c r="I51" s="133" t="str">
        <f t="shared" ca="1" si="7"/>
        <v>N/A</v>
      </c>
      <c r="J51" s="133" t="str">
        <f t="shared" ca="1" si="7"/>
        <v>N/A</v>
      </c>
      <c r="K51" s="133" t="str">
        <f t="shared" ca="1" si="7"/>
        <v>N/A</v>
      </c>
      <c r="L51" s="133" t="str">
        <f t="shared" ca="1" si="7"/>
        <v>N/A</v>
      </c>
      <c r="M51" s="133" t="str">
        <f t="shared" ca="1" si="7"/>
        <v>N/A</v>
      </c>
      <c r="N51" s="133" t="str">
        <f t="shared" ca="1" si="7"/>
        <v>N/A</v>
      </c>
      <c r="O51" s="133" t="str">
        <f t="shared" ca="1" si="7"/>
        <v>N/A</v>
      </c>
      <c r="P51" s="133" t="str">
        <f t="shared" ca="1" si="7"/>
        <v>N/A</v>
      </c>
      <c r="Q51" s="133" t="str">
        <f t="shared" ca="1" si="7"/>
        <v>N/A</v>
      </c>
      <c r="R51" s="133" t="str">
        <f t="shared" ca="1" si="7"/>
        <v>N/A</v>
      </c>
      <c r="S51" s="133" t="str">
        <f t="shared" ca="1" si="7"/>
        <v>N/A</v>
      </c>
      <c r="T51" s="80"/>
      <c r="U51" s="80"/>
      <c r="V51" s="63"/>
    </row>
    <row r="52" spans="1:22" ht="14.25" hidden="1" customHeight="1" x14ac:dyDescent="0.2">
      <c r="A52" s="45"/>
      <c r="B52" s="117" t="str">
        <f t="shared" ca="1" si="2"/>
        <v/>
      </c>
      <c r="C52" s="1" t="str">
        <f>IF(ISERROR(D52),"",IF(D52="","",MAX($C$12:C51)+1))</f>
        <v/>
      </c>
      <c r="D52" t="e">
        <f t="shared" si="3"/>
        <v>#N/A</v>
      </c>
      <c r="E52" s="15"/>
      <c r="F52" s="133" t="str">
        <f t="shared" ca="1" si="4"/>
        <v>N/A</v>
      </c>
      <c r="G52" s="133" t="str">
        <f t="shared" si="5"/>
        <v>N/A</v>
      </c>
      <c r="H52" s="133" t="str">
        <f ca="1">IFERROR(IF(VLOOKUP($A52,LASTYR,'2017'!$I$3,FALSE)=0,"N/A",VLOOKUP($A52,LASTYR,'2017'!$I$3,FALSE)),"N/A")</f>
        <v>N/A</v>
      </c>
      <c r="I52" s="133" t="str">
        <f t="shared" ca="1" si="7"/>
        <v>N/A</v>
      </c>
      <c r="J52" s="133" t="str">
        <f t="shared" ca="1" si="7"/>
        <v>N/A</v>
      </c>
      <c r="K52" s="133" t="str">
        <f t="shared" ref="J52:S57" ca="1" si="8">IFERROR(IF(INDEX(Dividends,$B52,K$12)=0,"N/A",INDEX(Dividends,$B52,K$12)),"N/A")</f>
        <v>N/A</v>
      </c>
      <c r="L52" s="133" t="str">
        <f t="shared" ca="1" si="8"/>
        <v>N/A</v>
      </c>
      <c r="M52" s="133" t="str">
        <f t="shared" ca="1" si="8"/>
        <v>N/A</v>
      </c>
      <c r="N52" s="133" t="str">
        <f t="shared" ca="1" si="8"/>
        <v>N/A</v>
      </c>
      <c r="O52" s="133" t="str">
        <f t="shared" ca="1" si="8"/>
        <v>N/A</v>
      </c>
      <c r="P52" s="133" t="str">
        <f t="shared" ca="1" si="8"/>
        <v>N/A</v>
      </c>
      <c r="Q52" s="133" t="str">
        <f t="shared" ca="1" si="8"/>
        <v>N/A</v>
      </c>
      <c r="R52" s="133" t="str">
        <f t="shared" ca="1" si="8"/>
        <v>N/A</v>
      </c>
      <c r="S52" s="133" t="str">
        <f t="shared" ca="1" si="8"/>
        <v>N/A</v>
      </c>
      <c r="T52" s="80"/>
      <c r="U52" s="80"/>
      <c r="V52" s="63"/>
    </row>
    <row r="53" spans="1:22" ht="14.25" hidden="1" customHeight="1" x14ac:dyDescent="0.2">
      <c r="A53" s="45"/>
      <c r="B53" s="117" t="str">
        <f t="shared" ca="1" si="2"/>
        <v/>
      </c>
      <c r="C53" s="1" t="str">
        <f>IF(ISERROR(D53),"",IF(D53="","",MAX($C$12:C52)+1))</f>
        <v/>
      </c>
      <c r="D53" t="e">
        <f t="shared" si="3"/>
        <v>#N/A</v>
      </c>
      <c r="E53" s="15"/>
      <c r="F53" s="133" t="str">
        <f t="shared" ca="1" si="4"/>
        <v>N/A</v>
      </c>
      <c r="G53" s="133" t="str">
        <f t="shared" si="5"/>
        <v>N/A</v>
      </c>
      <c r="H53" s="133" t="str">
        <f ca="1">IFERROR(IF(VLOOKUP($A53,LASTYR,'2017'!$I$3,FALSE)=0,"N/A",VLOOKUP($A53,LASTYR,'2017'!$I$3,FALSE)),"N/A")</f>
        <v>N/A</v>
      </c>
      <c r="I53" s="133" t="str">
        <f t="shared" ref="I53:I57" ca="1" si="9">IFERROR(IF(INDEX(Dividends,$B53,I$12)=0,"N/A",INDEX(Dividends,$B53,I$12)),"N/A")</f>
        <v>N/A</v>
      </c>
      <c r="J53" s="133" t="str">
        <f t="shared" ca="1" si="8"/>
        <v>N/A</v>
      </c>
      <c r="K53" s="133" t="str">
        <f t="shared" ca="1" si="8"/>
        <v>N/A</v>
      </c>
      <c r="L53" s="133" t="str">
        <f t="shared" ca="1" si="8"/>
        <v>N/A</v>
      </c>
      <c r="M53" s="133" t="str">
        <f t="shared" ca="1" si="8"/>
        <v>N/A</v>
      </c>
      <c r="N53" s="133" t="str">
        <f t="shared" ca="1" si="8"/>
        <v>N/A</v>
      </c>
      <c r="O53" s="133" t="str">
        <f t="shared" ca="1" si="8"/>
        <v>N/A</v>
      </c>
      <c r="P53" s="133" t="str">
        <f t="shared" ca="1" si="8"/>
        <v>N/A</v>
      </c>
      <c r="Q53" s="133" t="str">
        <f t="shared" ca="1" si="8"/>
        <v>N/A</v>
      </c>
      <c r="R53" s="133" t="str">
        <f t="shared" ca="1" si="8"/>
        <v>N/A</v>
      </c>
      <c r="S53" s="133" t="str">
        <f t="shared" ca="1" si="8"/>
        <v>N/A</v>
      </c>
      <c r="T53" s="80"/>
      <c r="U53" s="80"/>
      <c r="V53" s="63"/>
    </row>
    <row r="54" spans="1:22" ht="14.25" hidden="1" customHeight="1" x14ac:dyDescent="0.2">
      <c r="A54" s="45"/>
      <c r="B54" s="117" t="str">
        <f t="shared" ca="1" si="2"/>
        <v/>
      </c>
      <c r="C54" s="1" t="str">
        <f>IF(ISERROR(D54),"",IF(D54="","",MAX($C$12:C53)+1))</f>
        <v/>
      </c>
      <c r="D54" t="e">
        <f t="shared" si="3"/>
        <v>#N/A</v>
      </c>
      <c r="E54" s="15"/>
      <c r="F54" s="133" t="str">
        <f t="shared" ca="1" si="4"/>
        <v>N/A</v>
      </c>
      <c r="G54" s="133" t="str">
        <f t="shared" si="5"/>
        <v>N/A</v>
      </c>
      <c r="H54" s="133" t="str">
        <f ca="1">IFERROR(IF(VLOOKUP($A54,LASTYR,'2017'!$I$3,FALSE)=0,"N/A",VLOOKUP($A54,LASTYR,'2017'!$I$3,FALSE)),"N/A")</f>
        <v>N/A</v>
      </c>
      <c r="I54" s="133" t="str">
        <f t="shared" ca="1" si="9"/>
        <v>N/A</v>
      </c>
      <c r="J54" s="133" t="str">
        <f t="shared" ca="1" si="8"/>
        <v>N/A</v>
      </c>
      <c r="K54" s="133" t="str">
        <f t="shared" ca="1" si="8"/>
        <v>N/A</v>
      </c>
      <c r="L54" s="133" t="str">
        <f t="shared" ca="1" si="8"/>
        <v>N/A</v>
      </c>
      <c r="M54" s="133" t="str">
        <f t="shared" ca="1" si="8"/>
        <v>N/A</v>
      </c>
      <c r="N54" s="133" t="str">
        <f t="shared" ca="1" si="8"/>
        <v>N/A</v>
      </c>
      <c r="O54" s="133" t="str">
        <f t="shared" ca="1" si="8"/>
        <v>N/A</v>
      </c>
      <c r="P54" s="133" t="str">
        <f t="shared" ca="1" si="8"/>
        <v>N/A</v>
      </c>
      <c r="Q54" s="133" t="str">
        <f t="shared" ca="1" si="8"/>
        <v>N/A</v>
      </c>
      <c r="R54" s="133" t="str">
        <f t="shared" ca="1" si="8"/>
        <v>N/A</v>
      </c>
      <c r="S54" s="133" t="str">
        <f t="shared" ca="1" si="8"/>
        <v>N/A</v>
      </c>
      <c r="T54" s="80"/>
      <c r="U54" s="80"/>
      <c r="V54" s="63"/>
    </row>
    <row r="55" spans="1:22" ht="14.25" hidden="1" customHeight="1" x14ac:dyDescent="0.2">
      <c r="A55" s="51"/>
      <c r="B55" s="117" t="str">
        <f t="shared" ca="1" si="2"/>
        <v/>
      </c>
      <c r="C55" s="1" t="str">
        <f>IF(ISERROR(D55),"",IF(D55="","",MAX($C$12:C54)+1))</f>
        <v/>
      </c>
      <c r="D55" t="e">
        <f t="shared" si="3"/>
        <v>#N/A</v>
      </c>
      <c r="F55" s="133" t="str">
        <f t="shared" ca="1" si="4"/>
        <v>N/A</v>
      </c>
      <c r="G55" s="133" t="str">
        <f t="shared" si="5"/>
        <v>N/A</v>
      </c>
      <c r="H55" s="133" t="str">
        <f ca="1">IFERROR(IF(VLOOKUP($A55,LASTYR,'2017'!$I$3,FALSE)=0,"N/A",VLOOKUP($A55,LASTYR,'2017'!$I$3,FALSE)),"N/A")</f>
        <v>N/A</v>
      </c>
      <c r="I55" s="133" t="str">
        <f t="shared" ca="1" si="9"/>
        <v>N/A</v>
      </c>
      <c r="J55" s="133" t="str">
        <f t="shared" ca="1" si="8"/>
        <v>N/A</v>
      </c>
      <c r="K55" s="133" t="str">
        <f t="shared" ca="1" si="8"/>
        <v>N/A</v>
      </c>
      <c r="L55" s="133" t="str">
        <f t="shared" ca="1" si="8"/>
        <v>N/A</v>
      </c>
      <c r="M55" s="133" t="str">
        <f t="shared" ca="1" si="8"/>
        <v>N/A</v>
      </c>
      <c r="N55" s="133" t="str">
        <f t="shared" ca="1" si="8"/>
        <v>N/A</v>
      </c>
      <c r="O55" s="133" t="str">
        <f t="shared" ca="1" si="8"/>
        <v>N/A</v>
      </c>
      <c r="P55" s="133" t="str">
        <f t="shared" ca="1" si="8"/>
        <v>N/A</v>
      </c>
      <c r="Q55" s="133" t="str">
        <f t="shared" ca="1" si="8"/>
        <v>N/A</v>
      </c>
      <c r="R55" s="133" t="str">
        <f t="shared" ca="1" si="8"/>
        <v>N/A</v>
      </c>
      <c r="S55" s="133" t="str">
        <f t="shared" ca="1" si="8"/>
        <v>N/A</v>
      </c>
      <c r="T55" s="80"/>
      <c r="U55" s="80"/>
      <c r="V55" s="63"/>
    </row>
    <row r="56" spans="1:22" ht="14.25" hidden="1" customHeight="1" x14ac:dyDescent="0.2">
      <c r="A56" s="51"/>
      <c r="B56" s="117" t="str">
        <f t="shared" ca="1" si="2"/>
        <v/>
      </c>
      <c r="C56" s="1" t="str">
        <f>IF(ISERROR(D56),"",IF(D56="","",MAX($C$12:C55)+1))</f>
        <v/>
      </c>
      <c r="D56" t="e">
        <f t="shared" si="3"/>
        <v>#N/A</v>
      </c>
      <c r="F56" s="133" t="str">
        <f t="shared" ca="1" si="4"/>
        <v>N/A</v>
      </c>
      <c r="G56" s="133" t="str">
        <f t="shared" si="5"/>
        <v>N/A</v>
      </c>
      <c r="H56" s="133" t="str">
        <f ca="1">IFERROR(IF(VLOOKUP($A56,LASTYR,'2017'!$I$3,FALSE)=0,"N/A",VLOOKUP($A56,LASTYR,'2017'!$I$3,FALSE)),"N/A")</f>
        <v>N/A</v>
      </c>
      <c r="I56" s="133" t="str">
        <f t="shared" ca="1" si="9"/>
        <v>N/A</v>
      </c>
      <c r="J56" s="133" t="str">
        <f t="shared" ca="1" si="8"/>
        <v>N/A</v>
      </c>
      <c r="K56" s="133" t="str">
        <f t="shared" ca="1" si="8"/>
        <v>N/A</v>
      </c>
      <c r="L56" s="133" t="str">
        <f t="shared" ca="1" si="8"/>
        <v>N/A</v>
      </c>
      <c r="M56" s="133" t="str">
        <f t="shared" ca="1" si="8"/>
        <v>N/A</v>
      </c>
      <c r="N56" s="133" t="str">
        <f t="shared" ca="1" si="8"/>
        <v>N/A</v>
      </c>
      <c r="O56" s="133" t="str">
        <f t="shared" ca="1" si="8"/>
        <v>N/A</v>
      </c>
      <c r="P56" s="133" t="str">
        <f t="shared" ca="1" si="8"/>
        <v>N/A</v>
      </c>
      <c r="Q56" s="133" t="str">
        <f t="shared" ca="1" si="8"/>
        <v>N/A</v>
      </c>
      <c r="R56" s="133" t="str">
        <f t="shared" ca="1" si="8"/>
        <v>N/A</v>
      </c>
      <c r="S56" s="133" t="str">
        <f t="shared" ca="1" si="8"/>
        <v>N/A</v>
      </c>
      <c r="T56" s="80"/>
      <c r="U56" s="80"/>
      <c r="V56" s="63"/>
    </row>
    <row r="57" spans="1:22" ht="14.25" hidden="1" customHeight="1" x14ac:dyDescent="0.2">
      <c r="A57" s="51"/>
      <c r="B57" s="117" t="str">
        <f t="shared" ca="1" si="2"/>
        <v/>
      </c>
      <c r="C57" s="1" t="str">
        <f>IF(ISERROR(D57),"",IF(D57="","",MAX($C$12:C56)+1))</f>
        <v/>
      </c>
      <c r="D57" t="e">
        <f t="shared" si="3"/>
        <v>#N/A</v>
      </c>
      <c r="F57" s="133" t="str">
        <f t="shared" ca="1" si="4"/>
        <v>N/A</v>
      </c>
      <c r="G57" s="133" t="str">
        <f t="shared" si="5"/>
        <v>N/A</v>
      </c>
      <c r="H57" s="133" t="str">
        <f ca="1">IFERROR(IF(VLOOKUP($A57,LASTYR,'2017'!$I$3,FALSE)=0,"N/A",VLOOKUP($A57,LASTYR,'2017'!$I$3,FALSE)),"N/A")</f>
        <v>N/A</v>
      </c>
      <c r="I57" s="133" t="str">
        <f t="shared" ca="1" si="9"/>
        <v>N/A</v>
      </c>
      <c r="J57" s="133" t="str">
        <f t="shared" ca="1" si="8"/>
        <v>N/A</v>
      </c>
      <c r="K57" s="133" t="str">
        <f t="shared" ca="1" si="8"/>
        <v>N/A</v>
      </c>
      <c r="L57" s="133" t="str">
        <f t="shared" ca="1" si="8"/>
        <v>N/A</v>
      </c>
      <c r="M57" s="133" t="str">
        <f t="shared" ca="1" si="8"/>
        <v>N/A</v>
      </c>
      <c r="N57" s="133" t="str">
        <f t="shared" ca="1" si="8"/>
        <v>N/A</v>
      </c>
      <c r="O57" s="133" t="str">
        <f t="shared" ca="1" si="8"/>
        <v>N/A</v>
      </c>
      <c r="P57" s="133" t="str">
        <f t="shared" ca="1" si="8"/>
        <v>N/A</v>
      </c>
      <c r="Q57" s="133" t="str">
        <f t="shared" ca="1" si="8"/>
        <v>N/A</v>
      </c>
      <c r="R57" s="133" t="str">
        <f t="shared" ca="1" si="8"/>
        <v>N/A</v>
      </c>
      <c r="S57" s="133" t="str">
        <f t="shared" ca="1" si="8"/>
        <v>N/A</v>
      </c>
      <c r="T57" s="80"/>
      <c r="U57" s="80"/>
      <c r="V57" s="63"/>
    </row>
    <row r="58" spans="1:22" x14ac:dyDescent="0.2">
      <c r="A58" s="31"/>
      <c r="B58" s="31"/>
      <c r="C58" s="1" t="str">
        <f>IF(ISERROR(D58),"",IF(D58="","",MAX($C$12:C57)+1))</f>
        <v/>
      </c>
      <c r="F58" s="80"/>
      <c r="G58" s="80"/>
      <c r="H58" s="133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63"/>
    </row>
    <row r="59" spans="1:22" ht="15" x14ac:dyDescent="0.25">
      <c r="A59" s="31"/>
      <c r="B59" s="31"/>
      <c r="C59" s="1">
        <f ca="1">IF(ISERROR(D59),"",IF(D59="","",MAX($C$12:C58)+1))</f>
        <v>10</v>
      </c>
      <c r="D59" s="111" t="s">
        <v>98</v>
      </c>
      <c r="E59" s="111"/>
      <c r="F59" s="135">
        <f ca="1">AVERAGE(G59:S59)</f>
        <v>0.70119551282051285</v>
      </c>
      <c r="G59" s="135">
        <f t="shared" ref="G59:R59" si="10">AVERAGE(G13:G58)</f>
        <v>0.97555555555555573</v>
      </c>
      <c r="H59" s="135">
        <f t="shared" ca="1" si="10"/>
        <v>0.90644444444444439</v>
      </c>
      <c r="I59" s="135">
        <f t="shared" ca="1" si="10"/>
        <v>0.85649999999999982</v>
      </c>
      <c r="J59" s="135">
        <f t="shared" ca="1" si="10"/>
        <v>0.78555555555555545</v>
      </c>
      <c r="K59" s="135">
        <f t="shared" ca="1" si="10"/>
        <v>0.74622222222222212</v>
      </c>
      <c r="L59" s="135">
        <f t="shared" ca="1" si="10"/>
        <v>0.68166666666666664</v>
      </c>
      <c r="M59" s="135">
        <f t="shared" ca="1" si="10"/>
        <v>0.69588888888888889</v>
      </c>
      <c r="N59" s="135">
        <f t="shared" ca="1" si="10"/>
        <v>0.63988888888888884</v>
      </c>
      <c r="O59" s="135">
        <f t="shared" ca="1" si="10"/>
        <v>0.62055555555555542</v>
      </c>
      <c r="P59" s="135">
        <f t="shared" ca="1" si="10"/>
        <v>0.60155555555555562</v>
      </c>
      <c r="Q59" s="135">
        <f t="shared" ca="1" si="10"/>
        <v>0.54833333333333334</v>
      </c>
      <c r="R59" s="135">
        <f t="shared" ca="1" si="10"/>
        <v>0.53499999999999992</v>
      </c>
      <c r="S59" s="135">
        <f ca="1">AVERAGE(S13:S58)</f>
        <v>0.52237500000000003</v>
      </c>
      <c r="T59" s="115"/>
      <c r="U59" s="115"/>
      <c r="V59" s="63"/>
    </row>
    <row r="60" spans="1:22" x14ac:dyDescent="0.2">
      <c r="A60" s="31"/>
      <c r="B60" s="31"/>
      <c r="C60" s="1"/>
      <c r="F60" s="80"/>
      <c r="G60" s="80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63"/>
      <c r="T60" s="63"/>
      <c r="U60" s="63"/>
      <c r="V60" s="63"/>
    </row>
    <row r="61" spans="1:22" ht="15" x14ac:dyDescent="0.25">
      <c r="A61" s="31"/>
      <c r="B61" s="31"/>
      <c r="C61" s="1">
        <v>43</v>
      </c>
      <c r="D61" s="111" t="s">
        <v>378</v>
      </c>
      <c r="F61" s="136">
        <f ca="1">(G59/R59)^(1/COUNT(H59:R59))-1</f>
        <v>5.6131559324455127E-2</v>
      </c>
    </row>
    <row r="62" spans="1:22" s="102" customFormat="1" ht="15" x14ac:dyDescent="0.25">
      <c r="C62" s="10"/>
      <c r="D62" s="10"/>
      <c r="E62" s="10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</row>
    <row r="63" spans="1:22" s="102" customFormat="1" x14ac:dyDescent="0.2">
      <c r="B63" s="105"/>
      <c r="C63" s="106"/>
      <c r="E63" s="20"/>
      <c r="F63" s="104"/>
      <c r="G63" s="104"/>
      <c r="H63" s="104"/>
      <c r="I63" s="104"/>
      <c r="J63" s="104"/>
      <c r="K63" s="104"/>
      <c r="L63" s="104"/>
      <c r="M63" s="104"/>
      <c r="N63" s="104"/>
      <c r="O63" s="104"/>
      <c r="P63" s="104"/>
      <c r="Q63" s="104"/>
      <c r="R63" s="104"/>
      <c r="S63" s="104"/>
      <c r="T63" s="104"/>
      <c r="U63" s="104"/>
      <c r="V63" s="104"/>
    </row>
    <row r="64" spans="1:22" s="102" customFormat="1" x14ac:dyDescent="0.2">
      <c r="B64" s="105"/>
      <c r="C64" s="106"/>
      <c r="E64" s="20"/>
      <c r="F64" s="104"/>
      <c r="G64" s="104"/>
      <c r="H64" s="104"/>
      <c r="I64" s="104"/>
      <c r="J64" s="104"/>
      <c r="K64" s="104"/>
      <c r="L64" s="104"/>
      <c r="M64" s="104"/>
      <c r="N64" s="104"/>
      <c r="O64" s="104"/>
      <c r="P64" s="104"/>
      <c r="Q64" s="104"/>
      <c r="R64" s="104"/>
      <c r="S64" s="104"/>
      <c r="T64" s="104"/>
      <c r="U64" s="104"/>
      <c r="V64" s="104"/>
    </row>
    <row r="65" spans="1:22" s="102" customFormat="1" x14ac:dyDescent="0.2">
      <c r="B65" s="105"/>
      <c r="C65" s="106"/>
      <c r="D65" s="18"/>
      <c r="E65" s="91"/>
      <c r="F65"/>
      <c r="G65"/>
      <c r="H65"/>
      <c r="I65" s="104"/>
      <c r="J65" s="104"/>
      <c r="K65" s="104"/>
      <c r="L65" s="104"/>
      <c r="M65" s="104"/>
      <c r="N65" s="104"/>
      <c r="O65" s="104"/>
      <c r="P65" s="104"/>
      <c r="Q65" s="104"/>
      <c r="R65" s="104"/>
      <c r="S65" s="104"/>
      <c r="T65" s="103"/>
      <c r="U65" s="103"/>
      <c r="V65" s="103"/>
    </row>
    <row r="66" spans="1:22" s="102" customFormat="1" x14ac:dyDescent="0.2">
      <c r="B66" s="105"/>
      <c r="C66" s="1"/>
      <c r="D66" s="20" t="s">
        <v>107</v>
      </c>
      <c r="E66"/>
      <c r="F66"/>
      <c r="G66"/>
      <c r="H66"/>
      <c r="I66" s="104"/>
      <c r="J66" s="104"/>
      <c r="K66" s="104"/>
      <c r="L66" s="104"/>
      <c r="M66" s="104"/>
      <c r="N66" s="104"/>
      <c r="O66" s="104"/>
      <c r="P66" s="104"/>
      <c r="Q66" s="104"/>
      <c r="R66" s="104"/>
      <c r="S66" s="104"/>
      <c r="T66" s="103"/>
      <c r="U66" s="103"/>
      <c r="V66" s="103"/>
    </row>
    <row r="67" spans="1:22" s="102" customFormat="1" ht="16.5" x14ac:dyDescent="0.2">
      <c r="B67" s="105"/>
      <c r="C67"/>
      <c r="D67" s="79">
        <v>1</v>
      </c>
      <c r="E67" s="21" t="str">
        <f>"The Value Line Investment Survey Investment Analyzer Software, downloaded on "&amp;TEXT('2017'!$A$1,"mmmm d, yyyy.")</f>
        <v>The Value Line Investment Survey Investment Analyzer Software, downloaded on June 21, 2018.</v>
      </c>
      <c r="F67"/>
      <c r="G67"/>
      <c r="H67"/>
      <c r="I67"/>
      <c r="J67"/>
      <c r="K67"/>
      <c r="L67"/>
      <c r="M67"/>
      <c r="N67"/>
      <c r="O67"/>
      <c r="P67"/>
      <c r="Q67"/>
      <c r="R67"/>
      <c r="S67" s="104"/>
      <c r="T67" s="103"/>
      <c r="U67" s="103"/>
      <c r="V67" s="103"/>
    </row>
    <row r="68" spans="1:22" ht="16.5" x14ac:dyDescent="0.2">
      <c r="A68" s="31"/>
      <c r="B68" s="31"/>
      <c r="D68" s="79">
        <v>2</v>
      </c>
      <c r="E68" s="21" t="str">
        <f>"The Value Line Investment Survey, "&amp;'2018 Data (WP)'!$D$3</f>
        <v>The Value Line Investment Survey, October 12, 2018.</v>
      </c>
    </row>
    <row r="69" spans="1:22" x14ac:dyDescent="0.2">
      <c r="A69" s="31"/>
      <c r="B69" s="31"/>
      <c r="D69" s="20" t="s">
        <v>329</v>
      </c>
    </row>
    <row r="70" spans="1:22" x14ac:dyDescent="0.2">
      <c r="D70" t="s">
        <v>379</v>
      </c>
    </row>
  </sheetData>
  <mergeCells count="5">
    <mergeCell ref="C1:R1"/>
    <mergeCell ref="C4:R4"/>
    <mergeCell ref="C5:R5"/>
    <mergeCell ref="D10:E10"/>
    <mergeCell ref="F8:S8"/>
  </mergeCells>
  <printOptions horizontalCentered="1"/>
  <pageMargins left="0.7" right="0.7" top="1" bottom="0.75" header="0.55000000000000004" footer="0.51"/>
  <pageSetup scale="70" fitToHeight="0" orientation="landscape" useFirstPageNumber="1" r:id="rId1"/>
  <headerFooter>
    <oddHeader>&amp;R&amp;19Exhibit MPG-2
Page 4 of 4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pageSetUpPr fitToPage="1"/>
  </sheetPr>
  <dimension ref="A1:X72"/>
  <sheetViews>
    <sheetView zoomScale="80" zoomScaleNormal="80" workbookViewId="0">
      <selection activeCell="O78" sqref="O78"/>
    </sheetView>
  </sheetViews>
  <sheetFormatPr defaultRowHeight="14.25" x14ac:dyDescent="0.2"/>
  <cols>
    <col min="1" max="2" width="8" customWidth="1"/>
    <col min="3" max="3" width="9" customWidth="1"/>
    <col min="4" max="4" width="4.75" bestFit="1" customWidth="1"/>
    <col min="5" max="5" width="2.125" customWidth="1"/>
    <col min="6" max="6" width="18.75" customWidth="1"/>
    <col min="7" max="9" width="9" customWidth="1"/>
    <col min="10" max="10" width="3.375" customWidth="1"/>
    <col min="11" max="20" width="9" customWidth="1"/>
    <col min="21" max="21" width="9" hidden="1" customWidth="1"/>
    <col min="22" max="24" width="0" hidden="1" customWidth="1"/>
  </cols>
  <sheetData>
    <row r="1" spans="1:24" ht="27.75" x14ac:dyDescent="0.4">
      <c r="C1" s="236" t="str">
        <f>WaterU</f>
        <v>Indiana-American Water Company, Inc.</v>
      </c>
      <c r="D1" s="236"/>
      <c r="E1" s="236"/>
      <c r="F1" s="236"/>
      <c r="G1" s="236"/>
      <c r="H1" s="236"/>
      <c r="I1" s="236"/>
      <c r="J1" s="236"/>
      <c r="K1" s="236"/>
      <c r="L1" s="236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</row>
    <row r="2" spans="1:24" x14ac:dyDescent="0.2">
      <c r="D2" s="4"/>
      <c r="E2" s="5"/>
      <c r="F2" s="6"/>
      <c r="G2" s="6"/>
      <c r="H2" s="6"/>
      <c r="I2" s="6"/>
      <c r="J2" s="6"/>
      <c r="K2" s="6"/>
      <c r="L2" s="6"/>
      <c r="M2" s="6"/>
      <c r="N2" s="6"/>
      <c r="O2" s="6"/>
      <c r="P2" s="7"/>
      <c r="Q2" s="7"/>
      <c r="R2" s="7"/>
      <c r="S2" s="7"/>
      <c r="T2" s="7"/>
      <c r="U2" s="7"/>
      <c r="V2" s="7"/>
      <c r="W2" s="7"/>
    </row>
    <row r="3" spans="1:24" x14ac:dyDescent="0.2">
      <c r="D3" s="4"/>
      <c r="E3" s="5"/>
      <c r="F3" s="6"/>
      <c r="G3" s="6"/>
      <c r="H3" s="6"/>
      <c r="I3" s="6"/>
      <c r="J3" s="6"/>
      <c r="K3" s="6"/>
      <c r="L3" s="6"/>
      <c r="M3" s="6"/>
      <c r="N3" s="6"/>
      <c r="O3" s="6"/>
      <c r="P3" s="7"/>
      <c r="Q3" s="7"/>
      <c r="R3" s="7"/>
      <c r="S3" s="7"/>
      <c r="T3" s="7"/>
      <c r="U3" s="7"/>
      <c r="V3" s="7"/>
      <c r="W3" s="7"/>
    </row>
    <row r="4" spans="1:24" ht="20.25" x14ac:dyDescent="0.3">
      <c r="D4" s="237" t="s">
        <v>363</v>
      </c>
      <c r="E4" s="237"/>
      <c r="F4" s="237"/>
      <c r="G4" s="237"/>
      <c r="H4" s="237"/>
      <c r="I4" s="237"/>
      <c r="J4" s="237"/>
      <c r="K4" s="237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</row>
    <row r="5" spans="1:24" ht="18" x14ac:dyDescent="0.25">
      <c r="D5" s="238" t="s">
        <v>274</v>
      </c>
      <c r="E5" s="238"/>
      <c r="F5" s="238"/>
      <c r="G5" s="238"/>
      <c r="H5" s="238"/>
      <c r="I5" s="238"/>
      <c r="J5" s="238"/>
      <c r="K5" s="238"/>
      <c r="L5" s="123"/>
      <c r="M5" s="123"/>
      <c r="N5" s="123"/>
      <c r="O5" s="123"/>
      <c r="P5" s="123"/>
      <c r="Q5" s="123"/>
      <c r="R5" s="123"/>
      <c r="S5" s="123"/>
      <c r="T5" s="123"/>
      <c r="U5" s="123"/>
      <c r="V5" s="123"/>
      <c r="W5" s="123"/>
      <c r="X5" s="123"/>
    </row>
    <row r="6" spans="1:24" x14ac:dyDescent="0.2">
      <c r="D6" s="6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4" x14ac:dyDescent="0.2">
      <c r="D7" s="6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4" ht="15" x14ac:dyDescent="0.25">
      <c r="A8" s="31"/>
      <c r="B8" s="31"/>
      <c r="C8" s="31"/>
      <c r="E8" s="126"/>
      <c r="F8" s="126"/>
      <c r="G8" s="126"/>
      <c r="H8" s="126"/>
      <c r="I8" s="126"/>
      <c r="J8" s="126"/>
      <c r="K8" s="126"/>
    </row>
    <row r="9" spans="1:24" ht="15" x14ac:dyDescent="0.25">
      <c r="A9" s="31"/>
      <c r="B9" s="31"/>
      <c r="C9" s="31"/>
      <c r="D9" s="6"/>
      <c r="E9" s="6"/>
      <c r="F9" s="19"/>
      <c r="G9" s="240" t="s">
        <v>377</v>
      </c>
      <c r="H9" s="240"/>
      <c r="I9" s="240"/>
      <c r="J9" s="240"/>
      <c r="K9" s="240"/>
      <c r="L9" s="118"/>
      <c r="M9" s="118"/>
      <c r="N9" s="118"/>
      <c r="O9" s="118"/>
      <c r="P9" s="118"/>
      <c r="Q9" s="118"/>
      <c r="R9" s="118"/>
      <c r="S9" s="118"/>
      <c r="T9" s="118"/>
      <c r="U9" s="118"/>
      <c r="V9" s="118"/>
      <c r="W9" s="118"/>
      <c r="X9" s="118"/>
    </row>
    <row r="10" spans="1:24" ht="15" x14ac:dyDescent="0.25">
      <c r="A10" s="31"/>
      <c r="B10" s="31"/>
      <c r="C10" s="31"/>
      <c r="D10" s="6"/>
      <c r="E10" s="7"/>
      <c r="F10" s="7"/>
      <c r="G10" s="8"/>
      <c r="H10" s="8"/>
      <c r="I10" s="8"/>
      <c r="J10" s="8"/>
      <c r="K10" s="8" t="s">
        <v>372</v>
      </c>
      <c r="L10" s="8"/>
      <c r="M10" s="8"/>
      <c r="N10" s="8"/>
      <c r="O10" s="8"/>
      <c r="P10" s="8"/>
      <c r="Q10" s="7"/>
      <c r="R10" s="7"/>
      <c r="S10" s="7"/>
      <c r="T10" s="7"/>
      <c r="U10" s="7"/>
      <c r="V10" s="7"/>
      <c r="W10" s="7"/>
    </row>
    <row r="11" spans="1:24" ht="15" x14ac:dyDescent="0.25">
      <c r="A11" s="31"/>
      <c r="B11" s="31"/>
      <c r="C11" s="31"/>
      <c r="D11" s="9" t="s">
        <v>96</v>
      </c>
      <c r="E11" s="234" t="s">
        <v>97</v>
      </c>
      <c r="F11" s="234"/>
      <c r="G11" s="10" t="s">
        <v>374</v>
      </c>
      <c r="H11" s="41">
        <v>2018</v>
      </c>
      <c r="I11" s="10" t="s">
        <v>468</v>
      </c>
      <c r="J11" s="41"/>
      <c r="K11" s="41" t="s">
        <v>373</v>
      </c>
      <c r="L11" s="41"/>
      <c r="M11" s="41"/>
      <c r="N11" s="41"/>
      <c r="O11" s="41"/>
      <c r="P11" s="41"/>
      <c r="Q11" s="41"/>
      <c r="R11" s="41"/>
      <c r="S11" s="41"/>
      <c r="T11" s="41"/>
      <c r="U11" s="41">
        <v>2005</v>
      </c>
      <c r="V11" s="41"/>
      <c r="W11" s="41"/>
      <c r="X11" s="41"/>
    </row>
    <row r="12" spans="1:24" ht="15" x14ac:dyDescent="0.25">
      <c r="A12" s="42"/>
      <c r="B12" s="42"/>
      <c r="C12" s="42"/>
      <c r="D12" s="9"/>
      <c r="E12" s="11"/>
      <c r="F12" s="11"/>
      <c r="G12" s="12">
        <f>0-1</f>
        <v>-1</v>
      </c>
      <c r="H12" s="12">
        <f t="shared" ref="H12:U12" si="0">+G12-1</f>
        <v>-2</v>
      </c>
      <c r="I12" s="12">
        <f>+H12-1</f>
        <v>-3</v>
      </c>
      <c r="J12" s="12"/>
      <c r="K12" s="12">
        <f>+I12-1</f>
        <v>-4</v>
      </c>
      <c r="L12" s="12"/>
      <c r="M12" s="12"/>
      <c r="N12" s="12"/>
      <c r="O12" s="12"/>
      <c r="P12" s="12"/>
      <c r="Q12" s="12"/>
      <c r="R12" s="12"/>
      <c r="S12" s="12"/>
      <c r="T12" s="12"/>
      <c r="U12" s="12">
        <f t="shared" si="0"/>
        <v>-1</v>
      </c>
      <c r="V12" s="12"/>
      <c r="W12" s="12"/>
      <c r="X12" s="12"/>
    </row>
    <row r="13" spans="1:24" x14ac:dyDescent="0.2">
      <c r="A13" s="43"/>
      <c r="B13" s="44"/>
      <c r="C13" s="44"/>
      <c r="D13" s="6"/>
      <c r="F13" s="22"/>
      <c r="G13" s="3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 t="e">
        <f t="shared" ref="U13:X13" ca="1" si="1">MATCH(VALUE(LEFT(U11,4)),OFFSET(CF_CAP_WP,-1,0,1,),0)</f>
        <v>#N/A</v>
      </c>
      <c r="V13" s="16" t="e">
        <f t="shared" ca="1" si="1"/>
        <v>#VALUE!</v>
      </c>
      <c r="W13" s="16" t="e">
        <f t="shared" ca="1" si="1"/>
        <v>#VALUE!</v>
      </c>
      <c r="X13" s="16" t="e">
        <f t="shared" ca="1" si="1"/>
        <v>#VALUE!</v>
      </c>
    </row>
    <row r="14" spans="1:24" x14ac:dyDescent="0.2">
      <c r="A14" s="45" t="s">
        <v>165</v>
      </c>
      <c r="B14" s="46">
        <f t="shared" ref="B14:B58" si="2">MATCH(A14,CapCashTic,0)</f>
        <v>8</v>
      </c>
      <c r="C14" s="46"/>
      <c r="D14" s="1">
        <f>IF(ISERROR(E14),"",IF(E14="","",MAX($D$12:D13)+1))</f>
        <v>1</v>
      </c>
      <c r="E14" t="s">
        <v>164</v>
      </c>
      <c r="F14" s="15"/>
      <c r="G14" s="124">
        <f>IFERROR(INDEX(CapCash,$B14,7)/INDEX(CapCash,$B14,3),"N/A")</f>
        <v>0.95817120622568097</v>
      </c>
      <c r="H14" s="124">
        <f t="shared" ref="H14:H58" si="3">IFERROR(VLOOKUP($A14,LUCurYr,21,0),"N/A")</f>
        <v>0.80882352941176472</v>
      </c>
      <c r="I14" s="124">
        <f t="shared" ref="I14:I58" si="4">IFERROR(VLOOKUP($A14,LUCurYr,23,0),"N/A")</f>
        <v>0.95588235294117652</v>
      </c>
      <c r="J14" s="124"/>
      <c r="K14" s="124">
        <f t="shared" ref="K14:K58" si="5">IFERROR(VLOOKUP($A14,LUCurYr,24,0),"N/A")</f>
        <v>1.2307692307692308</v>
      </c>
      <c r="L14" s="63"/>
      <c r="M14" s="63"/>
      <c r="N14" s="63"/>
      <c r="O14" s="63"/>
      <c r="P14" s="63"/>
      <c r="Q14" s="63"/>
      <c r="R14" s="63"/>
      <c r="S14" s="63"/>
      <c r="T14" s="63"/>
      <c r="U14" s="63"/>
      <c r="V14" s="17"/>
      <c r="W14" s="17"/>
      <c r="X14" s="17"/>
    </row>
    <row r="15" spans="1:24" x14ac:dyDescent="0.2">
      <c r="A15" s="45" t="s">
        <v>167</v>
      </c>
      <c r="B15" s="46">
        <f t="shared" si="2"/>
        <v>9</v>
      </c>
      <c r="C15" s="46"/>
      <c r="D15" s="1">
        <f>IF(ISERROR(E15),"",IF(E15="","",MAX($D$12:D14)+1))</f>
        <v>2</v>
      </c>
      <c r="E15" t="s">
        <v>166</v>
      </c>
      <c r="F15" s="15"/>
      <c r="G15" s="124">
        <f t="shared" ref="G15:G58" si="6">IFERROR(INDEX(CapCash,$B15,7)/INDEX(CapCash,$B15,3),"N/A")</f>
        <v>0.63962170233947235</v>
      </c>
      <c r="H15" s="124">
        <f t="shared" si="3"/>
        <v>0.60416666666666663</v>
      </c>
      <c r="I15" s="124">
        <f t="shared" si="4"/>
        <v>0.65968586387434547</v>
      </c>
      <c r="J15" s="124"/>
      <c r="K15" s="124">
        <f t="shared" si="5"/>
        <v>0.83695652173913049</v>
      </c>
      <c r="L15" s="63"/>
      <c r="M15" s="63"/>
      <c r="N15" s="63"/>
      <c r="O15" s="63"/>
      <c r="P15" s="63"/>
      <c r="Q15" s="63"/>
      <c r="R15" s="63"/>
      <c r="S15" s="63"/>
      <c r="T15" s="63"/>
      <c r="U15" s="63"/>
      <c r="V15" s="17"/>
      <c r="W15" s="17"/>
      <c r="X15" s="17"/>
    </row>
    <row r="16" spans="1:24" x14ac:dyDescent="0.2">
      <c r="A16" s="45" t="s">
        <v>171</v>
      </c>
      <c r="B16" s="46">
        <f t="shared" si="2"/>
        <v>12</v>
      </c>
      <c r="C16" s="46"/>
      <c r="D16" s="1">
        <f>IF(ISERROR(E16),"",IF(E16="","",MAX($D$12:D15)+1))</f>
        <v>3</v>
      </c>
      <c r="E16" t="s">
        <v>170</v>
      </c>
      <c r="F16" s="15"/>
      <c r="G16" s="124">
        <f t="shared" si="6"/>
        <v>0.78736059479553899</v>
      </c>
      <c r="H16" s="124">
        <f t="shared" si="3"/>
        <v>0.83018867924528317</v>
      </c>
      <c r="I16" s="124">
        <f t="shared" si="4"/>
        <v>0.90566037735849059</v>
      </c>
      <c r="J16" s="124"/>
      <c r="K16" s="124">
        <f t="shared" si="5"/>
        <v>1.3809523809523809</v>
      </c>
      <c r="L16" s="63"/>
      <c r="M16" s="63"/>
      <c r="N16" s="63"/>
      <c r="O16" s="63"/>
      <c r="P16" s="63"/>
      <c r="Q16" s="63"/>
      <c r="R16" s="63"/>
      <c r="S16" s="63"/>
      <c r="T16" s="63"/>
      <c r="U16" s="63"/>
      <c r="V16" s="17"/>
      <c r="W16" s="17"/>
      <c r="X16" s="17"/>
    </row>
    <row r="17" spans="1:24" x14ac:dyDescent="0.2">
      <c r="A17" s="45" t="s">
        <v>177</v>
      </c>
      <c r="B17" s="46">
        <f t="shared" si="2"/>
        <v>18</v>
      </c>
      <c r="C17" s="46"/>
      <c r="D17" s="1">
        <f>IF(ISERROR(E17),"",IF(E17="","",MAX($D$12:D16)+1))</f>
        <v>4</v>
      </c>
      <c r="E17" t="s">
        <v>176</v>
      </c>
      <c r="F17" s="15"/>
      <c r="G17" s="124">
        <f t="shared" si="6"/>
        <v>0.55547323578440455</v>
      </c>
      <c r="H17" s="124">
        <f t="shared" si="3"/>
        <v>0.60919540229885061</v>
      </c>
      <c r="I17" s="124">
        <f t="shared" si="4"/>
        <v>0.74683544303797467</v>
      </c>
      <c r="J17" s="124"/>
      <c r="K17" s="124">
        <f t="shared" si="5"/>
        <v>0.90410958904109584</v>
      </c>
      <c r="L17" s="63"/>
      <c r="M17" s="63"/>
      <c r="N17" s="63"/>
      <c r="O17" s="63"/>
      <c r="P17" s="63"/>
      <c r="Q17" s="63"/>
      <c r="R17" s="63"/>
      <c r="S17" s="63"/>
      <c r="T17" s="63"/>
      <c r="U17" s="63"/>
      <c r="V17" s="17"/>
      <c r="W17" s="17"/>
      <c r="X17" s="17"/>
    </row>
    <row r="18" spans="1:24" x14ac:dyDescent="0.2">
      <c r="A18" s="45" t="s">
        <v>180</v>
      </c>
      <c r="B18" s="46">
        <f t="shared" si="2"/>
        <v>22</v>
      </c>
      <c r="C18" s="46"/>
      <c r="D18" s="1">
        <f>IF(ISERROR(E18),"",IF(E18="","",MAX($D$12:D17)+1))</f>
        <v>5</v>
      </c>
      <c r="E18" t="s">
        <v>179</v>
      </c>
      <c r="F18" s="15"/>
      <c r="G18" s="124">
        <f t="shared" si="6"/>
        <v>0.77178612059158136</v>
      </c>
      <c r="H18" s="124">
        <f t="shared" si="3"/>
        <v>0.7078651685393258</v>
      </c>
      <c r="I18" s="124">
        <f t="shared" si="4"/>
        <v>0.98750000000000004</v>
      </c>
      <c r="J18" s="124"/>
      <c r="K18" s="124">
        <f t="shared" si="5"/>
        <v>1.3432835820895521</v>
      </c>
      <c r="L18" s="63"/>
      <c r="M18" s="63"/>
      <c r="N18" s="63"/>
      <c r="O18" s="63"/>
      <c r="P18" s="63"/>
      <c r="Q18" s="63"/>
      <c r="R18" s="63"/>
      <c r="S18" s="63"/>
      <c r="T18" s="63"/>
      <c r="U18" s="63"/>
      <c r="V18" s="17"/>
      <c r="W18" s="17"/>
      <c r="X18" s="17"/>
    </row>
    <row r="19" spans="1:24" x14ac:dyDescent="0.2">
      <c r="A19" s="45" t="s">
        <v>182</v>
      </c>
      <c r="B19" s="46">
        <f t="shared" si="2"/>
        <v>24</v>
      </c>
      <c r="C19" s="46"/>
      <c r="D19" s="1">
        <f>IF(ISERROR(E19),"",IF(E19="","",MAX($D$12:D18)+1))</f>
        <v>6</v>
      </c>
      <c r="E19" t="s">
        <v>181</v>
      </c>
      <c r="F19" s="15"/>
      <c r="G19" s="124">
        <f t="shared" si="6"/>
        <v>3.6384364820846904</v>
      </c>
      <c r="H19" s="124">
        <f t="shared" si="3"/>
        <v>5.25</v>
      </c>
      <c r="I19" s="124">
        <f t="shared" si="4"/>
        <v>5.7499999999999991</v>
      </c>
      <c r="J19" s="124"/>
      <c r="K19" s="124">
        <f t="shared" si="5"/>
        <v>1</v>
      </c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17"/>
      <c r="W19" s="17"/>
      <c r="X19" s="17"/>
    </row>
    <row r="20" spans="1:24" x14ac:dyDescent="0.2">
      <c r="A20" s="45" t="s">
        <v>188</v>
      </c>
      <c r="B20" s="46">
        <f t="shared" si="2"/>
        <v>38</v>
      </c>
      <c r="C20" s="46"/>
      <c r="D20" s="1">
        <f>IF(ISERROR(E20),"",IF(E20="","",MAX($D$12:D19)+1))</f>
        <v>7</v>
      </c>
      <c r="E20" t="s">
        <v>187</v>
      </c>
      <c r="F20" s="15"/>
      <c r="G20" s="124">
        <f t="shared" si="6"/>
        <v>0.72724317295188556</v>
      </c>
      <c r="H20" s="124">
        <f t="shared" si="3"/>
        <v>0.86885245901639352</v>
      </c>
      <c r="I20" s="124">
        <f t="shared" si="4"/>
        <v>0.8833333333333333</v>
      </c>
      <c r="J20" s="124"/>
      <c r="K20" s="124">
        <f t="shared" si="5"/>
        <v>1.3</v>
      </c>
      <c r="L20" s="63"/>
      <c r="M20" s="63"/>
      <c r="N20" s="63"/>
      <c r="O20" s="63"/>
      <c r="P20" s="63"/>
      <c r="Q20" s="63"/>
      <c r="R20" s="63"/>
      <c r="S20" s="63"/>
      <c r="T20" s="63"/>
      <c r="U20" s="63"/>
      <c r="V20" s="17"/>
      <c r="W20" s="17"/>
      <c r="X20" s="17"/>
    </row>
    <row r="21" spans="1:24" x14ac:dyDescent="0.2">
      <c r="A21" s="45" t="s">
        <v>196</v>
      </c>
      <c r="B21" s="46">
        <f t="shared" si="2"/>
        <v>56</v>
      </c>
      <c r="C21" s="46"/>
      <c r="D21" s="1">
        <f>IF(ISERROR(E21),"",IF(E21="","",MAX($D$12:D20)+1))</f>
        <v>8</v>
      </c>
      <c r="E21" t="s">
        <v>195</v>
      </c>
      <c r="F21" s="15"/>
      <c r="G21" s="124">
        <f t="shared" si="6"/>
        <v>0.72109030837004406</v>
      </c>
      <c r="H21" s="124">
        <f t="shared" si="3"/>
        <v>0.86363636363636365</v>
      </c>
      <c r="I21" s="124">
        <f t="shared" si="4"/>
        <v>0.99047619047619051</v>
      </c>
      <c r="J21" s="124"/>
      <c r="K21" s="124">
        <f t="shared" si="5"/>
        <v>1.1300000000000001</v>
      </c>
      <c r="L21" s="63"/>
      <c r="M21" s="63"/>
      <c r="N21" s="63"/>
      <c r="O21" s="63"/>
      <c r="P21" s="63"/>
      <c r="Q21" s="63"/>
      <c r="R21" s="63"/>
      <c r="S21" s="63"/>
      <c r="T21" s="63"/>
      <c r="U21" s="63"/>
      <c r="V21" s="17"/>
      <c r="W21" s="17"/>
      <c r="X21" s="17"/>
    </row>
    <row r="22" spans="1:24" x14ac:dyDescent="0.2">
      <c r="A22" s="45" t="s">
        <v>208</v>
      </c>
      <c r="B22" s="46">
        <f t="shared" si="2"/>
        <v>68</v>
      </c>
      <c r="C22" s="46"/>
      <c r="D22" s="1">
        <f>IF(ISERROR(E22),"",IF(E22="","",MAX($D$12:D21)+1))</f>
        <v>9</v>
      </c>
      <c r="E22" t="s">
        <v>207</v>
      </c>
      <c r="F22" s="15"/>
      <c r="G22" s="124">
        <f t="shared" si="6"/>
        <v>0.78747433264887068</v>
      </c>
      <c r="H22" s="124">
        <f t="shared" si="3"/>
        <v>0.85</v>
      </c>
      <c r="I22" s="124">
        <f t="shared" si="4"/>
        <v>1.0285714285714287</v>
      </c>
      <c r="J22" s="124"/>
      <c r="K22" s="124">
        <f t="shared" si="5"/>
        <v>1.5999999999999999</v>
      </c>
      <c r="L22" s="63"/>
      <c r="M22" s="63"/>
      <c r="N22" s="63"/>
      <c r="O22" s="63"/>
      <c r="P22" s="63"/>
      <c r="Q22" s="63"/>
      <c r="R22" s="63"/>
      <c r="S22" s="63"/>
      <c r="T22" s="63"/>
      <c r="U22" s="63"/>
      <c r="V22" s="17"/>
      <c r="W22" s="17"/>
      <c r="X22" s="17"/>
    </row>
    <row r="23" spans="1:24" hidden="1" x14ac:dyDescent="0.2">
      <c r="A23" s="45"/>
      <c r="B23" s="46" t="e">
        <f t="shared" si="2"/>
        <v>#N/A</v>
      </c>
      <c r="C23" s="46"/>
      <c r="D23" s="1" t="str">
        <f>IF(ISERROR(E23),"",IF(E23="","",MAX($D$12:D22)+1))</f>
        <v/>
      </c>
      <c r="F23" s="22"/>
      <c r="G23" s="124" t="str">
        <f t="shared" si="6"/>
        <v>N/A</v>
      </c>
      <c r="H23" s="124" t="str">
        <f t="shared" si="3"/>
        <v>N/A</v>
      </c>
      <c r="I23" s="124" t="str">
        <f t="shared" si="4"/>
        <v>N/A</v>
      </c>
      <c r="J23" s="124"/>
      <c r="K23" s="124" t="str">
        <f t="shared" si="5"/>
        <v>N/A</v>
      </c>
      <c r="L23" s="63"/>
      <c r="M23" s="63"/>
      <c r="N23" s="63"/>
      <c r="O23" s="63"/>
      <c r="P23" s="63"/>
      <c r="Q23" s="63"/>
      <c r="R23" s="63"/>
      <c r="S23" s="63"/>
      <c r="T23" s="63"/>
      <c r="U23" s="63"/>
      <c r="V23" s="17"/>
      <c r="W23" s="17"/>
      <c r="X23" s="17"/>
    </row>
    <row r="24" spans="1:24" hidden="1" x14ac:dyDescent="0.2">
      <c r="A24" s="45"/>
      <c r="B24" s="46" t="e">
        <f t="shared" si="2"/>
        <v>#N/A</v>
      </c>
      <c r="C24" s="46"/>
      <c r="D24" s="1" t="str">
        <f>IF(ISERROR(E24),"",IF(E24="","",MAX($D$12:D23)+1))</f>
        <v/>
      </c>
      <c r="F24" s="22"/>
      <c r="G24" s="124" t="str">
        <f t="shared" si="6"/>
        <v>N/A</v>
      </c>
      <c r="H24" s="124" t="str">
        <f t="shared" si="3"/>
        <v>N/A</v>
      </c>
      <c r="I24" s="124" t="str">
        <f t="shared" si="4"/>
        <v>N/A</v>
      </c>
      <c r="J24" s="124"/>
      <c r="K24" s="124" t="str">
        <f t="shared" si="5"/>
        <v>N/A</v>
      </c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17"/>
      <c r="W24" s="17"/>
      <c r="X24" s="17"/>
    </row>
    <row r="25" spans="1:24" hidden="1" x14ac:dyDescent="0.2">
      <c r="A25" s="51"/>
      <c r="B25" s="46" t="e">
        <f t="shared" si="2"/>
        <v>#N/A</v>
      </c>
      <c r="C25" s="46"/>
      <c r="D25" s="1" t="str">
        <f>IF(ISERROR(E25),"",IF(E25="","",MAX($D$12:D24)+1))</f>
        <v/>
      </c>
      <c r="F25" s="22"/>
      <c r="G25" s="124" t="str">
        <f t="shared" si="6"/>
        <v>N/A</v>
      </c>
      <c r="H25" s="124" t="str">
        <f t="shared" si="3"/>
        <v>N/A</v>
      </c>
      <c r="I25" s="124" t="str">
        <f t="shared" si="4"/>
        <v>N/A</v>
      </c>
      <c r="J25" s="124"/>
      <c r="K25" s="124" t="str">
        <f t="shared" si="5"/>
        <v>N/A</v>
      </c>
      <c r="L25" s="63"/>
      <c r="M25" s="63"/>
      <c r="N25" s="63"/>
      <c r="O25" s="63"/>
      <c r="P25" s="63"/>
      <c r="Q25" s="63"/>
      <c r="R25" s="63"/>
      <c r="S25" s="63"/>
      <c r="T25" s="63"/>
      <c r="U25" s="63"/>
      <c r="V25" s="17"/>
      <c r="W25" s="17"/>
      <c r="X25" s="17"/>
    </row>
    <row r="26" spans="1:24" hidden="1" x14ac:dyDescent="0.2">
      <c r="A26" s="51"/>
      <c r="B26" s="46" t="e">
        <f t="shared" si="2"/>
        <v>#N/A</v>
      </c>
      <c r="C26" s="46"/>
      <c r="D26" s="1" t="str">
        <f>IF(ISERROR(E26),"",IF(E26="","",MAX($D$12:D25)+1))</f>
        <v/>
      </c>
      <c r="F26" s="22"/>
      <c r="G26" s="124" t="str">
        <f t="shared" si="6"/>
        <v>N/A</v>
      </c>
      <c r="H26" s="124" t="str">
        <f t="shared" si="3"/>
        <v>N/A</v>
      </c>
      <c r="I26" s="124" t="str">
        <f t="shared" si="4"/>
        <v>N/A</v>
      </c>
      <c r="J26" s="124"/>
      <c r="K26" s="124" t="str">
        <f t="shared" si="5"/>
        <v>N/A</v>
      </c>
      <c r="L26" s="63"/>
      <c r="M26" s="63"/>
      <c r="N26" s="63"/>
      <c r="O26" s="63"/>
      <c r="P26" s="63"/>
      <c r="Q26" s="63"/>
      <c r="R26" s="63"/>
      <c r="S26" s="63"/>
      <c r="T26" s="63"/>
      <c r="U26" s="63"/>
      <c r="V26" s="17"/>
      <c r="W26" s="17"/>
      <c r="X26" s="17"/>
    </row>
    <row r="27" spans="1:24" hidden="1" x14ac:dyDescent="0.2">
      <c r="A27" s="51"/>
      <c r="B27" s="46" t="e">
        <f t="shared" si="2"/>
        <v>#N/A</v>
      </c>
      <c r="C27" s="46"/>
      <c r="D27" s="1" t="str">
        <f>IF(ISERROR(E27),"",IF(E27="","",MAX($D$12:D26)+1))</f>
        <v/>
      </c>
      <c r="F27" s="22"/>
      <c r="G27" s="124" t="str">
        <f t="shared" si="6"/>
        <v>N/A</v>
      </c>
      <c r="H27" s="124" t="str">
        <f t="shared" si="3"/>
        <v>N/A</v>
      </c>
      <c r="I27" s="124" t="str">
        <f t="shared" si="4"/>
        <v>N/A</v>
      </c>
      <c r="J27" s="124"/>
      <c r="K27" s="124" t="str">
        <f t="shared" si="5"/>
        <v>N/A</v>
      </c>
      <c r="L27" s="63"/>
      <c r="M27" s="63"/>
      <c r="N27" s="63"/>
      <c r="O27" s="63"/>
      <c r="P27" s="63"/>
      <c r="Q27" s="63"/>
      <c r="R27" s="63"/>
      <c r="S27" s="63"/>
      <c r="T27" s="63"/>
      <c r="U27" s="63"/>
      <c r="V27" s="17"/>
      <c r="W27" s="17"/>
      <c r="X27" s="17"/>
    </row>
    <row r="28" spans="1:24" hidden="1" x14ac:dyDescent="0.2">
      <c r="A28" s="51"/>
      <c r="B28" s="46" t="e">
        <f t="shared" si="2"/>
        <v>#N/A</v>
      </c>
      <c r="C28" s="46"/>
      <c r="D28" s="1" t="str">
        <f>IF(ISERROR(E28),"",IF(E28="","",MAX($D$12:D27)+1))</f>
        <v/>
      </c>
      <c r="F28" s="22"/>
      <c r="G28" s="124" t="str">
        <f t="shared" si="6"/>
        <v>N/A</v>
      </c>
      <c r="H28" s="124" t="str">
        <f t="shared" si="3"/>
        <v>N/A</v>
      </c>
      <c r="I28" s="124" t="str">
        <f t="shared" si="4"/>
        <v>N/A</v>
      </c>
      <c r="J28" s="124"/>
      <c r="K28" s="124" t="str">
        <f t="shared" si="5"/>
        <v>N/A</v>
      </c>
      <c r="L28" s="63"/>
      <c r="M28" s="63"/>
      <c r="N28" s="63"/>
      <c r="O28" s="63"/>
      <c r="P28" s="63"/>
      <c r="Q28" s="63"/>
      <c r="R28" s="63"/>
      <c r="S28" s="63"/>
      <c r="T28" s="63"/>
      <c r="U28" s="63"/>
      <c r="V28" s="17"/>
      <c r="W28" s="17"/>
      <c r="X28" s="17"/>
    </row>
    <row r="29" spans="1:24" hidden="1" x14ac:dyDescent="0.2">
      <c r="A29" s="51"/>
      <c r="B29" s="46" t="e">
        <f t="shared" si="2"/>
        <v>#N/A</v>
      </c>
      <c r="C29" s="46"/>
      <c r="D29" s="1" t="str">
        <f>IF(ISERROR(E29),"",IF(E29="","",MAX($D$12:D28)+1))</f>
        <v/>
      </c>
      <c r="F29" s="22"/>
      <c r="G29" s="124" t="str">
        <f t="shared" si="6"/>
        <v>N/A</v>
      </c>
      <c r="H29" s="124" t="str">
        <f t="shared" si="3"/>
        <v>N/A</v>
      </c>
      <c r="I29" s="124" t="str">
        <f t="shared" si="4"/>
        <v>N/A</v>
      </c>
      <c r="J29" s="124"/>
      <c r="K29" s="124" t="str">
        <f t="shared" si="5"/>
        <v>N/A</v>
      </c>
      <c r="L29" s="63"/>
      <c r="M29" s="63"/>
      <c r="N29" s="63"/>
      <c r="O29" s="63"/>
      <c r="P29" s="63"/>
      <c r="Q29" s="63"/>
      <c r="R29" s="63"/>
      <c r="S29" s="63"/>
      <c r="T29" s="63"/>
      <c r="U29" s="63"/>
      <c r="V29" s="17"/>
      <c r="W29" s="17"/>
      <c r="X29" s="17"/>
    </row>
    <row r="30" spans="1:24" hidden="1" x14ac:dyDescent="0.2">
      <c r="A30" s="51"/>
      <c r="B30" s="46" t="e">
        <f t="shared" si="2"/>
        <v>#N/A</v>
      </c>
      <c r="C30" s="46"/>
      <c r="D30" s="1" t="str">
        <f>IF(ISERROR(E30),"",IF(E30="","",MAX($D$12:D29)+1))</f>
        <v/>
      </c>
      <c r="F30" s="22"/>
      <c r="G30" s="124" t="str">
        <f t="shared" si="6"/>
        <v>N/A</v>
      </c>
      <c r="H30" s="124" t="str">
        <f t="shared" si="3"/>
        <v>N/A</v>
      </c>
      <c r="I30" s="124" t="str">
        <f t="shared" si="4"/>
        <v>N/A</v>
      </c>
      <c r="J30" s="124"/>
      <c r="K30" s="124" t="str">
        <f t="shared" si="5"/>
        <v>N/A</v>
      </c>
      <c r="L30" s="63"/>
      <c r="M30" s="63"/>
      <c r="N30" s="63"/>
      <c r="O30" s="63"/>
      <c r="P30" s="63"/>
      <c r="Q30" s="63"/>
      <c r="R30" s="63"/>
      <c r="S30" s="63"/>
      <c r="T30" s="63"/>
      <c r="U30" s="63"/>
      <c r="V30" s="17"/>
      <c r="W30" s="17"/>
      <c r="X30" s="17"/>
    </row>
    <row r="31" spans="1:24" hidden="1" x14ac:dyDescent="0.2">
      <c r="A31" s="51"/>
      <c r="B31" s="46" t="e">
        <f t="shared" si="2"/>
        <v>#N/A</v>
      </c>
      <c r="C31" s="46"/>
      <c r="D31" s="1" t="str">
        <f>IF(ISERROR(E31),"",IF(E31="","",MAX($D$12:D30)+1))</f>
        <v/>
      </c>
      <c r="F31" s="22"/>
      <c r="G31" s="124" t="str">
        <f t="shared" si="6"/>
        <v>N/A</v>
      </c>
      <c r="H31" s="124" t="str">
        <f t="shared" si="3"/>
        <v>N/A</v>
      </c>
      <c r="I31" s="124" t="str">
        <f t="shared" si="4"/>
        <v>N/A</v>
      </c>
      <c r="J31" s="124"/>
      <c r="K31" s="124" t="str">
        <f t="shared" si="5"/>
        <v>N/A</v>
      </c>
      <c r="L31" s="63"/>
      <c r="M31" s="63"/>
      <c r="N31" s="63"/>
      <c r="O31" s="63"/>
      <c r="P31" s="63"/>
      <c r="Q31" s="63"/>
      <c r="R31" s="63"/>
      <c r="S31" s="63"/>
      <c r="T31" s="63"/>
      <c r="U31" s="63"/>
      <c r="V31" s="17"/>
      <c r="W31" s="17"/>
      <c r="X31" s="17"/>
    </row>
    <row r="32" spans="1:24" hidden="1" x14ac:dyDescent="0.2">
      <c r="A32" s="51"/>
      <c r="B32" s="46" t="e">
        <f t="shared" si="2"/>
        <v>#N/A</v>
      </c>
      <c r="C32" s="46"/>
      <c r="D32" s="1" t="str">
        <f>IF(ISERROR(E32),"",IF(E32="","",MAX($D$12:D31)+1))</f>
        <v/>
      </c>
      <c r="F32" s="22"/>
      <c r="G32" s="124" t="str">
        <f t="shared" si="6"/>
        <v>N/A</v>
      </c>
      <c r="H32" s="124" t="str">
        <f t="shared" si="3"/>
        <v>N/A</v>
      </c>
      <c r="I32" s="124" t="str">
        <f t="shared" si="4"/>
        <v>N/A</v>
      </c>
      <c r="J32" s="124"/>
      <c r="K32" s="124" t="str">
        <f t="shared" si="5"/>
        <v>N/A</v>
      </c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17"/>
      <c r="W32" s="17"/>
      <c r="X32" s="17"/>
    </row>
    <row r="33" spans="1:24" hidden="1" x14ac:dyDescent="0.2">
      <c r="A33" s="51"/>
      <c r="B33" s="46" t="e">
        <f t="shared" si="2"/>
        <v>#N/A</v>
      </c>
      <c r="C33" s="46"/>
      <c r="D33" s="1" t="str">
        <f>IF(ISERROR(E33),"",IF(E33="","",MAX($D$12:D32)+1))</f>
        <v/>
      </c>
      <c r="F33" s="22"/>
      <c r="G33" s="124" t="str">
        <f t="shared" si="6"/>
        <v>N/A</v>
      </c>
      <c r="H33" s="124" t="str">
        <f t="shared" si="3"/>
        <v>N/A</v>
      </c>
      <c r="I33" s="124" t="str">
        <f t="shared" si="4"/>
        <v>N/A</v>
      </c>
      <c r="J33" s="124"/>
      <c r="K33" s="124" t="str">
        <f t="shared" si="5"/>
        <v>N/A</v>
      </c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17"/>
      <c r="W33" s="17"/>
      <c r="X33" s="17"/>
    </row>
    <row r="34" spans="1:24" hidden="1" x14ac:dyDescent="0.2">
      <c r="A34" s="51"/>
      <c r="B34" s="46" t="e">
        <f t="shared" si="2"/>
        <v>#N/A</v>
      </c>
      <c r="C34" s="46"/>
      <c r="D34" s="1" t="str">
        <f>IF(ISERROR(E34),"",IF(E34="","",MAX($D$12:D33)+1))</f>
        <v/>
      </c>
      <c r="F34" s="22"/>
      <c r="G34" s="124" t="str">
        <f t="shared" si="6"/>
        <v>N/A</v>
      </c>
      <c r="H34" s="124" t="str">
        <f t="shared" si="3"/>
        <v>N/A</v>
      </c>
      <c r="I34" s="124" t="str">
        <f t="shared" si="4"/>
        <v>N/A</v>
      </c>
      <c r="J34" s="124"/>
      <c r="K34" s="124" t="str">
        <f t="shared" si="5"/>
        <v>N/A</v>
      </c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17"/>
      <c r="W34" s="17"/>
      <c r="X34" s="17"/>
    </row>
    <row r="35" spans="1:24" hidden="1" x14ac:dyDescent="0.2">
      <c r="A35" s="51"/>
      <c r="B35" s="46" t="e">
        <f t="shared" si="2"/>
        <v>#N/A</v>
      </c>
      <c r="C35" s="46"/>
      <c r="D35" s="1" t="str">
        <f>IF(ISERROR(E35),"",IF(E35="","",MAX($D$12:D34)+1))</f>
        <v/>
      </c>
      <c r="F35" s="22"/>
      <c r="G35" s="124" t="str">
        <f t="shared" si="6"/>
        <v>N/A</v>
      </c>
      <c r="H35" s="124" t="str">
        <f t="shared" si="3"/>
        <v>N/A</v>
      </c>
      <c r="I35" s="124" t="str">
        <f t="shared" si="4"/>
        <v>N/A</v>
      </c>
      <c r="J35" s="124"/>
      <c r="K35" s="124" t="str">
        <f t="shared" si="5"/>
        <v>N/A</v>
      </c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17"/>
      <c r="W35" s="17"/>
      <c r="X35" s="17"/>
    </row>
    <row r="36" spans="1:24" hidden="1" x14ac:dyDescent="0.2">
      <c r="A36" s="51"/>
      <c r="B36" s="46" t="e">
        <f t="shared" si="2"/>
        <v>#N/A</v>
      </c>
      <c r="C36" s="46"/>
      <c r="D36" s="1" t="str">
        <f>IF(ISERROR(E36),"",IF(E36="","",MAX($D$12:D35)+1))</f>
        <v/>
      </c>
      <c r="F36" s="22"/>
      <c r="G36" s="124" t="str">
        <f t="shared" si="6"/>
        <v>N/A</v>
      </c>
      <c r="H36" s="124" t="str">
        <f t="shared" si="3"/>
        <v>N/A</v>
      </c>
      <c r="I36" s="124" t="str">
        <f t="shared" si="4"/>
        <v>N/A</v>
      </c>
      <c r="J36" s="124"/>
      <c r="K36" s="124" t="str">
        <f t="shared" si="5"/>
        <v>N/A</v>
      </c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17"/>
      <c r="W36" s="17"/>
      <c r="X36" s="17"/>
    </row>
    <row r="37" spans="1:24" hidden="1" x14ac:dyDescent="0.2">
      <c r="A37" s="51"/>
      <c r="B37" s="46" t="e">
        <f t="shared" si="2"/>
        <v>#N/A</v>
      </c>
      <c r="C37" s="46"/>
      <c r="D37" s="1" t="str">
        <f>IF(ISERROR(E37),"",IF(E37="","",MAX($D$12:D36)+1))</f>
        <v/>
      </c>
      <c r="F37" s="22"/>
      <c r="G37" s="124" t="str">
        <f t="shared" si="6"/>
        <v>N/A</v>
      </c>
      <c r="H37" s="124" t="str">
        <f t="shared" si="3"/>
        <v>N/A</v>
      </c>
      <c r="I37" s="124" t="str">
        <f t="shared" si="4"/>
        <v>N/A</v>
      </c>
      <c r="J37" s="124"/>
      <c r="K37" s="124" t="str">
        <f t="shared" si="5"/>
        <v>N/A</v>
      </c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17"/>
      <c r="W37" s="17"/>
      <c r="X37" s="17"/>
    </row>
    <row r="38" spans="1:24" hidden="1" x14ac:dyDescent="0.2">
      <c r="A38" s="51"/>
      <c r="B38" s="46" t="e">
        <f t="shared" si="2"/>
        <v>#N/A</v>
      </c>
      <c r="C38" s="46"/>
      <c r="D38" s="1" t="str">
        <f>IF(ISERROR(E38),"",IF(E38="","",MAX($D$12:D37)+1))</f>
        <v/>
      </c>
      <c r="F38" s="22"/>
      <c r="G38" s="124" t="str">
        <f t="shared" si="6"/>
        <v>N/A</v>
      </c>
      <c r="H38" s="124" t="str">
        <f t="shared" si="3"/>
        <v>N/A</v>
      </c>
      <c r="I38" s="124" t="str">
        <f t="shared" si="4"/>
        <v>N/A</v>
      </c>
      <c r="J38" s="124"/>
      <c r="K38" s="124" t="str">
        <f t="shared" si="5"/>
        <v>N/A</v>
      </c>
      <c r="L38" s="63"/>
      <c r="M38" s="63"/>
      <c r="N38" s="63"/>
      <c r="O38" s="63"/>
      <c r="P38" s="63"/>
      <c r="Q38" s="63"/>
      <c r="R38" s="63"/>
      <c r="S38" s="63"/>
      <c r="T38" s="63"/>
      <c r="U38" s="63"/>
      <c r="V38" s="17"/>
      <c r="W38" s="17"/>
      <c r="X38" s="17"/>
    </row>
    <row r="39" spans="1:24" hidden="1" x14ac:dyDescent="0.2">
      <c r="A39" s="51"/>
      <c r="B39" s="46" t="e">
        <f t="shared" si="2"/>
        <v>#N/A</v>
      </c>
      <c r="C39" s="46"/>
      <c r="D39" s="1" t="str">
        <f>IF(ISERROR(E39),"",IF(E39="","",MAX($D$12:D38)+1))</f>
        <v/>
      </c>
      <c r="F39" s="22"/>
      <c r="G39" s="124" t="str">
        <f t="shared" si="6"/>
        <v>N/A</v>
      </c>
      <c r="H39" s="124" t="str">
        <f t="shared" si="3"/>
        <v>N/A</v>
      </c>
      <c r="I39" s="124" t="str">
        <f t="shared" si="4"/>
        <v>N/A</v>
      </c>
      <c r="J39" s="124"/>
      <c r="K39" s="124" t="str">
        <f t="shared" si="5"/>
        <v>N/A</v>
      </c>
      <c r="L39" s="63"/>
      <c r="M39" s="63"/>
      <c r="N39" s="63"/>
      <c r="O39" s="63"/>
      <c r="P39" s="63"/>
      <c r="Q39" s="63"/>
      <c r="R39" s="63"/>
      <c r="S39" s="63"/>
      <c r="T39" s="63"/>
      <c r="U39" s="63"/>
      <c r="V39" s="17"/>
      <c r="W39" s="17"/>
      <c r="X39" s="17"/>
    </row>
    <row r="40" spans="1:24" hidden="1" x14ac:dyDescent="0.2">
      <c r="A40" s="51"/>
      <c r="B40" s="46" t="e">
        <f t="shared" si="2"/>
        <v>#N/A</v>
      </c>
      <c r="C40" s="46"/>
      <c r="D40" s="1" t="str">
        <f>IF(ISERROR(E40),"",IF(E40="","",MAX($D$12:D39)+1))</f>
        <v/>
      </c>
      <c r="F40" s="22"/>
      <c r="G40" s="124" t="str">
        <f t="shared" si="6"/>
        <v>N/A</v>
      </c>
      <c r="H40" s="124" t="str">
        <f t="shared" si="3"/>
        <v>N/A</v>
      </c>
      <c r="I40" s="124" t="str">
        <f t="shared" si="4"/>
        <v>N/A</v>
      </c>
      <c r="J40" s="124"/>
      <c r="K40" s="124" t="str">
        <f t="shared" si="5"/>
        <v>N/A</v>
      </c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17"/>
      <c r="W40" s="17"/>
      <c r="X40" s="17"/>
    </row>
    <row r="41" spans="1:24" hidden="1" x14ac:dyDescent="0.2">
      <c r="A41" s="51"/>
      <c r="B41" s="46" t="e">
        <f t="shared" si="2"/>
        <v>#N/A</v>
      </c>
      <c r="C41" s="46"/>
      <c r="D41" s="1" t="str">
        <f>IF(ISERROR(E41),"",IF(E41="","",MAX($D$12:D40)+1))</f>
        <v/>
      </c>
      <c r="F41" s="22"/>
      <c r="G41" s="124" t="str">
        <f t="shared" si="6"/>
        <v>N/A</v>
      </c>
      <c r="H41" s="124" t="str">
        <f t="shared" si="3"/>
        <v>N/A</v>
      </c>
      <c r="I41" s="124" t="str">
        <f t="shared" si="4"/>
        <v>N/A</v>
      </c>
      <c r="J41" s="124"/>
      <c r="K41" s="124" t="str">
        <f t="shared" si="5"/>
        <v>N/A</v>
      </c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17"/>
      <c r="W41" s="17"/>
      <c r="X41" s="17"/>
    </row>
    <row r="42" spans="1:24" hidden="1" x14ac:dyDescent="0.2">
      <c r="A42" s="51"/>
      <c r="B42" s="46" t="e">
        <f t="shared" si="2"/>
        <v>#N/A</v>
      </c>
      <c r="C42" s="46"/>
      <c r="D42" s="1" t="str">
        <f>IF(ISERROR(E42),"",IF(E42="","",MAX($D$12:D41)+1))</f>
        <v/>
      </c>
      <c r="F42" s="22"/>
      <c r="G42" s="124" t="str">
        <f t="shared" si="6"/>
        <v>N/A</v>
      </c>
      <c r="H42" s="124" t="str">
        <f t="shared" si="3"/>
        <v>N/A</v>
      </c>
      <c r="I42" s="124" t="str">
        <f t="shared" si="4"/>
        <v>N/A</v>
      </c>
      <c r="J42" s="124"/>
      <c r="K42" s="124" t="str">
        <f t="shared" si="5"/>
        <v>N/A</v>
      </c>
      <c r="L42" s="63"/>
      <c r="M42" s="63"/>
      <c r="N42" s="63"/>
      <c r="O42" s="63"/>
      <c r="P42" s="63"/>
      <c r="Q42" s="63"/>
      <c r="R42" s="63"/>
      <c r="S42" s="63"/>
      <c r="T42" s="63"/>
      <c r="U42" s="63"/>
      <c r="V42" s="17"/>
      <c r="W42" s="17"/>
      <c r="X42" s="17"/>
    </row>
    <row r="43" spans="1:24" hidden="1" x14ac:dyDescent="0.2">
      <c r="A43" s="51"/>
      <c r="B43" s="46" t="e">
        <f t="shared" si="2"/>
        <v>#N/A</v>
      </c>
      <c r="C43" s="46"/>
      <c r="D43" s="1" t="str">
        <f>IF(ISERROR(E43),"",IF(E43="","",MAX($D$12:D42)+1))</f>
        <v/>
      </c>
      <c r="F43" s="22"/>
      <c r="G43" s="124" t="str">
        <f t="shared" si="6"/>
        <v>N/A</v>
      </c>
      <c r="H43" s="124" t="str">
        <f t="shared" si="3"/>
        <v>N/A</v>
      </c>
      <c r="I43" s="124" t="str">
        <f t="shared" si="4"/>
        <v>N/A</v>
      </c>
      <c r="J43" s="124"/>
      <c r="K43" s="124" t="str">
        <f t="shared" si="5"/>
        <v>N/A</v>
      </c>
      <c r="L43" s="63"/>
      <c r="M43" s="63"/>
      <c r="N43" s="63"/>
      <c r="O43" s="63"/>
      <c r="P43" s="63"/>
      <c r="Q43" s="63"/>
      <c r="R43" s="63"/>
      <c r="S43" s="63"/>
      <c r="T43" s="63"/>
      <c r="U43" s="63"/>
      <c r="V43" s="17"/>
      <c r="W43" s="17"/>
      <c r="X43" s="17"/>
    </row>
    <row r="44" spans="1:24" hidden="1" x14ac:dyDescent="0.2">
      <c r="A44" s="51"/>
      <c r="B44" s="46" t="e">
        <f t="shared" si="2"/>
        <v>#N/A</v>
      </c>
      <c r="C44" s="46"/>
      <c r="D44" s="1" t="str">
        <f>IF(ISERROR(E44),"",IF(E44="","",MAX($D$12:D43)+1))</f>
        <v/>
      </c>
      <c r="F44" s="22"/>
      <c r="G44" s="124" t="str">
        <f t="shared" si="6"/>
        <v>N/A</v>
      </c>
      <c r="H44" s="124" t="str">
        <f t="shared" si="3"/>
        <v>N/A</v>
      </c>
      <c r="I44" s="124" t="str">
        <f t="shared" si="4"/>
        <v>N/A</v>
      </c>
      <c r="J44" s="124"/>
      <c r="K44" s="124" t="str">
        <f t="shared" si="5"/>
        <v>N/A</v>
      </c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17"/>
      <c r="W44" s="17"/>
      <c r="X44" s="17"/>
    </row>
    <row r="45" spans="1:24" hidden="1" x14ac:dyDescent="0.2">
      <c r="A45" s="51"/>
      <c r="B45" s="46" t="e">
        <f t="shared" si="2"/>
        <v>#N/A</v>
      </c>
      <c r="C45" s="46"/>
      <c r="D45" s="1" t="str">
        <f>IF(ISERROR(E45),"",IF(E45="","",MAX($D$12:D44)+1))</f>
        <v/>
      </c>
      <c r="F45" s="22"/>
      <c r="G45" s="124" t="str">
        <f t="shared" si="6"/>
        <v>N/A</v>
      </c>
      <c r="H45" s="124" t="str">
        <f t="shared" si="3"/>
        <v>N/A</v>
      </c>
      <c r="I45" s="124" t="str">
        <f t="shared" si="4"/>
        <v>N/A</v>
      </c>
      <c r="J45" s="124"/>
      <c r="K45" s="124" t="str">
        <f t="shared" si="5"/>
        <v>N/A</v>
      </c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17"/>
      <c r="W45" s="17"/>
      <c r="X45" s="17"/>
    </row>
    <row r="46" spans="1:24" hidden="1" x14ac:dyDescent="0.2">
      <c r="A46" s="51"/>
      <c r="B46" s="46" t="e">
        <f t="shared" si="2"/>
        <v>#N/A</v>
      </c>
      <c r="C46" s="46"/>
      <c r="D46" s="1" t="str">
        <f>IF(ISERROR(E46),"",IF(E46="","",MAX($D$12:D45)+1))</f>
        <v/>
      </c>
      <c r="F46" s="22"/>
      <c r="G46" s="124" t="str">
        <f t="shared" si="6"/>
        <v>N/A</v>
      </c>
      <c r="H46" s="124" t="str">
        <f t="shared" si="3"/>
        <v>N/A</v>
      </c>
      <c r="I46" s="124" t="str">
        <f t="shared" si="4"/>
        <v>N/A</v>
      </c>
      <c r="J46" s="124"/>
      <c r="K46" s="124" t="str">
        <f t="shared" si="5"/>
        <v>N/A</v>
      </c>
      <c r="L46" s="63"/>
      <c r="M46" s="63"/>
      <c r="N46" s="63"/>
      <c r="O46" s="63"/>
      <c r="P46" s="63"/>
      <c r="Q46" s="63"/>
      <c r="R46" s="63"/>
      <c r="S46" s="63"/>
      <c r="T46" s="63"/>
      <c r="U46" s="63"/>
      <c r="V46" s="17"/>
      <c r="W46" s="17"/>
      <c r="X46" s="17"/>
    </row>
    <row r="47" spans="1:24" hidden="1" x14ac:dyDescent="0.2">
      <c r="A47" s="51"/>
      <c r="B47" s="46" t="e">
        <f t="shared" si="2"/>
        <v>#N/A</v>
      </c>
      <c r="C47" s="46"/>
      <c r="D47" s="1" t="str">
        <f>IF(ISERROR(E47),"",IF(E47="","",MAX($D$12:D46)+1))</f>
        <v/>
      </c>
      <c r="F47" s="22"/>
      <c r="G47" s="124" t="str">
        <f t="shared" si="6"/>
        <v>N/A</v>
      </c>
      <c r="H47" s="124" t="str">
        <f t="shared" si="3"/>
        <v>N/A</v>
      </c>
      <c r="I47" s="124" t="str">
        <f t="shared" si="4"/>
        <v>N/A</v>
      </c>
      <c r="J47" s="124"/>
      <c r="K47" s="124" t="str">
        <f t="shared" si="5"/>
        <v>N/A</v>
      </c>
      <c r="L47" s="63"/>
      <c r="M47" s="63"/>
      <c r="N47" s="63"/>
      <c r="O47" s="63"/>
      <c r="P47" s="63"/>
      <c r="Q47" s="63"/>
      <c r="R47" s="63"/>
      <c r="S47" s="63"/>
      <c r="T47" s="63"/>
      <c r="U47" s="63"/>
      <c r="V47" s="17"/>
      <c r="W47" s="17"/>
      <c r="X47" s="17"/>
    </row>
    <row r="48" spans="1:24" hidden="1" x14ac:dyDescent="0.2">
      <c r="A48" s="51"/>
      <c r="B48" s="46" t="e">
        <f t="shared" si="2"/>
        <v>#N/A</v>
      </c>
      <c r="C48" s="46"/>
      <c r="D48" s="1" t="str">
        <f>IF(ISERROR(E48),"",IF(E48="","",MAX($D$12:D47)+1))</f>
        <v/>
      </c>
      <c r="F48" s="22"/>
      <c r="G48" s="124" t="str">
        <f t="shared" si="6"/>
        <v>N/A</v>
      </c>
      <c r="H48" s="124" t="str">
        <f t="shared" si="3"/>
        <v>N/A</v>
      </c>
      <c r="I48" s="124" t="str">
        <f t="shared" si="4"/>
        <v>N/A</v>
      </c>
      <c r="J48" s="124"/>
      <c r="K48" s="124" t="str">
        <f t="shared" si="5"/>
        <v>N/A</v>
      </c>
      <c r="L48" s="63"/>
      <c r="M48" s="63"/>
      <c r="N48" s="63"/>
      <c r="O48" s="63"/>
      <c r="P48" s="63"/>
      <c r="Q48" s="63"/>
      <c r="R48" s="63"/>
      <c r="S48" s="63"/>
      <c r="T48" s="63"/>
      <c r="U48" s="63"/>
      <c r="V48" s="17"/>
      <c r="W48" s="17"/>
      <c r="X48" s="17"/>
    </row>
    <row r="49" spans="1:24" hidden="1" x14ac:dyDescent="0.2">
      <c r="A49" s="51"/>
      <c r="B49" s="46" t="e">
        <f t="shared" si="2"/>
        <v>#N/A</v>
      </c>
      <c r="C49" s="46"/>
      <c r="D49" s="1" t="str">
        <f>IF(ISERROR(E49),"",IF(E49="","",MAX($D$12:D48)+1))</f>
        <v/>
      </c>
      <c r="F49" s="22"/>
      <c r="G49" s="124" t="str">
        <f t="shared" si="6"/>
        <v>N/A</v>
      </c>
      <c r="H49" s="124" t="str">
        <f t="shared" si="3"/>
        <v>N/A</v>
      </c>
      <c r="I49" s="124" t="str">
        <f t="shared" si="4"/>
        <v>N/A</v>
      </c>
      <c r="J49" s="124"/>
      <c r="K49" s="124" t="str">
        <f t="shared" si="5"/>
        <v>N/A</v>
      </c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17"/>
      <c r="W49" s="17"/>
      <c r="X49" s="17"/>
    </row>
    <row r="50" spans="1:24" hidden="1" x14ac:dyDescent="0.2">
      <c r="A50" s="51"/>
      <c r="B50" s="46" t="e">
        <f t="shared" si="2"/>
        <v>#N/A</v>
      </c>
      <c r="C50" s="46"/>
      <c r="D50" s="1" t="str">
        <f>IF(ISERROR(E50),"",IF(E50="","",MAX($D$12:D49)+1))</f>
        <v/>
      </c>
      <c r="F50" s="22"/>
      <c r="G50" s="124" t="str">
        <f t="shared" si="6"/>
        <v>N/A</v>
      </c>
      <c r="H50" s="124" t="str">
        <f t="shared" si="3"/>
        <v>N/A</v>
      </c>
      <c r="I50" s="124" t="str">
        <f t="shared" si="4"/>
        <v>N/A</v>
      </c>
      <c r="J50" s="124"/>
      <c r="K50" s="124" t="str">
        <f t="shared" si="5"/>
        <v>N/A</v>
      </c>
      <c r="L50" s="63"/>
      <c r="M50" s="63"/>
      <c r="N50" s="63"/>
      <c r="O50" s="63"/>
      <c r="P50" s="63"/>
      <c r="Q50" s="63"/>
      <c r="R50" s="63"/>
      <c r="S50" s="63"/>
      <c r="T50" s="63"/>
      <c r="U50" s="63"/>
      <c r="V50" s="17"/>
      <c r="W50" s="17"/>
      <c r="X50" s="17"/>
    </row>
    <row r="51" spans="1:24" hidden="1" x14ac:dyDescent="0.2">
      <c r="A51" s="51"/>
      <c r="B51" s="46" t="e">
        <f t="shared" si="2"/>
        <v>#N/A</v>
      </c>
      <c r="C51" s="46"/>
      <c r="D51" s="1" t="str">
        <f>IF(ISERROR(E51),"",IF(E51="","",MAX($D$12:D50)+1))</f>
        <v/>
      </c>
      <c r="F51" s="22"/>
      <c r="G51" s="124" t="str">
        <f t="shared" si="6"/>
        <v>N/A</v>
      </c>
      <c r="H51" s="124" t="str">
        <f t="shared" si="3"/>
        <v>N/A</v>
      </c>
      <c r="I51" s="124" t="str">
        <f t="shared" si="4"/>
        <v>N/A</v>
      </c>
      <c r="J51" s="124"/>
      <c r="K51" s="124" t="str">
        <f t="shared" si="5"/>
        <v>N/A</v>
      </c>
      <c r="L51" s="63"/>
      <c r="M51" s="63"/>
      <c r="N51" s="63"/>
      <c r="O51" s="63"/>
      <c r="P51" s="63"/>
      <c r="Q51" s="63"/>
      <c r="R51" s="63"/>
      <c r="S51" s="63"/>
      <c r="T51" s="63"/>
      <c r="U51" s="63"/>
      <c r="V51" s="17"/>
      <c r="W51" s="17"/>
      <c r="X51" s="17"/>
    </row>
    <row r="52" spans="1:24" hidden="1" x14ac:dyDescent="0.2">
      <c r="A52" s="51"/>
      <c r="B52" s="46" t="e">
        <f t="shared" si="2"/>
        <v>#N/A</v>
      </c>
      <c r="C52" s="46"/>
      <c r="D52" s="1" t="str">
        <f>IF(ISERROR(E52),"",IF(E52="","",MAX($D$12:D51)+1))</f>
        <v/>
      </c>
      <c r="F52" s="22"/>
      <c r="G52" s="124" t="str">
        <f t="shared" si="6"/>
        <v>N/A</v>
      </c>
      <c r="H52" s="124" t="str">
        <f t="shared" si="3"/>
        <v>N/A</v>
      </c>
      <c r="I52" s="124" t="str">
        <f t="shared" si="4"/>
        <v>N/A</v>
      </c>
      <c r="J52" s="124"/>
      <c r="K52" s="124" t="str">
        <f t="shared" si="5"/>
        <v>N/A</v>
      </c>
      <c r="L52" s="63"/>
      <c r="M52" s="63"/>
      <c r="N52" s="63"/>
      <c r="O52" s="63"/>
      <c r="P52" s="63"/>
      <c r="Q52" s="63"/>
      <c r="R52" s="63"/>
      <c r="S52" s="63"/>
      <c r="T52" s="63"/>
      <c r="U52" s="63"/>
      <c r="V52" s="17"/>
      <c r="W52" s="17"/>
      <c r="X52" s="17"/>
    </row>
    <row r="53" spans="1:24" hidden="1" x14ac:dyDescent="0.2">
      <c r="A53" s="51"/>
      <c r="B53" s="46" t="e">
        <f t="shared" si="2"/>
        <v>#N/A</v>
      </c>
      <c r="C53" s="46"/>
      <c r="D53" s="1" t="str">
        <f>IF(ISERROR(E53),"",IF(E53="","",MAX($D$12:D52)+1))</f>
        <v/>
      </c>
      <c r="F53" s="22"/>
      <c r="G53" s="124" t="str">
        <f t="shared" si="6"/>
        <v>N/A</v>
      </c>
      <c r="H53" s="124" t="str">
        <f t="shared" si="3"/>
        <v>N/A</v>
      </c>
      <c r="I53" s="124" t="str">
        <f t="shared" si="4"/>
        <v>N/A</v>
      </c>
      <c r="J53" s="124"/>
      <c r="K53" s="124" t="str">
        <f t="shared" si="5"/>
        <v>N/A</v>
      </c>
      <c r="L53" s="63"/>
      <c r="M53" s="63"/>
      <c r="N53" s="63"/>
      <c r="O53" s="63"/>
      <c r="P53" s="63"/>
      <c r="Q53" s="63"/>
      <c r="R53" s="63"/>
      <c r="S53" s="63"/>
      <c r="T53" s="63"/>
      <c r="U53" s="63"/>
      <c r="V53" s="17"/>
      <c r="W53" s="17"/>
      <c r="X53" s="17"/>
    </row>
    <row r="54" spans="1:24" hidden="1" x14ac:dyDescent="0.2">
      <c r="A54" s="51"/>
      <c r="B54" s="46" t="e">
        <f t="shared" si="2"/>
        <v>#N/A</v>
      </c>
      <c r="C54" s="46"/>
      <c r="D54" s="1" t="str">
        <f>IF(ISERROR(E54),"",IF(E54="","",MAX($D$12:D53)+1))</f>
        <v/>
      </c>
      <c r="F54" s="22"/>
      <c r="G54" s="124" t="str">
        <f t="shared" si="6"/>
        <v>N/A</v>
      </c>
      <c r="H54" s="124" t="str">
        <f t="shared" si="3"/>
        <v>N/A</v>
      </c>
      <c r="I54" s="124" t="str">
        <f t="shared" si="4"/>
        <v>N/A</v>
      </c>
      <c r="J54" s="124"/>
      <c r="K54" s="124" t="str">
        <f t="shared" si="5"/>
        <v>N/A</v>
      </c>
      <c r="L54" s="63"/>
      <c r="M54" s="63"/>
      <c r="N54" s="63"/>
      <c r="O54" s="63"/>
      <c r="P54" s="63"/>
      <c r="Q54" s="63"/>
      <c r="R54" s="63"/>
      <c r="S54" s="63"/>
      <c r="T54" s="63"/>
      <c r="U54" s="63"/>
      <c r="V54" s="17"/>
      <c r="W54" s="17"/>
      <c r="X54" s="17"/>
    </row>
    <row r="55" spans="1:24" hidden="1" x14ac:dyDescent="0.2">
      <c r="A55" s="51" t="e">
        <f>#REF!</f>
        <v>#REF!</v>
      </c>
      <c r="B55" s="46" t="e">
        <f t="shared" si="2"/>
        <v>#REF!</v>
      </c>
      <c r="C55" s="46"/>
      <c r="D55" s="1" t="str">
        <f>IF(ISERROR(E55),"",IF(E55="","",MAX($D$12:D54)+1))</f>
        <v/>
      </c>
      <c r="E55" t="e">
        <f>#REF!</f>
        <v>#REF!</v>
      </c>
      <c r="F55" s="22"/>
      <c r="G55" s="99" t="str">
        <f t="shared" si="6"/>
        <v>N/A</v>
      </c>
      <c r="H55" s="124" t="str">
        <f t="shared" si="3"/>
        <v>N/A</v>
      </c>
      <c r="I55" s="124" t="str">
        <f t="shared" si="4"/>
        <v>N/A</v>
      </c>
      <c r="J55" s="99"/>
      <c r="K55" s="124" t="str">
        <f t="shared" si="5"/>
        <v>N/A</v>
      </c>
      <c r="L55" s="63"/>
      <c r="M55" s="63"/>
      <c r="N55" s="63"/>
      <c r="O55" s="63"/>
      <c r="P55" s="63"/>
      <c r="Q55" s="63"/>
      <c r="R55" s="63"/>
      <c r="S55" s="63"/>
      <c r="T55" s="63"/>
      <c r="U55" s="63"/>
      <c r="V55" s="17"/>
      <c r="W55" s="17"/>
      <c r="X55" s="17"/>
    </row>
    <row r="56" spans="1:24" hidden="1" x14ac:dyDescent="0.2">
      <c r="A56" s="51" t="e">
        <f>#REF!</f>
        <v>#REF!</v>
      </c>
      <c r="B56" s="46" t="e">
        <f t="shared" si="2"/>
        <v>#REF!</v>
      </c>
      <c r="C56" s="46"/>
      <c r="D56" s="1" t="str">
        <f>IF(ISERROR(E56),"",IF(E56="","",MAX($D$12:D55)+1))</f>
        <v/>
      </c>
      <c r="E56" t="e">
        <f>#REF!</f>
        <v>#REF!</v>
      </c>
      <c r="G56" s="99" t="str">
        <f t="shared" si="6"/>
        <v>N/A</v>
      </c>
      <c r="H56" s="124" t="str">
        <f t="shared" si="3"/>
        <v>N/A</v>
      </c>
      <c r="I56" s="124" t="str">
        <f t="shared" si="4"/>
        <v>N/A</v>
      </c>
      <c r="J56" s="99"/>
      <c r="K56" s="124" t="str">
        <f t="shared" si="5"/>
        <v>N/A</v>
      </c>
      <c r="L56" s="63"/>
      <c r="M56" s="63"/>
      <c r="N56" s="63"/>
      <c r="O56" s="63"/>
      <c r="P56" s="63"/>
      <c r="Q56" s="63"/>
      <c r="R56" s="63"/>
      <c r="S56" s="63"/>
      <c r="T56" s="63"/>
      <c r="U56" s="63"/>
      <c r="V56" s="17"/>
      <c r="W56" s="17"/>
      <c r="X56" s="17"/>
    </row>
    <row r="57" spans="1:24" hidden="1" x14ac:dyDescent="0.2">
      <c r="A57" s="51" t="e">
        <f>#REF!</f>
        <v>#REF!</v>
      </c>
      <c r="B57" s="46" t="e">
        <f t="shared" si="2"/>
        <v>#REF!</v>
      </c>
      <c r="C57" s="46"/>
      <c r="D57" s="1" t="str">
        <f>IF(ISERROR(E57),"",IF(E57="","",MAX($D$12:D56)+1))</f>
        <v/>
      </c>
      <c r="E57" t="e">
        <f>#REF!</f>
        <v>#REF!</v>
      </c>
      <c r="G57" s="99" t="str">
        <f t="shared" si="6"/>
        <v>N/A</v>
      </c>
      <c r="H57" s="124" t="str">
        <f t="shared" si="3"/>
        <v>N/A</v>
      </c>
      <c r="I57" s="124" t="str">
        <f t="shared" si="4"/>
        <v>N/A</v>
      </c>
      <c r="J57" s="99"/>
      <c r="K57" s="124" t="str">
        <f t="shared" si="5"/>
        <v>N/A</v>
      </c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17"/>
      <c r="W57" s="17"/>
      <c r="X57" s="17"/>
    </row>
    <row r="58" spans="1:24" hidden="1" x14ac:dyDescent="0.2">
      <c r="A58" s="51" t="e">
        <f>#REF!</f>
        <v>#REF!</v>
      </c>
      <c r="B58" s="46" t="e">
        <f t="shared" si="2"/>
        <v>#REF!</v>
      </c>
      <c r="C58" s="46"/>
      <c r="D58" s="1" t="str">
        <f>IF(ISERROR(E58),"",IF(E58="","",MAX($D$12:D57)+1))</f>
        <v/>
      </c>
      <c r="E58" t="e">
        <f>#REF!</f>
        <v>#REF!</v>
      </c>
      <c r="G58" s="99" t="str">
        <f t="shared" si="6"/>
        <v>N/A</v>
      </c>
      <c r="H58" s="124" t="str">
        <f t="shared" si="3"/>
        <v>N/A</v>
      </c>
      <c r="I58" s="124" t="str">
        <f t="shared" si="4"/>
        <v>N/A</v>
      </c>
      <c r="J58" s="99"/>
      <c r="K58" s="124" t="str">
        <f t="shared" si="5"/>
        <v>N/A</v>
      </c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17"/>
      <c r="W58" s="17"/>
      <c r="X58" s="17"/>
    </row>
    <row r="59" spans="1:24" x14ac:dyDescent="0.2">
      <c r="A59" s="31"/>
      <c r="B59" s="31"/>
      <c r="C59" s="31"/>
      <c r="D59" s="1" t="str">
        <f>IF(ISERROR(E59),"",IF(E59="","",MAX($D$12:D58)+1))</f>
        <v/>
      </c>
      <c r="G59" s="63"/>
      <c r="H59" s="63"/>
      <c r="I59" s="63"/>
      <c r="J59" s="63"/>
      <c r="K59" s="63"/>
      <c r="L59" s="63"/>
      <c r="M59" s="63"/>
      <c r="N59" s="63"/>
      <c r="O59" s="63"/>
      <c r="P59" s="63"/>
      <c r="Q59" s="63"/>
      <c r="R59" s="63"/>
      <c r="S59" s="63"/>
      <c r="T59" s="63"/>
      <c r="U59" s="63"/>
      <c r="V59" s="17"/>
      <c r="W59" s="17"/>
    </row>
    <row r="60" spans="1:24" x14ac:dyDescent="0.2">
      <c r="A60" s="31"/>
      <c r="B60" s="31"/>
      <c r="C60" s="31"/>
      <c r="D60" s="1">
        <f>IF(ISERROR(E60),"",IF(E60="","",MAX($D$12:D59)+1))</f>
        <v>10</v>
      </c>
      <c r="E60" t="s">
        <v>98</v>
      </c>
      <c r="G60" s="124">
        <f t="shared" ref="G60:K60" si="7">AVERAGE(G14:G59)</f>
        <v>1.0651841284213523</v>
      </c>
      <c r="H60" s="124">
        <f t="shared" si="7"/>
        <v>1.2658586965349607</v>
      </c>
      <c r="I60" s="124">
        <f t="shared" ref="I60" si="8">AVERAGE(I14:I59)</f>
        <v>1.4342161099547708</v>
      </c>
      <c r="J60" s="124"/>
      <c r="K60" s="124">
        <f t="shared" si="7"/>
        <v>1.1917857005101544</v>
      </c>
      <c r="L60" s="63"/>
      <c r="M60" s="63"/>
      <c r="N60" s="63"/>
      <c r="O60" s="63"/>
      <c r="P60" s="63"/>
      <c r="Q60" s="63"/>
      <c r="R60" s="63"/>
      <c r="S60" s="63"/>
      <c r="T60" s="63"/>
      <c r="U60" s="63"/>
      <c r="V60" s="17"/>
      <c r="W60" s="17"/>
      <c r="X60" s="17"/>
    </row>
    <row r="61" spans="1:24" x14ac:dyDescent="0.2">
      <c r="A61" s="31"/>
      <c r="B61" s="31"/>
      <c r="C61" s="31"/>
      <c r="D61" s="1">
        <f>IF(ISERROR(E61),"",IF(E61="","",MAX($D$12:D60)+1))</f>
        <v>11</v>
      </c>
      <c r="E61" t="s">
        <v>257</v>
      </c>
      <c r="G61" s="124">
        <f>MEDIAN(G14:G59)</f>
        <v>0.77178612059158136</v>
      </c>
      <c r="H61" s="124">
        <f t="shared" ref="H61:K61" si="9">MEDIAN(H14:H59)</f>
        <v>0.83018867924528317</v>
      </c>
      <c r="I61" s="124">
        <f t="shared" ref="I61" si="10">MEDIAN(I14:I59)</f>
        <v>0.95588235294117652</v>
      </c>
      <c r="J61" s="124"/>
      <c r="K61" s="124">
        <f t="shared" si="9"/>
        <v>1.2307692307692308</v>
      </c>
      <c r="L61" s="63"/>
      <c r="M61" s="63"/>
      <c r="N61" s="63"/>
      <c r="O61" s="63"/>
      <c r="P61" s="63"/>
      <c r="Q61" s="63"/>
      <c r="R61" s="63"/>
      <c r="S61" s="63"/>
      <c r="T61" s="63"/>
      <c r="U61" s="63"/>
      <c r="V61" s="17"/>
      <c r="W61" s="17"/>
      <c r="X61" s="17"/>
    </row>
    <row r="62" spans="1:24" x14ac:dyDescent="0.2">
      <c r="A62" s="31"/>
      <c r="B62" s="31"/>
      <c r="C62" s="31"/>
      <c r="D62" s="1"/>
    </row>
    <row r="63" spans="1:24" x14ac:dyDescent="0.2">
      <c r="A63" s="31"/>
      <c r="B63" s="31"/>
      <c r="C63" s="31"/>
      <c r="E63" s="18"/>
      <c r="F63" s="91"/>
    </row>
    <row r="64" spans="1:24" x14ac:dyDescent="0.2">
      <c r="A64" s="31"/>
      <c r="B64" s="31"/>
      <c r="C64" s="31"/>
      <c r="E64" s="20" t="s">
        <v>107</v>
      </c>
    </row>
    <row r="65" spans="1:6" ht="16.5" x14ac:dyDescent="0.2">
      <c r="A65" s="31"/>
      <c r="B65" s="31"/>
      <c r="C65" s="31"/>
      <c r="E65" s="79"/>
      <c r="F65" s="21" t="str">
        <f>"The Value Line Investment Survey Investment Analyzer Software,"</f>
        <v>The Value Line Investment Survey Investment Analyzer Software,</v>
      </c>
    </row>
    <row r="66" spans="1:6" ht="16.5" x14ac:dyDescent="0.2">
      <c r="A66" s="31"/>
      <c r="B66" s="31"/>
      <c r="C66" s="31"/>
      <c r="E66" s="79"/>
      <c r="F66" s="21" t="str">
        <f>" downloaded on "&amp;TEXT(CapSpendCashFlow!$A$1,"mmmm d, yyyy.")</f>
        <v xml:space="preserve"> downloaded on July 9, 2018.</v>
      </c>
    </row>
    <row r="67" spans="1:6" ht="16.5" x14ac:dyDescent="0.2">
      <c r="A67" s="31"/>
      <c r="B67" s="31"/>
      <c r="C67" s="31"/>
      <c r="E67" s="79"/>
      <c r="F67" s="21" t="str">
        <f>"The Value Line Investment Survey, "&amp;'2018 Data (WP)'!$D$3</f>
        <v>The Value Line Investment Survey, October 12, 2018.</v>
      </c>
    </row>
    <row r="68" spans="1:6" x14ac:dyDescent="0.2">
      <c r="A68" s="31"/>
      <c r="B68" s="31"/>
      <c r="C68" s="31"/>
      <c r="E68" s="20" t="s">
        <v>329</v>
      </c>
    </row>
    <row r="69" spans="1:6" ht="16.5" x14ac:dyDescent="0.2">
      <c r="A69" s="31"/>
      <c r="B69" s="31"/>
      <c r="C69" s="31"/>
      <c r="E69" s="93"/>
      <c r="F69" s="21" t="s">
        <v>375</v>
      </c>
    </row>
    <row r="70" spans="1:6" x14ac:dyDescent="0.2">
      <c r="A70" s="31"/>
      <c r="B70" s="31"/>
      <c r="C70" s="31"/>
      <c r="F70" s="23"/>
    </row>
    <row r="71" spans="1:6" x14ac:dyDescent="0.2">
      <c r="A71" s="31"/>
      <c r="B71" s="31"/>
      <c r="C71" s="31"/>
      <c r="E71" s="21"/>
    </row>
    <row r="72" spans="1:6" x14ac:dyDescent="0.2">
      <c r="E72" s="23"/>
    </row>
  </sheetData>
  <mergeCells count="5">
    <mergeCell ref="C1:L1"/>
    <mergeCell ref="D4:K4"/>
    <mergeCell ref="D5:K5"/>
    <mergeCell ref="G9:K9"/>
    <mergeCell ref="E11:F11"/>
  </mergeCells>
  <printOptions horizontalCentered="1"/>
  <pageMargins left="0.7" right="0.7" top="1" bottom="0.75" header="0.55000000000000004" footer="0.51"/>
  <pageSetup orientation="portrait" useFirstPageNumber="1" r:id="rId1"/>
  <headerFooter>
    <oddHeader>&amp;R&amp;10 Exhibit MPG-2
Page 4 of 4</oddHeader>
  </headerFooter>
  <rowBreaks count="1" manualBreakCount="1">
    <brk id="7" min="2" max="10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179"/>
  <sheetViews>
    <sheetView view="pageBreakPreview" zoomScale="60" zoomScaleNormal="100" workbookViewId="0">
      <selection activeCell="O78" sqref="O78"/>
    </sheetView>
  </sheetViews>
  <sheetFormatPr defaultRowHeight="14.25" x14ac:dyDescent="0.2"/>
  <cols>
    <col min="5" max="5" width="12.375" customWidth="1"/>
  </cols>
  <sheetData>
    <row r="1" spans="1:19" ht="27.75" x14ac:dyDescent="0.4">
      <c r="C1" s="236" t="str">
        <f>GasU</f>
        <v>Enter Utility Name</v>
      </c>
      <c r="D1" s="236"/>
      <c r="E1" s="236"/>
      <c r="F1" s="236"/>
      <c r="G1" s="236"/>
      <c r="H1" s="236"/>
      <c r="I1" s="236"/>
      <c r="J1" s="236"/>
      <c r="K1" s="236"/>
      <c r="L1" s="236"/>
      <c r="M1" s="236"/>
      <c r="N1" s="236"/>
      <c r="O1" s="236"/>
      <c r="P1" s="236"/>
      <c r="Q1" s="236"/>
      <c r="R1" s="236"/>
      <c r="S1" s="236"/>
    </row>
    <row r="2" spans="1:19" x14ac:dyDescent="0.2">
      <c r="C2" s="4"/>
      <c r="D2" s="5"/>
      <c r="E2" s="6"/>
      <c r="F2" s="6"/>
      <c r="G2" s="6"/>
      <c r="H2" s="6"/>
      <c r="I2" s="6"/>
      <c r="J2" s="6"/>
      <c r="K2" s="6"/>
      <c r="L2" s="6"/>
      <c r="M2" s="6"/>
      <c r="N2" s="6"/>
      <c r="O2" s="7"/>
      <c r="P2" s="7"/>
      <c r="Q2" s="7"/>
      <c r="R2" s="7"/>
      <c r="S2" s="7"/>
    </row>
    <row r="3" spans="1:19" x14ac:dyDescent="0.2">
      <c r="C3" s="4"/>
      <c r="D3" s="5"/>
      <c r="E3" s="6"/>
      <c r="F3" s="6"/>
      <c r="G3" s="6"/>
      <c r="H3" s="6"/>
      <c r="I3" s="6"/>
      <c r="J3" s="6"/>
      <c r="K3" s="6"/>
      <c r="L3" s="6"/>
      <c r="M3" s="6"/>
      <c r="N3" s="6"/>
      <c r="O3" s="7"/>
      <c r="P3" s="7"/>
      <c r="Q3" s="7"/>
      <c r="R3" s="7"/>
      <c r="S3" s="7"/>
    </row>
    <row r="4" spans="1:19" ht="20.25" x14ac:dyDescent="0.3">
      <c r="C4" s="237" t="s">
        <v>363</v>
      </c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</row>
    <row r="5" spans="1:19" ht="18" x14ac:dyDescent="0.25">
      <c r="C5" s="238" t="s">
        <v>274</v>
      </c>
      <c r="D5" s="238"/>
      <c r="E5" s="238"/>
      <c r="F5" s="238"/>
      <c r="G5" s="238"/>
      <c r="H5" s="238"/>
      <c r="I5" s="238"/>
      <c r="J5" s="238"/>
      <c r="K5" s="238"/>
      <c r="L5" s="238"/>
      <c r="M5" s="238"/>
      <c r="N5" s="238"/>
      <c r="O5" s="238"/>
      <c r="P5" s="238"/>
      <c r="Q5" s="238"/>
      <c r="R5" s="238"/>
      <c r="S5" s="238"/>
    </row>
    <row r="6" spans="1:19" x14ac:dyDescent="0.2">
      <c r="C6" s="6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</row>
    <row r="7" spans="1:19" x14ac:dyDescent="0.2">
      <c r="C7" s="6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</row>
    <row r="8" spans="1:19" ht="17.25" x14ac:dyDescent="0.25">
      <c r="C8" s="6"/>
      <c r="D8" s="7"/>
      <c r="E8" s="7"/>
      <c r="F8" s="239" t="s">
        <v>330</v>
      </c>
      <c r="G8" s="239"/>
      <c r="H8" s="239"/>
      <c r="I8" s="239"/>
      <c r="J8" s="239"/>
      <c r="K8" s="239"/>
      <c r="L8" s="239"/>
      <c r="M8" s="239"/>
      <c r="N8" s="239"/>
      <c r="O8" s="239"/>
      <c r="P8" s="239"/>
      <c r="Q8" s="239"/>
      <c r="R8" s="239"/>
      <c r="S8" s="239"/>
    </row>
    <row r="9" spans="1:19" ht="15" x14ac:dyDescent="0.25">
      <c r="A9" s="42" t="s">
        <v>99</v>
      </c>
      <c r="B9" s="42" t="s">
        <v>241</v>
      </c>
      <c r="C9" s="6"/>
      <c r="D9" s="7"/>
      <c r="E9" s="7"/>
      <c r="F9" s="8" t="s">
        <v>429</v>
      </c>
      <c r="G9" s="8"/>
      <c r="H9" s="8"/>
      <c r="I9" s="8"/>
      <c r="J9" s="8"/>
      <c r="K9" s="8"/>
      <c r="L9" s="8"/>
      <c r="M9" s="8"/>
      <c r="N9" s="7"/>
      <c r="O9" s="7"/>
      <c r="P9" s="7"/>
      <c r="Q9" s="7"/>
      <c r="R9" s="7"/>
      <c r="S9" s="7"/>
    </row>
    <row r="10" spans="1:19" ht="17.25" x14ac:dyDescent="0.25">
      <c r="A10" s="42" t="s">
        <v>100</v>
      </c>
      <c r="B10" s="42" t="s">
        <v>242</v>
      </c>
      <c r="C10" s="9" t="s">
        <v>96</v>
      </c>
      <c r="D10" s="234" t="s">
        <v>97</v>
      </c>
      <c r="E10" s="234"/>
      <c r="F10" s="10" t="s">
        <v>98</v>
      </c>
      <c r="G10" s="41" t="s">
        <v>423</v>
      </c>
      <c r="H10" s="41">
        <v>2017</v>
      </c>
      <c r="I10" s="41">
        <v>2016</v>
      </c>
      <c r="J10" s="41">
        <v>2015</v>
      </c>
      <c r="K10" s="41">
        <v>2014</v>
      </c>
      <c r="L10" s="41">
        <v>2013</v>
      </c>
      <c r="M10" s="41">
        <v>2012</v>
      </c>
      <c r="N10" s="41">
        <v>2011</v>
      </c>
      <c r="O10" s="41">
        <v>2010</v>
      </c>
      <c r="P10" s="41">
        <v>2009</v>
      </c>
      <c r="Q10" s="41">
        <v>2008</v>
      </c>
      <c r="R10" s="41">
        <v>2007</v>
      </c>
      <c r="S10" s="41">
        <v>2006</v>
      </c>
    </row>
    <row r="11" spans="1:19" ht="15" x14ac:dyDescent="0.25">
      <c r="A11" s="42"/>
      <c r="B11" s="42"/>
      <c r="C11" s="9"/>
      <c r="D11" s="223"/>
      <c r="E11" s="223"/>
      <c r="F11" s="12">
        <v>-1</v>
      </c>
      <c r="G11" s="12">
        <f>+F11-1</f>
        <v>-2</v>
      </c>
      <c r="H11" s="12">
        <f t="shared" ref="H11:S11" si="0">+G11-1</f>
        <v>-3</v>
      </c>
      <c r="I11" s="12">
        <f t="shared" si="0"/>
        <v>-4</v>
      </c>
      <c r="J11" s="12">
        <f t="shared" si="0"/>
        <v>-5</v>
      </c>
      <c r="K11" s="12">
        <f t="shared" si="0"/>
        <v>-6</v>
      </c>
      <c r="L11" s="12">
        <f t="shared" si="0"/>
        <v>-7</v>
      </c>
      <c r="M11" s="12">
        <f t="shared" si="0"/>
        <v>-8</v>
      </c>
      <c r="N11" s="12">
        <f t="shared" si="0"/>
        <v>-9</v>
      </c>
      <c r="O11" s="12">
        <f t="shared" si="0"/>
        <v>-10</v>
      </c>
      <c r="P11" s="12">
        <f t="shared" si="0"/>
        <v>-11</v>
      </c>
      <c r="Q11" s="12">
        <f t="shared" si="0"/>
        <v>-12</v>
      </c>
      <c r="R11" s="12">
        <f t="shared" si="0"/>
        <v>-13</v>
      </c>
      <c r="S11" s="12">
        <f t="shared" si="0"/>
        <v>-14</v>
      </c>
    </row>
    <row r="12" spans="1:19" ht="15" x14ac:dyDescent="0.25">
      <c r="A12" s="43"/>
      <c r="B12" s="44"/>
      <c r="C12" s="9"/>
      <c r="D12" s="14" t="s">
        <v>101</v>
      </c>
      <c r="E12" s="11"/>
      <c r="F12" s="36"/>
      <c r="G12" s="36"/>
      <c r="H12" s="36"/>
      <c r="I12" s="16">
        <f t="shared" ref="I12:S12" ca="1" si="1">MATCH(I10,OFFSET(DIV_BV_WP,-1,0,1,),0)</f>
        <v>6</v>
      </c>
      <c r="J12" s="16">
        <f t="shared" ca="1" si="1"/>
        <v>7</v>
      </c>
      <c r="K12" s="16">
        <f t="shared" ca="1" si="1"/>
        <v>8</v>
      </c>
      <c r="L12" s="16">
        <f t="shared" ca="1" si="1"/>
        <v>9</v>
      </c>
      <c r="M12" s="16">
        <f t="shared" ca="1" si="1"/>
        <v>10</v>
      </c>
      <c r="N12" s="16">
        <f t="shared" ca="1" si="1"/>
        <v>11</v>
      </c>
      <c r="O12" s="16">
        <f t="shared" ca="1" si="1"/>
        <v>12</v>
      </c>
      <c r="P12" s="16">
        <f t="shared" ca="1" si="1"/>
        <v>13</v>
      </c>
      <c r="Q12" s="16">
        <f t="shared" ca="1" si="1"/>
        <v>14</v>
      </c>
      <c r="R12" s="16">
        <f t="shared" ca="1" si="1"/>
        <v>15</v>
      </c>
      <c r="S12" s="16">
        <f t="shared" ca="1" si="1"/>
        <v>16</v>
      </c>
    </row>
    <row r="13" spans="1:19" x14ac:dyDescent="0.2">
      <c r="A13" s="45" t="s">
        <v>165</v>
      </c>
      <c r="B13" s="46">
        <f t="shared" ref="B13:B57" ca="1" si="2">IFERROR(MATCH(A13,OFFSET(DIV_BV_WP,0,0,,1),0),"")</f>
        <v>4</v>
      </c>
      <c r="C13" s="1">
        <f ca="1">IF(ISERROR(D13),"",IF(D13="","",MAX($C$12:C12)+1))</f>
        <v>1</v>
      </c>
      <c r="D13" t="str">
        <f t="shared" ref="D13:D57" ca="1" si="3">VLOOKUP(A13,LUCurYr,2,FALSE)</f>
        <v>Amer. States Water</v>
      </c>
      <c r="E13" s="15"/>
      <c r="F13" s="80">
        <f ca="1">IFERROR(AVERAGE(G13:S13),"N/A")</f>
        <v>5.9314163746655497E-2</v>
      </c>
      <c r="G13" s="80">
        <f t="shared" ref="G13:G57" si="4">IFERROR(IF(VLOOKUP(A13,LUCurYr,19,FALSE)=0,"",VLOOKUP(A13,LUCurYr,19,FALSE)),"N/A")</f>
        <v>7.1052631578947381E-2</v>
      </c>
      <c r="H13" s="80">
        <f ca="1">IFERROR(VLOOKUP($A13,LASTYR,'2017'!$N$3,FALSE),"N/A")</f>
        <v>6.8526337647954599E-2</v>
      </c>
      <c r="I13" s="80">
        <f t="shared" ref="I13:S28" ca="1" si="5">IFERROR(INDEX(DIV_BV_WP,$B13,I$12),"N/A")</f>
        <v>6.7623557265463152E-2</v>
      </c>
      <c r="J13" s="80">
        <f t="shared" ca="1" si="5"/>
        <v>6.8468468468468463E-2</v>
      </c>
      <c r="K13" s="80">
        <f t="shared" ca="1" si="5"/>
        <v>6.2778575205862358E-2</v>
      </c>
      <c r="L13" s="80">
        <f t="shared" ca="1" si="5"/>
        <v>5.9762522607533224E-2</v>
      </c>
      <c r="M13" s="80">
        <f t="shared" ca="1" si="5"/>
        <v>5.381812017967625E-2</v>
      </c>
      <c r="N13" s="80">
        <f t="shared" ca="1" si="5"/>
        <v>5.073332718383914E-2</v>
      </c>
      <c r="O13" s="80">
        <f t="shared" ca="1" si="5"/>
        <v>5.1322542439794713E-2</v>
      </c>
      <c r="P13" s="80">
        <f t="shared" ca="1" si="5"/>
        <v>5.2077962256367953E-2</v>
      </c>
      <c r="Q13" s="80">
        <f t="shared" ca="1" si="5"/>
        <v>5.5716514374860707E-2</v>
      </c>
      <c r="R13" s="80">
        <f t="shared" ca="1" si="5"/>
        <v>5.4522641724649254E-2</v>
      </c>
      <c r="S13" s="80">
        <f t="shared" ca="1" si="5"/>
        <v>5.4680927773104196E-2</v>
      </c>
    </row>
    <row r="14" spans="1:19" x14ac:dyDescent="0.2">
      <c r="A14" s="45" t="s">
        <v>167</v>
      </c>
      <c r="B14" s="46">
        <f t="shared" ca="1" si="2"/>
        <v>5</v>
      </c>
      <c r="C14" s="1">
        <f ca="1">IF(ISERROR(D14),"",IF(D14="","",MAX($C$12:C13)+1))</f>
        <v>2</v>
      </c>
      <c r="D14" t="str">
        <f t="shared" ca="1" si="3"/>
        <v>Amer. Water Works</v>
      </c>
      <c r="E14" s="15"/>
      <c r="F14" s="80">
        <f t="shared" ref="F14:F57" ca="1" si="6">IFERROR(AVERAGE(G14:S14),"N/A")</f>
        <v>3.5106721896843149E-2</v>
      </c>
      <c r="G14" s="80">
        <f t="shared" si="4"/>
        <v>5.606299212598425E-2</v>
      </c>
      <c r="H14" s="80">
        <f ca="1">IFERROR(VLOOKUP($A14,LASTYR,'2017'!$N$3,FALSE),"N/A")</f>
        <v>5.3761656655493983E-2</v>
      </c>
      <c r="I14" s="80">
        <f t="shared" ca="1" si="5"/>
        <v>5.0268440310501657E-2</v>
      </c>
      <c r="J14" s="80">
        <f t="shared" ca="1" si="5"/>
        <v>4.707464694014795E-2</v>
      </c>
      <c r="K14" s="80">
        <f t="shared" ca="1" si="5"/>
        <v>4.4175094008981057E-2</v>
      </c>
      <c r="L14" s="80">
        <f t="shared" ca="1" si="5"/>
        <v>3.1669431458301915E-2</v>
      </c>
      <c r="M14" s="80">
        <f t="shared" ca="1" si="5"/>
        <v>4.8197570205138415E-2</v>
      </c>
      <c r="N14" s="80">
        <f t="shared" ca="1" si="5"/>
        <v>3.7324264919338115E-2</v>
      </c>
      <c r="O14" s="80">
        <f t="shared" ca="1" si="5"/>
        <v>3.6459216550788535E-2</v>
      </c>
      <c r="P14" s="80">
        <f t="shared" ca="1" si="5"/>
        <v>3.579223046704496E-2</v>
      </c>
      <c r="Q14" s="80">
        <f t="shared" ca="1" si="5"/>
        <v>1.5601841017240034E-2</v>
      </c>
      <c r="R14" s="80">
        <f t="shared" ca="1" si="5"/>
        <v>0</v>
      </c>
      <c r="S14" s="80">
        <f t="shared" ca="1" si="5"/>
        <v>0</v>
      </c>
    </row>
    <row r="15" spans="1:19" x14ac:dyDescent="0.2">
      <c r="A15" s="45" t="s">
        <v>171</v>
      </c>
      <c r="B15" s="46">
        <f t="shared" ca="1" si="2"/>
        <v>8</v>
      </c>
      <c r="C15" s="1">
        <f ca="1">IF(ISERROR(D15),"",IF(D15="","",MAX($C$12:C14)+1))</f>
        <v>3</v>
      </c>
      <c r="D15" t="str">
        <f t="shared" ca="1" si="3"/>
        <v>Aqua America</v>
      </c>
      <c r="E15" s="15"/>
      <c r="F15" s="80">
        <f t="shared" ca="1" si="6"/>
        <v>6.8807692722077082E-2</v>
      </c>
      <c r="G15" s="80">
        <f t="shared" si="4"/>
        <v>7.7272727272727271E-2</v>
      </c>
      <c r="H15" s="80">
        <f ca="1">IFERROR(VLOOKUP($A15,LASTYR,'2017'!$N$3,FALSE),"N/A")</f>
        <v>7.1713870733478582E-2</v>
      </c>
      <c r="I15" s="80">
        <f t="shared" ca="1" si="5"/>
        <v>7.0955988110077667E-2</v>
      </c>
      <c r="J15" s="80">
        <f t="shared" ca="1" si="5"/>
        <v>7.0581014729950903E-2</v>
      </c>
      <c r="K15" s="80">
        <f t="shared" ca="1" si="5"/>
        <v>6.7968497141007653E-2</v>
      </c>
      <c r="L15" s="80">
        <f t="shared" ca="1" si="5"/>
        <v>6.7230787063869243E-2</v>
      </c>
      <c r="M15" s="80">
        <f t="shared" ca="1" si="5"/>
        <v>6.7856690720344351E-2</v>
      </c>
      <c r="N15" s="80">
        <f t="shared" ca="1" si="5"/>
        <v>6.9922308546059936E-2</v>
      </c>
      <c r="O15" s="80">
        <f t="shared" ca="1" si="5"/>
        <v>6.9320017623733285E-2</v>
      </c>
      <c r="P15" s="80">
        <f t="shared" ca="1" si="5"/>
        <v>6.7692307692307691E-2</v>
      </c>
      <c r="Q15" s="80">
        <f t="shared" ca="1" si="5"/>
        <v>6.5227817745803357E-2</v>
      </c>
      <c r="R15" s="80">
        <f t="shared" ca="1" si="5"/>
        <v>6.5584970111016216E-2</v>
      </c>
      <c r="S15" s="80">
        <f t="shared" ca="1" si="5"/>
        <v>6.3173007896625985E-2</v>
      </c>
    </row>
    <row r="16" spans="1:19" x14ac:dyDescent="0.2">
      <c r="A16" s="45" t="s">
        <v>177</v>
      </c>
      <c r="B16" s="46">
        <f t="shared" ca="1" si="2"/>
        <v>13</v>
      </c>
      <c r="C16" s="1">
        <f ca="1">IF(ISERROR(D16),"",IF(D16="","",MAX($C$12:C15)+1))</f>
        <v>4</v>
      </c>
      <c r="D16" t="str">
        <f t="shared" ca="1" si="3"/>
        <v>California Water</v>
      </c>
      <c r="E16" s="15"/>
      <c r="F16" s="80">
        <f t="shared" ca="1" si="6"/>
        <v>5.5149803735003958E-2</v>
      </c>
      <c r="G16" s="80">
        <f t="shared" si="4"/>
        <v>5.1903114186851215E-2</v>
      </c>
      <c r="H16" s="80">
        <f ca="1">IFERROR(VLOOKUP($A16,LASTYR,'2017'!$N$3,FALSE),"N/A")</f>
        <v>4.9847687621157571E-2</v>
      </c>
      <c r="I16" s="80">
        <f t="shared" ca="1" si="5"/>
        <v>5.0185468034038831E-2</v>
      </c>
      <c r="J16" s="80">
        <f t="shared" ca="1" si="5"/>
        <v>4.9951539551181694E-2</v>
      </c>
      <c r="K16" s="80">
        <f t="shared" ca="1" si="5"/>
        <v>4.9588037839487335E-2</v>
      </c>
      <c r="L16" s="80">
        <f t="shared" ca="1" si="5"/>
        <v>5.1028544091851383E-2</v>
      </c>
      <c r="M16" s="80">
        <f t="shared" ca="1" si="5"/>
        <v>5.5831265508684863E-2</v>
      </c>
      <c r="N16" s="80">
        <f t="shared" ca="1" si="5"/>
        <v>5.7172073998326675E-2</v>
      </c>
      <c r="O16" s="80">
        <f t="shared" ca="1" si="5"/>
        <v>5.692145795465417E-2</v>
      </c>
      <c r="P16" s="80">
        <f t="shared" ca="1" si="5"/>
        <v>5.8254344391785146E-2</v>
      </c>
      <c r="Q16" s="80">
        <f t="shared" ca="1" si="5"/>
        <v>6.0172803949804565E-2</v>
      </c>
      <c r="R16" s="80">
        <f t="shared" ca="1" si="5"/>
        <v>6.271626297577855E-2</v>
      </c>
      <c r="S16" s="80">
        <f t="shared" ca="1" si="5"/>
        <v>6.3374848451449348E-2</v>
      </c>
    </row>
    <row r="17" spans="1:19" x14ac:dyDescent="0.2">
      <c r="A17" s="45" t="s">
        <v>180</v>
      </c>
      <c r="B17" s="46">
        <f t="shared" ca="1" si="2"/>
        <v>19</v>
      </c>
      <c r="C17" s="1">
        <f ca="1">IF(ISERROR(D17),"",IF(D17="","",MAX($C$12:C16)+1))</f>
        <v>5</v>
      </c>
      <c r="D17" t="str">
        <f t="shared" ca="1" si="3"/>
        <v>Conn. Water Services</v>
      </c>
      <c r="E17" s="15"/>
      <c r="F17" s="80">
        <f t="shared" ca="1" si="6"/>
        <v>6.0644447123161221E-2</v>
      </c>
      <c r="G17" s="80">
        <f t="shared" si="4"/>
        <v>5.020242914979757E-2</v>
      </c>
      <c r="H17" s="80">
        <f ca="1">IFERROR(VLOOKUP($A17,LASTYR,'2017'!$N$3,FALSE),"N/A")</f>
        <v>4.8485844598759091E-2</v>
      </c>
      <c r="I17" s="80">
        <f t="shared" ca="1" si="5"/>
        <v>5.3376542915693659E-2</v>
      </c>
      <c r="J17" s="80">
        <f t="shared" ca="1" si="5"/>
        <v>5.2473763118440778E-2</v>
      </c>
      <c r="K17" s="80">
        <f t="shared" ca="1" si="5"/>
        <v>5.3640660682989005E-2</v>
      </c>
      <c r="L17" s="80">
        <f t="shared" ca="1" si="5"/>
        <v>5.4702763047725374E-2</v>
      </c>
      <c r="M17" s="80">
        <f t="shared" ca="1" si="5"/>
        <v>4.5832139788026346E-2</v>
      </c>
      <c r="N17" s="80">
        <f t="shared" ca="1" si="5"/>
        <v>6.9645106319922948E-2</v>
      </c>
      <c r="O17" s="80">
        <f t="shared" ca="1" si="5"/>
        <v>7.0525105404369487E-2</v>
      </c>
      <c r="P17" s="80">
        <f t="shared" ca="1" si="5"/>
        <v>7.1033938437253363E-2</v>
      </c>
      <c r="Q17" s="80">
        <f t="shared" ca="1" si="5"/>
        <v>7.1936565029019864E-2</v>
      </c>
      <c r="R17" s="80">
        <f t="shared" ca="1" si="5"/>
        <v>7.2803347280334732E-2</v>
      </c>
      <c r="S17" s="80">
        <f t="shared" ca="1" si="5"/>
        <v>7.3719606828763579E-2</v>
      </c>
    </row>
    <row r="18" spans="1:19" x14ac:dyDescent="0.2">
      <c r="A18" s="45" t="s">
        <v>182</v>
      </c>
      <c r="B18" s="46">
        <f t="shared" ca="1" si="2"/>
        <v>21</v>
      </c>
      <c r="C18" s="1">
        <f ca="1">IF(ISERROR(D18),"",IF(D18="","",MAX($C$12:C17)+1))</f>
        <v>6</v>
      </c>
      <c r="D18" t="str">
        <f t="shared" ca="1" si="3"/>
        <v>Consolidated Water</v>
      </c>
      <c r="E18" s="15"/>
      <c r="F18" s="80">
        <f t="shared" ca="1" si="6"/>
        <v>3.2127438444829098E-2</v>
      </c>
      <c r="G18" s="80">
        <f t="shared" si="4"/>
        <v>3.3492822966507178E-2</v>
      </c>
      <c r="H18" s="80">
        <f ca="1">IFERROR(VLOOKUP($A18,LASTYR,'2017'!$N$3,FALSE),"N/A")</f>
        <v>3.1268912648779505E-2</v>
      </c>
      <c r="I18" s="80">
        <f t="shared" ca="1" si="5"/>
        <v>3.0646644192460926E-2</v>
      </c>
      <c r="J18" s="80">
        <f t="shared" ca="1" si="5"/>
        <v>3.0577922739781875E-2</v>
      </c>
      <c r="K18" s="80">
        <f t="shared" ca="1" si="5"/>
        <v>3.1325049597995196E-2</v>
      </c>
      <c r="L18" s="80">
        <f t="shared" ca="1" si="5"/>
        <v>3.1769564756962833E-2</v>
      </c>
      <c r="M18" s="80">
        <f t="shared" ca="1" si="5"/>
        <v>3.2626427406199018E-2</v>
      </c>
      <c r="N18" s="80">
        <f t="shared" ca="1" si="5"/>
        <v>3.3955857385398976E-2</v>
      </c>
      <c r="O18" s="80">
        <f t="shared" ca="1" si="5"/>
        <v>3.4534361689881436E-2</v>
      </c>
      <c r="P18" s="80">
        <f t="shared" ca="1" si="5"/>
        <v>3.2813781788351114E-2</v>
      </c>
      <c r="Q18" s="80">
        <f t="shared" ca="1" si="5"/>
        <v>3.8857006217120994E-2</v>
      </c>
      <c r="R18" s="80">
        <f t="shared" ca="1" si="5"/>
        <v>2.3737066342057214E-2</v>
      </c>
      <c r="S18" s="80">
        <f t="shared" ca="1" si="5"/>
        <v>3.2051282051282048E-2</v>
      </c>
    </row>
    <row r="19" spans="1:19" x14ac:dyDescent="0.2">
      <c r="A19" s="45" t="s">
        <v>188</v>
      </c>
      <c r="B19" s="46">
        <f t="shared" ca="1" si="2"/>
        <v>42</v>
      </c>
      <c r="C19" s="1">
        <f ca="1">IF(ISERROR(D19),"",IF(D19="","",MAX($C$12:C18)+1))</f>
        <v>7</v>
      </c>
      <c r="D19" t="str">
        <f t="shared" ca="1" si="3"/>
        <v>Middlesex Water</v>
      </c>
      <c r="E19" s="15"/>
      <c r="F19" s="80">
        <f t="shared" ca="1" si="6"/>
        <v>6.4938848533910284E-2</v>
      </c>
      <c r="G19" s="80">
        <f t="shared" si="4"/>
        <v>6.1279461279461281E-2</v>
      </c>
      <c r="H19" s="80">
        <f ca="1">IFERROR(VLOOKUP($A19,LASTYR,'2017'!$N$3,FALSE),"N/A")</f>
        <v>6.1220121298608633E-2</v>
      </c>
      <c r="I19" s="80">
        <f t="shared" ca="1" si="5"/>
        <v>6.0280513279618031E-2</v>
      </c>
      <c r="J19" s="80">
        <f t="shared" ca="1" si="5"/>
        <v>6.0915299474056044E-2</v>
      </c>
      <c r="K19" s="80">
        <f t="shared" ca="1" si="5"/>
        <v>6.2356979405034325E-2</v>
      </c>
      <c r="L19" s="80">
        <f t="shared" ca="1" si="5"/>
        <v>6.3684032476319347E-2</v>
      </c>
      <c r="M19" s="80">
        <f t="shared" ca="1" si="5"/>
        <v>6.4698711250435387E-2</v>
      </c>
      <c r="N19" s="80">
        <f t="shared" ca="1" si="5"/>
        <v>6.5039929015084291E-2</v>
      </c>
      <c r="O19" s="80">
        <f t="shared" ca="1" si="5"/>
        <v>6.494789795185052E-2</v>
      </c>
      <c r="P19" s="80">
        <f t="shared" ca="1" si="5"/>
        <v>6.9028947623196821E-2</v>
      </c>
      <c r="Q19" s="80">
        <f t="shared" ca="1" si="5"/>
        <v>7.0096719513411107E-2</v>
      </c>
      <c r="R19" s="80">
        <f t="shared" ca="1" si="5"/>
        <v>6.8927789934354472E-2</v>
      </c>
      <c r="S19" s="80">
        <f t="shared" ca="1" si="5"/>
        <v>7.1728628439403488E-2</v>
      </c>
    </row>
    <row r="20" spans="1:19" x14ac:dyDescent="0.2">
      <c r="A20" s="45" t="s">
        <v>196</v>
      </c>
      <c r="B20" s="46">
        <f t="shared" ca="1" si="2"/>
        <v>61</v>
      </c>
      <c r="C20" s="1">
        <f ca="1">IF(ISERROR(D20),"",IF(D20="","",MAX($C$12:C19)+1))</f>
        <v>8</v>
      </c>
      <c r="D20" t="str">
        <f t="shared" ca="1" si="3"/>
        <v>SJW Corp.</v>
      </c>
      <c r="E20" s="15"/>
      <c r="F20" s="80">
        <f t="shared" ca="1" si="6"/>
        <v>4.5948669575399788E-2</v>
      </c>
      <c r="G20" s="80">
        <f t="shared" si="4"/>
        <v>4.9557522123893805E-2</v>
      </c>
      <c r="H20" s="80">
        <f ca="1">IFERROR(VLOOKUP($A20,LASTYR,'2017'!$N$3,FALSE),"N/A")</f>
        <v>4.6074782916888185E-2</v>
      </c>
      <c r="I20" s="80">
        <f t="shared" ca="1" si="5"/>
        <v>3.9297496603920054E-2</v>
      </c>
      <c r="J20" s="80">
        <f t="shared" ca="1" si="5"/>
        <v>4.142326075411578E-2</v>
      </c>
      <c r="K20" s="80">
        <f t="shared" ca="1" si="5"/>
        <v>4.2246380893370135E-2</v>
      </c>
      <c r="L20" s="80">
        <f t="shared" ca="1" si="5"/>
        <v>4.5842753077116299E-2</v>
      </c>
      <c r="M20" s="80">
        <f t="shared" ca="1" si="5"/>
        <v>4.8273048680989937E-2</v>
      </c>
      <c r="N20" s="80">
        <f t="shared" ca="1" si="5"/>
        <v>4.8594971476864562E-2</v>
      </c>
      <c r="O20" s="80">
        <f t="shared" ca="1" si="5"/>
        <v>4.9465337891903695E-2</v>
      </c>
      <c r="P20" s="80">
        <f t="shared" ca="1" si="5"/>
        <v>4.8309178743961352E-2</v>
      </c>
      <c r="Q20" s="80">
        <f t="shared" ca="1" si="5"/>
        <v>4.6094475809333235E-2</v>
      </c>
      <c r="R20" s="80">
        <f t="shared" ca="1" si="5"/>
        <v>4.6884686918784869E-2</v>
      </c>
      <c r="S20" s="80">
        <f t="shared" ca="1" si="5"/>
        <v>4.5268808589055361E-2</v>
      </c>
    </row>
    <row r="21" spans="1:19" x14ac:dyDescent="0.2">
      <c r="A21" s="45" t="s">
        <v>208</v>
      </c>
      <c r="B21" s="46">
        <f t="shared" ca="1" si="2"/>
        <v>76</v>
      </c>
      <c r="C21" s="1">
        <f ca="1">IF(ISERROR(D21),"",IF(D21="","",MAX($C$12:C20)+1))</f>
        <v>9</v>
      </c>
      <c r="D21" t="str">
        <f t="shared" ca="1" si="3"/>
        <v>York Water Co. (The)</v>
      </c>
      <c r="E21" s="15"/>
      <c r="F21" s="80">
        <f t="shared" ca="1" si="6"/>
        <v>7.2686595520632016E-2</v>
      </c>
      <c r="G21" s="80">
        <f t="shared" si="4"/>
        <v>6.9999999999999993E-2</v>
      </c>
      <c r="H21" s="80">
        <f ca="1">IFERROR(VLOOKUP($A21,LASTYR,'2017'!$N$3,FALSE),"N/A")</f>
        <v>7.0073307460112116E-2</v>
      </c>
      <c r="I21" s="80" t="str">
        <f t="shared" ca="1" si="5"/>
        <v>N/A</v>
      </c>
      <c r="J21" s="80">
        <f t="shared" ca="1" si="5"/>
        <v>7.0480441677434516E-2</v>
      </c>
      <c r="K21" s="80">
        <f t="shared" ca="1" si="5"/>
        <v>7.018404907975459E-2</v>
      </c>
      <c r="L21" s="80">
        <f t="shared" ca="1" si="5"/>
        <v>6.9216300940438874E-2</v>
      </c>
      <c r="M21" s="80">
        <f t="shared" ca="1" si="5"/>
        <v>6.975540313187524E-2</v>
      </c>
      <c r="N21" s="80">
        <f t="shared" ca="1" si="5"/>
        <v>7.0766751712098841E-2</v>
      </c>
      <c r="O21" s="80">
        <f t="shared" ca="1" si="5"/>
        <v>7.1627260083449232E-2</v>
      </c>
      <c r="P21" s="80">
        <f t="shared" ca="1" si="5"/>
        <v>7.3110822135529552E-2</v>
      </c>
      <c r="Q21" s="80">
        <f t="shared" ca="1" si="5"/>
        <v>7.9680625712889044E-2</v>
      </c>
      <c r="R21" s="80">
        <f t="shared" ca="1" si="5"/>
        <v>7.9537843268586733E-2</v>
      </c>
      <c r="S21" s="80">
        <f t="shared" ca="1" si="5"/>
        <v>7.7806341045415603E-2</v>
      </c>
    </row>
    <row r="22" spans="1:19" hidden="1" x14ac:dyDescent="0.2">
      <c r="A22" s="45"/>
      <c r="B22" s="46" t="str">
        <f t="shared" ca="1" si="2"/>
        <v/>
      </c>
      <c r="C22" s="1" t="str">
        <f>IF(ISERROR(D22),"",IF(D22="","",MAX($C$12:C21)+1))</f>
        <v/>
      </c>
      <c r="D22" t="e">
        <f t="shared" si="3"/>
        <v>#N/A</v>
      </c>
      <c r="E22" s="15"/>
      <c r="F22" s="80" t="str">
        <f t="shared" ca="1" si="6"/>
        <v>N/A</v>
      </c>
      <c r="G22" s="80" t="str">
        <f t="shared" si="4"/>
        <v>N/A</v>
      </c>
      <c r="H22" s="80" t="str">
        <f ca="1">IFERROR(VLOOKUP($A22,LASTYR,'2017'!$N$3,FALSE),"N/A")</f>
        <v>N/A</v>
      </c>
      <c r="I22" s="80" t="str">
        <f t="shared" ca="1" si="5"/>
        <v>N/A</v>
      </c>
      <c r="J22" s="80" t="str">
        <f t="shared" ca="1" si="5"/>
        <v>N/A</v>
      </c>
      <c r="K22" s="80" t="str">
        <f t="shared" ca="1" si="5"/>
        <v>N/A</v>
      </c>
      <c r="L22" s="80" t="str">
        <f t="shared" ca="1" si="5"/>
        <v>N/A</v>
      </c>
      <c r="M22" s="80" t="str">
        <f t="shared" ca="1" si="5"/>
        <v>N/A</v>
      </c>
      <c r="N22" s="80" t="str">
        <f t="shared" ca="1" si="5"/>
        <v>N/A</v>
      </c>
      <c r="O22" s="80" t="str">
        <f t="shared" ca="1" si="5"/>
        <v>N/A</v>
      </c>
      <c r="P22" s="80" t="str">
        <f t="shared" ca="1" si="5"/>
        <v>N/A</v>
      </c>
      <c r="Q22" s="80" t="str">
        <f t="shared" ca="1" si="5"/>
        <v>N/A</v>
      </c>
      <c r="R22" s="80" t="str">
        <f t="shared" ca="1" si="5"/>
        <v>N/A</v>
      </c>
      <c r="S22" s="80" t="str">
        <f t="shared" ca="1" si="5"/>
        <v>N/A</v>
      </c>
    </row>
    <row r="23" spans="1:19" hidden="1" x14ac:dyDescent="0.2">
      <c r="A23" s="45"/>
      <c r="B23" s="46" t="str">
        <f t="shared" ca="1" si="2"/>
        <v/>
      </c>
      <c r="C23" s="1" t="str">
        <f>IF(ISERROR(D23),"",IF(D23="","",MAX($C$12:C22)+1))</f>
        <v/>
      </c>
      <c r="D23" t="e">
        <f t="shared" si="3"/>
        <v>#N/A</v>
      </c>
      <c r="E23" s="15"/>
      <c r="F23" s="80" t="str">
        <f t="shared" ca="1" si="6"/>
        <v>N/A</v>
      </c>
      <c r="G23" s="80" t="str">
        <f t="shared" si="4"/>
        <v>N/A</v>
      </c>
      <c r="H23" s="80" t="str">
        <f ca="1">IFERROR(VLOOKUP($A23,LASTYR,'2017'!$N$3,FALSE),"N/A")</f>
        <v>N/A</v>
      </c>
      <c r="I23" s="80" t="str">
        <f t="shared" ca="1" si="5"/>
        <v>N/A</v>
      </c>
      <c r="J23" s="80" t="str">
        <f t="shared" ca="1" si="5"/>
        <v>N/A</v>
      </c>
      <c r="K23" s="80" t="str">
        <f t="shared" ca="1" si="5"/>
        <v>N/A</v>
      </c>
      <c r="L23" s="80" t="str">
        <f t="shared" ca="1" si="5"/>
        <v>N/A</v>
      </c>
      <c r="M23" s="80" t="str">
        <f t="shared" ca="1" si="5"/>
        <v>N/A</v>
      </c>
      <c r="N23" s="80" t="str">
        <f t="shared" ca="1" si="5"/>
        <v>N/A</v>
      </c>
      <c r="O23" s="80" t="str">
        <f t="shared" ca="1" si="5"/>
        <v>N/A</v>
      </c>
      <c r="P23" s="80" t="str">
        <f t="shared" ca="1" si="5"/>
        <v>N/A</v>
      </c>
      <c r="Q23" s="80" t="str">
        <f t="shared" ca="1" si="5"/>
        <v>N/A</v>
      </c>
      <c r="R23" s="80" t="str">
        <f t="shared" ca="1" si="5"/>
        <v>N/A</v>
      </c>
      <c r="S23" s="80" t="str">
        <f t="shared" ca="1" si="5"/>
        <v>N/A</v>
      </c>
    </row>
    <row r="24" spans="1:19" hidden="1" x14ac:dyDescent="0.2">
      <c r="A24" s="45"/>
      <c r="B24" s="46" t="str">
        <f t="shared" ca="1" si="2"/>
        <v/>
      </c>
      <c r="C24" s="1" t="str">
        <f>IF(ISERROR(D24),"",IF(D24="","",MAX($C$12:C23)+1))</f>
        <v/>
      </c>
      <c r="D24" t="e">
        <f t="shared" si="3"/>
        <v>#N/A</v>
      </c>
      <c r="E24" s="15"/>
      <c r="F24" s="80" t="str">
        <f t="shared" ca="1" si="6"/>
        <v>N/A</v>
      </c>
      <c r="G24" s="80" t="str">
        <f t="shared" si="4"/>
        <v>N/A</v>
      </c>
      <c r="H24" s="80" t="str">
        <f ca="1">IFERROR(VLOOKUP($A24,LASTYR,'2017'!$N$3,FALSE),"N/A")</f>
        <v>N/A</v>
      </c>
      <c r="I24" s="80" t="str">
        <f t="shared" ca="1" si="5"/>
        <v>N/A</v>
      </c>
      <c r="J24" s="80" t="str">
        <f t="shared" ca="1" si="5"/>
        <v>N/A</v>
      </c>
      <c r="K24" s="80" t="str">
        <f t="shared" ca="1" si="5"/>
        <v>N/A</v>
      </c>
      <c r="L24" s="80" t="str">
        <f t="shared" ca="1" si="5"/>
        <v>N/A</v>
      </c>
      <c r="M24" s="80" t="str">
        <f t="shared" ca="1" si="5"/>
        <v>N/A</v>
      </c>
      <c r="N24" s="80" t="str">
        <f t="shared" ca="1" si="5"/>
        <v>N/A</v>
      </c>
      <c r="O24" s="80" t="str">
        <f t="shared" ca="1" si="5"/>
        <v>N/A</v>
      </c>
      <c r="P24" s="80" t="str">
        <f t="shared" ca="1" si="5"/>
        <v>N/A</v>
      </c>
      <c r="Q24" s="80" t="str">
        <f t="shared" ca="1" si="5"/>
        <v>N/A</v>
      </c>
      <c r="R24" s="80" t="str">
        <f t="shared" ca="1" si="5"/>
        <v>N/A</v>
      </c>
      <c r="S24" s="80" t="str">
        <f t="shared" ca="1" si="5"/>
        <v>N/A</v>
      </c>
    </row>
    <row r="25" spans="1:19" hidden="1" x14ac:dyDescent="0.2">
      <c r="A25" s="45"/>
      <c r="B25" s="46" t="str">
        <f t="shared" ca="1" si="2"/>
        <v/>
      </c>
      <c r="C25" s="1" t="str">
        <f>IF(ISERROR(D25),"",IF(D25="","",MAX($C$12:C24)+1))</f>
        <v/>
      </c>
      <c r="D25" t="e">
        <f t="shared" si="3"/>
        <v>#N/A</v>
      </c>
      <c r="E25" s="15"/>
      <c r="F25" s="80" t="str">
        <f t="shared" ca="1" si="6"/>
        <v>N/A</v>
      </c>
      <c r="G25" s="80" t="str">
        <f t="shared" si="4"/>
        <v>N/A</v>
      </c>
      <c r="H25" s="80" t="str">
        <f ca="1">IFERROR(VLOOKUP($A25,LASTYR,'2017'!$N$3,FALSE),"N/A")</f>
        <v>N/A</v>
      </c>
      <c r="I25" s="80" t="str">
        <f t="shared" ca="1" si="5"/>
        <v>N/A</v>
      </c>
      <c r="J25" s="80" t="str">
        <f t="shared" ca="1" si="5"/>
        <v>N/A</v>
      </c>
      <c r="K25" s="80" t="str">
        <f t="shared" ca="1" si="5"/>
        <v>N/A</v>
      </c>
      <c r="L25" s="80" t="str">
        <f t="shared" ca="1" si="5"/>
        <v>N/A</v>
      </c>
      <c r="M25" s="80" t="str">
        <f t="shared" ca="1" si="5"/>
        <v>N/A</v>
      </c>
      <c r="N25" s="80" t="str">
        <f t="shared" ca="1" si="5"/>
        <v>N/A</v>
      </c>
      <c r="O25" s="80" t="str">
        <f t="shared" ca="1" si="5"/>
        <v>N/A</v>
      </c>
      <c r="P25" s="80" t="str">
        <f t="shared" ca="1" si="5"/>
        <v>N/A</v>
      </c>
      <c r="Q25" s="80" t="str">
        <f t="shared" ca="1" si="5"/>
        <v>N/A</v>
      </c>
      <c r="R25" s="80" t="str">
        <f t="shared" ca="1" si="5"/>
        <v>N/A</v>
      </c>
      <c r="S25" s="80" t="str">
        <f t="shared" ca="1" si="5"/>
        <v>N/A</v>
      </c>
    </row>
    <row r="26" spans="1:19" hidden="1" x14ac:dyDescent="0.2">
      <c r="A26" s="45"/>
      <c r="B26" s="46" t="str">
        <f t="shared" ca="1" si="2"/>
        <v/>
      </c>
      <c r="C26" s="1" t="str">
        <f>IF(ISERROR(D26),"",IF(D26="","",MAX($C$12:C25)+1))</f>
        <v/>
      </c>
      <c r="D26" t="e">
        <f t="shared" si="3"/>
        <v>#N/A</v>
      </c>
      <c r="E26" s="15"/>
      <c r="F26" s="80" t="str">
        <f t="shared" ca="1" si="6"/>
        <v>N/A</v>
      </c>
      <c r="G26" s="80" t="str">
        <f t="shared" si="4"/>
        <v>N/A</v>
      </c>
      <c r="H26" s="80" t="str">
        <f ca="1">IFERROR(VLOOKUP($A26,LASTYR,'2017'!$N$3,FALSE),"N/A")</f>
        <v>N/A</v>
      </c>
      <c r="I26" s="80" t="str">
        <f t="shared" ca="1" si="5"/>
        <v>N/A</v>
      </c>
      <c r="J26" s="80" t="str">
        <f t="shared" ca="1" si="5"/>
        <v>N/A</v>
      </c>
      <c r="K26" s="80" t="str">
        <f t="shared" ca="1" si="5"/>
        <v>N/A</v>
      </c>
      <c r="L26" s="80" t="str">
        <f t="shared" ca="1" si="5"/>
        <v>N/A</v>
      </c>
      <c r="M26" s="80" t="str">
        <f t="shared" ca="1" si="5"/>
        <v>N/A</v>
      </c>
      <c r="N26" s="80" t="str">
        <f t="shared" ca="1" si="5"/>
        <v>N/A</v>
      </c>
      <c r="O26" s="80" t="str">
        <f t="shared" ca="1" si="5"/>
        <v>N/A</v>
      </c>
      <c r="P26" s="80" t="str">
        <f t="shared" ca="1" si="5"/>
        <v>N/A</v>
      </c>
      <c r="Q26" s="80" t="str">
        <f t="shared" ca="1" si="5"/>
        <v>N/A</v>
      </c>
      <c r="R26" s="80" t="str">
        <f t="shared" ca="1" si="5"/>
        <v>N/A</v>
      </c>
      <c r="S26" s="80" t="str">
        <f t="shared" ca="1" si="5"/>
        <v>N/A</v>
      </c>
    </row>
    <row r="27" spans="1:19" hidden="1" x14ac:dyDescent="0.2">
      <c r="A27" s="45"/>
      <c r="B27" s="46" t="str">
        <f t="shared" ca="1" si="2"/>
        <v/>
      </c>
      <c r="C27" s="1" t="str">
        <f>IF(ISERROR(D27),"",IF(D27="","",MAX($C$12:C26)+1))</f>
        <v/>
      </c>
      <c r="D27" t="e">
        <f t="shared" si="3"/>
        <v>#N/A</v>
      </c>
      <c r="E27" s="15"/>
      <c r="F27" s="80" t="str">
        <f t="shared" ca="1" si="6"/>
        <v>N/A</v>
      </c>
      <c r="G27" s="80" t="str">
        <f t="shared" si="4"/>
        <v>N/A</v>
      </c>
      <c r="H27" s="80" t="str">
        <f ca="1">IFERROR(VLOOKUP($A27,LASTYR,'2017'!$N$3,FALSE),"N/A")</f>
        <v>N/A</v>
      </c>
      <c r="I27" s="80" t="str">
        <f t="shared" ca="1" si="5"/>
        <v>N/A</v>
      </c>
      <c r="J27" s="80" t="str">
        <f t="shared" ca="1" si="5"/>
        <v>N/A</v>
      </c>
      <c r="K27" s="80" t="str">
        <f t="shared" ca="1" si="5"/>
        <v>N/A</v>
      </c>
      <c r="L27" s="80" t="str">
        <f t="shared" ca="1" si="5"/>
        <v>N/A</v>
      </c>
      <c r="M27" s="80" t="str">
        <f t="shared" ca="1" si="5"/>
        <v>N/A</v>
      </c>
      <c r="N27" s="80" t="str">
        <f t="shared" ca="1" si="5"/>
        <v>N/A</v>
      </c>
      <c r="O27" s="80" t="str">
        <f t="shared" ca="1" si="5"/>
        <v>N/A</v>
      </c>
      <c r="P27" s="80" t="str">
        <f t="shared" ca="1" si="5"/>
        <v>N/A</v>
      </c>
      <c r="Q27" s="80" t="str">
        <f t="shared" ca="1" si="5"/>
        <v>N/A</v>
      </c>
      <c r="R27" s="80" t="str">
        <f t="shared" ca="1" si="5"/>
        <v>N/A</v>
      </c>
      <c r="S27" s="80" t="str">
        <f t="shared" ca="1" si="5"/>
        <v>N/A</v>
      </c>
    </row>
    <row r="28" spans="1:19" hidden="1" x14ac:dyDescent="0.2">
      <c r="A28" s="45"/>
      <c r="B28" s="46" t="str">
        <f t="shared" ca="1" si="2"/>
        <v/>
      </c>
      <c r="C28" s="1" t="str">
        <f>IF(ISERROR(D28),"",IF(D28="","",MAX($C$12:C27)+1))</f>
        <v/>
      </c>
      <c r="D28" t="e">
        <f t="shared" si="3"/>
        <v>#N/A</v>
      </c>
      <c r="E28" s="15"/>
      <c r="F28" s="80" t="str">
        <f t="shared" ca="1" si="6"/>
        <v>N/A</v>
      </c>
      <c r="G28" s="80" t="str">
        <f t="shared" si="4"/>
        <v>N/A</v>
      </c>
      <c r="H28" s="80" t="str">
        <f ca="1">IFERROR(VLOOKUP($A28,LASTYR,'2017'!$N$3,FALSE),"N/A")</f>
        <v>N/A</v>
      </c>
      <c r="I28" s="80" t="str">
        <f t="shared" ca="1" si="5"/>
        <v>N/A</v>
      </c>
      <c r="J28" s="80" t="str">
        <f t="shared" ca="1" si="5"/>
        <v>N/A</v>
      </c>
      <c r="K28" s="80" t="str">
        <f t="shared" ca="1" si="5"/>
        <v>N/A</v>
      </c>
      <c r="L28" s="80" t="str">
        <f t="shared" ca="1" si="5"/>
        <v>N/A</v>
      </c>
      <c r="M28" s="80" t="str">
        <f t="shared" ca="1" si="5"/>
        <v>N/A</v>
      </c>
      <c r="N28" s="80" t="str">
        <f t="shared" ca="1" si="5"/>
        <v>N/A</v>
      </c>
      <c r="O28" s="80" t="str">
        <f t="shared" ca="1" si="5"/>
        <v>N/A</v>
      </c>
      <c r="P28" s="80" t="str">
        <f t="shared" ca="1" si="5"/>
        <v>N/A</v>
      </c>
      <c r="Q28" s="80" t="str">
        <f t="shared" ca="1" si="5"/>
        <v>N/A</v>
      </c>
      <c r="R28" s="80" t="str">
        <f t="shared" ca="1" si="5"/>
        <v>N/A</v>
      </c>
      <c r="S28" s="80" t="str">
        <f t="shared" ca="1" si="5"/>
        <v>N/A</v>
      </c>
    </row>
    <row r="29" spans="1:19" hidden="1" x14ac:dyDescent="0.2">
      <c r="A29" s="45"/>
      <c r="B29" s="46" t="str">
        <f t="shared" ca="1" si="2"/>
        <v/>
      </c>
      <c r="C29" s="1" t="str">
        <f>IF(ISERROR(D29),"",IF(D29="","",MAX($C$12:C28)+1))</f>
        <v/>
      </c>
      <c r="D29" t="e">
        <f t="shared" si="3"/>
        <v>#N/A</v>
      </c>
      <c r="E29" s="15"/>
      <c r="F29" s="80" t="str">
        <f t="shared" ca="1" si="6"/>
        <v>N/A</v>
      </c>
      <c r="G29" s="80" t="str">
        <f t="shared" si="4"/>
        <v>N/A</v>
      </c>
      <c r="H29" s="80" t="str">
        <f ca="1">IFERROR(VLOOKUP($A29,LASTYR,'2017'!$N$3,FALSE),"N/A")</f>
        <v>N/A</v>
      </c>
      <c r="I29" s="80" t="str">
        <f t="shared" ref="I29:S52" ca="1" si="7">IFERROR(INDEX(DIV_BV_WP,$B29,I$12),"N/A")</f>
        <v>N/A</v>
      </c>
      <c r="J29" s="80" t="str">
        <f t="shared" ca="1" si="7"/>
        <v>N/A</v>
      </c>
      <c r="K29" s="80" t="str">
        <f t="shared" ca="1" si="7"/>
        <v>N/A</v>
      </c>
      <c r="L29" s="80" t="str">
        <f t="shared" ca="1" si="7"/>
        <v>N/A</v>
      </c>
      <c r="M29" s="80" t="str">
        <f t="shared" ca="1" si="7"/>
        <v>N/A</v>
      </c>
      <c r="N29" s="80" t="str">
        <f t="shared" ca="1" si="7"/>
        <v>N/A</v>
      </c>
      <c r="O29" s="80" t="str">
        <f t="shared" ca="1" si="7"/>
        <v>N/A</v>
      </c>
      <c r="P29" s="80" t="str">
        <f t="shared" ca="1" si="7"/>
        <v>N/A</v>
      </c>
      <c r="Q29" s="80" t="str">
        <f t="shared" ca="1" si="7"/>
        <v>N/A</v>
      </c>
      <c r="R29" s="80" t="str">
        <f t="shared" ca="1" si="7"/>
        <v>N/A</v>
      </c>
      <c r="S29" s="80" t="str">
        <f t="shared" ca="1" si="7"/>
        <v>N/A</v>
      </c>
    </row>
    <row r="30" spans="1:19" hidden="1" x14ac:dyDescent="0.2">
      <c r="A30" s="45"/>
      <c r="B30" s="46" t="str">
        <f t="shared" ca="1" si="2"/>
        <v/>
      </c>
      <c r="C30" s="1" t="str">
        <f>IF(ISERROR(D30),"",IF(D30="","",MAX($C$12:C29)+1))</f>
        <v/>
      </c>
      <c r="D30" t="e">
        <f t="shared" si="3"/>
        <v>#N/A</v>
      </c>
      <c r="E30" s="15"/>
      <c r="F30" s="80" t="str">
        <f t="shared" ca="1" si="6"/>
        <v>N/A</v>
      </c>
      <c r="G30" s="80" t="str">
        <f t="shared" si="4"/>
        <v>N/A</v>
      </c>
      <c r="H30" s="80" t="str">
        <f ca="1">IFERROR(VLOOKUP($A30,LASTYR,'2017'!$N$3,FALSE),"N/A")</f>
        <v>N/A</v>
      </c>
      <c r="I30" s="80" t="str">
        <f t="shared" ca="1" si="7"/>
        <v>N/A</v>
      </c>
      <c r="J30" s="80" t="str">
        <f t="shared" ca="1" si="7"/>
        <v>N/A</v>
      </c>
      <c r="K30" s="80" t="str">
        <f t="shared" ca="1" si="7"/>
        <v>N/A</v>
      </c>
      <c r="L30" s="80" t="str">
        <f t="shared" ca="1" si="7"/>
        <v>N/A</v>
      </c>
      <c r="M30" s="80" t="str">
        <f t="shared" ca="1" si="7"/>
        <v>N/A</v>
      </c>
      <c r="N30" s="80" t="str">
        <f t="shared" ca="1" si="7"/>
        <v>N/A</v>
      </c>
      <c r="O30" s="80" t="str">
        <f t="shared" ca="1" si="7"/>
        <v>N/A</v>
      </c>
      <c r="P30" s="80" t="str">
        <f t="shared" ca="1" si="7"/>
        <v>N/A</v>
      </c>
      <c r="Q30" s="80" t="str">
        <f t="shared" ca="1" si="7"/>
        <v>N/A</v>
      </c>
      <c r="R30" s="80" t="str">
        <f t="shared" ca="1" si="7"/>
        <v>N/A</v>
      </c>
      <c r="S30" s="80" t="str">
        <f t="shared" ca="1" si="7"/>
        <v>N/A</v>
      </c>
    </row>
    <row r="31" spans="1:19" hidden="1" x14ac:dyDescent="0.2">
      <c r="A31" s="45"/>
      <c r="B31" s="46" t="str">
        <f t="shared" ca="1" si="2"/>
        <v/>
      </c>
      <c r="C31" s="1" t="str">
        <f>IF(ISERROR(D31),"",IF(D31="","",MAX($C$12:C30)+1))</f>
        <v/>
      </c>
      <c r="D31" t="e">
        <f t="shared" si="3"/>
        <v>#N/A</v>
      </c>
      <c r="E31" s="15"/>
      <c r="F31" s="80" t="str">
        <f t="shared" ca="1" si="6"/>
        <v>N/A</v>
      </c>
      <c r="G31" s="80" t="str">
        <f t="shared" si="4"/>
        <v>N/A</v>
      </c>
      <c r="H31" s="80" t="str">
        <f ca="1">IFERROR(VLOOKUP($A31,LASTYR,'2017'!$N$3,FALSE),"N/A")</f>
        <v>N/A</v>
      </c>
      <c r="I31" s="80" t="str">
        <f t="shared" ca="1" si="7"/>
        <v>N/A</v>
      </c>
      <c r="J31" s="80" t="str">
        <f t="shared" ca="1" si="7"/>
        <v>N/A</v>
      </c>
      <c r="K31" s="80" t="str">
        <f t="shared" ca="1" si="7"/>
        <v>N/A</v>
      </c>
      <c r="L31" s="80" t="str">
        <f t="shared" ca="1" si="7"/>
        <v>N/A</v>
      </c>
      <c r="M31" s="80" t="str">
        <f t="shared" ca="1" si="7"/>
        <v>N/A</v>
      </c>
      <c r="N31" s="80" t="str">
        <f t="shared" ca="1" si="7"/>
        <v>N/A</v>
      </c>
      <c r="O31" s="80" t="str">
        <f t="shared" ca="1" si="7"/>
        <v>N/A</v>
      </c>
      <c r="P31" s="80" t="str">
        <f t="shared" ca="1" si="7"/>
        <v>N/A</v>
      </c>
      <c r="Q31" s="80" t="str">
        <f t="shared" ca="1" si="7"/>
        <v>N/A</v>
      </c>
      <c r="R31" s="80" t="str">
        <f t="shared" ca="1" si="7"/>
        <v>N/A</v>
      </c>
      <c r="S31" s="80" t="str">
        <f t="shared" ca="1" si="7"/>
        <v>N/A</v>
      </c>
    </row>
    <row r="32" spans="1:19" hidden="1" x14ac:dyDescent="0.2">
      <c r="A32" s="45"/>
      <c r="B32" s="46" t="str">
        <f t="shared" ca="1" si="2"/>
        <v/>
      </c>
      <c r="C32" s="1" t="str">
        <f>IF(ISERROR(D32),"",IF(D32="","",MAX($C$12:C31)+1))</f>
        <v/>
      </c>
      <c r="D32" t="e">
        <f t="shared" si="3"/>
        <v>#N/A</v>
      </c>
      <c r="E32" s="15"/>
      <c r="F32" s="80" t="str">
        <f t="shared" ca="1" si="6"/>
        <v>N/A</v>
      </c>
      <c r="G32" s="80" t="str">
        <f t="shared" si="4"/>
        <v>N/A</v>
      </c>
      <c r="H32" s="80" t="str">
        <f ca="1">IFERROR(VLOOKUP($A32,LASTYR,'2017'!$N$3,FALSE),"N/A")</f>
        <v>N/A</v>
      </c>
      <c r="I32" s="80" t="str">
        <f t="shared" ca="1" si="7"/>
        <v>N/A</v>
      </c>
      <c r="J32" s="80" t="str">
        <f t="shared" ca="1" si="7"/>
        <v>N/A</v>
      </c>
      <c r="K32" s="80" t="str">
        <f t="shared" ca="1" si="7"/>
        <v>N/A</v>
      </c>
      <c r="L32" s="80" t="str">
        <f t="shared" ca="1" si="7"/>
        <v>N/A</v>
      </c>
      <c r="M32" s="80" t="str">
        <f t="shared" ca="1" si="7"/>
        <v>N/A</v>
      </c>
      <c r="N32" s="80" t="str">
        <f t="shared" ca="1" si="7"/>
        <v>N/A</v>
      </c>
      <c r="O32" s="80" t="str">
        <f t="shared" ca="1" si="7"/>
        <v>N/A</v>
      </c>
      <c r="P32" s="80" t="str">
        <f t="shared" ca="1" si="7"/>
        <v>N/A</v>
      </c>
      <c r="Q32" s="80" t="str">
        <f t="shared" ca="1" si="7"/>
        <v>N/A</v>
      </c>
      <c r="R32" s="80" t="str">
        <f t="shared" ca="1" si="7"/>
        <v>N/A</v>
      </c>
      <c r="S32" s="80" t="str">
        <f t="shared" ca="1" si="7"/>
        <v>N/A</v>
      </c>
    </row>
    <row r="33" spans="1:19" hidden="1" x14ac:dyDescent="0.2">
      <c r="A33" s="45"/>
      <c r="B33" s="46" t="str">
        <f t="shared" ca="1" si="2"/>
        <v/>
      </c>
      <c r="C33" s="1" t="str">
        <f>IF(ISERROR(D33),"",IF(D33="","",MAX($C$12:C32)+1))</f>
        <v/>
      </c>
      <c r="D33" t="e">
        <f t="shared" si="3"/>
        <v>#N/A</v>
      </c>
      <c r="E33" s="15"/>
      <c r="F33" s="80" t="str">
        <f t="shared" ca="1" si="6"/>
        <v>N/A</v>
      </c>
      <c r="G33" s="80" t="str">
        <f t="shared" si="4"/>
        <v>N/A</v>
      </c>
      <c r="H33" s="80" t="str">
        <f ca="1">IFERROR(VLOOKUP($A33,LASTYR,'2017'!$N$3,FALSE),"N/A")</f>
        <v>N/A</v>
      </c>
      <c r="I33" s="80" t="str">
        <f t="shared" ca="1" si="7"/>
        <v>N/A</v>
      </c>
      <c r="J33" s="80" t="str">
        <f t="shared" ca="1" si="7"/>
        <v>N/A</v>
      </c>
      <c r="K33" s="80" t="str">
        <f t="shared" ca="1" si="7"/>
        <v>N/A</v>
      </c>
      <c r="L33" s="80" t="str">
        <f t="shared" ca="1" si="7"/>
        <v>N/A</v>
      </c>
      <c r="M33" s="80" t="str">
        <f t="shared" ca="1" si="7"/>
        <v>N/A</v>
      </c>
      <c r="N33" s="80" t="str">
        <f t="shared" ca="1" si="7"/>
        <v>N/A</v>
      </c>
      <c r="O33" s="80" t="str">
        <f t="shared" ca="1" si="7"/>
        <v>N/A</v>
      </c>
      <c r="P33" s="80" t="str">
        <f t="shared" ca="1" si="7"/>
        <v>N/A</v>
      </c>
      <c r="Q33" s="80" t="str">
        <f t="shared" ca="1" si="7"/>
        <v>N/A</v>
      </c>
      <c r="R33" s="80" t="str">
        <f t="shared" ca="1" si="7"/>
        <v>N/A</v>
      </c>
      <c r="S33" s="80" t="str">
        <f t="shared" ca="1" si="7"/>
        <v>N/A</v>
      </c>
    </row>
    <row r="34" spans="1:19" hidden="1" x14ac:dyDescent="0.2">
      <c r="A34" s="45"/>
      <c r="B34" s="46" t="str">
        <f t="shared" ca="1" si="2"/>
        <v/>
      </c>
      <c r="C34" s="1" t="str">
        <f>IF(ISERROR(D34),"",IF(D34="","",MAX($C$12:C33)+1))</f>
        <v/>
      </c>
      <c r="D34" t="e">
        <f t="shared" si="3"/>
        <v>#N/A</v>
      </c>
      <c r="E34" s="15"/>
      <c r="F34" s="80" t="str">
        <f t="shared" ca="1" si="6"/>
        <v>N/A</v>
      </c>
      <c r="G34" s="80" t="str">
        <f t="shared" si="4"/>
        <v>N/A</v>
      </c>
      <c r="H34" s="80" t="str">
        <f ca="1">IFERROR(VLOOKUP($A34,LASTYR,'2017'!$N$3,FALSE),"N/A")</f>
        <v>N/A</v>
      </c>
      <c r="I34" s="80" t="str">
        <f t="shared" ca="1" si="7"/>
        <v>N/A</v>
      </c>
      <c r="J34" s="80" t="str">
        <f t="shared" ca="1" si="7"/>
        <v>N/A</v>
      </c>
      <c r="K34" s="80" t="str">
        <f t="shared" ca="1" si="7"/>
        <v>N/A</v>
      </c>
      <c r="L34" s="80" t="str">
        <f t="shared" ca="1" si="7"/>
        <v>N/A</v>
      </c>
      <c r="M34" s="80" t="str">
        <f t="shared" ca="1" si="7"/>
        <v>N/A</v>
      </c>
      <c r="N34" s="80" t="str">
        <f t="shared" ca="1" si="7"/>
        <v>N/A</v>
      </c>
      <c r="O34" s="80" t="str">
        <f t="shared" ca="1" si="7"/>
        <v>N/A</v>
      </c>
      <c r="P34" s="80" t="str">
        <f t="shared" ca="1" si="7"/>
        <v>N/A</v>
      </c>
      <c r="Q34" s="80" t="str">
        <f t="shared" ca="1" si="7"/>
        <v>N/A</v>
      </c>
      <c r="R34" s="80" t="str">
        <f t="shared" ca="1" si="7"/>
        <v>N/A</v>
      </c>
      <c r="S34" s="80" t="str">
        <f t="shared" ca="1" si="7"/>
        <v>N/A</v>
      </c>
    </row>
    <row r="35" spans="1:19" hidden="1" x14ac:dyDescent="0.2">
      <c r="A35" s="45"/>
      <c r="B35" s="46" t="str">
        <f t="shared" ca="1" si="2"/>
        <v/>
      </c>
      <c r="C35" s="1" t="str">
        <f>IF(ISERROR(D35),"",IF(D35="","",MAX($C$12:C34)+1))</f>
        <v/>
      </c>
      <c r="D35" t="e">
        <f t="shared" si="3"/>
        <v>#N/A</v>
      </c>
      <c r="E35" s="15"/>
      <c r="F35" s="80" t="str">
        <f t="shared" ca="1" si="6"/>
        <v>N/A</v>
      </c>
      <c r="G35" s="80" t="str">
        <f t="shared" si="4"/>
        <v>N/A</v>
      </c>
      <c r="H35" s="80" t="str">
        <f ca="1">IFERROR(VLOOKUP($A35,LASTYR,'2017'!$N$3,FALSE),"N/A")</f>
        <v>N/A</v>
      </c>
      <c r="I35" s="80" t="str">
        <f t="shared" ca="1" si="7"/>
        <v>N/A</v>
      </c>
      <c r="J35" s="80" t="str">
        <f t="shared" ca="1" si="7"/>
        <v>N/A</v>
      </c>
      <c r="K35" s="80" t="str">
        <f t="shared" ca="1" si="7"/>
        <v>N/A</v>
      </c>
      <c r="L35" s="80" t="str">
        <f t="shared" ca="1" si="7"/>
        <v>N/A</v>
      </c>
      <c r="M35" s="80" t="str">
        <f t="shared" ca="1" si="7"/>
        <v>N/A</v>
      </c>
      <c r="N35" s="80" t="str">
        <f t="shared" ca="1" si="7"/>
        <v>N/A</v>
      </c>
      <c r="O35" s="80" t="str">
        <f t="shared" ca="1" si="7"/>
        <v>N/A</v>
      </c>
      <c r="P35" s="80" t="str">
        <f t="shared" ca="1" si="7"/>
        <v>N/A</v>
      </c>
      <c r="Q35" s="80" t="str">
        <f t="shared" ca="1" si="7"/>
        <v>N/A</v>
      </c>
      <c r="R35" s="80" t="str">
        <f t="shared" ca="1" si="7"/>
        <v>N/A</v>
      </c>
      <c r="S35" s="80" t="str">
        <f t="shared" ca="1" si="7"/>
        <v>N/A</v>
      </c>
    </row>
    <row r="36" spans="1:19" hidden="1" x14ac:dyDescent="0.2">
      <c r="A36" s="45"/>
      <c r="B36" s="46" t="str">
        <f t="shared" ca="1" si="2"/>
        <v/>
      </c>
      <c r="C36" s="1" t="str">
        <f>IF(ISERROR(D36),"",IF(D36="","",MAX($C$12:C35)+1))</f>
        <v/>
      </c>
      <c r="D36" t="e">
        <f t="shared" si="3"/>
        <v>#N/A</v>
      </c>
      <c r="E36" s="15"/>
      <c r="F36" s="80" t="str">
        <f t="shared" ca="1" si="6"/>
        <v>N/A</v>
      </c>
      <c r="G36" s="80" t="str">
        <f t="shared" si="4"/>
        <v>N/A</v>
      </c>
      <c r="H36" s="80" t="str">
        <f ca="1">IFERROR(VLOOKUP($A36,LASTYR,'2017'!$N$3,FALSE),"N/A")</f>
        <v>N/A</v>
      </c>
      <c r="I36" s="80" t="str">
        <f t="shared" ca="1" si="7"/>
        <v>N/A</v>
      </c>
      <c r="J36" s="80" t="str">
        <f t="shared" ca="1" si="7"/>
        <v>N/A</v>
      </c>
      <c r="K36" s="80" t="str">
        <f t="shared" ca="1" si="7"/>
        <v>N/A</v>
      </c>
      <c r="L36" s="80" t="str">
        <f t="shared" ca="1" si="7"/>
        <v>N/A</v>
      </c>
      <c r="M36" s="80" t="str">
        <f t="shared" ca="1" si="7"/>
        <v>N/A</v>
      </c>
      <c r="N36" s="80" t="str">
        <f t="shared" ca="1" si="7"/>
        <v>N/A</v>
      </c>
      <c r="O36" s="80" t="str">
        <f t="shared" ca="1" si="7"/>
        <v>N/A</v>
      </c>
      <c r="P36" s="80" t="str">
        <f t="shared" ca="1" si="7"/>
        <v>N/A</v>
      </c>
      <c r="Q36" s="80" t="str">
        <f t="shared" ca="1" si="7"/>
        <v>N/A</v>
      </c>
      <c r="R36" s="80" t="str">
        <f t="shared" ca="1" si="7"/>
        <v>N/A</v>
      </c>
      <c r="S36" s="80" t="str">
        <f t="shared" ca="1" si="7"/>
        <v>N/A</v>
      </c>
    </row>
    <row r="37" spans="1:19" hidden="1" x14ac:dyDescent="0.2">
      <c r="A37" s="45"/>
      <c r="B37" s="46" t="str">
        <f t="shared" ca="1" si="2"/>
        <v/>
      </c>
      <c r="C37" s="1" t="str">
        <f>IF(ISERROR(D37),"",IF(D37="","",MAX($C$12:C36)+1))</f>
        <v/>
      </c>
      <c r="D37" t="e">
        <f t="shared" si="3"/>
        <v>#N/A</v>
      </c>
      <c r="E37" s="15"/>
      <c r="F37" s="80" t="str">
        <f t="shared" ca="1" si="6"/>
        <v>N/A</v>
      </c>
      <c r="G37" s="80" t="str">
        <f t="shared" si="4"/>
        <v>N/A</v>
      </c>
      <c r="H37" s="80" t="str">
        <f ca="1">IFERROR(VLOOKUP($A37,LASTYR,'2017'!$N$3,FALSE),"N/A")</f>
        <v>N/A</v>
      </c>
      <c r="I37" s="80" t="str">
        <f t="shared" ca="1" si="7"/>
        <v>N/A</v>
      </c>
      <c r="J37" s="80" t="str">
        <f t="shared" ca="1" si="7"/>
        <v>N/A</v>
      </c>
      <c r="K37" s="80" t="str">
        <f t="shared" ca="1" si="7"/>
        <v>N/A</v>
      </c>
      <c r="L37" s="80" t="str">
        <f t="shared" ca="1" si="7"/>
        <v>N/A</v>
      </c>
      <c r="M37" s="80" t="str">
        <f t="shared" ca="1" si="7"/>
        <v>N/A</v>
      </c>
      <c r="N37" s="80" t="str">
        <f t="shared" ca="1" si="7"/>
        <v>N/A</v>
      </c>
      <c r="O37" s="80" t="str">
        <f t="shared" ca="1" si="7"/>
        <v>N/A</v>
      </c>
      <c r="P37" s="80" t="str">
        <f t="shared" ca="1" si="7"/>
        <v>N/A</v>
      </c>
      <c r="Q37" s="80" t="str">
        <f t="shared" ca="1" si="7"/>
        <v>N/A</v>
      </c>
      <c r="R37" s="80" t="str">
        <f t="shared" ca="1" si="7"/>
        <v>N/A</v>
      </c>
      <c r="S37" s="80" t="str">
        <f t="shared" ca="1" si="7"/>
        <v>N/A</v>
      </c>
    </row>
    <row r="38" spans="1:19" hidden="1" x14ac:dyDescent="0.2">
      <c r="A38" s="45"/>
      <c r="B38" s="46" t="str">
        <f t="shared" ca="1" si="2"/>
        <v/>
      </c>
      <c r="C38" s="1" t="str">
        <f>IF(ISERROR(D38),"",IF(D38="","",MAX($C$12:C37)+1))</f>
        <v/>
      </c>
      <c r="D38" t="e">
        <f t="shared" si="3"/>
        <v>#N/A</v>
      </c>
      <c r="E38" s="15"/>
      <c r="F38" s="80" t="str">
        <f t="shared" ca="1" si="6"/>
        <v>N/A</v>
      </c>
      <c r="G38" s="80" t="str">
        <f t="shared" si="4"/>
        <v>N/A</v>
      </c>
      <c r="H38" s="80" t="str">
        <f ca="1">IFERROR(VLOOKUP($A38,LASTYR,'2017'!$N$3,FALSE),"N/A")</f>
        <v>N/A</v>
      </c>
      <c r="I38" s="80" t="str">
        <f t="shared" ca="1" si="7"/>
        <v>N/A</v>
      </c>
      <c r="J38" s="80" t="str">
        <f t="shared" ca="1" si="7"/>
        <v>N/A</v>
      </c>
      <c r="K38" s="80" t="str">
        <f t="shared" ca="1" si="7"/>
        <v>N/A</v>
      </c>
      <c r="L38" s="80" t="str">
        <f t="shared" ca="1" si="7"/>
        <v>N/A</v>
      </c>
      <c r="M38" s="80" t="str">
        <f t="shared" ca="1" si="7"/>
        <v>N/A</v>
      </c>
      <c r="N38" s="80" t="str">
        <f t="shared" ca="1" si="7"/>
        <v>N/A</v>
      </c>
      <c r="O38" s="80" t="str">
        <f t="shared" ca="1" si="7"/>
        <v>N/A</v>
      </c>
      <c r="P38" s="80" t="str">
        <f t="shared" ca="1" si="7"/>
        <v>N/A</v>
      </c>
      <c r="Q38" s="80" t="str">
        <f t="shared" ca="1" si="7"/>
        <v>N/A</v>
      </c>
      <c r="R38" s="80" t="str">
        <f t="shared" ca="1" si="7"/>
        <v>N/A</v>
      </c>
      <c r="S38" s="80" t="str">
        <f t="shared" ca="1" si="7"/>
        <v>N/A</v>
      </c>
    </row>
    <row r="39" spans="1:19" hidden="1" x14ac:dyDescent="0.2">
      <c r="A39" s="45"/>
      <c r="B39" s="46" t="str">
        <f t="shared" ca="1" si="2"/>
        <v/>
      </c>
      <c r="C39" s="1" t="str">
        <f>IF(ISERROR(D39),"",IF(D39="","",MAX($C$12:C38)+1))</f>
        <v/>
      </c>
      <c r="D39" t="e">
        <f t="shared" si="3"/>
        <v>#N/A</v>
      </c>
      <c r="E39" s="15"/>
      <c r="F39" s="80" t="str">
        <f t="shared" ca="1" si="6"/>
        <v>N/A</v>
      </c>
      <c r="G39" s="80" t="str">
        <f t="shared" si="4"/>
        <v>N/A</v>
      </c>
      <c r="H39" s="80" t="str">
        <f ca="1">IFERROR(VLOOKUP($A39,LASTYR,'2017'!$N$3,FALSE),"N/A")</f>
        <v>N/A</v>
      </c>
      <c r="I39" s="80" t="str">
        <f t="shared" ca="1" si="7"/>
        <v>N/A</v>
      </c>
      <c r="J39" s="80" t="str">
        <f t="shared" ca="1" si="7"/>
        <v>N/A</v>
      </c>
      <c r="K39" s="80" t="str">
        <f t="shared" ca="1" si="7"/>
        <v>N/A</v>
      </c>
      <c r="L39" s="80" t="str">
        <f t="shared" ca="1" si="7"/>
        <v>N/A</v>
      </c>
      <c r="M39" s="80" t="str">
        <f t="shared" ca="1" si="7"/>
        <v>N/A</v>
      </c>
      <c r="N39" s="80" t="str">
        <f t="shared" ca="1" si="7"/>
        <v>N/A</v>
      </c>
      <c r="O39" s="80" t="str">
        <f t="shared" ca="1" si="7"/>
        <v>N/A</v>
      </c>
      <c r="P39" s="80" t="str">
        <f t="shared" ca="1" si="7"/>
        <v>N/A</v>
      </c>
      <c r="Q39" s="80" t="str">
        <f t="shared" ca="1" si="7"/>
        <v>N/A</v>
      </c>
      <c r="R39" s="80" t="str">
        <f t="shared" ca="1" si="7"/>
        <v>N/A</v>
      </c>
      <c r="S39" s="80" t="str">
        <f t="shared" ca="1" si="7"/>
        <v>N/A</v>
      </c>
    </row>
    <row r="40" spans="1:19" hidden="1" x14ac:dyDescent="0.2">
      <c r="A40" s="45"/>
      <c r="B40" s="46" t="str">
        <f t="shared" ca="1" si="2"/>
        <v/>
      </c>
      <c r="C40" s="1" t="str">
        <f>IF(ISERROR(D40),"",IF(D40="","",MAX($C$12:C39)+1))</f>
        <v/>
      </c>
      <c r="D40" t="e">
        <f t="shared" si="3"/>
        <v>#N/A</v>
      </c>
      <c r="E40" s="15"/>
      <c r="F40" s="80" t="str">
        <f t="shared" ca="1" si="6"/>
        <v>N/A</v>
      </c>
      <c r="G40" s="80" t="str">
        <f t="shared" si="4"/>
        <v>N/A</v>
      </c>
      <c r="H40" s="80" t="str">
        <f ca="1">IFERROR(VLOOKUP($A40,LASTYR,'2017'!$N$3,FALSE),"N/A")</f>
        <v>N/A</v>
      </c>
      <c r="I40" s="80" t="str">
        <f t="shared" ca="1" si="7"/>
        <v>N/A</v>
      </c>
      <c r="J40" s="80" t="str">
        <f t="shared" ca="1" si="7"/>
        <v>N/A</v>
      </c>
      <c r="K40" s="80" t="str">
        <f t="shared" ca="1" si="7"/>
        <v>N/A</v>
      </c>
      <c r="L40" s="80" t="str">
        <f t="shared" ca="1" si="7"/>
        <v>N/A</v>
      </c>
      <c r="M40" s="80" t="str">
        <f t="shared" ca="1" si="7"/>
        <v>N/A</v>
      </c>
      <c r="N40" s="80" t="str">
        <f t="shared" ca="1" si="7"/>
        <v>N/A</v>
      </c>
      <c r="O40" s="80" t="str">
        <f t="shared" ca="1" si="7"/>
        <v>N/A</v>
      </c>
      <c r="P40" s="80" t="str">
        <f t="shared" ca="1" si="7"/>
        <v>N/A</v>
      </c>
      <c r="Q40" s="80" t="str">
        <f t="shared" ca="1" si="7"/>
        <v>N/A</v>
      </c>
      <c r="R40" s="80" t="str">
        <f t="shared" ca="1" si="7"/>
        <v>N/A</v>
      </c>
      <c r="S40" s="80" t="str">
        <f t="shared" ca="1" si="7"/>
        <v>N/A</v>
      </c>
    </row>
    <row r="41" spans="1:19" hidden="1" x14ac:dyDescent="0.2">
      <c r="A41" s="45"/>
      <c r="B41" s="46" t="str">
        <f t="shared" ca="1" si="2"/>
        <v/>
      </c>
      <c r="C41" s="1" t="str">
        <f>IF(ISERROR(D41),"",IF(D41="","",MAX($C$12:C40)+1))</f>
        <v/>
      </c>
      <c r="D41" t="e">
        <f t="shared" si="3"/>
        <v>#N/A</v>
      </c>
      <c r="E41" s="15"/>
      <c r="F41" s="80" t="str">
        <f t="shared" ca="1" si="6"/>
        <v>N/A</v>
      </c>
      <c r="G41" s="80" t="str">
        <f t="shared" si="4"/>
        <v>N/A</v>
      </c>
      <c r="H41" s="80" t="str">
        <f ca="1">IFERROR(VLOOKUP($A41,LASTYR,'2017'!$N$3,FALSE),"N/A")</f>
        <v>N/A</v>
      </c>
      <c r="I41" s="80" t="str">
        <f t="shared" ca="1" si="7"/>
        <v>N/A</v>
      </c>
      <c r="J41" s="80" t="str">
        <f t="shared" ca="1" si="7"/>
        <v>N/A</v>
      </c>
      <c r="K41" s="80" t="str">
        <f t="shared" ca="1" si="7"/>
        <v>N/A</v>
      </c>
      <c r="L41" s="80" t="str">
        <f t="shared" ca="1" si="7"/>
        <v>N/A</v>
      </c>
      <c r="M41" s="80" t="str">
        <f t="shared" ca="1" si="7"/>
        <v>N/A</v>
      </c>
      <c r="N41" s="80" t="str">
        <f t="shared" ca="1" si="7"/>
        <v>N/A</v>
      </c>
      <c r="O41" s="80" t="str">
        <f t="shared" ca="1" si="7"/>
        <v>N/A</v>
      </c>
      <c r="P41" s="80" t="str">
        <f t="shared" ca="1" si="7"/>
        <v>N/A</v>
      </c>
      <c r="Q41" s="80" t="str">
        <f t="shared" ca="1" si="7"/>
        <v>N/A</v>
      </c>
      <c r="R41" s="80" t="str">
        <f t="shared" ca="1" si="7"/>
        <v>N/A</v>
      </c>
      <c r="S41" s="80" t="str">
        <f t="shared" ca="1" si="7"/>
        <v>N/A</v>
      </c>
    </row>
    <row r="42" spans="1:19" hidden="1" x14ac:dyDescent="0.2">
      <c r="A42" s="45"/>
      <c r="B42" s="46" t="str">
        <f t="shared" ca="1" si="2"/>
        <v/>
      </c>
      <c r="C42" s="1" t="str">
        <f>IF(ISERROR(D42),"",IF(D42="","",MAX($C$12:C41)+1))</f>
        <v/>
      </c>
      <c r="D42" t="e">
        <f t="shared" si="3"/>
        <v>#N/A</v>
      </c>
      <c r="E42" s="15"/>
      <c r="F42" s="80" t="str">
        <f t="shared" ca="1" si="6"/>
        <v>N/A</v>
      </c>
      <c r="G42" s="80" t="str">
        <f t="shared" si="4"/>
        <v>N/A</v>
      </c>
      <c r="H42" s="80" t="str">
        <f ca="1">IFERROR(VLOOKUP($A42,LASTYR,'2017'!$N$3,FALSE),"N/A")</f>
        <v>N/A</v>
      </c>
      <c r="I42" s="80" t="str">
        <f t="shared" ca="1" si="7"/>
        <v>N/A</v>
      </c>
      <c r="J42" s="80" t="str">
        <f t="shared" ca="1" si="7"/>
        <v>N/A</v>
      </c>
      <c r="K42" s="80" t="str">
        <f t="shared" ca="1" si="7"/>
        <v>N/A</v>
      </c>
      <c r="L42" s="80" t="str">
        <f t="shared" ca="1" si="7"/>
        <v>N/A</v>
      </c>
      <c r="M42" s="80" t="str">
        <f t="shared" ca="1" si="7"/>
        <v>N/A</v>
      </c>
      <c r="N42" s="80" t="str">
        <f t="shared" ca="1" si="7"/>
        <v>N/A</v>
      </c>
      <c r="O42" s="80" t="str">
        <f t="shared" ca="1" si="7"/>
        <v>N/A</v>
      </c>
      <c r="P42" s="80" t="str">
        <f t="shared" ca="1" si="7"/>
        <v>N/A</v>
      </c>
      <c r="Q42" s="80" t="str">
        <f t="shared" ca="1" si="7"/>
        <v>N/A</v>
      </c>
      <c r="R42" s="80" t="str">
        <f t="shared" ca="1" si="7"/>
        <v>N/A</v>
      </c>
      <c r="S42" s="80" t="str">
        <f t="shared" ca="1" si="7"/>
        <v>N/A</v>
      </c>
    </row>
    <row r="43" spans="1:19" hidden="1" x14ac:dyDescent="0.2">
      <c r="A43" s="45"/>
      <c r="B43" s="46" t="str">
        <f t="shared" ca="1" si="2"/>
        <v/>
      </c>
      <c r="C43" s="1" t="str">
        <f>IF(ISERROR(D43),"",IF(D43="","",MAX($C$12:C42)+1))</f>
        <v/>
      </c>
      <c r="D43" t="e">
        <f t="shared" si="3"/>
        <v>#N/A</v>
      </c>
      <c r="E43" s="15"/>
      <c r="F43" s="80" t="str">
        <f t="shared" ca="1" si="6"/>
        <v>N/A</v>
      </c>
      <c r="G43" s="80" t="str">
        <f t="shared" si="4"/>
        <v>N/A</v>
      </c>
      <c r="H43" s="80" t="str">
        <f ca="1">IFERROR(VLOOKUP($A43,LASTYR,'2017'!$N$3,FALSE),"N/A")</f>
        <v>N/A</v>
      </c>
      <c r="I43" s="80" t="str">
        <f t="shared" ca="1" si="7"/>
        <v>N/A</v>
      </c>
      <c r="J43" s="80" t="str">
        <f t="shared" ca="1" si="7"/>
        <v>N/A</v>
      </c>
      <c r="K43" s="80" t="str">
        <f t="shared" ca="1" si="7"/>
        <v>N/A</v>
      </c>
      <c r="L43" s="80" t="str">
        <f t="shared" ca="1" si="7"/>
        <v>N/A</v>
      </c>
      <c r="M43" s="80" t="str">
        <f t="shared" ca="1" si="7"/>
        <v>N/A</v>
      </c>
      <c r="N43" s="80" t="str">
        <f t="shared" ca="1" si="7"/>
        <v>N/A</v>
      </c>
      <c r="O43" s="80" t="str">
        <f t="shared" ca="1" si="7"/>
        <v>N/A</v>
      </c>
      <c r="P43" s="80" t="str">
        <f t="shared" ca="1" si="7"/>
        <v>N/A</v>
      </c>
      <c r="Q43" s="80" t="str">
        <f t="shared" ca="1" si="7"/>
        <v>N/A</v>
      </c>
      <c r="R43" s="80" t="str">
        <f t="shared" ca="1" si="7"/>
        <v>N/A</v>
      </c>
      <c r="S43" s="80" t="str">
        <f t="shared" ca="1" si="7"/>
        <v>N/A</v>
      </c>
    </row>
    <row r="44" spans="1:19" hidden="1" x14ac:dyDescent="0.2">
      <c r="A44" s="45"/>
      <c r="B44" s="46" t="str">
        <f t="shared" ca="1" si="2"/>
        <v/>
      </c>
      <c r="C44" s="1" t="str">
        <f>IF(ISERROR(D44),"",IF(D44="","",MAX($C$12:C43)+1))</f>
        <v/>
      </c>
      <c r="D44" t="e">
        <f t="shared" si="3"/>
        <v>#N/A</v>
      </c>
      <c r="E44" s="15"/>
      <c r="F44" s="80" t="str">
        <f t="shared" ca="1" si="6"/>
        <v>N/A</v>
      </c>
      <c r="G44" s="80" t="str">
        <f t="shared" si="4"/>
        <v>N/A</v>
      </c>
      <c r="H44" s="80" t="str">
        <f ca="1">IFERROR(VLOOKUP($A44,LASTYR,'2017'!$N$3,FALSE),"N/A")</f>
        <v>N/A</v>
      </c>
      <c r="I44" s="80" t="str">
        <f t="shared" ca="1" si="7"/>
        <v>N/A</v>
      </c>
      <c r="J44" s="80" t="str">
        <f t="shared" ca="1" si="7"/>
        <v>N/A</v>
      </c>
      <c r="K44" s="80" t="str">
        <f t="shared" ca="1" si="7"/>
        <v>N/A</v>
      </c>
      <c r="L44" s="80" t="str">
        <f t="shared" ca="1" si="7"/>
        <v>N/A</v>
      </c>
      <c r="M44" s="80" t="str">
        <f t="shared" ca="1" si="7"/>
        <v>N/A</v>
      </c>
      <c r="N44" s="80" t="str">
        <f t="shared" ca="1" si="7"/>
        <v>N/A</v>
      </c>
      <c r="O44" s="80" t="str">
        <f t="shared" ca="1" si="7"/>
        <v>N/A</v>
      </c>
      <c r="P44" s="80" t="str">
        <f t="shared" ca="1" si="7"/>
        <v>N/A</v>
      </c>
      <c r="Q44" s="80" t="str">
        <f t="shared" ca="1" si="7"/>
        <v>N/A</v>
      </c>
      <c r="R44" s="80" t="str">
        <f t="shared" ca="1" si="7"/>
        <v>N/A</v>
      </c>
      <c r="S44" s="80" t="str">
        <f t="shared" ca="1" si="7"/>
        <v>N/A</v>
      </c>
    </row>
    <row r="45" spans="1:19" hidden="1" x14ac:dyDescent="0.2">
      <c r="A45" s="45"/>
      <c r="B45" s="46" t="str">
        <f t="shared" ca="1" si="2"/>
        <v/>
      </c>
      <c r="C45" s="1" t="str">
        <f>IF(ISERROR(D45),"",IF(D45="","",MAX($C$12:C44)+1))</f>
        <v/>
      </c>
      <c r="D45" t="e">
        <f t="shared" si="3"/>
        <v>#N/A</v>
      </c>
      <c r="E45" s="15"/>
      <c r="F45" s="80" t="str">
        <f t="shared" ca="1" si="6"/>
        <v>N/A</v>
      </c>
      <c r="G45" s="80" t="str">
        <f t="shared" si="4"/>
        <v>N/A</v>
      </c>
      <c r="H45" s="80" t="str">
        <f ca="1">IFERROR(VLOOKUP($A45,LASTYR,'2017'!$N$3,FALSE),"N/A")</f>
        <v>N/A</v>
      </c>
      <c r="I45" s="80" t="str">
        <f t="shared" ca="1" si="7"/>
        <v>N/A</v>
      </c>
      <c r="J45" s="80" t="str">
        <f t="shared" ca="1" si="7"/>
        <v>N/A</v>
      </c>
      <c r="K45" s="80" t="str">
        <f t="shared" ca="1" si="7"/>
        <v>N/A</v>
      </c>
      <c r="L45" s="80" t="str">
        <f t="shared" ca="1" si="7"/>
        <v>N/A</v>
      </c>
      <c r="M45" s="80" t="str">
        <f t="shared" ca="1" si="7"/>
        <v>N/A</v>
      </c>
      <c r="N45" s="80" t="str">
        <f t="shared" ca="1" si="7"/>
        <v>N/A</v>
      </c>
      <c r="O45" s="80" t="str">
        <f t="shared" ca="1" si="7"/>
        <v>N/A</v>
      </c>
      <c r="P45" s="80" t="str">
        <f t="shared" ca="1" si="7"/>
        <v>N/A</v>
      </c>
      <c r="Q45" s="80" t="str">
        <f t="shared" ca="1" si="7"/>
        <v>N/A</v>
      </c>
      <c r="R45" s="80" t="str">
        <f t="shared" ca="1" si="7"/>
        <v>N/A</v>
      </c>
      <c r="S45" s="80" t="str">
        <f t="shared" ca="1" si="7"/>
        <v>N/A</v>
      </c>
    </row>
    <row r="46" spans="1:19" hidden="1" x14ac:dyDescent="0.2">
      <c r="A46" s="45"/>
      <c r="B46" s="46" t="str">
        <f t="shared" ca="1" si="2"/>
        <v/>
      </c>
      <c r="C46" s="1" t="str">
        <f>IF(ISERROR(D46),"",IF(D46="","",MAX($C$12:C45)+1))</f>
        <v/>
      </c>
      <c r="D46" t="e">
        <f>VLOOKUP(A46,LUCurYr,2,FALSE)</f>
        <v>#N/A</v>
      </c>
      <c r="E46" s="15"/>
      <c r="F46" s="80" t="str">
        <f t="shared" ca="1" si="6"/>
        <v>N/A</v>
      </c>
      <c r="G46" s="80" t="str">
        <f t="shared" si="4"/>
        <v>N/A</v>
      </c>
      <c r="H46" s="80" t="str">
        <f ca="1">IFERROR(VLOOKUP($A46,LASTYR,'2017'!$N$3,FALSE),"N/A")</f>
        <v>N/A</v>
      </c>
      <c r="I46" s="80" t="str">
        <f t="shared" ca="1" si="7"/>
        <v>N/A</v>
      </c>
      <c r="J46" s="80" t="str">
        <f t="shared" ca="1" si="7"/>
        <v>N/A</v>
      </c>
      <c r="K46" s="80" t="str">
        <f t="shared" ca="1" si="7"/>
        <v>N/A</v>
      </c>
      <c r="L46" s="80" t="str">
        <f t="shared" ca="1" si="7"/>
        <v>N/A</v>
      </c>
      <c r="M46" s="80" t="str">
        <f t="shared" ca="1" si="7"/>
        <v>N/A</v>
      </c>
      <c r="N46" s="80" t="str">
        <f t="shared" ca="1" si="7"/>
        <v>N/A</v>
      </c>
      <c r="O46" s="80" t="str">
        <f t="shared" ca="1" si="7"/>
        <v>N/A</v>
      </c>
      <c r="P46" s="80" t="str">
        <f t="shared" ca="1" si="7"/>
        <v>N/A</v>
      </c>
      <c r="Q46" s="80" t="str">
        <f t="shared" ca="1" si="7"/>
        <v>N/A</v>
      </c>
      <c r="R46" s="80" t="str">
        <f t="shared" ca="1" si="7"/>
        <v>N/A</v>
      </c>
      <c r="S46" s="80" t="str">
        <f t="shared" ca="1" si="7"/>
        <v>N/A</v>
      </c>
    </row>
    <row r="47" spans="1:19" hidden="1" x14ac:dyDescent="0.2">
      <c r="A47" s="45"/>
      <c r="B47" s="46" t="str">
        <f t="shared" ca="1" si="2"/>
        <v/>
      </c>
      <c r="C47" s="1" t="str">
        <f>IF(ISERROR(D47),"",IF(D47="","",MAX($C$12:C46)+1))</f>
        <v/>
      </c>
      <c r="D47" t="e">
        <f t="shared" si="3"/>
        <v>#N/A</v>
      </c>
      <c r="E47" s="15"/>
      <c r="F47" s="80" t="str">
        <f t="shared" ca="1" si="6"/>
        <v>N/A</v>
      </c>
      <c r="G47" s="80" t="str">
        <f t="shared" si="4"/>
        <v>N/A</v>
      </c>
      <c r="H47" s="80" t="str">
        <f ca="1">IFERROR(VLOOKUP($A47,LASTYR,'2017'!$N$3,FALSE),"N/A")</f>
        <v>N/A</v>
      </c>
      <c r="I47" s="80" t="str">
        <f t="shared" ca="1" si="7"/>
        <v>N/A</v>
      </c>
      <c r="J47" s="80" t="str">
        <f t="shared" ca="1" si="7"/>
        <v>N/A</v>
      </c>
      <c r="K47" s="80" t="str">
        <f t="shared" ca="1" si="7"/>
        <v>N/A</v>
      </c>
      <c r="L47" s="80" t="str">
        <f t="shared" ca="1" si="7"/>
        <v>N/A</v>
      </c>
      <c r="M47" s="80" t="str">
        <f t="shared" ca="1" si="7"/>
        <v>N/A</v>
      </c>
      <c r="N47" s="80" t="str">
        <f t="shared" ca="1" si="7"/>
        <v>N/A</v>
      </c>
      <c r="O47" s="80" t="str">
        <f t="shared" ca="1" si="7"/>
        <v>N/A</v>
      </c>
      <c r="P47" s="80" t="str">
        <f t="shared" ca="1" si="7"/>
        <v>N/A</v>
      </c>
      <c r="Q47" s="80" t="str">
        <f t="shared" ca="1" si="7"/>
        <v>N/A</v>
      </c>
      <c r="R47" s="80" t="str">
        <f t="shared" ca="1" si="7"/>
        <v>N/A</v>
      </c>
      <c r="S47" s="80" t="str">
        <f t="shared" ca="1" si="7"/>
        <v>N/A</v>
      </c>
    </row>
    <row r="48" spans="1:19" hidden="1" x14ac:dyDescent="0.2">
      <c r="A48" s="45"/>
      <c r="B48" s="46" t="str">
        <f t="shared" ca="1" si="2"/>
        <v/>
      </c>
      <c r="C48" s="1" t="str">
        <f>IF(ISERROR(D48),"",IF(D48="","",MAX($C$12:C47)+1))</f>
        <v/>
      </c>
      <c r="D48" t="e">
        <f t="shared" si="3"/>
        <v>#N/A</v>
      </c>
      <c r="E48" s="15"/>
      <c r="F48" s="80" t="str">
        <f t="shared" ca="1" si="6"/>
        <v>N/A</v>
      </c>
      <c r="G48" s="80" t="str">
        <f t="shared" si="4"/>
        <v>N/A</v>
      </c>
      <c r="H48" s="80" t="str">
        <f ca="1">IFERROR(VLOOKUP($A48,LASTYR,'2017'!$N$3,FALSE),"N/A")</f>
        <v>N/A</v>
      </c>
      <c r="I48" s="80" t="str">
        <f t="shared" ca="1" si="7"/>
        <v>N/A</v>
      </c>
      <c r="J48" s="80" t="str">
        <f t="shared" ca="1" si="7"/>
        <v>N/A</v>
      </c>
      <c r="K48" s="80" t="str">
        <f t="shared" ca="1" si="7"/>
        <v>N/A</v>
      </c>
      <c r="L48" s="80" t="str">
        <f t="shared" ca="1" si="7"/>
        <v>N/A</v>
      </c>
      <c r="M48" s="80" t="str">
        <f t="shared" ca="1" si="7"/>
        <v>N/A</v>
      </c>
      <c r="N48" s="80" t="str">
        <f t="shared" ca="1" si="7"/>
        <v>N/A</v>
      </c>
      <c r="O48" s="80" t="str">
        <f t="shared" ca="1" si="7"/>
        <v>N/A</v>
      </c>
      <c r="P48" s="80" t="str">
        <f t="shared" ca="1" si="7"/>
        <v>N/A</v>
      </c>
      <c r="Q48" s="80" t="str">
        <f t="shared" ca="1" si="7"/>
        <v>N/A</v>
      </c>
      <c r="R48" s="80" t="str">
        <f t="shared" ca="1" si="7"/>
        <v>N/A</v>
      </c>
      <c r="S48" s="80" t="str">
        <f t="shared" ca="1" si="7"/>
        <v>N/A</v>
      </c>
    </row>
    <row r="49" spans="1:19" hidden="1" x14ac:dyDescent="0.2">
      <c r="A49" s="45"/>
      <c r="B49" s="46" t="str">
        <f t="shared" ca="1" si="2"/>
        <v/>
      </c>
      <c r="C49" s="1" t="str">
        <f>IF(ISERROR(D49),"",IF(D49="","",MAX($C$12:C48)+1))</f>
        <v/>
      </c>
      <c r="D49" t="e">
        <f t="shared" si="3"/>
        <v>#N/A</v>
      </c>
      <c r="E49" s="15"/>
      <c r="F49" s="80" t="str">
        <f t="shared" ca="1" si="6"/>
        <v>N/A</v>
      </c>
      <c r="G49" s="80" t="str">
        <f t="shared" si="4"/>
        <v>N/A</v>
      </c>
      <c r="H49" s="80" t="str">
        <f ca="1">IFERROR(VLOOKUP($A49,LASTYR,'2017'!$N$3,FALSE),"N/A")</f>
        <v>N/A</v>
      </c>
      <c r="I49" s="80" t="str">
        <f t="shared" ca="1" si="7"/>
        <v>N/A</v>
      </c>
      <c r="J49" s="80" t="str">
        <f t="shared" ca="1" si="7"/>
        <v>N/A</v>
      </c>
      <c r="K49" s="80" t="str">
        <f t="shared" ca="1" si="7"/>
        <v>N/A</v>
      </c>
      <c r="L49" s="80" t="str">
        <f t="shared" ca="1" si="7"/>
        <v>N/A</v>
      </c>
      <c r="M49" s="80" t="str">
        <f t="shared" ca="1" si="7"/>
        <v>N/A</v>
      </c>
      <c r="N49" s="80" t="str">
        <f t="shared" ca="1" si="7"/>
        <v>N/A</v>
      </c>
      <c r="O49" s="80" t="str">
        <f t="shared" ca="1" si="7"/>
        <v>N/A</v>
      </c>
      <c r="P49" s="80" t="str">
        <f t="shared" ca="1" si="7"/>
        <v>N/A</v>
      </c>
      <c r="Q49" s="80" t="str">
        <f t="shared" ca="1" si="7"/>
        <v>N/A</v>
      </c>
      <c r="R49" s="80" t="str">
        <f t="shared" ca="1" si="7"/>
        <v>N/A</v>
      </c>
      <c r="S49" s="80" t="str">
        <f t="shared" ca="1" si="7"/>
        <v>N/A</v>
      </c>
    </row>
    <row r="50" spans="1:19" hidden="1" x14ac:dyDescent="0.2">
      <c r="A50" s="45"/>
      <c r="B50" s="46" t="str">
        <f t="shared" ca="1" si="2"/>
        <v/>
      </c>
      <c r="C50" s="1" t="str">
        <f>IF(ISERROR(D50),"",IF(D50="","",MAX($C$12:C49)+1))</f>
        <v/>
      </c>
      <c r="D50" t="e">
        <f t="shared" si="3"/>
        <v>#N/A</v>
      </c>
      <c r="E50" s="15"/>
      <c r="F50" s="80" t="str">
        <f t="shared" ca="1" si="6"/>
        <v>N/A</v>
      </c>
      <c r="G50" s="80" t="str">
        <f t="shared" si="4"/>
        <v>N/A</v>
      </c>
      <c r="H50" s="80" t="str">
        <f ca="1">IFERROR(VLOOKUP($A50,LASTYR,'2017'!$N$3,FALSE),"N/A")</f>
        <v>N/A</v>
      </c>
      <c r="I50" s="80" t="str">
        <f t="shared" ca="1" si="7"/>
        <v>N/A</v>
      </c>
      <c r="J50" s="80" t="str">
        <f t="shared" ca="1" si="7"/>
        <v>N/A</v>
      </c>
      <c r="K50" s="80" t="str">
        <f t="shared" ca="1" si="7"/>
        <v>N/A</v>
      </c>
      <c r="L50" s="80" t="str">
        <f t="shared" ca="1" si="7"/>
        <v>N/A</v>
      </c>
      <c r="M50" s="80" t="str">
        <f t="shared" ca="1" si="7"/>
        <v>N/A</v>
      </c>
      <c r="N50" s="80" t="str">
        <f t="shared" ca="1" si="7"/>
        <v>N/A</v>
      </c>
      <c r="O50" s="80" t="str">
        <f t="shared" ca="1" si="7"/>
        <v>N/A</v>
      </c>
      <c r="P50" s="80" t="str">
        <f t="shared" ca="1" si="7"/>
        <v>N/A</v>
      </c>
      <c r="Q50" s="80" t="str">
        <f t="shared" ca="1" si="7"/>
        <v>N/A</v>
      </c>
      <c r="R50" s="80" t="str">
        <f t="shared" ca="1" si="7"/>
        <v>N/A</v>
      </c>
      <c r="S50" s="80" t="str">
        <f t="shared" ca="1" si="7"/>
        <v>N/A</v>
      </c>
    </row>
    <row r="51" spans="1:19" hidden="1" x14ac:dyDescent="0.2">
      <c r="A51" s="45"/>
      <c r="B51" s="46" t="str">
        <f t="shared" ca="1" si="2"/>
        <v/>
      </c>
      <c r="C51" s="1" t="str">
        <f>IF(ISERROR(D51),"",IF(D51="","",MAX($C$12:C50)+1))</f>
        <v/>
      </c>
      <c r="D51" t="e">
        <f t="shared" si="3"/>
        <v>#N/A</v>
      </c>
      <c r="E51" s="15"/>
      <c r="F51" s="80" t="str">
        <f t="shared" ca="1" si="6"/>
        <v>N/A</v>
      </c>
      <c r="G51" s="80" t="str">
        <f t="shared" si="4"/>
        <v>N/A</v>
      </c>
      <c r="H51" s="80" t="str">
        <f ca="1">IFERROR(VLOOKUP($A51,LASTYR,'2017'!$N$3,FALSE),"N/A")</f>
        <v>N/A</v>
      </c>
      <c r="I51" s="80" t="str">
        <f t="shared" ca="1" si="7"/>
        <v>N/A</v>
      </c>
      <c r="J51" s="80" t="str">
        <f t="shared" ca="1" si="7"/>
        <v>N/A</v>
      </c>
      <c r="K51" s="80" t="str">
        <f t="shared" ca="1" si="7"/>
        <v>N/A</v>
      </c>
      <c r="L51" s="80" t="str">
        <f t="shared" ca="1" si="7"/>
        <v>N/A</v>
      </c>
      <c r="M51" s="80" t="str">
        <f t="shared" ca="1" si="7"/>
        <v>N/A</v>
      </c>
      <c r="N51" s="80" t="str">
        <f t="shared" ca="1" si="7"/>
        <v>N/A</v>
      </c>
      <c r="O51" s="80" t="str">
        <f t="shared" ca="1" si="7"/>
        <v>N/A</v>
      </c>
      <c r="P51" s="80" t="str">
        <f t="shared" ca="1" si="7"/>
        <v>N/A</v>
      </c>
      <c r="Q51" s="80" t="str">
        <f t="shared" ca="1" si="7"/>
        <v>N/A</v>
      </c>
      <c r="R51" s="80" t="str">
        <f t="shared" ca="1" si="7"/>
        <v>N/A</v>
      </c>
      <c r="S51" s="80" t="str">
        <f t="shared" ca="1" si="7"/>
        <v>N/A</v>
      </c>
    </row>
    <row r="52" spans="1:19" hidden="1" x14ac:dyDescent="0.2">
      <c r="A52" s="45"/>
      <c r="B52" s="46" t="str">
        <f t="shared" ca="1" si="2"/>
        <v/>
      </c>
      <c r="C52" s="1" t="str">
        <f>IF(ISERROR(D52),"",IF(D52="","",MAX($C$12:C51)+1))</f>
        <v/>
      </c>
      <c r="D52" t="e">
        <f t="shared" si="3"/>
        <v>#N/A</v>
      </c>
      <c r="E52" s="15"/>
      <c r="F52" s="80" t="str">
        <f t="shared" ca="1" si="6"/>
        <v>N/A</v>
      </c>
      <c r="G52" s="80" t="str">
        <f t="shared" si="4"/>
        <v>N/A</v>
      </c>
      <c r="H52" s="80" t="str">
        <f ca="1">IFERROR(VLOOKUP($A52,LASTYR,'2017'!$N$3,FALSE),"N/A")</f>
        <v>N/A</v>
      </c>
      <c r="I52" s="80" t="str">
        <f t="shared" ca="1" si="7"/>
        <v>N/A</v>
      </c>
      <c r="J52" s="80" t="str">
        <f t="shared" ca="1" si="7"/>
        <v>N/A</v>
      </c>
      <c r="K52" s="80" t="str">
        <f t="shared" ref="J52:S57" ca="1" si="8">IFERROR(INDEX(DIV_BV_WP,$B52,K$12),"N/A")</f>
        <v>N/A</v>
      </c>
      <c r="L52" s="80" t="str">
        <f t="shared" ca="1" si="8"/>
        <v>N/A</v>
      </c>
      <c r="M52" s="80" t="str">
        <f t="shared" ca="1" si="8"/>
        <v>N/A</v>
      </c>
      <c r="N52" s="80" t="str">
        <f t="shared" ca="1" si="8"/>
        <v>N/A</v>
      </c>
      <c r="O52" s="80" t="str">
        <f t="shared" ca="1" si="8"/>
        <v>N/A</v>
      </c>
      <c r="P52" s="80" t="str">
        <f t="shared" ca="1" si="8"/>
        <v>N/A</v>
      </c>
      <c r="Q52" s="80" t="str">
        <f t="shared" ca="1" si="8"/>
        <v>N/A</v>
      </c>
      <c r="R52" s="80" t="str">
        <f t="shared" ca="1" si="8"/>
        <v>N/A</v>
      </c>
      <c r="S52" s="80" t="str">
        <f t="shared" ca="1" si="8"/>
        <v>N/A</v>
      </c>
    </row>
    <row r="53" spans="1:19" hidden="1" x14ac:dyDescent="0.2">
      <c r="A53" s="45"/>
      <c r="B53" s="46" t="str">
        <f t="shared" ca="1" si="2"/>
        <v/>
      </c>
      <c r="C53" s="1" t="str">
        <f>IF(ISERROR(D53),"",IF(D53="","",MAX($C$12:C52)+1))</f>
        <v/>
      </c>
      <c r="D53" t="e">
        <f t="shared" si="3"/>
        <v>#N/A</v>
      </c>
      <c r="E53" s="15"/>
      <c r="F53" s="80" t="str">
        <f t="shared" ca="1" si="6"/>
        <v>N/A</v>
      </c>
      <c r="G53" s="80" t="str">
        <f t="shared" si="4"/>
        <v>N/A</v>
      </c>
      <c r="H53" s="80" t="str">
        <f ca="1">IFERROR(VLOOKUP($A53,LASTYR,'2017'!$N$3,FALSE),"N/A")</f>
        <v>N/A</v>
      </c>
      <c r="I53" s="80" t="str">
        <f t="shared" ref="I53:I57" ca="1" si="9">IFERROR(INDEX(DIV_BV_WP,$B53,I$12),"N/A")</f>
        <v>N/A</v>
      </c>
      <c r="J53" s="80" t="str">
        <f t="shared" ca="1" si="8"/>
        <v>N/A</v>
      </c>
      <c r="K53" s="80" t="str">
        <f t="shared" ca="1" si="8"/>
        <v>N/A</v>
      </c>
      <c r="L53" s="80" t="str">
        <f t="shared" ca="1" si="8"/>
        <v>N/A</v>
      </c>
      <c r="M53" s="80" t="str">
        <f t="shared" ca="1" si="8"/>
        <v>N/A</v>
      </c>
      <c r="N53" s="80" t="str">
        <f t="shared" ca="1" si="8"/>
        <v>N/A</v>
      </c>
      <c r="O53" s="80" t="str">
        <f t="shared" ca="1" si="8"/>
        <v>N/A</v>
      </c>
      <c r="P53" s="80" t="str">
        <f t="shared" ca="1" si="8"/>
        <v>N/A</v>
      </c>
      <c r="Q53" s="80" t="str">
        <f t="shared" ca="1" si="8"/>
        <v>N/A</v>
      </c>
      <c r="R53" s="80" t="str">
        <f t="shared" ca="1" si="8"/>
        <v>N/A</v>
      </c>
      <c r="S53" s="80" t="str">
        <f t="shared" ca="1" si="8"/>
        <v>N/A</v>
      </c>
    </row>
    <row r="54" spans="1:19" hidden="1" x14ac:dyDescent="0.2">
      <c r="A54" s="45"/>
      <c r="B54" s="46" t="str">
        <f t="shared" ca="1" si="2"/>
        <v/>
      </c>
      <c r="C54" s="1" t="str">
        <f>IF(ISERROR(D54),"",IF(D54="","",MAX($C$12:C53)+1))</f>
        <v/>
      </c>
      <c r="D54" t="e">
        <f t="shared" si="3"/>
        <v>#N/A</v>
      </c>
      <c r="E54" s="15"/>
      <c r="F54" s="80" t="str">
        <f t="shared" ca="1" si="6"/>
        <v>N/A</v>
      </c>
      <c r="G54" s="80" t="str">
        <f t="shared" si="4"/>
        <v>N/A</v>
      </c>
      <c r="H54" s="80" t="str">
        <f ca="1">IFERROR(VLOOKUP($A54,LASTYR,'2017'!$N$3,FALSE),"N/A")</f>
        <v>N/A</v>
      </c>
      <c r="I54" s="80" t="str">
        <f t="shared" ca="1" si="9"/>
        <v>N/A</v>
      </c>
      <c r="J54" s="80" t="str">
        <f t="shared" ca="1" si="8"/>
        <v>N/A</v>
      </c>
      <c r="K54" s="80" t="str">
        <f t="shared" ca="1" si="8"/>
        <v>N/A</v>
      </c>
      <c r="L54" s="80" t="str">
        <f t="shared" ca="1" si="8"/>
        <v>N/A</v>
      </c>
      <c r="M54" s="80" t="str">
        <f t="shared" ca="1" si="8"/>
        <v>N/A</v>
      </c>
      <c r="N54" s="80" t="str">
        <f t="shared" ca="1" si="8"/>
        <v>N/A</v>
      </c>
      <c r="O54" s="80" t="str">
        <f t="shared" ca="1" si="8"/>
        <v>N/A</v>
      </c>
      <c r="P54" s="80" t="str">
        <f t="shared" ca="1" si="8"/>
        <v>N/A</v>
      </c>
      <c r="Q54" s="80" t="str">
        <f t="shared" ca="1" si="8"/>
        <v>N/A</v>
      </c>
      <c r="R54" s="80" t="str">
        <f t="shared" ca="1" si="8"/>
        <v>N/A</v>
      </c>
      <c r="S54" s="80" t="str">
        <f t="shared" ca="1" si="8"/>
        <v>N/A</v>
      </c>
    </row>
    <row r="55" spans="1:19" hidden="1" x14ac:dyDescent="0.2">
      <c r="A55" s="51"/>
      <c r="B55" s="46" t="str">
        <f t="shared" ca="1" si="2"/>
        <v/>
      </c>
      <c r="C55" s="1" t="str">
        <f>IF(ISERROR(D55),"",IF(D55="","",MAX($C$12:C54)+1))</f>
        <v/>
      </c>
      <c r="D55" t="e">
        <f t="shared" si="3"/>
        <v>#N/A</v>
      </c>
      <c r="F55" s="80" t="str">
        <f t="shared" ca="1" si="6"/>
        <v>N/A</v>
      </c>
      <c r="G55" s="80" t="str">
        <f t="shared" si="4"/>
        <v>N/A</v>
      </c>
      <c r="H55" s="80" t="str">
        <f ca="1">IFERROR(VLOOKUP($A55,LASTYR,'2017'!$N$3,FALSE),"N/A")</f>
        <v>N/A</v>
      </c>
      <c r="I55" s="80" t="str">
        <f t="shared" ca="1" si="9"/>
        <v>N/A</v>
      </c>
      <c r="J55" s="80" t="str">
        <f t="shared" ca="1" si="8"/>
        <v>N/A</v>
      </c>
      <c r="K55" s="80" t="str">
        <f t="shared" ca="1" si="8"/>
        <v>N/A</v>
      </c>
      <c r="L55" s="80" t="str">
        <f t="shared" ca="1" si="8"/>
        <v>N/A</v>
      </c>
      <c r="M55" s="80" t="str">
        <f t="shared" ca="1" si="8"/>
        <v>N/A</v>
      </c>
      <c r="N55" s="80" t="str">
        <f t="shared" ca="1" si="8"/>
        <v>N/A</v>
      </c>
      <c r="O55" s="80" t="str">
        <f t="shared" ca="1" si="8"/>
        <v>N/A</v>
      </c>
      <c r="P55" s="80" t="str">
        <f t="shared" ca="1" si="8"/>
        <v>N/A</v>
      </c>
      <c r="Q55" s="80" t="str">
        <f t="shared" ca="1" si="8"/>
        <v>N/A</v>
      </c>
      <c r="R55" s="80" t="str">
        <f t="shared" ca="1" si="8"/>
        <v>N/A</v>
      </c>
      <c r="S55" s="80" t="str">
        <f t="shared" ca="1" si="8"/>
        <v>N/A</v>
      </c>
    </row>
    <row r="56" spans="1:19" hidden="1" x14ac:dyDescent="0.2">
      <c r="A56" s="51"/>
      <c r="B56" s="46" t="str">
        <f t="shared" ca="1" si="2"/>
        <v/>
      </c>
      <c r="C56" s="1" t="str">
        <f>IF(ISERROR(D56),"",IF(D56="","",MAX($C$12:C55)+1))</f>
        <v/>
      </c>
      <c r="D56" t="e">
        <f t="shared" si="3"/>
        <v>#N/A</v>
      </c>
      <c r="F56" s="80" t="str">
        <f t="shared" ca="1" si="6"/>
        <v>N/A</v>
      </c>
      <c r="G56" s="80" t="str">
        <f t="shared" si="4"/>
        <v>N/A</v>
      </c>
      <c r="H56" s="80" t="str">
        <f ca="1">IFERROR(VLOOKUP($A56,LASTYR,'2017'!$N$3,FALSE),"N/A")</f>
        <v>N/A</v>
      </c>
      <c r="I56" s="80" t="str">
        <f t="shared" ca="1" si="9"/>
        <v>N/A</v>
      </c>
      <c r="J56" s="80" t="str">
        <f t="shared" ca="1" si="8"/>
        <v>N/A</v>
      </c>
      <c r="K56" s="80" t="str">
        <f t="shared" ca="1" si="8"/>
        <v>N/A</v>
      </c>
      <c r="L56" s="80" t="str">
        <f t="shared" ca="1" si="8"/>
        <v>N/A</v>
      </c>
      <c r="M56" s="80" t="str">
        <f t="shared" ca="1" si="8"/>
        <v>N/A</v>
      </c>
      <c r="N56" s="80" t="str">
        <f t="shared" ca="1" si="8"/>
        <v>N/A</v>
      </c>
      <c r="O56" s="80" t="str">
        <f t="shared" ca="1" si="8"/>
        <v>N/A</v>
      </c>
      <c r="P56" s="80" t="str">
        <f t="shared" ca="1" si="8"/>
        <v>N/A</v>
      </c>
      <c r="Q56" s="80" t="str">
        <f t="shared" ca="1" si="8"/>
        <v>N/A</v>
      </c>
      <c r="R56" s="80" t="str">
        <f t="shared" ca="1" si="8"/>
        <v>N/A</v>
      </c>
      <c r="S56" s="80" t="str">
        <f t="shared" ca="1" si="8"/>
        <v>N/A</v>
      </c>
    </row>
    <row r="57" spans="1:19" hidden="1" x14ac:dyDescent="0.2">
      <c r="A57" s="51"/>
      <c r="B57" s="46" t="str">
        <f t="shared" ca="1" si="2"/>
        <v/>
      </c>
      <c r="C57" s="1" t="str">
        <f>IF(ISERROR(D57),"",IF(D57="","",MAX($C$12:C56)+1))</f>
        <v/>
      </c>
      <c r="D57" t="e">
        <f t="shared" si="3"/>
        <v>#N/A</v>
      </c>
      <c r="F57" s="80" t="str">
        <f t="shared" ca="1" si="6"/>
        <v>N/A</v>
      </c>
      <c r="G57" s="80" t="str">
        <f t="shared" si="4"/>
        <v>N/A</v>
      </c>
      <c r="H57" s="80" t="str">
        <f ca="1">IFERROR(VLOOKUP($A57,LASTYR,'2017'!$N$3,FALSE),"N/A")</f>
        <v>N/A</v>
      </c>
      <c r="I57" s="80" t="str">
        <f t="shared" ca="1" si="9"/>
        <v>N/A</v>
      </c>
      <c r="J57" s="80" t="str">
        <f t="shared" ca="1" si="8"/>
        <v>N/A</v>
      </c>
      <c r="K57" s="80" t="str">
        <f t="shared" ca="1" si="8"/>
        <v>N/A</v>
      </c>
      <c r="L57" s="80" t="str">
        <f t="shared" ca="1" si="8"/>
        <v>N/A</v>
      </c>
      <c r="M57" s="80" t="str">
        <f t="shared" ca="1" si="8"/>
        <v>N/A</v>
      </c>
      <c r="N57" s="80" t="str">
        <f t="shared" ca="1" si="8"/>
        <v>N/A</v>
      </c>
      <c r="O57" s="80" t="str">
        <f t="shared" ca="1" si="8"/>
        <v>N/A</v>
      </c>
      <c r="P57" s="80" t="str">
        <f t="shared" ca="1" si="8"/>
        <v>N/A</v>
      </c>
      <c r="Q57" s="80" t="str">
        <f t="shared" ca="1" si="8"/>
        <v>N/A</v>
      </c>
      <c r="R57" s="80" t="str">
        <f t="shared" ca="1" si="8"/>
        <v>N/A</v>
      </c>
      <c r="S57" s="80" t="str">
        <f t="shared" ca="1" si="8"/>
        <v>N/A</v>
      </c>
    </row>
    <row r="58" spans="1:19" x14ac:dyDescent="0.2">
      <c r="A58" s="31"/>
      <c r="B58" s="31"/>
      <c r="C58" s="1" t="str">
        <f>IF(ISERROR(D58),"",IF(D58="","",MAX($C$12:C57)+1))</f>
        <v/>
      </c>
      <c r="F58" s="80"/>
      <c r="G58" s="80"/>
      <c r="H58" s="80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</row>
    <row r="59" spans="1:19" x14ac:dyDescent="0.2">
      <c r="A59" s="31"/>
      <c r="B59" s="31"/>
      <c r="C59" s="1">
        <f ca="1">IF(ISERROR(D59),"",IF(D59="","",MAX($C$12:C58)+1))</f>
        <v>10</v>
      </c>
      <c r="D59" t="s">
        <v>98</v>
      </c>
      <c r="F59" s="80">
        <f ca="1">AVERAGE(G59:S59)</f>
        <v>5.4799655493153805E-2</v>
      </c>
      <c r="G59" s="80">
        <f t="shared" ref="G59:S59" si="10">AVERAGE(G13:G58)</f>
        <v>5.7869300076018884E-2</v>
      </c>
      <c r="H59" s="80">
        <f t="shared" ca="1" si="10"/>
        <v>5.5663613509025808E-2</v>
      </c>
      <c r="I59" s="80">
        <f t="shared" ca="1" si="10"/>
        <v>5.2829331338971747E-2</v>
      </c>
      <c r="J59" s="80">
        <f t="shared" ca="1" si="10"/>
        <v>5.4660706383730891E-2</v>
      </c>
      <c r="K59" s="80">
        <f t="shared" ca="1" si="10"/>
        <v>5.3807035983831297E-2</v>
      </c>
      <c r="L59" s="80">
        <f t="shared" ca="1" si="10"/>
        <v>5.2767411057790939E-2</v>
      </c>
      <c r="M59" s="80">
        <f t="shared" ca="1" si="10"/>
        <v>5.4098819652374425E-2</v>
      </c>
      <c r="N59" s="80">
        <f t="shared" ca="1" si="10"/>
        <v>5.5906065617437051E-2</v>
      </c>
      <c r="O59" s="80">
        <f t="shared" ca="1" si="10"/>
        <v>5.6124799732269456E-2</v>
      </c>
      <c r="P59" s="80">
        <f t="shared" ca="1" si="10"/>
        <v>5.6457057059533106E-2</v>
      </c>
      <c r="Q59" s="80">
        <f t="shared" ca="1" si="10"/>
        <v>5.5931596596609214E-2</v>
      </c>
      <c r="R59" s="80">
        <f t="shared" ca="1" si="10"/>
        <v>5.2746067617284668E-2</v>
      </c>
      <c r="S59" s="80">
        <f t="shared" ca="1" si="10"/>
        <v>5.3533716786122183E-2</v>
      </c>
    </row>
    <row r="60" spans="1:19" x14ac:dyDescent="0.2">
      <c r="A60" s="31"/>
      <c r="B60" s="31"/>
      <c r="C60" s="1">
        <f ca="1">IF(ISERROR(D60),"",IF(D60="","",MAX($C$12:C59)+1))</f>
        <v>11</v>
      </c>
      <c r="D60" t="s">
        <v>257</v>
      </c>
      <c r="F60" s="80">
        <f ca="1">AVERAGE(G60:S60)</f>
        <v>5.6514799891567866E-2</v>
      </c>
      <c r="G60" s="80">
        <f>MEDIAN(G13:G58)</f>
        <v>5.606299212598425E-2</v>
      </c>
      <c r="H60" s="80">
        <f t="shared" ref="H60:S60" ca="1" si="11">MEDIAN(H13:H58)</f>
        <v>5.3761656655493983E-2</v>
      </c>
      <c r="I60" s="80">
        <f t="shared" ca="1" si="11"/>
        <v>5.1822491613097654E-2</v>
      </c>
      <c r="J60" s="80">
        <f t="shared" ca="1" si="11"/>
        <v>5.2473763118440778E-2</v>
      </c>
      <c r="K60" s="80">
        <f t="shared" ca="1" si="11"/>
        <v>5.3640660682989005E-2</v>
      </c>
      <c r="L60" s="80">
        <f t="shared" ca="1" si="11"/>
        <v>5.4702763047725374E-2</v>
      </c>
      <c r="M60" s="80">
        <f t="shared" ca="1" si="11"/>
        <v>5.381812017967625E-2</v>
      </c>
      <c r="N60" s="80">
        <f t="shared" ca="1" si="11"/>
        <v>5.7172073998326675E-2</v>
      </c>
      <c r="O60" s="80">
        <f t="shared" ca="1" si="11"/>
        <v>5.692145795465417E-2</v>
      </c>
      <c r="P60" s="80">
        <f t="shared" ca="1" si="11"/>
        <v>5.8254344391785146E-2</v>
      </c>
      <c r="Q60" s="80">
        <f t="shared" ca="1" si="11"/>
        <v>6.0172803949804565E-2</v>
      </c>
      <c r="R60" s="80">
        <f t="shared" ca="1" si="11"/>
        <v>6.271626297577855E-2</v>
      </c>
      <c r="S60" s="80">
        <f t="shared" ca="1" si="11"/>
        <v>6.3173007896625985E-2</v>
      </c>
    </row>
    <row r="61" spans="1:19" x14ac:dyDescent="0.2">
      <c r="A61" s="31"/>
      <c r="B61" s="31"/>
      <c r="C61" s="1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</row>
    <row r="62" spans="1:19" x14ac:dyDescent="0.2">
      <c r="A62" s="31"/>
      <c r="B62" s="31"/>
      <c r="C62" s="1"/>
    </row>
    <row r="63" spans="1:19" ht="17.25" x14ac:dyDescent="0.25">
      <c r="A63" s="31"/>
      <c r="B63" s="31"/>
      <c r="C63" s="6"/>
      <c r="D63" s="6"/>
      <c r="E63" s="19"/>
      <c r="F63" s="235" t="s">
        <v>327</v>
      </c>
      <c r="G63" s="235"/>
      <c r="H63" s="235"/>
      <c r="I63" s="235"/>
      <c r="J63" s="235"/>
      <c r="K63" s="235"/>
      <c r="L63" s="235"/>
      <c r="M63" s="235"/>
      <c r="N63" s="235"/>
      <c r="O63" s="235"/>
      <c r="P63" s="235"/>
      <c r="Q63" s="235"/>
      <c r="R63" s="235"/>
      <c r="S63" s="235"/>
    </row>
    <row r="64" spans="1:19" ht="15" x14ac:dyDescent="0.25">
      <c r="A64" s="31"/>
      <c r="B64" s="31"/>
      <c r="C64" s="6"/>
      <c r="D64" s="7"/>
      <c r="E64" s="7"/>
      <c r="F64" s="8" t="s">
        <v>429</v>
      </c>
      <c r="G64" s="8"/>
      <c r="H64" s="8"/>
      <c r="I64" s="8"/>
      <c r="J64" s="8"/>
      <c r="K64" s="8"/>
      <c r="L64" s="8"/>
      <c r="M64" s="8"/>
      <c r="N64" s="8"/>
      <c r="O64" s="8"/>
      <c r="P64" s="7"/>
      <c r="Q64" s="7"/>
      <c r="R64" s="7"/>
      <c r="S64" s="7"/>
    </row>
    <row r="65" spans="1:19" ht="17.25" x14ac:dyDescent="0.25">
      <c r="A65" s="31"/>
      <c r="B65" s="31"/>
      <c r="C65" s="9" t="s">
        <v>96</v>
      </c>
      <c r="D65" s="234" t="s">
        <v>97</v>
      </c>
      <c r="E65" s="234"/>
      <c r="F65" s="10" t="s">
        <v>98</v>
      </c>
      <c r="G65" s="10" t="s">
        <v>424</v>
      </c>
      <c r="H65" s="41">
        <v>2017</v>
      </c>
      <c r="I65" s="41">
        <v>2016</v>
      </c>
      <c r="J65" s="41">
        <v>2015</v>
      </c>
      <c r="K65" s="41">
        <v>2014</v>
      </c>
      <c r="L65" s="41">
        <v>2013</v>
      </c>
      <c r="M65" s="41">
        <v>2012</v>
      </c>
      <c r="N65" s="41">
        <v>2011</v>
      </c>
      <c r="O65" s="41">
        <v>2010</v>
      </c>
      <c r="P65" s="41">
        <v>2009</v>
      </c>
      <c r="Q65" s="41">
        <v>2008</v>
      </c>
      <c r="R65" s="41">
        <v>2007</v>
      </c>
      <c r="S65" s="41">
        <v>2006</v>
      </c>
    </row>
    <row r="66" spans="1:19" ht="15" x14ac:dyDescent="0.25">
      <c r="A66" s="42"/>
      <c r="B66" s="42"/>
      <c r="C66" s="9"/>
      <c r="D66" s="11"/>
      <c r="E66" s="11"/>
      <c r="F66" s="12">
        <v>-1</v>
      </c>
      <c r="G66" s="12">
        <f t="shared" ref="G66:S66" si="12">+F66-1</f>
        <v>-2</v>
      </c>
      <c r="H66" s="12">
        <f t="shared" si="12"/>
        <v>-3</v>
      </c>
      <c r="I66" s="12">
        <f t="shared" si="12"/>
        <v>-4</v>
      </c>
      <c r="J66" s="12">
        <f t="shared" si="12"/>
        <v>-5</v>
      </c>
      <c r="K66" s="12">
        <f t="shared" si="12"/>
        <v>-6</v>
      </c>
      <c r="L66" s="12">
        <f t="shared" si="12"/>
        <v>-7</v>
      </c>
      <c r="M66" s="12">
        <f t="shared" si="12"/>
        <v>-8</v>
      </c>
      <c r="N66" s="12">
        <f t="shared" si="12"/>
        <v>-9</v>
      </c>
      <c r="O66" s="12">
        <f t="shared" si="12"/>
        <v>-10</v>
      </c>
      <c r="P66" s="12">
        <f t="shared" si="12"/>
        <v>-11</v>
      </c>
      <c r="Q66" s="12">
        <f t="shared" si="12"/>
        <v>-12</v>
      </c>
      <c r="R66" s="12">
        <f t="shared" si="12"/>
        <v>-13</v>
      </c>
      <c r="S66" s="12">
        <f t="shared" si="12"/>
        <v>-14</v>
      </c>
    </row>
    <row r="67" spans="1:19" x14ac:dyDescent="0.2">
      <c r="A67" s="43"/>
      <c r="B67" s="44"/>
      <c r="C67" s="6"/>
      <c r="E67" s="22"/>
      <c r="F67" s="36"/>
      <c r="G67" s="36"/>
      <c r="H67" s="36"/>
      <c r="I67" s="16">
        <f t="shared" ref="I67:S67" ca="1" si="13">MATCH(VALUE(LEFT(I65,4)),OFFSET(DIV_EARN_WP,-1,0,1,),0)</f>
        <v>6</v>
      </c>
      <c r="J67" s="16">
        <f t="shared" ca="1" si="13"/>
        <v>7</v>
      </c>
      <c r="K67" s="16">
        <f t="shared" ca="1" si="13"/>
        <v>8</v>
      </c>
      <c r="L67" s="16">
        <f t="shared" ca="1" si="13"/>
        <v>9</v>
      </c>
      <c r="M67" s="16">
        <f t="shared" ca="1" si="13"/>
        <v>10</v>
      </c>
      <c r="N67" s="16">
        <f t="shared" ca="1" si="13"/>
        <v>11</v>
      </c>
      <c r="O67" s="16">
        <f t="shared" ca="1" si="13"/>
        <v>12</v>
      </c>
      <c r="P67" s="16">
        <f t="shared" ca="1" si="13"/>
        <v>13</v>
      </c>
      <c r="Q67" s="16">
        <f t="shared" ca="1" si="13"/>
        <v>14</v>
      </c>
      <c r="R67" s="16">
        <f t="shared" ca="1" si="13"/>
        <v>15</v>
      </c>
      <c r="S67" s="16">
        <f t="shared" ca="1" si="13"/>
        <v>16</v>
      </c>
    </row>
    <row r="68" spans="1:19" x14ac:dyDescent="0.2">
      <c r="A68" s="45" t="s">
        <v>165</v>
      </c>
      <c r="B68" s="46">
        <f t="shared" ref="B68:B112" ca="1" si="14">IFERROR(MATCH(A68,OFFSET(DIV_EARN_WP,0,0,,1),0),"")</f>
        <v>4</v>
      </c>
      <c r="C68" s="1">
        <f ca="1">IF(ISERROR(D68),"",IF(D68="","",MAX($C$66:C67)+1))</f>
        <v>1</v>
      </c>
      <c r="D68" t="str">
        <f t="shared" ref="D68:D112" ca="1" si="15">D13</f>
        <v>Amer. States Water</v>
      </c>
      <c r="E68" s="22"/>
      <c r="F68" s="63">
        <f ca="1">IFERROR(AVERAGE(G68:S68),"N/A")</f>
        <v>0.55736802716228828</v>
      </c>
      <c r="G68" s="63">
        <f t="shared" ref="G68:G112" si="16">IFERROR(IF(VLOOKUP(A68,LUCurYr,20,FALSE)=0,"",VLOOKUP(A68,LUCurYr,20,FALSE)),"N/A")</f>
        <v>0.65454545454545465</v>
      </c>
      <c r="H68" s="63">
        <f ca="1">IFERROR(VLOOKUP($A68,LASTYR,'2017'!$O$3,FALSE),"N/A")</f>
        <v>0.52659574468085113</v>
      </c>
      <c r="I68" s="63">
        <f t="shared" ref="I68:S83" ca="1" si="17">IFERROR(IF(INDEX(DIV_EARN_WP,$B68,I$67)=0,"N/A",INDEX(DIV_EARN_WP,$B68,I$67)),"N/A")</f>
        <v>0.56419753086419755</v>
      </c>
      <c r="J68" s="63">
        <f t="shared" ca="1" si="17"/>
        <v>0.54625000000000001</v>
      </c>
      <c r="K68" s="63">
        <f t="shared" ca="1" si="17"/>
        <v>0.52929936305732483</v>
      </c>
      <c r="L68" s="63">
        <f t="shared" ca="1" si="17"/>
        <v>0.47204968944099379</v>
      </c>
      <c r="M68" s="63">
        <f t="shared" ca="1" si="17"/>
        <v>0.45035460992907805</v>
      </c>
      <c r="N68" s="63">
        <f t="shared" ca="1" si="17"/>
        <v>0.49107142857142855</v>
      </c>
      <c r="O68" s="63">
        <f t="shared" ca="1" si="17"/>
        <v>0.46846846846846846</v>
      </c>
      <c r="P68" s="63">
        <f t="shared" ca="1" si="17"/>
        <v>0.62345679012345678</v>
      </c>
      <c r="Q68" s="63">
        <f t="shared" ca="1" si="17"/>
        <v>0.64516129032258063</v>
      </c>
      <c r="R68" s="63">
        <f t="shared" ca="1" si="17"/>
        <v>0.59012345679012335</v>
      </c>
      <c r="S68" s="63">
        <f t="shared" ca="1" si="17"/>
        <v>0.68421052631578949</v>
      </c>
    </row>
    <row r="69" spans="1:19" x14ac:dyDescent="0.2">
      <c r="A69" s="45" t="s">
        <v>167</v>
      </c>
      <c r="B69" s="46">
        <f t="shared" ca="1" si="14"/>
        <v>5</v>
      </c>
      <c r="C69" s="1">
        <f ca="1">IF(ISERROR(D69),"",IF(D69="","",MAX($C$66:C68)+1))</f>
        <v>2</v>
      </c>
      <c r="D69" t="str">
        <f t="shared" ca="1" si="15"/>
        <v>Amer. Water Works</v>
      </c>
      <c r="E69" s="22"/>
      <c r="F69" s="63">
        <f t="shared" ref="F69:F112" ca="1" si="18">IFERROR(AVERAGE(G69:S69),"N/A")</f>
        <v>0.53430993879963362</v>
      </c>
      <c r="G69" s="63">
        <f t="shared" si="16"/>
        <v>0.53939393939393943</v>
      </c>
      <c r="H69" s="63">
        <f ca="1">IFERROR(VLOOKUP($A69,LASTYR,'2017'!$O$3,FALSE),"N/A")</f>
        <v>0.68067226890756305</v>
      </c>
      <c r="I69" s="63">
        <f t="shared" ca="1" si="17"/>
        <v>0.56106870229007633</v>
      </c>
      <c r="J69" s="63">
        <f t="shared" ca="1" si="17"/>
        <v>0.50378787878787878</v>
      </c>
      <c r="K69" s="63">
        <f t="shared" ca="1" si="17"/>
        <v>0.506276150627615</v>
      </c>
      <c r="L69" s="63">
        <f t="shared" ca="1" si="17"/>
        <v>0.40776699029126212</v>
      </c>
      <c r="M69" s="63">
        <f t="shared" ca="1" si="17"/>
        <v>0.57345971563981046</v>
      </c>
      <c r="N69" s="63">
        <f t="shared" ca="1" si="17"/>
        <v>0.52325581395348841</v>
      </c>
      <c r="O69" s="63">
        <f t="shared" ca="1" si="17"/>
        <v>0.56209150326797386</v>
      </c>
      <c r="P69" s="63">
        <f t="shared" ca="1" si="17"/>
        <v>0.65599999999999992</v>
      </c>
      <c r="Q69" s="63">
        <f t="shared" ca="1" si="17"/>
        <v>0.36363636363636365</v>
      </c>
      <c r="R69" s="63" t="str">
        <f t="shared" ca="1" si="17"/>
        <v>N/A</v>
      </c>
      <c r="S69" s="63" t="str">
        <f t="shared" ca="1" si="17"/>
        <v>N/A</v>
      </c>
    </row>
    <row r="70" spans="1:19" x14ac:dyDescent="0.2">
      <c r="A70" s="45" t="s">
        <v>171</v>
      </c>
      <c r="B70" s="46">
        <f t="shared" ca="1" si="14"/>
        <v>8</v>
      </c>
      <c r="C70" s="1">
        <f ca="1">IF(ISERROR(D70),"",IF(D70="","",MAX($C$66:C69)+1))</f>
        <v>3</v>
      </c>
      <c r="D70" t="str">
        <f t="shared" ca="1" si="15"/>
        <v>Aqua America</v>
      </c>
      <c r="E70" s="22"/>
      <c r="F70" s="63">
        <f t="shared" ca="1" si="18"/>
        <v>0.61359573570060055</v>
      </c>
      <c r="G70" s="63">
        <f t="shared" si="16"/>
        <v>0.60714285714285721</v>
      </c>
      <c r="H70" s="63">
        <f ca="1">IFERROR(VLOOKUP($A70,LASTYR,'2017'!$O$3,FALSE),"N/A")</f>
        <v>0.58518518518518514</v>
      </c>
      <c r="I70" s="63">
        <f t="shared" ca="1" si="17"/>
        <v>0.56060606060606055</v>
      </c>
      <c r="J70" s="63">
        <f t="shared" ca="1" si="17"/>
        <v>0.60526315789473684</v>
      </c>
      <c r="K70" s="63">
        <f t="shared" ca="1" si="17"/>
        <v>0.52500000000000002</v>
      </c>
      <c r="L70" s="63">
        <f t="shared" ca="1" si="17"/>
        <v>0.5</v>
      </c>
      <c r="M70" s="63">
        <f t="shared" ca="1" si="17"/>
        <v>0.6146788990825689</v>
      </c>
      <c r="N70" s="63">
        <f t="shared" ca="1" si="17"/>
        <v>0.60576923076923084</v>
      </c>
      <c r="O70" s="63">
        <f t="shared" ca="1" si="17"/>
        <v>0.65555555555555556</v>
      </c>
      <c r="P70" s="63">
        <f t="shared" ca="1" si="17"/>
        <v>0.7142857142857143</v>
      </c>
      <c r="Q70" s="63">
        <f t="shared" ca="1" si="17"/>
        <v>0.69863013698630139</v>
      </c>
      <c r="R70" s="63">
        <f t="shared" ca="1" si="17"/>
        <v>0.67605633802816911</v>
      </c>
      <c r="S70" s="63">
        <f t="shared" ca="1" si="17"/>
        <v>0.62857142857142845</v>
      </c>
    </row>
    <row r="71" spans="1:19" x14ac:dyDescent="0.2">
      <c r="A71" s="45" t="s">
        <v>177</v>
      </c>
      <c r="B71" s="46">
        <f t="shared" ca="1" si="14"/>
        <v>13</v>
      </c>
      <c r="C71" s="1">
        <f ca="1">IF(ISERROR(D71),"",IF(D71="","",MAX($C$66:C70)+1))</f>
        <v>4</v>
      </c>
      <c r="D71" t="str">
        <f t="shared" ca="1" si="15"/>
        <v>California Water</v>
      </c>
      <c r="E71" s="22"/>
      <c r="F71" s="63">
        <f t="shared" ca="1" si="18"/>
        <v>0.65411495400563346</v>
      </c>
      <c r="G71" s="63">
        <f t="shared" si="16"/>
        <v>0.57692307692307687</v>
      </c>
      <c r="H71" s="63">
        <f ca="1">IFERROR(VLOOKUP($A71,LASTYR,'2017'!$O$3,FALSE),"N/A")</f>
        <v>0.51428571428571435</v>
      </c>
      <c r="I71" s="63">
        <f t="shared" ca="1" si="17"/>
        <v>0.68316831683168311</v>
      </c>
      <c r="J71" s="63">
        <f t="shared" ca="1" si="17"/>
        <v>0.7127659574468086</v>
      </c>
      <c r="K71" s="63">
        <f t="shared" ca="1" si="17"/>
        <v>0.54621848739495804</v>
      </c>
      <c r="L71" s="63">
        <f t="shared" ca="1" si="17"/>
        <v>0.62745098039215685</v>
      </c>
      <c r="M71" s="63">
        <f t="shared" ca="1" si="17"/>
        <v>0.61764705882352944</v>
      </c>
      <c r="N71" s="63">
        <f t="shared" ca="1" si="17"/>
        <v>0.71511627906976749</v>
      </c>
      <c r="O71" s="63">
        <f t="shared" ca="1" si="17"/>
        <v>0.65745856353591159</v>
      </c>
      <c r="P71" s="63">
        <f t="shared" ca="1" si="17"/>
        <v>0.60512820512820509</v>
      </c>
      <c r="Q71" s="63">
        <f t="shared" ca="1" si="17"/>
        <v>0.61578947368421055</v>
      </c>
      <c r="R71" s="63">
        <f t="shared" ca="1" si="17"/>
        <v>0.77333333333333332</v>
      </c>
      <c r="S71" s="63">
        <f t="shared" ca="1" si="17"/>
        <v>0.85820895522388052</v>
      </c>
    </row>
    <row r="72" spans="1:19" x14ac:dyDescent="0.2">
      <c r="A72" s="45" t="s">
        <v>180</v>
      </c>
      <c r="B72" s="46">
        <f t="shared" ca="1" si="14"/>
        <v>19</v>
      </c>
      <c r="C72" s="1">
        <f ca="1">IF(ISERROR(D72),"",IF(D72="","",MAX($C$66:C71)+1))</f>
        <v>5</v>
      </c>
      <c r="D72" t="str">
        <f t="shared" ca="1" si="15"/>
        <v>Conn. Water Services</v>
      </c>
      <c r="E72" s="22"/>
      <c r="F72" s="63">
        <f t="shared" ca="1" si="18"/>
        <v>0.70640324606131821</v>
      </c>
      <c r="G72" s="63">
        <f t="shared" si="16"/>
        <v>0.75151515151515158</v>
      </c>
      <c r="H72" s="63">
        <f ca="1">IFERROR(VLOOKUP($A72,LASTYR,'2017'!$O$3,FALSE),"N/A")</f>
        <v>0.5539906103286385</v>
      </c>
      <c r="I72" s="63">
        <f t="shared" ca="1" si="17"/>
        <v>0.53846153846153855</v>
      </c>
      <c r="J72" s="63">
        <f t="shared" ca="1" si="17"/>
        <v>0.51470588235294124</v>
      </c>
      <c r="K72" s="63">
        <f t="shared" ca="1" si="17"/>
        <v>0.52604166666666674</v>
      </c>
      <c r="L72" s="63">
        <f t="shared" ca="1" si="17"/>
        <v>0.59036144578313254</v>
      </c>
      <c r="M72" s="63">
        <f t="shared" ca="1" si="17"/>
        <v>0.62745098039215685</v>
      </c>
      <c r="N72" s="63">
        <f t="shared" ca="1" si="17"/>
        <v>0.83333333333333337</v>
      </c>
      <c r="O72" s="63">
        <f t="shared" ca="1" si="17"/>
        <v>0.81415929203539839</v>
      </c>
      <c r="P72" s="63">
        <f t="shared" ca="1" si="17"/>
        <v>0.75630252100840345</v>
      </c>
      <c r="Q72" s="63">
        <f t="shared" ca="1" si="17"/>
        <v>0.79279279279279269</v>
      </c>
      <c r="R72" s="63">
        <f t="shared" ca="1" si="17"/>
        <v>0.82857142857142851</v>
      </c>
      <c r="S72" s="63">
        <f t="shared" ca="1" si="17"/>
        <v>1.0555555555555554</v>
      </c>
    </row>
    <row r="73" spans="1:19" x14ac:dyDescent="0.2">
      <c r="A73" s="45" t="s">
        <v>182</v>
      </c>
      <c r="B73" s="46">
        <f t="shared" ca="1" si="14"/>
        <v>21</v>
      </c>
      <c r="C73" s="1">
        <f ca="1">IF(ISERROR(D73),"",IF(D73="","",MAX($C$66:C72)+1))</f>
        <v>6</v>
      </c>
      <c r="D73" t="str">
        <f t="shared" ca="1" si="15"/>
        <v>Consolidated Water</v>
      </c>
      <c r="E73" s="22"/>
      <c r="F73" s="63">
        <f t="shared" ca="1" si="18"/>
        <v>0.60253907757364833</v>
      </c>
      <c r="G73" s="63">
        <f t="shared" si="16"/>
        <v>0.58333333333333337</v>
      </c>
      <c r="H73" s="63">
        <f ca="1">IFERROR(VLOOKUP($A73,LASTYR,'2017'!$O$3,FALSE),"N/A")</f>
        <v>0.75609756097560976</v>
      </c>
      <c r="I73" s="63">
        <f t="shared" ca="1" si="17"/>
        <v>1.1111111111111109</v>
      </c>
      <c r="J73" s="63">
        <f t="shared" ca="1" si="17"/>
        <v>0.58823529411764708</v>
      </c>
      <c r="K73" s="63">
        <f t="shared" ca="1" si="17"/>
        <v>0.7142857142857143</v>
      </c>
      <c r="L73" s="63">
        <f t="shared" ca="1" si="17"/>
        <v>0.51724137931034486</v>
      </c>
      <c r="M73" s="63">
        <f t="shared" ca="1" si="17"/>
        <v>0.46875</v>
      </c>
      <c r="N73" s="63">
        <f t="shared" ca="1" si="17"/>
        <v>0.7142857142857143</v>
      </c>
      <c r="O73" s="63">
        <f t="shared" ca="1" si="17"/>
        <v>0.69767441860465118</v>
      </c>
      <c r="P73" s="63">
        <f t="shared" ca="1" si="17"/>
        <v>0.3783783783783784</v>
      </c>
      <c r="Q73" s="63">
        <f t="shared" ca="1" si="17"/>
        <v>0.65</v>
      </c>
      <c r="R73" s="63">
        <f t="shared" ca="1" si="17"/>
        <v>0.24683544303797469</v>
      </c>
      <c r="S73" s="63">
        <f t="shared" ca="1" si="17"/>
        <v>0.40677966101694918</v>
      </c>
    </row>
    <row r="74" spans="1:19" x14ac:dyDescent="0.2">
      <c r="A74" s="45" t="s">
        <v>188</v>
      </c>
      <c r="B74" s="46">
        <f t="shared" ca="1" si="14"/>
        <v>41</v>
      </c>
      <c r="C74" s="1">
        <f ca="1">IF(ISERROR(D74),"",IF(D74="","",MAX($C$66:C73)+1))</f>
        <v>7</v>
      </c>
      <c r="D74" t="str">
        <f t="shared" ca="1" si="15"/>
        <v>Middlesex Water</v>
      </c>
      <c r="E74" s="22"/>
      <c r="F74" s="63">
        <f t="shared" ca="1" si="18"/>
        <v>0.74081113273024846</v>
      </c>
      <c r="G74" s="63">
        <f t="shared" si="16"/>
        <v>0.52</v>
      </c>
      <c r="H74" s="63">
        <f ca="1">IFERROR(VLOOKUP($A74,LASTYR,'2017'!$O$3,FALSE),"N/A")</f>
        <v>0.62173913043478268</v>
      </c>
      <c r="I74" s="63">
        <f t="shared" ca="1" si="17"/>
        <v>0.58550724637681173</v>
      </c>
      <c r="J74" s="63">
        <f t="shared" ca="1" si="17"/>
        <v>0.63606557377049189</v>
      </c>
      <c r="K74" s="63">
        <f t="shared" ca="1" si="17"/>
        <v>0.67522123893805319</v>
      </c>
      <c r="L74" s="63">
        <f t="shared" ca="1" si="17"/>
        <v>0.73106796116504857</v>
      </c>
      <c r="M74" s="63">
        <f t="shared" ca="1" si="17"/>
        <v>0.82555555555555549</v>
      </c>
      <c r="N74" s="63">
        <f t="shared" ca="1" si="17"/>
        <v>0.87261904761904763</v>
      </c>
      <c r="O74" s="63">
        <f t="shared" ca="1" si="17"/>
        <v>0.75312500000000004</v>
      </c>
      <c r="P74" s="63">
        <f t="shared" ca="1" si="17"/>
        <v>0.99027777777777781</v>
      </c>
      <c r="Q74" s="63">
        <f t="shared" ca="1" si="17"/>
        <v>0.78988764044943816</v>
      </c>
      <c r="R74" s="63">
        <f t="shared" ca="1" si="17"/>
        <v>0.79655172413793096</v>
      </c>
      <c r="S74" s="63">
        <f t="shared" ca="1" si="17"/>
        <v>0.83292682926829276</v>
      </c>
    </row>
    <row r="75" spans="1:19" x14ac:dyDescent="0.2">
      <c r="A75" s="45" t="s">
        <v>196</v>
      </c>
      <c r="B75" s="46">
        <f t="shared" ca="1" si="14"/>
        <v>60</v>
      </c>
      <c r="C75" s="1">
        <f ca="1">IF(ISERROR(D75),"",IF(D75="","",MAX($C$66:C74)+1))</f>
        <v>8</v>
      </c>
      <c r="D75" t="str">
        <f t="shared" ca="1" si="15"/>
        <v>SJW Corp.</v>
      </c>
      <c r="E75" s="22"/>
      <c r="F75" s="63">
        <f t="shared" ca="1" si="18"/>
        <v>0.54025264835754894</v>
      </c>
      <c r="G75" s="63">
        <f t="shared" si="16"/>
        <v>0.47659574468085109</v>
      </c>
      <c r="H75" s="63">
        <f ca="1">IFERROR(VLOOKUP($A75,LASTYR,'2017'!$O$3,FALSE),"N/A")</f>
        <v>0.36363636363636365</v>
      </c>
      <c r="I75" s="63">
        <f t="shared" ca="1" si="17"/>
        <v>0.31517509727626464</v>
      </c>
      <c r="J75" s="63">
        <f t="shared" ca="1" si="17"/>
        <v>0.42162162162162159</v>
      </c>
      <c r="K75" s="63">
        <f t="shared" ca="1" si="17"/>
        <v>0.29527559055118108</v>
      </c>
      <c r="L75" s="63">
        <f t="shared" ca="1" si="17"/>
        <v>0.65178571428571419</v>
      </c>
      <c r="M75" s="63">
        <f t="shared" ca="1" si="17"/>
        <v>0.60169491525423724</v>
      </c>
      <c r="N75" s="63">
        <f t="shared" ca="1" si="17"/>
        <v>0.62162162162162149</v>
      </c>
      <c r="O75" s="63">
        <f t="shared" ca="1" si="17"/>
        <v>0.80952380952380965</v>
      </c>
      <c r="P75" s="63">
        <f t="shared" ca="1" si="17"/>
        <v>0.81481481481481477</v>
      </c>
      <c r="Q75" s="63">
        <f t="shared" ca="1" si="17"/>
        <v>0.59501845018450183</v>
      </c>
      <c r="R75" s="63">
        <f t="shared" ca="1" si="17"/>
        <v>0.58173076923076916</v>
      </c>
      <c r="S75" s="63">
        <f t="shared" ca="1" si="17"/>
        <v>0.47478991596638653</v>
      </c>
    </row>
    <row r="76" spans="1:19" x14ac:dyDescent="0.2">
      <c r="A76" s="45" t="s">
        <v>208</v>
      </c>
      <c r="B76" s="46">
        <f t="shared" ca="1" si="14"/>
        <v>75</v>
      </c>
      <c r="C76" s="1">
        <f ca="1">IF(ISERROR(D76),"",IF(D76="","",MAX($C$66:C75)+1))</f>
        <v>9</v>
      </c>
      <c r="D76" t="str">
        <f t="shared" ca="1" si="15"/>
        <v>York Water Co. (The)</v>
      </c>
      <c r="E76" s="22"/>
      <c r="F76" s="63">
        <f t="shared" ca="1" si="18"/>
        <v>0.72983414656855938</v>
      </c>
      <c r="G76" s="63">
        <f t="shared" si="16"/>
        <v>0.63636363636363624</v>
      </c>
      <c r="H76" s="63">
        <f ca="1">IFERROR(VLOOKUP($A76,LASTYR,'2017'!$O$3,FALSE),"N/A")</f>
        <v>0.64356435643564358</v>
      </c>
      <c r="I76" s="63" t="str">
        <f t="shared" ca="1" si="17"/>
        <v>N/A</v>
      </c>
      <c r="J76" s="63">
        <f t="shared" ca="1" si="17"/>
        <v>0.61855670103092786</v>
      </c>
      <c r="K76" s="63">
        <f t="shared" ca="1" si="17"/>
        <v>0.64269662921348303</v>
      </c>
      <c r="L76" s="63">
        <f t="shared" ca="1" si="17"/>
        <v>0.7360000000000001</v>
      </c>
      <c r="M76" s="63">
        <f t="shared" ca="1" si="17"/>
        <v>0.74861111111111123</v>
      </c>
      <c r="N76" s="63">
        <f t="shared" ca="1" si="17"/>
        <v>0.74225352112676068</v>
      </c>
      <c r="O76" s="63">
        <f t="shared" ca="1" si="17"/>
        <v>0.72535211267605637</v>
      </c>
      <c r="P76" s="63">
        <f t="shared" ca="1" si="17"/>
        <v>0.79062500000000002</v>
      </c>
      <c r="Q76" s="63">
        <f t="shared" ca="1" si="17"/>
        <v>0.85789473684210527</v>
      </c>
      <c r="R76" s="63">
        <f t="shared" ca="1" si="17"/>
        <v>0.83333333333333337</v>
      </c>
      <c r="S76" s="63">
        <f t="shared" ca="1" si="17"/>
        <v>0.78275862068965529</v>
      </c>
    </row>
    <row r="77" spans="1:19" hidden="1" x14ac:dyDescent="0.2">
      <c r="A77" s="51"/>
      <c r="B77" s="46" t="str">
        <f t="shared" ca="1" si="14"/>
        <v/>
      </c>
      <c r="C77" s="1" t="str">
        <f>IF(ISERROR(D77),"",IF(D77="","",MAX($C$66:C76)+1))</f>
        <v/>
      </c>
      <c r="D77" t="e">
        <f t="shared" si="15"/>
        <v>#N/A</v>
      </c>
      <c r="E77" s="22"/>
      <c r="F77" s="63" t="str">
        <f t="shared" ca="1" si="18"/>
        <v>N/A</v>
      </c>
      <c r="G77" s="63" t="str">
        <f t="shared" si="16"/>
        <v>N/A</v>
      </c>
      <c r="H77" s="63" t="str">
        <f ca="1">IFERROR(VLOOKUP($A77,LASTYR,'2017'!$O$3,FALSE),"N/A")</f>
        <v>N/A</v>
      </c>
      <c r="I77" s="63" t="str">
        <f t="shared" ca="1" si="17"/>
        <v>N/A</v>
      </c>
      <c r="J77" s="63" t="str">
        <f t="shared" ca="1" si="17"/>
        <v>N/A</v>
      </c>
      <c r="K77" s="63" t="str">
        <f t="shared" ca="1" si="17"/>
        <v>N/A</v>
      </c>
      <c r="L77" s="63" t="str">
        <f t="shared" ca="1" si="17"/>
        <v>N/A</v>
      </c>
      <c r="M77" s="63" t="str">
        <f t="shared" ca="1" si="17"/>
        <v>N/A</v>
      </c>
      <c r="N77" s="63" t="str">
        <f t="shared" ca="1" si="17"/>
        <v>N/A</v>
      </c>
      <c r="O77" s="63" t="str">
        <f t="shared" ca="1" si="17"/>
        <v>N/A</v>
      </c>
      <c r="P77" s="63" t="str">
        <f t="shared" ca="1" si="17"/>
        <v>N/A</v>
      </c>
      <c r="Q77" s="63" t="str">
        <f t="shared" ca="1" si="17"/>
        <v>N/A</v>
      </c>
      <c r="R77" s="63" t="str">
        <f t="shared" ca="1" si="17"/>
        <v>N/A</v>
      </c>
      <c r="S77" s="63" t="str">
        <f t="shared" ca="1" si="17"/>
        <v>N/A</v>
      </c>
    </row>
    <row r="78" spans="1:19" hidden="1" x14ac:dyDescent="0.2">
      <c r="A78" s="51"/>
      <c r="B78" s="46" t="str">
        <f t="shared" ca="1" si="14"/>
        <v/>
      </c>
      <c r="C78" s="1" t="str">
        <f>IF(ISERROR(D78),"",IF(D78="","",MAX($C$66:C77)+1))</f>
        <v/>
      </c>
      <c r="D78" t="e">
        <f t="shared" si="15"/>
        <v>#N/A</v>
      </c>
      <c r="E78" s="22"/>
      <c r="F78" s="63" t="str">
        <f t="shared" ca="1" si="18"/>
        <v>N/A</v>
      </c>
      <c r="G78" s="63" t="str">
        <f t="shared" si="16"/>
        <v>N/A</v>
      </c>
      <c r="H78" s="63" t="str">
        <f ca="1">IFERROR(VLOOKUP($A78,LASTYR,'2017'!$O$3,FALSE),"N/A")</f>
        <v>N/A</v>
      </c>
      <c r="I78" s="63" t="str">
        <f t="shared" ca="1" si="17"/>
        <v>N/A</v>
      </c>
      <c r="J78" s="63" t="str">
        <f t="shared" ca="1" si="17"/>
        <v>N/A</v>
      </c>
      <c r="K78" s="63" t="str">
        <f t="shared" ca="1" si="17"/>
        <v>N/A</v>
      </c>
      <c r="L78" s="63" t="str">
        <f t="shared" ca="1" si="17"/>
        <v>N/A</v>
      </c>
      <c r="M78" s="63" t="str">
        <f t="shared" ca="1" si="17"/>
        <v>N/A</v>
      </c>
      <c r="N78" s="63" t="str">
        <f t="shared" ca="1" si="17"/>
        <v>N/A</v>
      </c>
      <c r="O78" s="63" t="str">
        <f t="shared" ca="1" si="17"/>
        <v>N/A</v>
      </c>
      <c r="P78" s="63" t="str">
        <f t="shared" ca="1" si="17"/>
        <v>N/A</v>
      </c>
      <c r="Q78" s="63" t="str">
        <f t="shared" ca="1" si="17"/>
        <v>N/A</v>
      </c>
      <c r="R78" s="63" t="str">
        <f t="shared" ca="1" si="17"/>
        <v>N/A</v>
      </c>
      <c r="S78" s="63" t="str">
        <f t="shared" ca="1" si="17"/>
        <v>N/A</v>
      </c>
    </row>
    <row r="79" spans="1:19" hidden="1" x14ac:dyDescent="0.2">
      <c r="A79" s="51">
        <f t="shared" ref="A79:A112" si="19">A24</f>
        <v>0</v>
      </c>
      <c r="B79" s="46" t="str">
        <f t="shared" ca="1" si="14"/>
        <v/>
      </c>
      <c r="C79" s="1" t="str">
        <f>IF(ISERROR(D79),"",IF(D79="","",MAX($C$66:C78)+1))</f>
        <v/>
      </c>
      <c r="D79" t="e">
        <f t="shared" si="15"/>
        <v>#N/A</v>
      </c>
      <c r="E79" s="22"/>
      <c r="F79" s="63" t="str">
        <f t="shared" ca="1" si="18"/>
        <v>N/A</v>
      </c>
      <c r="G79" s="63" t="str">
        <f t="shared" si="16"/>
        <v>N/A</v>
      </c>
      <c r="H79" s="63" t="str">
        <f ca="1">IFERROR(VLOOKUP($A79,LASTYR,'2017'!$O$3,FALSE),"N/A")</f>
        <v>N/A</v>
      </c>
      <c r="I79" s="63" t="str">
        <f t="shared" ca="1" si="17"/>
        <v>N/A</v>
      </c>
      <c r="J79" s="63" t="str">
        <f t="shared" ca="1" si="17"/>
        <v>N/A</v>
      </c>
      <c r="K79" s="63" t="str">
        <f t="shared" ca="1" si="17"/>
        <v>N/A</v>
      </c>
      <c r="L79" s="63" t="str">
        <f t="shared" ca="1" si="17"/>
        <v>N/A</v>
      </c>
      <c r="M79" s="63" t="str">
        <f t="shared" ca="1" si="17"/>
        <v>N/A</v>
      </c>
      <c r="N79" s="63" t="str">
        <f t="shared" ca="1" si="17"/>
        <v>N/A</v>
      </c>
      <c r="O79" s="63" t="str">
        <f t="shared" ca="1" si="17"/>
        <v>N/A</v>
      </c>
      <c r="P79" s="63" t="str">
        <f t="shared" ca="1" si="17"/>
        <v>N/A</v>
      </c>
      <c r="Q79" s="63" t="str">
        <f t="shared" ca="1" si="17"/>
        <v>N/A</v>
      </c>
      <c r="R79" s="63" t="str">
        <f t="shared" ca="1" si="17"/>
        <v>N/A</v>
      </c>
      <c r="S79" s="63" t="str">
        <f t="shared" ca="1" si="17"/>
        <v>N/A</v>
      </c>
    </row>
    <row r="80" spans="1:19" hidden="1" x14ac:dyDescent="0.2">
      <c r="A80" s="51">
        <f t="shared" si="19"/>
        <v>0</v>
      </c>
      <c r="B80" s="46" t="str">
        <f t="shared" ca="1" si="14"/>
        <v/>
      </c>
      <c r="C80" s="1" t="str">
        <f>IF(ISERROR(D80),"",IF(D80="","",MAX($C$66:C79)+1))</f>
        <v/>
      </c>
      <c r="D80" t="e">
        <f t="shared" si="15"/>
        <v>#N/A</v>
      </c>
      <c r="E80" s="22"/>
      <c r="F80" s="63" t="str">
        <f t="shared" ca="1" si="18"/>
        <v>N/A</v>
      </c>
      <c r="G80" s="63" t="str">
        <f t="shared" si="16"/>
        <v>N/A</v>
      </c>
      <c r="H80" s="63" t="str">
        <f ca="1">IFERROR(VLOOKUP($A80,LASTYR,'2017'!$O$3,FALSE),"N/A")</f>
        <v>N/A</v>
      </c>
      <c r="I80" s="63" t="str">
        <f t="shared" ca="1" si="17"/>
        <v>N/A</v>
      </c>
      <c r="J80" s="63" t="str">
        <f t="shared" ca="1" si="17"/>
        <v>N/A</v>
      </c>
      <c r="K80" s="63" t="str">
        <f t="shared" ca="1" si="17"/>
        <v>N/A</v>
      </c>
      <c r="L80" s="63" t="str">
        <f t="shared" ca="1" si="17"/>
        <v>N/A</v>
      </c>
      <c r="M80" s="63" t="str">
        <f t="shared" ca="1" si="17"/>
        <v>N/A</v>
      </c>
      <c r="N80" s="63" t="str">
        <f t="shared" ca="1" si="17"/>
        <v>N/A</v>
      </c>
      <c r="O80" s="63" t="str">
        <f t="shared" ca="1" si="17"/>
        <v>N/A</v>
      </c>
      <c r="P80" s="63" t="str">
        <f t="shared" ca="1" si="17"/>
        <v>N/A</v>
      </c>
      <c r="Q80" s="63" t="str">
        <f t="shared" ca="1" si="17"/>
        <v>N/A</v>
      </c>
      <c r="R80" s="63" t="str">
        <f t="shared" ca="1" si="17"/>
        <v>N/A</v>
      </c>
      <c r="S80" s="63" t="str">
        <f t="shared" ca="1" si="17"/>
        <v>N/A</v>
      </c>
    </row>
    <row r="81" spans="1:19" hidden="1" x14ac:dyDescent="0.2">
      <c r="A81" s="51">
        <f t="shared" si="19"/>
        <v>0</v>
      </c>
      <c r="B81" s="46" t="str">
        <f t="shared" ca="1" si="14"/>
        <v/>
      </c>
      <c r="C81" s="1" t="str">
        <f>IF(ISERROR(D81),"",IF(D81="","",MAX($C$66:C80)+1))</f>
        <v/>
      </c>
      <c r="D81" t="e">
        <f t="shared" si="15"/>
        <v>#N/A</v>
      </c>
      <c r="E81" s="22"/>
      <c r="F81" s="63" t="str">
        <f t="shared" ca="1" si="18"/>
        <v>N/A</v>
      </c>
      <c r="G81" s="63" t="str">
        <f t="shared" si="16"/>
        <v>N/A</v>
      </c>
      <c r="H81" s="63" t="str">
        <f ca="1">IFERROR(VLOOKUP($A81,LASTYR,'2017'!$O$3,FALSE),"N/A")</f>
        <v>N/A</v>
      </c>
      <c r="I81" s="63" t="str">
        <f t="shared" ca="1" si="17"/>
        <v>N/A</v>
      </c>
      <c r="J81" s="63" t="str">
        <f t="shared" ca="1" si="17"/>
        <v>N/A</v>
      </c>
      <c r="K81" s="63" t="str">
        <f t="shared" ca="1" si="17"/>
        <v>N/A</v>
      </c>
      <c r="L81" s="63" t="str">
        <f t="shared" ca="1" si="17"/>
        <v>N/A</v>
      </c>
      <c r="M81" s="63" t="str">
        <f t="shared" ca="1" si="17"/>
        <v>N/A</v>
      </c>
      <c r="N81" s="63" t="str">
        <f t="shared" ca="1" si="17"/>
        <v>N/A</v>
      </c>
      <c r="O81" s="63" t="str">
        <f t="shared" ca="1" si="17"/>
        <v>N/A</v>
      </c>
      <c r="P81" s="63" t="str">
        <f t="shared" ca="1" si="17"/>
        <v>N/A</v>
      </c>
      <c r="Q81" s="63" t="str">
        <f t="shared" ca="1" si="17"/>
        <v>N/A</v>
      </c>
      <c r="R81" s="63" t="str">
        <f t="shared" ca="1" si="17"/>
        <v>N/A</v>
      </c>
      <c r="S81" s="63" t="str">
        <f t="shared" ca="1" si="17"/>
        <v>N/A</v>
      </c>
    </row>
    <row r="82" spans="1:19" hidden="1" x14ac:dyDescent="0.2">
      <c r="A82" s="51">
        <f t="shared" si="19"/>
        <v>0</v>
      </c>
      <c r="B82" s="46" t="str">
        <f t="shared" ca="1" si="14"/>
        <v/>
      </c>
      <c r="C82" s="1" t="str">
        <f>IF(ISERROR(D82),"",IF(D82="","",MAX($C$66:C81)+1))</f>
        <v/>
      </c>
      <c r="D82" t="e">
        <f t="shared" si="15"/>
        <v>#N/A</v>
      </c>
      <c r="E82" s="22"/>
      <c r="F82" s="63" t="str">
        <f t="shared" ca="1" si="18"/>
        <v>N/A</v>
      </c>
      <c r="G82" s="63" t="str">
        <f t="shared" si="16"/>
        <v>N/A</v>
      </c>
      <c r="H82" s="63" t="str">
        <f ca="1">IFERROR(VLOOKUP($A82,LASTYR,'2017'!$O$3,FALSE),"N/A")</f>
        <v>N/A</v>
      </c>
      <c r="I82" s="63" t="str">
        <f t="shared" ca="1" si="17"/>
        <v>N/A</v>
      </c>
      <c r="J82" s="63" t="str">
        <f t="shared" ca="1" si="17"/>
        <v>N/A</v>
      </c>
      <c r="K82" s="63" t="str">
        <f t="shared" ca="1" si="17"/>
        <v>N/A</v>
      </c>
      <c r="L82" s="63" t="str">
        <f t="shared" ca="1" si="17"/>
        <v>N/A</v>
      </c>
      <c r="M82" s="63" t="str">
        <f t="shared" ca="1" si="17"/>
        <v>N/A</v>
      </c>
      <c r="N82" s="63" t="str">
        <f t="shared" ca="1" si="17"/>
        <v>N/A</v>
      </c>
      <c r="O82" s="63" t="str">
        <f t="shared" ca="1" si="17"/>
        <v>N/A</v>
      </c>
      <c r="P82" s="63" t="str">
        <f t="shared" ca="1" si="17"/>
        <v>N/A</v>
      </c>
      <c r="Q82" s="63" t="str">
        <f t="shared" ca="1" si="17"/>
        <v>N/A</v>
      </c>
      <c r="R82" s="63" t="str">
        <f t="shared" ca="1" si="17"/>
        <v>N/A</v>
      </c>
      <c r="S82" s="63" t="str">
        <f t="shared" ca="1" si="17"/>
        <v>N/A</v>
      </c>
    </row>
    <row r="83" spans="1:19" hidden="1" x14ac:dyDescent="0.2">
      <c r="A83" s="51">
        <f t="shared" si="19"/>
        <v>0</v>
      </c>
      <c r="B83" s="46" t="str">
        <f t="shared" ca="1" si="14"/>
        <v/>
      </c>
      <c r="C83" s="1" t="str">
        <f>IF(ISERROR(D83),"",IF(D83="","",MAX($C$66:C82)+1))</f>
        <v/>
      </c>
      <c r="D83" t="e">
        <f t="shared" si="15"/>
        <v>#N/A</v>
      </c>
      <c r="E83" s="22"/>
      <c r="F83" s="63" t="str">
        <f t="shared" ca="1" si="18"/>
        <v>N/A</v>
      </c>
      <c r="G83" s="63" t="str">
        <f t="shared" si="16"/>
        <v>N/A</v>
      </c>
      <c r="H83" s="63" t="str">
        <f ca="1">IFERROR(VLOOKUP($A83,LASTYR,'2017'!$O$3,FALSE),"N/A")</f>
        <v>N/A</v>
      </c>
      <c r="I83" s="63" t="str">
        <f t="shared" ca="1" si="17"/>
        <v>N/A</v>
      </c>
      <c r="J83" s="63" t="str">
        <f t="shared" ca="1" si="17"/>
        <v>N/A</v>
      </c>
      <c r="K83" s="63" t="str">
        <f t="shared" ca="1" si="17"/>
        <v>N/A</v>
      </c>
      <c r="L83" s="63" t="str">
        <f t="shared" ca="1" si="17"/>
        <v>N/A</v>
      </c>
      <c r="M83" s="63" t="str">
        <f t="shared" ca="1" si="17"/>
        <v>N/A</v>
      </c>
      <c r="N83" s="63" t="str">
        <f t="shared" ca="1" si="17"/>
        <v>N/A</v>
      </c>
      <c r="O83" s="63" t="str">
        <f t="shared" ca="1" si="17"/>
        <v>N/A</v>
      </c>
      <c r="P83" s="63" t="str">
        <f t="shared" ca="1" si="17"/>
        <v>N/A</v>
      </c>
      <c r="Q83" s="63" t="str">
        <f t="shared" ca="1" si="17"/>
        <v>N/A</v>
      </c>
      <c r="R83" s="63" t="str">
        <f t="shared" ca="1" si="17"/>
        <v>N/A</v>
      </c>
      <c r="S83" s="63" t="str">
        <f t="shared" ca="1" si="17"/>
        <v>N/A</v>
      </c>
    </row>
    <row r="84" spans="1:19" hidden="1" x14ac:dyDescent="0.2">
      <c r="A84" s="51">
        <f t="shared" si="19"/>
        <v>0</v>
      </c>
      <c r="B84" s="46" t="str">
        <f t="shared" ca="1" si="14"/>
        <v/>
      </c>
      <c r="C84" s="1" t="str">
        <f>IF(ISERROR(D84),"",IF(D84="","",MAX($C$66:C83)+1))</f>
        <v/>
      </c>
      <c r="D84" t="e">
        <f t="shared" si="15"/>
        <v>#N/A</v>
      </c>
      <c r="E84" s="22"/>
      <c r="F84" s="63" t="str">
        <f t="shared" ca="1" si="18"/>
        <v>N/A</v>
      </c>
      <c r="G84" s="63" t="str">
        <f t="shared" si="16"/>
        <v>N/A</v>
      </c>
      <c r="H84" s="63" t="str">
        <f ca="1">IFERROR(VLOOKUP($A84,LASTYR,'2017'!$O$3,FALSE),"N/A")</f>
        <v>N/A</v>
      </c>
      <c r="I84" s="63" t="str">
        <f t="shared" ref="I84:S107" ca="1" si="20">IFERROR(IF(INDEX(DIV_EARN_WP,$B84,I$67)=0,"N/A",INDEX(DIV_EARN_WP,$B84,I$67)),"N/A")</f>
        <v>N/A</v>
      </c>
      <c r="J84" s="63" t="str">
        <f t="shared" ca="1" si="20"/>
        <v>N/A</v>
      </c>
      <c r="K84" s="63" t="str">
        <f t="shared" ca="1" si="20"/>
        <v>N/A</v>
      </c>
      <c r="L84" s="63" t="str">
        <f t="shared" ca="1" si="20"/>
        <v>N/A</v>
      </c>
      <c r="M84" s="63" t="str">
        <f t="shared" ca="1" si="20"/>
        <v>N/A</v>
      </c>
      <c r="N84" s="63" t="str">
        <f t="shared" ca="1" si="20"/>
        <v>N/A</v>
      </c>
      <c r="O84" s="63" t="str">
        <f t="shared" ca="1" si="20"/>
        <v>N/A</v>
      </c>
      <c r="P84" s="63" t="str">
        <f t="shared" ca="1" si="20"/>
        <v>N/A</v>
      </c>
      <c r="Q84" s="63" t="str">
        <f t="shared" ca="1" si="20"/>
        <v>N/A</v>
      </c>
      <c r="R84" s="63" t="str">
        <f t="shared" ca="1" si="20"/>
        <v>N/A</v>
      </c>
      <c r="S84" s="63" t="str">
        <f t="shared" ca="1" si="20"/>
        <v>N/A</v>
      </c>
    </row>
    <row r="85" spans="1:19" hidden="1" x14ac:dyDescent="0.2">
      <c r="A85" s="51">
        <f t="shared" si="19"/>
        <v>0</v>
      </c>
      <c r="B85" s="46" t="str">
        <f t="shared" ca="1" si="14"/>
        <v/>
      </c>
      <c r="C85" s="1" t="str">
        <f>IF(ISERROR(D85),"",IF(D85="","",MAX($C$66:C84)+1))</f>
        <v/>
      </c>
      <c r="D85" t="e">
        <f t="shared" si="15"/>
        <v>#N/A</v>
      </c>
      <c r="E85" s="22"/>
      <c r="F85" s="63" t="str">
        <f t="shared" ca="1" si="18"/>
        <v>N/A</v>
      </c>
      <c r="G85" s="63" t="str">
        <f t="shared" si="16"/>
        <v>N/A</v>
      </c>
      <c r="H85" s="63" t="str">
        <f ca="1">IFERROR(VLOOKUP($A85,LASTYR,'2017'!$O$3,FALSE),"N/A")</f>
        <v>N/A</v>
      </c>
      <c r="I85" s="63" t="str">
        <f t="shared" ca="1" si="20"/>
        <v>N/A</v>
      </c>
      <c r="J85" s="63" t="str">
        <f t="shared" ca="1" si="20"/>
        <v>N/A</v>
      </c>
      <c r="K85" s="63" t="str">
        <f t="shared" ca="1" si="20"/>
        <v>N/A</v>
      </c>
      <c r="L85" s="63" t="str">
        <f t="shared" ca="1" si="20"/>
        <v>N/A</v>
      </c>
      <c r="M85" s="63" t="str">
        <f t="shared" ca="1" si="20"/>
        <v>N/A</v>
      </c>
      <c r="N85" s="63" t="str">
        <f t="shared" ca="1" si="20"/>
        <v>N/A</v>
      </c>
      <c r="O85" s="63" t="str">
        <f t="shared" ca="1" si="20"/>
        <v>N/A</v>
      </c>
      <c r="P85" s="63" t="str">
        <f t="shared" ca="1" si="20"/>
        <v>N/A</v>
      </c>
      <c r="Q85" s="63" t="str">
        <f t="shared" ca="1" si="20"/>
        <v>N/A</v>
      </c>
      <c r="R85" s="63" t="str">
        <f t="shared" ca="1" si="20"/>
        <v>N/A</v>
      </c>
      <c r="S85" s="63" t="str">
        <f t="shared" ca="1" si="20"/>
        <v>N/A</v>
      </c>
    </row>
    <row r="86" spans="1:19" hidden="1" x14ac:dyDescent="0.2">
      <c r="A86" s="51">
        <f t="shared" si="19"/>
        <v>0</v>
      </c>
      <c r="B86" s="46" t="str">
        <f t="shared" ca="1" si="14"/>
        <v/>
      </c>
      <c r="C86" s="1" t="str">
        <f>IF(ISERROR(D86),"",IF(D86="","",MAX($C$66:C85)+1))</f>
        <v/>
      </c>
      <c r="D86" t="e">
        <f t="shared" si="15"/>
        <v>#N/A</v>
      </c>
      <c r="E86" s="22"/>
      <c r="F86" s="63" t="str">
        <f t="shared" ca="1" si="18"/>
        <v>N/A</v>
      </c>
      <c r="G86" s="63" t="str">
        <f t="shared" si="16"/>
        <v>N/A</v>
      </c>
      <c r="H86" s="63" t="str">
        <f ca="1">IFERROR(VLOOKUP($A86,LASTYR,'2017'!$O$3,FALSE),"N/A")</f>
        <v>N/A</v>
      </c>
      <c r="I86" s="63" t="str">
        <f t="shared" ca="1" si="20"/>
        <v>N/A</v>
      </c>
      <c r="J86" s="63" t="str">
        <f t="shared" ca="1" si="20"/>
        <v>N/A</v>
      </c>
      <c r="K86" s="63" t="str">
        <f t="shared" ca="1" si="20"/>
        <v>N/A</v>
      </c>
      <c r="L86" s="63" t="str">
        <f t="shared" ca="1" si="20"/>
        <v>N/A</v>
      </c>
      <c r="M86" s="63" t="str">
        <f t="shared" ca="1" si="20"/>
        <v>N/A</v>
      </c>
      <c r="N86" s="63" t="str">
        <f t="shared" ca="1" si="20"/>
        <v>N/A</v>
      </c>
      <c r="O86" s="63" t="str">
        <f t="shared" ca="1" si="20"/>
        <v>N/A</v>
      </c>
      <c r="P86" s="63" t="str">
        <f t="shared" ca="1" si="20"/>
        <v>N/A</v>
      </c>
      <c r="Q86" s="63" t="str">
        <f t="shared" ca="1" si="20"/>
        <v>N/A</v>
      </c>
      <c r="R86" s="63" t="str">
        <f t="shared" ca="1" si="20"/>
        <v>N/A</v>
      </c>
      <c r="S86" s="63" t="str">
        <f t="shared" ca="1" si="20"/>
        <v>N/A</v>
      </c>
    </row>
    <row r="87" spans="1:19" hidden="1" x14ac:dyDescent="0.2">
      <c r="A87" s="51">
        <f t="shared" si="19"/>
        <v>0</v>
      </c>
      <c r="B87" s="46" t="str">
        <f t="shared" ca="1" si="14"/>
        <v/>
      </c>
      <c r="C87" s="1" t="str">
        <f>IF(ISERROR(D87),"",IF(D87="","",MAX($C$66:C86)+1))</f>
        <v/>
      </c>
      <c r="D87" t="e">
        <f t="shared" si="15"/>
        <v>#N/A</v>
      </c>
      <c r="E87" s="22"/>
      <c r="F87" s="63" t="str">
        <f t="shared" ca="1" si="18"/>
        <v>N/A</v>
      </c>
      <c r="G87" s="63" t="str">
        <f t="shared" si="16"/>
        <v>N/A</v>
      </c>
      <c r="H87" s="63" t="str">
        <f ca="1">IFERROR(VLOOKUP($A87,LASTYR,'2017'!$O$3,FALSE),"N/A")</f>
        <v>N/A</v>
      </c>
      <c r="I87" s="63" t="str">
        <f t="shared" ca="1" si="20"/>
        <v>N/A</v>
      </c>
      <c r="J87" s="63" t="str">
        <f t="shared" ca="1" si="20"/>
        <v>N/A</v>
      </c>
      <c r="K87" s="63" t="str">
        <f t="shared" ca="1" si="20"/>
        <v>N/A</v>
      </c>
      <c r="L87" s="63" t="str">
        <f t="shared" ca="1" si="20"/>
        <v>N/A</v>
      </c>
      <c r="M87" s="63" t="str">
        <f t="shared" ca="1" si="20"/>
        <v>N/A</v>
      </c>
      <c r="N87" s="63" t="str">
        <f t="shared" ca="1" si="20"/>
        <v>N/A</v>
      </c>
      <c r="O87" s="63" t="str">
        <f t="shared" ca="1" si="20"/>
        <v>N/A</v>
      </c>
      <c r="P87" s="63" t="str">
        <f t="shared" ca="1" si="20"/>
        <v>N/A</v>
      </c>
      <c r="Q87" s="63" t="str">
        <f t="shared" ca="1" si="20"/>
        <v>N/A</v>
      </c>
      <c r="R87" s="63" t="str">
        <f t="shared" ca="1" si="20"/>
        <v>N/A</v>
      </c>
      <c r="S87" s="63" t="str">
        <f t="shared" ca="1" si="20"/>
        <v>N/A</v>
      </c>
    </row>
    <row r="88" spans="1:19" hidden="1" x14ac:dyDescent="0.2">
      <c r="A88" s="51">
        <f t="shared" si="19"/>
        <v>0</v>
      </c>
      <c r="B88" s="46" t="str">
        <f t="shared" ca="1" si="14"/>
        <v/>
      </c>
      <c r="C88" s="1" t="str">
        <f>IF(ISERROR(D88),"",IF(D88="","",MAX($C$66:C87)+1))</f>
        <v/>
      </c>
      <c r="D88" t="e">
        <f t="shared" si="15"/>
        <v>#N/A</v>
      </c>
      <c r="E88" s="22"/>
      <c r="F88" s="63" t="str">
        <f t="shared" ca="1" si="18"/>
        <v>N/A</v>
      </c>
      <c r="G88" s="63" t="str">
        <f t="shared" si="16"/>
        <v>N/A</v>
      </c>
      <c r="H88" s="63" t="str">
        <f ca="1">IFERROR(VLOOKUP($A88,LASTYR,'2017'!$O$3,FALSE),"N/A")</f>
        <v>N/A</v>
      </c>
      <c r="I88" s="63" t="str">
        <f t="shared" ca="1" si="20"/>
        <v>N/A</v>
      </c>
      <c r="J88" s="63" t="str">
        <f t="shared" ca="1" si="20"/>
        <v>N/A</v>
      </c>
      <c r="K88" s="63" t="str">
        <f t="shared" ca="1" si="20"/>
        <v>N/A</v>
      </c>
      <c r="L88" s="63" t="str">
        <f t="shared" ca="1" si="20"/>
        <v>N/A</v>
      </c>
      <c r="M88" s="63" t="str">
        <f t="shared" ca="1" si="20"/>
        <v>N/A</v>
      </c>
      <c r="N88" s="63" t="str">
        <f t="shared" ca="1" si="20"/>
        <v>N/A</v>
      </c>
      <c r="O88" s="63" t="str">
        <f t="shared" ca="1" si="20"/>
        <v>N/A</v>
      </c>
      <c r="P88" s="63" t="str">
        <f t="shared" ca="1" si="20"/>
        <v>N/A</v>
      </c>
      <c r="Q88" s="63" t="str">
        <f t="shared" ca="1" si="20"/>
        <v>N/A</v>
      </c>
      <c r="R88" s="63" t="str">
        <f t="shared" ca="1" si="20"/>
        <v>N/A</v>
      </c>
      <c r="S88" s="63" t="str">
        <f t="shared" ca="1" si="20"/>
        <v>N/A</v>
      </c>
    </row>
    <row r="89" spans="1:19" hidden="1" x14ac:dyDescent="0.2">
      <c r="A89" s="51">
        <f t="shared" si="19"/>
        <v>0</v>
      </c>
      <c r="B89" s="46" t="str">
        <f t="shared" ca="1" si="14"/>
        <v/>
      </c>
      <c r="C89" s="1" t="str">
        <f>IF(ISERROR(D89),"",IF(D89="","",MAX($C$66:C88)+1))</f>
        <v/>
      </c>
      <c r="D89" t="e">
        <f t="shared" si="15"/>
        <v>#N/A</v>
      </c>
      <c r="E89" s="22"/>
      <c r="F89" s="63" t="str">
        <f t="shared" ca="1" si="18"/>
        <v>N/A</v>
      </c>
      <c r="G89" s="63" t="str">
        <f t="shared" si="16"/>
        <v>N/A</v>
      </c>
      <c r="H89" s="63" t="str">
        <f ca="1">IFERROR(VLOOKUP($A89,LASTYR,'2017'!$O$3,FALSE),"N/A")</f>
        <v>N/A</v>
      </c>
      <c r="I89" s="63" t="str">
        <f t="shared" ca="1" si="20"/>
        <v>N/A</v>
      </c>
      <c r="J89" s="63" t="str">
        <f t="shared" ca="1" si="20"/>
        <v>N/A</v>
      </c>
      <c r="K89" s="63" t="str">
        <f t="shared" ca="1" si="20"/>
        <v>N/A</v>
      </c>
      <c r="L89" s="63" t="str">
        <f t="shared" ca="1" si="20"/>
        <v>N/A</v>
      </c>
      <c r="M89" s="63" t="str">
        <f t="shared" ca="1" si="20"/>
        <v>N/A</v>
      </c>
      <c r="N89" s="63" t="str">
        <f t="shared" ca="1" si="20"/>
        <v>N/A</v>
      </c>
      <c r="O89" s="63" t="str">
        <f t="shared" ca="1" si="20"/>
        <v>N/A</v>
      </c>
      <c r="P89" s="63" t="str">
        <f t="shared" ca="1" si="20"/>
        <v>N/A</v>
      </c>
      <c r="Q89" s="63" t="str">
        <f t="shared" ca="1" si="20"/>
        <v>N/A</v>
      </c>
      <c r="R89" s="63" t="str">
        <f t="shared" ca="1" si="20"/>
        <v>N/A</v>
      </c>
      <c r="S89" s="63" t="str">
        <f t="shared" ca="1" si="20"/>
        <v>N/A</v>
      </c>
    </row>
    <row r="90" spans="1:19" hidden="1" x14ac:dyDescent="0.2">
      <c r="A90" s="51">
        <f t="shared" si="19"/>
        <v>0</v>
      </c>
      <c r="B90" s="46" t="str">
        <f t="shared" ca="1" si="14"/>
        <v/>
      </c>
      <c r="C90" s="1" t="str">
        <f>IF(ISERROR(D90),"",IF(D90="","",MAX($C$66:C89)+1))</f>
        <v/>
      </c>
      <c r="D90" t="e">
        <f t="shared" si="15"/>
        <v>#N/A</v>
      </c>
      <c r="E90" s="22"/>
      <c r="F90" s="63" t="str">
        <f t="shared" ca="1" si="18"/>
        <v>N/A</v>
      </c>
      <c r="G90" s="63" t="str">
        <f t="shared" si="16"/>
        <v>N/A</v>
      </c>
      <c r="H90" s="63" t="str">
        <f ca="1">IFERROR(VLOOKUP($A90,LASTYR,'2017'!$O$3,FALSE),"N/A")</f>
        <v>N/A</v>
      </c>
      <c r="I90" s="63" t="str">
        <f t="shared" ca="1" si="20"/>
        <v>N/A</v>
      </c>
      <c r="J90" s="63" t="str">
        <f t="shared" ca="1" si="20"/>
        <v>N/A</v>
      </c>
      <c r="K90" s="63" t="str">
        <f t="shared" ca="1" si="20"/>
        <v>N/A</v>
      </c>
      <c r="L90" s="63" t="str">
        <f t="shared" ca="1" si="20"/>
        <v>N/A</v>
      </c>
      <c r="M90" s="63" t="str">
        <f t="shared" ca="1" si="20"/>
        <v>N/A</v>
      </c>
      <c r="N90" s="63" t="str">
        <f t="shared" ca="1" si="20"/>
        <v>N/A</v>
      </c>
      <c r="O90" s="63" t="str">
        <f t="shared" ca="1" si="20"/>
        <v>N/A</v>
      </c>
      <c r="P90" s="63" t="str">
        <f t="shared" ca="1" si="20"/>
        <v>N/A</v>
      </c>
      <c r="Q90" s="63" t="str">
        <f t="shared" ca="1" si="20"/>
        <v>N/A</v>
      </c>
      <c r="R90" s="63" t="str">
        <f t="shared" ca="1" si="20"/>
        <v>N/A</v>
      </c>
      <c r="S90" s="63" t="str">
        <f t="shared" ca="1" si="20"/>
        <v>N/A</v>
      </c>
    </row>
    <row r="91" spans="1:19" hidden="1" x14ac:dyDescent="0.2">
      <c r="A91" s="51">
        <f t="shared" si="19"/>
        <v>0</v>
      </c>
      <c r="B91" s="46" t="str">
        <f t="shared" ca="1" si="14"/>
        <v/>
      </c>
      <c r="C91" s="1" t="str">
        <f>IF(ISERROR(D91),"",IF(D91="","",MAX($C$66:C90)+1))</f>
        <v/>
      </c>
      <c r="D91" t="e">
        <f t="shared" si="15"/>
        <v>#N/A</v>
      </c>
      <c r="E91" s="22"/>
      <c r="F91" s="63" t="str">
        <f t="shared" ca="1" si="18"/>
        <v>N/A</v>
      </c>
      <c r="G91" s="63" t="str">
        <f t="shared" si="16"/>
        <v>N/A</v>
      </c>
      <c r="H91" s="63" t="str">
        <f ca="1">IFERROR(VLOOKUP($A91,LASTYR,'2017'!$O$3,FALSE),"N/A")</f>
        <v>N/A</v>
      </c>
      <c r="I91" s="63" t="str">
        <f t="shared" ca="1" si="20"/>
        <v>N/A</v>
      </c>
      <c r="J91" s="63" t="str">
        <f t="shared" ca="1" si="20"/>
        <v>N/A</v>
      </c>
      <c r="K91" s="63" t="str">
        <f t="shared" ca="1" si="20"/>
        <v>N/A</v>
      </c>
      <c r="L91" s="63" t="str">
        <f t="shared" ca="1" si="20"/>
        <v>N/A</v>
      </c>
      <c r="M91" s="63" t="str">
        <f t="shared" ca="1" si="20"/>
        <v>N/A</v>
      </c>
      <c r="N91" s="63" t="str">
        <f t="shared" ca="1" si="20"/>
        <v>N/A</v>
      </c>
      <c r="O91" s="63" t="str">
        <f t="shared" ca="1" si="20"/>
        <v>N/A</v>
      </c>
      <c r="P91" s="63" t="str">
        <f t="shared" ca="1" si="20"/>
        <v>N/A</v>
      </c>
      <c r="Q91" s="63" t="str">
        <f t="shared" ca="1" si="20"/>
        <v>N/A</v>
      </c>
      <c r="R91" s="63" t="str">
        <f t="shared" ca="1" si="20"/>
        <v>N/A</v>
      </c>
      <c r="S91" s="63" t="str">
        <f t="shared" ca="1" si="20"/>
        <v>N/A</v>
      </c>
    </row>
    <row r="92" spans="1:19" hidden="1" x14ac:dyDescent="0.2">
      <c r="A92" s="51">
        <f t="shared" si="19"/>
        <v>0</v>
      </c>
      <c r="B92" s="46" t="str">
        <f t="shared" ca="1" si="14"/>
        <v/>
      </c>
      <c r="C92" s="1" t="str">
        <f>IF(ISERROR(D92),"",IF(D92="","",MAX($C$66:C91)+1))</f>
        <v/>
      </c>
      <c r="D92" t="e">
        <f t="shared" si="15"/>
        <v>#N/A</v>
      </c>
      <c r="E92" s="22"/>
      <c r="F92" s="63" t="str">
        <f t="shared" ca="1" si="18"/>
        <v>N/A</v>
      </c>
      <c r="G92" s="63" t="str">
        <f t="shared" si="16"/>
        <v>N/A</v>
      </c>
      <c r="H92" s="63" t="str">
        <f ca="1">IFERROR(VLOOKUP($A92,LASTYR,'2017'!$O$3,FALSE),"N/A")</f>
        <v>N/A</v>
      </c>
      <c r="I92" s="63" t="str">
        <f t="shared" ca="1" si="20"/>
        <v>N/A</v>
      </c>
      <c r="J92" s="63" t="str">
        <f t="shared" ca="1" si="20"/>
        <v>N/A</v>
      </c>
      <c r="K92" s="63" t="str">
        <f t="shared" ca="1" si="20"/>
        <v>N/A</v>
      </c>
      <c r="L92" s="63" t="str">
        <f t="shared" ca="1" si="20"/>
        <v>N/A</v>
      </c>
      <c r="M92" s="63" t="str">
        <f t="shared" ca="1" si="20"/>
        <v>N/A</v>
      </c>
      <c r="N92" s="63" t="str">
        <f t="shared" ca="1" si="20"/>
        <v>N/A</v>
      </c>
      <c r="O92" s="63" t="str">
        <f t="shared" ca="1" si="20"/>
        <v>N/A</v>
      </c>
      <c r="P92" s="63" t="str">
        <f t="shared" ca="1" si="20"/>
        <v>N/A</v>
      </c>
      <c r="Q92" s="63" t="str">
        <f t="shared" ca="1" si="20"/>
        <v>N/A</v>
      </c>
      <c r="R92" s="63" t="str">
        <f t="shared" ca="1" si="20"/>
        <v>N/A</v>
      </c>
      <c r="S92" s="63" t="str">
        <f t="shared" ca="1" si="20"/>
        <v>N/A</v>
      </c>
    </row>
    <row r="93" spans="1:19" hidden="1" x14ac:dyDescent="0.2">
      <c r="A93" s="51">
        <f t="shared" si="19"/>
        <v>0</v>
      </c>
      <c r="B93" s="46" t="str">
        <f t="shared" ca="1" si="14"/>
        <v/>
      </c>
      <c r="C93" s="1" t="str">
        <f>IF(ISERROR(D93),"",IF(D93="","",MAX($C$66:C92)+1))</f>
        <v/>
      </c>
      <c r="D93" t="e">
        <f t="shared" si="15"/>
        <v>#N/A</v>
      </c>
      <c r="E93" s="22"/>
      <c r="F93" s="63" t="str">
        <f t="shared" ca="1" si="18"/>
        <v>N/A</v>
      </c>
      <c r="G93" s="63" t="str">
        <f t="shared" si="16"/>
        <v>N/A</v>
      </c>
      <c r="H93" s="63" t="str">
        <f ca="1">IFERROR(VLOOKUP($A93,LASTYR,'2017'!$O$3,FALSE),"N/A")</f>
        <v>N/A</v>
      </c>
      <c r="I93" s="63" t="str">
        <f t="shared" ca="1" si="20"/>
        <v>N/A</v>
      </c>
      <c r="J93" s="63" t="str">
        <f t="shared" ca="1" si="20"/>
        <v>N/A</v>
      </c>
      <c r="K93" s="63" t="str">
        <f t="shared" ca="1" si="20"/>
        <v>N/A</v>
      </c>
      <c r="L93" s="63" t="str">
        <f t="shared" ca="1" si="20"/>
        <v>N/A</v>
      </c>
      <c r="M93" s="63" t="str">
        <f t="shared" ca="1" si="20"/>
        <v>N/A</v>
      </c>
      <c r="N93" s="63" t="str">
        <f t="shared" ca="1" si="20"/>
        <v>N/A</v>
      </c>
      <c r="O93" s="63" t="str">
        <f t="shared" ca="1" si="20"/>
        <v>N/A</v>
      </c>
      <c r="P93" s="63" t="str">
        <f t="shared" ca="1" si="20"/>
        <v>N/A</v>
      </c>
      <c r="Q93" s="63" t="str">
        <f t="shared" ca="1" si="20"/>
        <v>N/A</v>
      </c>
      <c r="R93" s="63" t="str">
        <f t="shared" ca="1" si="20"/>
        <v>N/A</v>
      </c>
      <c r="S93" s="63" t="str">
        <f t="shared" ca="1" si="20"/>
        <v>N/A</v>
      </c>
    </row>
    <row r="94" spans="1:19" hidden="1" x14ac:dyDescent="0.2">
      <c r="A94" s="51">
        <f t="shared" si="19"/>
        <v>0</v>
      </c>
      <c r="B94" s="46" t="str">
        <f t="shared" ca="1" si="14"/>
        <v/>
      </c>
      <c r="C94" s="1" t="str">
        <f>IF(ISERROR(D94),"",IF(D94="","",MAX($C$66:C93)+1))</f>
        <v/>
      </c>
      <c r="D94" t="e">
        <f t="shared" si="15"/>
        <v>#N/A</v>
      </c>
      <c r="E94" s="22"/>
      <c r="F94" s="63" t="str">
        <f t="shared" ca="1" si="18"/>
        <v>N/A</v>
      </c>
      <c r="G94" s="63" t="str">
        <f t="shared" si="16"/>
        <v>N/A</v>
      </c>
      <c r="H94" s="63" t="str">
        <f ca="1">IFERROR(VLOOKUP($A94,LASTYR,'2017'!$O$3,FALSE),"N/A")</f>
        <v>N/A</v>
      </c>
      <c r="I94" s="63" t="str">
        <f t="shared" ca="1" si="20"/>
        <v>N/A</v>
      </c>
      <c r="J94" s="63" t="str">
        <f t="shared" ca="1" si="20"/>
        <v>N/A</v>
      </c>
      <c r="K94" s="63" t="str">
        <f t="shared" ca="1" si="20"/>
        <v>N/A</v>
      </c>
      <c r="L94" s="63" t="str">
        <f t="shared" ca="1" si="20"/>
        <v>N/A</v>
      </c>
      <c r="M94" s="63" t="str">
        <f t="shared" ca="1" si="20"/>
        <v>N/A</v>
      </c>
      <c r="N94" s="63" t="str">
        <f t="shared" ca="1" si="20"/>
        <v>N/A</v>
      </c>
      <c r="O94" s="63" t="str">
        <f t="shared" ca="1" si="20"/>
        <v>N/A</v>
      </c>
      <c r="P94" s="63" t="str">
        <f t="shared" ca="1" si="20"/>
        <v>N/A</v>
      </c>
      <c r="Q94" s="63" t="str">
        <f t="shared" ca="1" si="20"/>
        <v>N/A</v>
      </c>
      <c r="R94" s="63" t="str">
        <f t="shared" ca="1" si="20"/>
        <v>N/A</v>
      </c>
      <c r="S94" s="63" t="str">
        <f t="shared" ca="1" si="20"/>
        <v>N/A</v>
      </c>
    </row>
    <row r="95" spans="1:19" hidden="1" x14ac:dyDescent="0.2">
      <c r="A95" s="51">
        <f t="shared" si="19"/>
        <v>0</v>
      </c>
      <c r="B95" s="46" t="str">
        <f t="shared" ca="1" si="14"/>
        <v/>
      </c>
      <c r="C95" s="1" t="str">
        <f>IF(ISERROR(D95),"",IF(D95="","",MAX($C$66:C94)+1))</f>
        <v/>
      </c>
      <c r="D95" t="e">
        <f t="shared" si="15"/>
        <v>#N/A</v>
      </c>
      <c r="E95" s="22"/>
      <c r="F95" s="63" t="str">
        <f t="shared" ca="1" si="18"/>
        <v>N/A</v>
      </c>
      <c r="G95" s="63" t="str">
        <f t="shared" si="16"/>
        <v>N/A</v>
      </c>
      <c r="H95" s="63" t="str">
        <f ca="1">IFERROR(VLOOKUP($A95,LASTYR,'2017'!$O$3,FALSE),"N/A")</f>
        <v>N/A</v>
      </c>
      <c r="I95" s="63" t="str">
        <f t="shared" ca="1" si="20"/>
        <v>N/A</v>
      </c>
      <c r="J95" s="63" t="str">
        <f t="shared" ca="1" si="20"/>
        <v>N/A</v>
      </c>
      <c r="K95" s="63" t="str">
        <f t="shared" ca="1" si="20"/>
        <v>N/A</v>
      </c>
      <c r="L95" s="63" t="str">
        <f t="shared" ca="1" si="20"/>
        <v>N/A</v>
      </c>
      <c r="M95" s="63" t="str">
        <f t="shared" ca="1" si="20"/>
        <v>N/A</v>
      </c>
      <c r="N95" s="63" t="str">
        <f t="shared" ca="1" si="20"/>
        <v>N/A</v>
      </c>
      <c r="O95" s="63" t="str">
        <f t="shared" ca="1" si="20"/>
        <v>N/A</v>
      </c>
      <c r="P95" s="63" t="str">
        <f t="shared" ca="1" si="20"/>
        <v>N/A</v>
      </c>
      <c r="Q95" s="63" t="str">
        <f t="shared" ca="1" si="20"/>
        <v>N/A</v>
      </c>
      <c r="R95" s="63" t="str">
        <f t="shared" ca="1" si="20"/>
        <v>N/A</v>
      </c>
      <c r="S95" s="63" t="str">
        <f t="shared" ca="1" si="20"/>
        <v>N/A</v>
      </c>
    </row>
    <row r="96" spans="1:19" hidden="1" x14ac:dyDescent="0.2">
      <c r="A96" s="51">
        <f t="shared" si="19"/>
        <v>0</v>
      </c>
      <c r="B96" s="46" t="str">
        <f t="shared" ca="1" si="14"/>
        <v/>
      </c>
      <c r="C96" s="1" t="str">
        <f>IF(ISERROR(D96),"",IF(D96="","",MAX($C$66:C95)+1))</f>
        <v/>
      </c>
      <c r="D96" t="e">
        <f t="shared" si="15"/>
        <v>#N/A</v>
      </c>
      <c r="E96" s="22"/>
      <c r="F96" s="63" t="str">
        <f t="shared" ca="1" si="18"/>
        <v>N/A</v>
      </c>
      <c r="G96" s="63" t="str">
        <f t="shared" si="16"/>
        <v>N/A</v>
      </c>
      <c r="H96" s="63" t="str">
        <f ca="1">IFERROR(VLOOKUP($A96,LASTYR,'2017'!$O$3,FALSE),"N/A")</f>
        <v>N/A</v>
      </c>
      <c r="I96" s="63" t="str">
        <f t="shared" ca="1" si="20"/>
        <v>N/A</v>
      </c>
      <c r="J96" s="63" t="str">
        <f t="shared" ca="1" si="20"/>
        <v>N/A</v>
      </c>
      <c r="K96" s="63" t="str">
        <f t="shared" ca="1" si="20"/>
        <v>N/A</v>
      </c>
      <c r="L96" s="63" t="str">
        <f t="shared" ca="1" si="20"/>
        <v>N/A</v>
      </c>
      <c r="M96" s="63" t="str">
        <f t="shared" ca="1" si="20"/>
        <v>N/A</v>
      </c>
      <c r="N96" s="63" t="str">
        <f t="shared" ca="1" si="20"/>
        <v>N/A</v>
      </c>
      <c r="O96" s="63" t="str">
        <f t="shared" ca="1" si="20"/>
        <v>N/A</v>
      </c>
      <c r="P96" s="63" t="str">
        <f t="shared" ca="1" si="20"/>
        <v>N/A</v>
      </c>
      <c r="Q96" s="63" t="str">
        <f t="shared" ca="1" si="20"/>
        <v>N/A</v>
      </c>
      <c r="R96" s="63" t="str">
        <f t="shared" ca="1" si="20"/>
        <v>N/A</v>
      </c>
      <c r="S96" s="63" t="str">
        <f t="shared" ca="1" si="20"/>
        <v>N/A</v>
      </c>
    </row>
    <row r="97" spans="1:19" hidden="1" x14ac:dyDescent="0.2">
      <c r="A97" s="51">
        <f t="shared" si="19"/>
        <v>0</v>
      </c>
      <c r="B97" s="46" t="str">
        <f t="shared" ca="1" si="14"/>
        <v/>
      </c>
      <c r="C97" s="1" t="str">
        <f>IF(ISERROR(D97),"",IF(D97="","",MAX($C$66:C96)+1))</f>
        <v/>
      </c>
      <c r="D97" t="e">
        <f t="shared" si="15"/>
        <v>#N/A</v>
      </c>
      <c r="E97" s="22"/>
      <c r="F97" s="63" t="str">
        <f t="shared" ca="1" si="18"/>
        <v>N/A</v>
      </c>
      <c r="G97" s="63" t="str">
        <f t="shared" si="16"/>
        <v>N/A</v>
      </c>
      <c r="H97" s="63" t="str">
        <f ca="1">IFERROR(VLOOKUP($A97,LASTYR,'2017'!$O$3,FALSE),"N/A")</f>
        <v>N/A</v>
      </c>
      <c r="I97" s="63" t="str">
        <f t="shared" ca="1" si="20"/>
        <v>N/A</v>
      </c>
      <c r="J97" s="63" t="str">
        <f t="shared" ca="1" si="20"/>
        <v>N/A</v>
      </c>
      <c r="K97" s="63" t="str">
        <f t="shared" ca="1" si="20"/>
        <v>N/A</v>
      </c>
      <c r="L97" s="63" t="str">
        <f t="shared" ca="1" si="20"/>
        <v>N/A</v>
      </c>
      <c r="M97" s="63" t="str">
        <f t="shared" ca="1" si="20"/>
        <v>N/A</v>
      </c>
      <c r="N97" s="63" t="str">
        <f t="shared" ca="1" si="20"/>
        <v>N/A</v>
      </c>
      <c r="O97" s="63" t="str">
        <f t="shared" ca="1" si="20"/>
        <v>N/A</v>
      </c>
      <c r="P97" s="63" t="str">
        <f t="shared" ca="1" si="20"/>
        <v>N/A</v>
      </c>
      <c r="Q97" s="63" t="str">
        <f t="shared" ca="1" si="20"/>
        <v>N/A</v>
      </c>
      <c r="R97" s="63" t="str">
        <f t="shared" ca="1" si="20"/>
        <v>N/A</v>
      </c>
      <c r="S97" s="63" t="str">
        <f t="shared" ca="1" si="20"/>
        <v>N/A</v>
      </c>
    </row>
    <row r="98" spans="1:19" hidden="1" x14ac:dyDescent="0.2">
      <c r="A98" s="51">
        <f t="shared" si="19"/>
        <v>0</v>
      </c>
      <c r="B98" s="46" t="str">
        <f t="shared" ca="1" si="14"/>
        <v/>
      </c>
      <c r="C98" s="1" t="str">
        <f>IF(ISERROR(D98),"",IF(D98="","",MAX($C$66:C97)+1))</f>
        <v/>
      </c>
      <c r="D98" t="e">
        <f t="shared" si="15"/>
        <v>#N/A</v>
      </c>
      <c r="E98" s="22"/>
      <c r="F98" s="63" t="str">
        <f t="shared" ca="1" si="18"/>
        <v>N/A</v>
      </c>
      <c r="G98" s="63" t="str">
        <f t="shared" si="16"/>
        <v>N/A</v>
      </c>
      <c r="H98" s="63" t="str">
        <f ca="1">IFERROR(VLOOKUP($A98,LASTYR,'2017'!$O$3,FALSE),"N/A")</f>
        <v>N/A</v>
      </c>
      <c r="I98" s="63" t="str">
        <f t="shared" ca="1" si="20"/>
        <v>N/A</v>
      </c>
      <c r="J98" s="63" t="str">
        <f t="shared" ca="1" si="20"/>
        <v>N/A</v>
      </c>
      <c r="K98" s="63" t="str">
        <f t="shared" ca="1" si="20"/>
        <v>N/A</v>
      </c>
      <c r="L98" s="63" t="str">
        <f t="shared" ca="1" si="20"/>
        <v>N/A</v>
      </c>
      <c r="M98" s="63" t="str">
        <f t="shared" ca="1" si="20"/>
        <v>N/A</v>
      </c>
      <c r="N98" s="63" t="str">
        <f t="shared" ca="1" si="20"/>
        <v>N/A</v>
      </c>
      <c r="O98" s="63" t="str">
        <f t="shared" ca="1" si="20"/>
        <v>N/A</v>
      </c>
      <c r="P98" s="63" t="str">
        <f t="shared" ca="1" si="20"/>
        <v>N/A</v>
      </c>
      <c r="Q98" s="63" t="str">
        <f t="shared" ca="1" si="20"/>
        <v>N/A</v>
      </c>
      <c r="R98" s="63" t="str">
        <f t="shared" ca="1" si="20"/>
        <v>N/A</v>
      </c>
      <c r="S98" s="63" t="str">
        <f t="shared" ca="1" si="20"/>
        <v>N/A</v>
      </c>
    </row>
    <row r="99" spans="1:19" hidden="1" x14ac:dyDescent="0.2">
      <c r="A99" s="51">
        <f t="shared" si="19"/>
        <v>0</v>
      </c>
      <c r="B99" s="46" t="str">
        <f t="shared" ca="1" si="14"/>
        <v/>
      </c>
      <c r="C99" s="1" t="str">
        <f>IF(ISERROR(D99),"",IF(D99="","",MAX($C$66:C98)+1))</f>
        <v/>
      </c>
      <c r="D99" t="e">
        <f t="shared" si="15"/>
        <v>#N/A</v>
      </c>
      <c r="E99" s="22"/>
      <c r="F99" s="63" t="str">
        <f t="shared" ca="1" si="18"/>
        <v>N/A</v>
      </c>
      <c r="G99" s="63" t="str">
        <f t="shared" si="16"/>
        <v>N/A</v>
      </c>
      <c r="H99" s="63" t="str">
        <f ca="1">IFERROR(VLOOKUP($A99,LASTYR,'2017'!$O$3,FALSE),"N/A")</f>
        <v>N/A</v>
      </c>
      <c r="I99" s="63" t="str">
        <f t="shared" ca="1" si="20"/>
        <v>N/A</v>
      </c>
      <c r="J99" s="63" t="str">
        <f t="shared" ca="1" si="20"/>
        <v>N/A</v>
      </c>
      <c r="K99" s="63" t="str">
        <f t="shared" ca="1" si="20"/>
        <v>N/A</v>
      </c>
      <c r="L99" s="63" t="str">
        <f t="shared" ca="1" si="20"/>
        <v>N/A</v>
      </c>
      <c r="M99" s="63" t="str">
        <f t="shared" ca="1" si="20"/>
        <v>N/A</v>
      </c>
      <c r="N99" s="63" t="str">
        <f t="shared" ca="1" si="20"/>
        <v>N/A</v>
      </c>
      <c r="O99" s="63" t="str">
        <f t="shared" ca="1" si="20"/>
        <v>N/A</v>
      </c>
      <c r="P99" s="63" t="str">
        <f t="shared" ca="1" si="20"/>
        <v>N/A</v>
      </c>
      <c r="Q99" s="63" t="str">
        <f t="shared" ca="1" si="20"/>
        <v>N/A</v>
      </c>
      <c r="R99" s="63" t="str">
        <f t="shared" ca="1" si="20"/>
        <v>N/A</v>
      </c>
      <c r="S99" s="63" t="str">
        <f t="shared" ca="1" si="20"/>
        <v>N/A</v>
      </c>
    </row>
    <row r="100" spans="1:19" hidden="1" x14ac:dyDescent="0.2">
      <c r="A100" s="51">
        <f t="shared" si="19"/>
        <v>0</v>
      </c>
      <c r="B100" s="46" t="str">
        <f t="shared" ca="1" si="14"/>
        <v/>
      </c>
      <c r="C100" s="1" t="str">
        <f>IF(ISERROR(D100),"",IF(D100="","",MAX($C$66:C99)+1))</f>
        <v/>
      </c>
      <c r="D100" t="e">
        <f t="shared" si="15"/>
        <v>#N/A</v>
      </c>
      <c r="E100" s="22"/>
      <c r="F100" s="63" t="str">
        <f t="shared" ca="1" si="18"/>
        <v>N/A</v>
      </c>
      <c r="G100" s="63" t="str">
        <f t="shared" si="16"/>
        <v>N/A</v>
      </c>
      <c r="H100" s="63" t="str">
        <f ca="1">IFERROR(VLOOKUP($A100,LASTYR,'2017'!$O$3,FALSE),"N/A")</f>
        <v>N/A</v>
      </c>
      <c r="I100" s="63" t="str">
        <f t="shared" ca="1" si="20"/>
        <v>N/A</v>
      </c>
      <c r="J100" s="63" t="str">
        <f t="shared" ca="1" si="20"/>
        <v>N/A</v>
      </c>
      <c r="K100" s="63" t="str">
        <f t="shared" ca="1" si="20"/>
        <v>N/A</v>
      </c>
      <c r="L100" s="63" t="str">
        <f t="shared" ca="1" si="20"/>
        <v>N/A</v>
      </c>
      <c r="M100" s="63" t="str">
        <f t="shared" ca="1" si="20"/>
        <v>N/A</v>
      </c>
      <c r="N100" s="63" t="str">
        <f t="shared" ca="1" si="20"/>
        <v>N/A</v>
      </c>
      <c r="O100" s="63" t="str">
        <f t="shared" ca="1" si="20"/>
        <v>N/A</v>
      </c>
      <c r="P100" s="63" t="str">
        <f t="shared" ca="1" si="20"/>
        <v>N/A</v>
      </c>
      <c r="Q100" s="63" t="str">
        <f t="shared" ca="1" si="20"/>
        <v>N/A</v>
      </c>
      <c r="R100" s="63" t="str">
        <f t="shared" ca="1" si="20"/>
        <v>N/A</v>
      </c>
      <c r="S100" s="63" t="str">
        <f t="shared" ca="1" si="20"/>
        <v>N/A</v>
      </c>
    </row>
    <row r="101" spans="1:19" hidden="1" x14ac:dyDescent="0.2">
      <c r="A101" s="51">
        <f t="shared" si="19"/>
        <v>0</v>
      </c>
      <c r="B101" s="46" t="str">
        <f t="shared" ca="1" si="14"/>
        <v/>
      </c>
      <c r="C101" s="1" t="str">
        <f>IF(ISERROR(D101),"",IF(D101="","",MAX($C$66:C100)+1))</f>
        <v/>
      </c>
      <c r="D101" t="e">
        <f t="shared" si="15"/>
        <v>#N/A</v>
      </c>
      <c r="E101" s="22"/>
      <c r="F101" s="63" t="str">
        <f t="shared" ca="1" si="18"/>
        <v>N/A</v>
      </c>
      <c r="G101" s="63" t="str">
        <f t="shared" si="16"/>
        <v>N/A</v>
      </c>
      <c r="H101" s="63" t="str">
        <f ca="1">IFERROR(VLOOKUP($A101,LASTYR,'2017'!$O$3,FALSE),"N/A")</f>
        <v>N/A</v>
      </c>
      <c r="I101" s="63" t="str">
        <f t="shared" ca="1" si="20"/>
        <v>N/A</v>
      </c>
      <c r="J101" s="63" t="str">
        <f t="shared" ca="1" si="20"/>
        <v>N/A</v>
      </c>
      <c r="K101" s="63" t="str">
        <f t="shared" ca="1" si="20"/>
        <v>N/A</v>
      </c>
      <c r="L101" s="63" t="str">
        <f t="shared" ca="1" si="20"/>
        <v>N/A</v>
      </c>
      <c r="M101" s="63" t="str">
        <f t="shared" ca="1" si="20"/>
        <v>N/A</v>
      </c>
      <c r="N101" s="63" t="str">
        <f t="shared" ca="1" si="20"/>
        <v>N/A</v>
      </c>
      <c r="O101" s="63" t="str">
        <f t="shared" ca="1" si="20"/>
        <v>N/A</v>
      </c>
      <c r="P101" s="63" t="str">
        <f t="shared" ca="1" si="20"/>
        <v>N/A</v>
      </c>
      <c r="Q101" s="63" t="str">
        <f t="shared" ca="1" si="20"/>
        <v>N/A</v>
      </c>
      <c r="R101" s="63" t="str">
        <f t="shared" ca="1" si="20"/>
        <v>N/A</v>
      </c>
      <c r="S101" s="63" t="str">
        <f t="shared" ca="1" si="20"/>
        <v>N/A</v>
      </c>
    </row>
    <row r="102" spans="1:19" hidden="1" x14ac:dyDescent="0.2">
      <c r="A102" s="51">
        <f t="shared" si="19"/>
        <v>0</v>
      </c>
      <c r="B102" s="46" t="str">
        <f t="shared" ca="1" si="14"/>
        <v/>
      </c>
      <c r="C102" s="1" t="str">
        <f>IF(ISERROR(D102),"",IF(D102="","",MAX($C$66:C101)+1))</f>
        <v/>
      </c>
      <c r="D102" t="e">
        <f t="shared" si="15"/>
        <v>#N/A</v>
      </c>
      <c r="E102" s="22"/>
      <c r="F102" s="63" t="str">
        <f t="shared" ca="1" si="18"/>
        <v>N/A</v>
      </c>
      <c r="G102" s="63" t="str">
        <f t="shared" si="16"/>
        <v>N/A</v>
      </c>
      <c r="H102" s="63" t="str">
        <f ca="1">IFERROR(VLOOKUP($A102,LASTYR,'2017'!$O$3,FALSE),"N/A")</f>
        <v>N/A</v>
      </c>
      <c r="I102" s="63" t="str">
        <f t="shared" ca="1" si="20"/>
        <v>N/A</v>
      </c>
      <c r="J102" s="63" t="str">
        <f t="shared" ca="1" si="20"/>
        <v>N/A</v>
      </c>
      <c r="K102" s="63" t="str">
        <f t="shared" ca="1" si="20"/>
        <v>N/A</v>
      </c>
      <c r="L102" s="63" t="str">
        <f t="shared" ca="1" si="20"/>
        <v>N/A</v>
      </c>
      <c r="M102" s="63" t="str">
        <f t="shared" ca="1" si="20"/>
        <v>N/A</v>
      </c>
      <c r="N102" s="63" t="str">
        <f t="shared" ca="1" si="20"/>
        <v>N/A</v>
      </c>
      <c r="O102" s="63" t="str">
        <f t="shared" ca="1" si="20"/>
        <v>N/A</v>
      </c>
      <c r="P102" s="63" t="str">
        <f t="shared" ca="1" si="20"/>
        <v>N/A</v>
      </c>
      <c r="Q102" s="63" t="str">
        <f t="shared" ca="1" si="20"/>
        <v>N/A</v>
      </c>
      <c r="R102" s="63" t="str">
        <f t="shared" ca="1" si="20"/>
        <v>N/A</v>
      </c>
      <c r="S102" s="63" t="str">
        <f t="shared" ca="1" si="20"/>
        <v>N/A</v>
      </c>
    </row>
    <row r="103" spans="1:19" hidden="1" x14ac:dyDescent="0.2">
      <c r="A103" s="51">
        <f t="shared" si="19"/>
        <v>0</v>
      </c>
      <c r="B103" s="46" t="str">
        <f t="shared" ca="1" si="14"/>
        <v/>
      </c>
      <c r="C103" s="1" t="str">
        <f>IF(ISERROR(D103),"",IF(D103="","",MAX($C$66:C102)+1))</f>
        <v/>
      </c>
      <c r="D103" t="e">
        <f t="shared" si="15"/>
        <v>#N/A</v>
      </c>
      <c r="E103" s="22"/>
      <c r="F103" s="63" t="str">
        <f t="shared" ca="1" si="18"/>
        <v>N/A</v>
      </c>
      <c r="G103" s="63" t="str">
        <f t="shared" si="16"/>
        <v>N/A</v>
      </c>
      <c r="H103" s="63" t="str">
        <f ca="1">IFERROR(VLOOKUP($A103,LASTYR,'2017'!$O$3,FALSE),"N/A")</f>
        <v>N/A</v>
      </c>
      <c r="I103" s="63" t="str">
        <f t="shared" ca="1" si="20"/>
        <v>N/A</v>
      </c>
      <c r="J103" s="63" t="str">
        <f t="shared" ca="1" si="20"/>
        <v>N/A</v>
      </c>
      <c r="K103" s="63" t="str">
        <f t="shared" ca="1" si="20"/>
        <v>N/A</v>
      </c>
      <c r="L103" s="63" t="str">
        <f t="shared" ca="1" si="20"/>
        <v>N/A</v>
      </c>
      <c r="M103" s="63" t="str">
        <f t="shared" ca="1" si="20"/>
        <v>N/A</v>
      </c>
      <c r="N103" s="63" t="str">
        <f t="shared" ca="1" si="20"/>
        <v>N/A</v>
      </c>
      <c r="O103" s="63" t="str">
        <f t="shared" ca="1" si="20"/>
        <v>N/A</v>
      </c>
      <c r="P103" s="63" t="str">
        <f t="shared" ca="1" si="20"/>
        <v>N/A</v>
      </c>
      <c r="Q103" s="63" t="str">
        <f t="shared" ca="1" si="20"/>
        <v>N/A</v>
      </c>
      <c r="R103" s="63" t="str">
        <f t="shared" ca="1" si="20"/>
        <v>N/A</v>
      </c>
      <c r="S103" s="63" t="str">
        <f t="shared" ca="1" si="20"/>
        <v>N/A</v>
      </c>
    </row>
    <row r="104" spans="1:19" hidden="1" x14ac:dyDescent="0.2">
      <c r="A104" s="51">
        <f t="shared" si="19"/>
        <v>0</v>
      </c>
      <c r="B104" s="46" t="str">
        <f t="shared" ca="1" si="14"/>
        <v/>
      </c>
      <c r="C104" s="1" t="str">
        <f>IF(ISERROR(D104),"",IF(D104="","",MAX($C$66:C103)+1))</f>
        <v/>
      </c>
      <c r="D104" t="e">
        <f t="shared" si="15"/>
        <v>#N/A</v>
      </c>
      <c r="E104" s="22"/>
      <c r="F104" s="63" t="str">
        <f t="shared" ca="1" si="18"/>
        <v>N/A</v>
      </c>
      <c r="G104" s="63" t="str">
        <f t="shared" si="16"/>
        <v>N/A</v>
      </c>
      <c r="H104" s="63" t="str">
        <f ca="1">IFERROR(VLOOKUP($A104,LASTYR,'2017'!$O$3,FALSE),"N/A")</f>
        <v>N/A</v>
      </c>
      <c r="I104" s="63" t="str">
        <f t="shared" ca="1" si="20"/>
        <v>N/A</v>
      </c>
      <c r="J104" s="63" t="str">
        <f t="shared" ca="1" si="20"/>
        <v>N/A</v>
      </c>
      <c r="K104" s="63" t="str">
        <f t="shared" ca="1" si="20"/>
        <v>N/A</v>
      </c>
      <c r="L104" s="63" t="str">
        <f t="shared" ca="1" si="20"/>
        <v>N/A</v>
      </c>
      <c r="M104" s="63" t="str">
        <f t="shared" ca="1" si="20"/>
        <v>N/A</v>
      </c>
      <c r="N104" s="63" t="str">
        <f t="shared" ca="1" si="20"/>
        <v>N/A</v>
      </c>
      <c r="O104" s="63" t="str">
        <f t="shared" ca="1" si="20"/>
        <v>N/A</v>
      </c>
      <c r="P104" s="63" t="str">
        <f t="shared" ca="1" si="20"/>
        <v>N/A</v>
      </c>
      <c r="Q104" s="63" t="str">
        <f t="shared" ca="1" si="20"/>
        <v>N/A</v>
      </c>
      <c r="R104" s="63" t="str">
        <f t="shared" ca="1" si="20"/>
        <v>N/A</v>
      </c>
      <c r="S104" s="63" t="str">
        <f t="shared" ca="1" si="20"/>
        <v>N/A</v>
      </c>
    </row>
    <row r="105" spans="1:19" hidden="1" x14ac:dyDescent="0.2">
      <c r="A105" s="51">
        <f t="shared" si="19"/>
        <v>0</v>
      </c>
      <c r="B105" s="46" t="str">
        <f t="shared" ca="1" si="14"/>
        <v/>
      </c>
      <c r="C105" s="1" t="str">
        <f>IF(ISERROR(D105),"",IF(D105="","",MAX($C$66:C104)+1))</f>
        <v/>
      </c>
      <c r="D105" t="e">
        <f t="shared" si="15"/>
        <v>#N/A</v>
      </c>
      <c r="E105" s="22"/>
      <c r="F105" s="63" t="str">
        <f t="shared" ca="1" si="18"/>
        <v>N/A</v>
      </c>
      <c r="G105" s="63" t="str">
        <f t="shared" si="16"/>
        <v>N/A</v>
      </c>
      <c r="H105" s="63" t="str">
        <f ca="1">IFERROR(VLOOKUP($A105,LASTYR,'2017'!$O$3,FALSE),"N/A")</f>
        <v>N/A</v>
      </c>
      <c r="I105" s="63" t="str">
        <f t="shared" ca="1" si="20"/>
        <v>N/A</v>
      </c>
      <c r="J105" s="63" t="str">
        <f t="shared" ca="1" si="20"/>
        <v>N/A</v>
      </c>
      <c r="K105" s="63" t="str">
        <f t="shared" ca="1" si="20"/>
        <v>N/A</v>
      </c>
      <c r="L105" s="63" t="str">
        <f t="shared" ca="1" si="20"/>
        <v>N/A</v>
      </c>
      <c r="M105" s="63" t="str">
        <f t="shared" ca="1" si="20"/>
        <v>N/A</v>
      </c>
      <c r="N105" s="63" t="str">
        <f t="shared" ca="1" si="20"/>
        <v>N/A</v>
      </c>
      <c r="O105" s="63" t="str">
        <f t="shared" ca="1" si="20"/>
        <v>N/A</v>
      </c>
      <c r="P105" s="63" t="str">
        <f t="shared" ca="1" si="20"/>
        <v>N/A</v>
      </c>
      <c r="Q105" s="63" t="str">
        <f t="shared" ca="1" si="20"/>
        <v>N/A</v>
      </c>
      <c r="R105" s="63" t="str">
        <f t="shared" ca="1" si="20"/>
        <v>N/A</v>
      </c>
      <c r="S105" s="63" t="str">
        <f t="shared" ca="1" si="20"/>
        <v>N/A</v>
      </c>
    </row>
    <row r="106" spans="1:19" hidden="1" x14ac:dyDescent="0.2">
      <c r="A106" s="51">
        <f t="shared" si="19"/>
        <v>0</v>
      </c>
      <c r="B106" s="46" t="str">
        <f t="shared" ca="1" si="14"/>
        <v/>
      </c>
      <c r="C106" s="1" t="str">
        <f>IF(ISERROR(D106),"",IF(D106="","",MAX($C$66:C105)+1))</f>
        <v/>
      </c>
      <c r="D106" t="e">
        <f t="shared" si="15"/>
        <v>#N/A</v>
      </c>
      <c r="E106" s="22"/>
      <c r="F106" s="63" t="str">
        <f t="shared" ca="1" si="18"/>
        <v>N/A</v>
      </c>
      <c r="G106" s="63" t="str">
        <f t="shared" si="16"/>
        <v>N/A</v>
      </c>
      <c r="H106" s="63" t="str">
        <f ca="1">IFERROR(VLOOKUP($A106,LASTYR,'2017'!$O$3,FALSE),"N/A")</f>
        <v>N/A</v>
      </c>
      <c r="I106" s="63" t="str">
        <f t="shared" ca="1" si="20"/>
        <v>N/A</v>
      </c>
      <c r="J106" s="63" t="str">
        <f t="shared" ca="1" si="20"/>
        <v>N/A</v>
      </c>
      <c r="K106" s="63" t="str">
        <f t="shared" ca="1" si="20"/>
        <v>N/A</v>
      </c>
      <c r="L106" s="63" t="str">
        <f t="shared" ca="1" si="20"/>
        <v>N/A</v>
      </c>
      <c r="M106" s="63" t="str">
        <f t="shared" ca="1" si="20"/>
        <v>N/A</v>
      </c>
      <c r="N106" s="63" t="str">
        <f t="shared" ca="1" si="20"/>
        <v>N/A</v>
      </c>
      <c r="O106" s="63" t="str">
        <f t="shared" ca="1" si="20"/>
        <v>N/A</v>
      </c>
      <c r="P106" s="63" t="str">
        <f t="shared" ca="1" si="20"/>
        <v>N/A</v>
      </c>
      <c r="Q106" s="63" t="str">
        <f t="shared" ca="1" si="20"/>
        <v>N/A</v>
      </c>
      <c r="R106" s="63" t="str">
        <f t="shared" ca="1" si="20"/>
        <v>N/A</v>
      </c>
      <c r="S106" s="63" t="str">
        <f t="shared" ca="1" si="20"/>
        <v>N/A</v>
      </c>
    </row>
    <row r="107" spans="1:19" hidden="1" x14ac:dyDescent="0.2">
      <c r="A107" s="51">
        <f t="shared" si="19"/>
        <v>0</v>
      </c>
      <c r="B107" s="46" t="str">
        <f t="shared" ca="1" si="14"/>
        <v/>
      </c>
      <c r="C107" s="1" t="str">
        <f>IF(ISERROR(D107),"",IF(D107="","",MAX($C$66:C106)+1))</f>
        <v/>
      </c>
      <c r="D107" t="e">
        <f t="shared" si="15"/>
        <v>#N/A</v>
      </c>
      <c r="E107" s="22"/>
      <c r="F107" s="63" t="str">
        <f t="shared" ca="1" si="18"/>
        <v>N/A</v>
      </c>
      <c r="G107" s="63" t="str">
        <f t="shared" si="16"/>
        <v>N/A</v>
      </c>
      <c r="H107" s="63" t="str">
        <f ca="1">IFERROR(VLOOKUP($A107,LASTYR,'2017'!$O$3,FALSE),"N/A")</f>
        <v>N/A</v>
      </c>
      <c r="I107" s="63" t="str">
        <f t="shared" ca="1" si="20"/>
        <v>N/A</v>
      </c>
      <c r="J107" s="63" t="str">
        <f t="shared" ca="1" si="20"/>
        <v>N/A</v>
      </c>
      <c r="K107" s="63" t="str">
        <f t="shared" ref="J107:S112" ca="1" si="21">IFERROR(IF(INDEX(DIV_EARN_WP,$B107,K$67)=0,"N/A",INDEX(DIV_EARN_WP,$B107,K$67)),"N/A")</f>
        <v>N/A</v>
      </c>
      <c r="L107" s="63" t="str">
        <f t="shared" ca="1" si="21"/>
        <v>N/A</v>
      </c>
      <c r="M107" s="63" t="str">
        <f t="shared" ca="1" si="21"/>
        <v>N/A</v>
      </c>
      <c r="N107" s="63" t="str">
        <f t="shared" ca="1" si="21"/>
        <v>N/A</v>
      </c>
      <c r="O107" s="63" t="str">
        <f t="shared" ca="1" si="21"/>
        <v>N/A</v>
      </c>
      <c r="P107" s="63" t="str">
        <f t="shared" ca="1" si="21"/>
        <v>N/A</v>
      </c>
      <c r="Q107" s="63" t="str">
        <f t="shared" ca="1" si="21"/>
        <v>N/A</v>
      </c>
      <c r="R107" s="63" t="str">
        <f t="shared" ca="1" si="21"/>
        <v>N/A</v>
      </c>
      <c r="S107" s="63" t="str">
        <f t="shared" ca="1" si="21"/>
        <v>N/A</v>
      </c>
    </row>
    <row r="108" spans="1:19" hidden="1" x14ac:dyDescent="0.2">
      <c r="A108" s="51">
        <f t="shared" si="19"/>
        <v>0</v>
      </c>
      <c r="B108" s="46" t="str">
        <f t="shared" ca="1" si="14"/>
        <v/>
      </c>
      <c r="C108" s="1" t="str">
        <f>IF(ISERROR(D108),"",IF(D108="","",MAX($C$66:C107)+1))</f>
        <v/>
      </c>
      <c r="D108" t="e">
        <f t="shared" si="15"/>
        <v>#N/A</v>
      </c>
      <c r="E108" s="22"/>
      <c r="F108" s="63" t="str">
        <f t="shared" ca="1" si="18"/>
        <v>N/A</v>
      </c>
      <c r="G108" s="63" t="str">
        <f t="shared" si="16"/>
        <v>N/A</v>
      </c>
      <c r="H108" s="63" t="str">
        <f ca="1">IFERROR(VLOOKUP($A108,LASTYR,'2017'!$O$3,FALSE),"N/A")</f>
        <v>N/A</v>
      </c>
      <c r="I108" s="63" t="str">
        <f t="shared" ref="I108:I112" ca="1" si="22">IFERROR(IF(INDEX(DIV_EARN_WP,$B108,I$67)=0,"N/A",INDEX(DIV_EARN_WP,$B108,I$67)),"N/A")</f>
        <v>N/A</v>
      </c>
      <c r="J108" s="63" t="str">
        <f t="shared" ca="1" si="21"/>
        <v>N/A</v>
      </c>
      <c r="K108" s="63" t="str">
        <f t="shared" ca="1" si="21"/>
        <v>N/A</v>
      </c>
      <c r="L108" s="63" t="str">
        <f t="shared" ca="1" si="21"/>
        <v>N/A</v>
      </c>
      <c r="M108" s="63" t="str">
        <f t="shared" ca="1" si="21"/>
        <v>N/A</v>
      </c>
      <c r="N108" s="63" t="str">
        <f t="shared" ca="1" si="21"/>
        <v>N/A</v>
      </c>
      <c r="O108" s="63" t="str">
        <f t="shared" ca="1" si="21"/>
        <v>N/A</v>
      </c>
      <c r="P108" s="63" t="str">
        <f t="shared" ca="1" si="21"/>
        <v>N/A</v>
      </c>
      <c r="Q108" s="63" t="str">
        <f t="shared" ca="1" si="21"/>
        <v>N/A</v>
      </c>
      <c r="R108" s="63" t="str">
        <f t="shared" ca="1" si="21"/>
        <v>N/A</v>
      </c>
      <c r="S108" s="63" t="str">
        <f t="shared" ca="1" si="21"/>
        <v>N/A</v>
      </c>
    </row>
    <row r="109" spans="1:19" hidden="1" x14ac:dyDescent="0.2">
      <c r="A109" s="51">
        <f t="shared" si="19"/>
        <v>0</v>
      </c>
      <c r="B109" s="46" t="str">
        <f t="shared" ca="1" si="14"/>
        <v/>
      </c>
      <c r="C109" s="1" t="str">
        <f>IF(ISERROR(D109),"",IF(D109="","",MAX($C$66:C108)+1))</f>
        <v/>
      </c>
      <c r="D109" t="e">
        <f t="shared" si="15"/>
        <v>#N/A</v>
      </c>
      <c r="E109" s="22"/>
      <c r="F109" s="63" t="str">
        <f t="shared" ca="1" si="18"/>
        <v>N/A</v>
      </c>
      <c r="G109" s="63" t="str">
        <f t="shared" si="16"/>
        <v>N/A</v>
      </c>
      <c r="H109" s="63" t="str">
        <f ca="1">IFERROR(VLOOKUP($A109,LASTYR,'2017'!$O$3,FALSE),"N/A")</f>
        <v>N/A</v>
      </c>
      <c r="I109" s="63" t="str">
        <f t="shared" ca="1" si="22"/>
        <v>N/A</v>
      </c>
      <c r="J109" s="63" t="str">
        <f t="shared" ca="1" si="21"/>
        <v>N/A</v>
      </c>
      <c r="K109" s="63" t="str">
        <f t="shared" ca="1" si="21"/>
        <v>N/A</v>
      </c>
      <c r="L109" s="63" t="str">
        <f t="shared" ca="1" si="21"/>
        <v>N/A</v>
      </c>
      <c r="M109" s="63" t="str">
        <f t="shared" ca="1" si="21"/>
        <v>N/A</v>
      </c>
      <c r="N109" s="63" t="str">
        <f t="shared" ca="1" si="21"/>
        <v>N/A</v>
      </c>
      <c r="O109" s="63" t="str">
        <f t="shared" ca="1" si="21"/>
        <v>N/A</v>
      </c>
      <c r="P109" s="63" t="str">
        <f t="shared" ca="1" si="21"/>
        <v>N/A</v>
      </c>
      <c r="Q109" s="63" t="str">
        <f t="shared" ca="1" si="21"/>
        <v>N/A</v>
      </c>
      <c r="R109" s="63" t="str">
        <f t="shared" ca="1" si="21"/>
        <v>N/A</v>
      </c>
      <c r="S109" s="63" t="str">
        <f t="shared" ca="1" si="21"/>
        <v>N/A</v>
      </c>
    </row>
    <row r="110" spans="1:19" hidden="1" x14ac:dyDescent="0.2">
      <c r="A110" s="51">
        <f t="shared" si="19"/>
        <v>0</v>
      </c>
      <c r="B110" s="46" t="str">
        <f t="shared" ca="1" si="14"/>
        <v/>
      </c>
      <c r="C110" s="1" t="str">
        <f>IF(ISERROR(D110),"",IF(D110="","",MAX($C$66:C109)+1))</f>
        <v/>
      </c>
      <c r="D110" t="e">
        <f t="shared" si="15"/>
        <v>#N/A</v>
      </c>
      <c r="F110" s="63" t="str">
        <f t="shared" ca="1" si="18"/>
        <v>N/A</v>
      </c>
      <c r="G110" s="63" t="str">
        <f t="shared" si="16"/>
        <v>N/A</v>
      </c>
      <c r="H110" s="63" t="str">
        <f ca="1">IFERROR(VLOOKUP($A110,LASTYR,'2017'!$O$3,FALSE),"N/A")</f>
        <v>N/A</v>
      </c>
      <c r="I110" s="63" t="str">
        <f t="shared" ca="1" si="22"/>
        <v>N/A</v>
      </c>
      <c r="J110" s="63" t="str">
        <f t="shared" ca="1" si="21"/>
        <v>N/A</v>
      </c>
      <c r="K110" s="63" t="str">
        <f t="shared" ca="1" si="21"/>
        <v>N/A</v>
      </c>
      <c r="L110" s="63" t="str">
        <f t="shared" ca="1" si="21"/>
        <v>N/A</v>
      </c>
      <c r="M110" s="63" t="str">
        <f t="shared" ca="1" si="21"/>
        <v>N/A</v>
      </c>
      <c r="N110" s="63" t="str">
        <f t="shared" ca="1" si="21"/>
        <v>N/A</v>
      </c>
      <c r="O110" s="63" t="str">
        <f t="shared" ca="1" si="21"/>
        <v>N/A</v>
      </c>
      <c r="P110" s="63" t="str">
        <f t="shared" ca="1" si="21"/>
        <v>N/A</v>
      </c>
      <c r="Q110" s="63" t="str">
        <f t="shared" ca="1" si="21"/>
        <v>N/A</v>
      </c>
      <c r="R110" s="63" t="str">
        <f t="shared" ca="1" si="21"/>
        <v>N/A</v>
      </c>
      <c r="S110" s="63" t="str">
        <f t="shared" ca="1" si="21"/>
        <v>N/A</v>
      </c>
    </row>
    <row r="111" spans="1:19" hidden="1" x14ac:dyDescent="0.2">
      <c r="A111" s="51">
        <f t="shared" si="19"/>
        <v>0</v>
      </c>
      <c r="B111" s="46" t="str">
        <f t="shared" ca="1" si="14"/>
        <v/>
      </c>
      <c r="C111" s="1" t="str">
        <f>IF(ISERROR(D111),"",IF(D111="","",MAX($C$66:C110)+1))</f>
        <v/>
      </c>
      <c r="D111" t="e">
        <f t="shared" si="15"/>
        <v>#N/A</v>
      </c>
      <c r="F111" s="63" t="str">
        <f t="shared" ca="1" si="18"/>
        <v>N/A</v>
      </c>
      <c r="G111" s="63" t="str">
        <f t="shared" si="16"/>
        <v>N/A</v>
      </c>
      <c r="H111" s="63" t="str">
        <f ca="1">IFERROR(VLOOKUP($A111,LASTYR,'2017'!$O$3,FALSE),"N/A")</f>
        <v>N/A</v>
      </c>
      <c r="I111" s="63" t="str">
        <f t="shared" ca="1" si="22"/>
        <v>N/A</v>
      </c>
      <c r="J111" s="63" t="str">
        <f t="shared" ca="1" si="21"/>
        <v>N/A</v>
      </c>
      <c r="K111" s="63" t="str">
        <f t="shared" ca="1" si="21"/>
        <v>N/A</v>
      </c>
      <c r="L111" s="63" t="str">
        <f t="shared" ca="1" si="21"/>
        <v>N/A</v>
      </c>
      <c r="M111" s="63" t="str">
        <f t="shared" ca="1" si="21"/>
        <v>N/A</v>
      </c>
      <c r="N111" s="63" t="str">
        <f t="shared" ca="1" si="21"/>
        <v>N/A</v>
      </c>
      <c r="O111" s="63" t="str">
        <f t="shared" ca="1" si="21"/>
        <v>N/A</v>
      </c>
      <c r="P111" s="63" t="str">
        <f t="shared" ca="1" si="21"/>
        <v>N/A</v>
      </c>
      <c r="Q111" s="63" t="str">
        <f t="shared" ca="1" si="21"/>
        <v>N/A</v>
      </c>
      <c r="R111" s="63" t="str">
        <f t="shared" ca="1" si="21"/>
        <v>N/A</v>
      </c>
      <c r="S111" s="63" t="str">
        <f t="shared" ca="1" si="21"/>
        <v>N/A</v>
      </c>
    </row>
    <row r="112" spans="1:19" hidden="1" x14ac:dyDescent="0.2">
      <c r="A112" s="51">
        <f t="shared" si="19"/>
        <v>0</v>
      </c>
      <c r="B112" s="46" t="str">
        <f t="shared" ca="1" si="14"/>
        <v/>
      </c>
      <c r="C112" s="1" t="str">
        <f>IF(ISERROR(D112),"",IF(D112="","",MAX($C$66:C111)+1))</f>
        <v/>
      </c>
      <c r="D112" t="e">
        <f t="shared" si="15"/>
        <v>#N/A</v>
      </c>
      <c r="F112" s="63" t="str">
        <f t="shared" ca="1" si="18"/>
        <v>N/A</v>
      </c>
      <c r="G112" s="63" t="str">
        <f t="shared" si="16"/>
        <v>N/A</v>
      </c>
      <c r="H112" s="63" t="str">
        <f ca="1">IFERROR(VLOOKUP($A112,LASTYR,'2017'!$O$3,FALSE),"N/A")</f>
        <v>N/A</v>
      </c>
      <c r="I112" s="63" t="str">
        <f t="shared" ca="1" si="22"/>
        <v>N/A</v>
      </c>
      <c r="J112" s="63" t="str">
        <f t="shared" ca="1" si="21"/>
        <v>N/A</v>
      </c>
      <c r="K112" s="63" t="str">
        <f t="shared" ca="1" si="21"/>
        <v>N/A</v>
      </c>
      <c r="L112" s="63" t="str">
        <f t="shared" ca="1" si="21"/>
        <v>N/A</v>
      </c>
      <c r="M112" s="63" t="str">
        <f t="shared" ca="1" si="21"/>
        <v>N/A</v>
      </c>
      <c r="N112" s="63" t="str">
        <f t="shared" ca="1" si="21"/>
        <v>N/A</v>
      </c>
      <c r="O112" s="63" t="str">
        <f t="shared" ca="1" si="21"/>
        <v>N/A</v>
      </c>
      <c r="P112" s="63" t="str">
        <f t="shared" ca="1" si="21"/>
        <v>N/A</v>
      </c>
      <c r="Q112" s="63" t="str">
        <f t="shared" ca="1" si="21"/>
        <v>N/A</v>
      </c>
      <c r="R112" s="63" t="str">
        <f t="shared" ca="1" si="21"/>
        <v>N/A</v>
      </c>
      <c r="S112" s="63" t="str">
        <f t="shared" ca="1" si="21"/>
        <v>N/A</v>
      </c>
    </row>
    <row r="113" spans="1:19" x14ac:dyDescent="0.2">
      <c r="A113" s="31"/>
      <c r="B113" s="31"/>
      <c r="C113" s="1" t="str">
        <f>IF(ISERROR(D113),"",IF(D113="","",MAX($C$66:C112)+1))</f>
        <v/>
      </c>
      <c r="F113" s="63"/>
      <c r="G113" s="63"/>
      <c r="H113" s="63"/>
      <c r="I113" s="63"/>
      <c r="J113" s="63"/>
      <c r="K113" s="63"/>
      <c r="L113" s="63"/>
      <c r="M113" s="63"/>
      <c r="N113" s="63"/>
      <c r="O113" s="63"/>
      <c r="P113" s="63"/>
      <c r="Q113" s="63"/>
      <c r="R113" s="63"/>
      <c r="S113" s="63"/>
    </row>
    <row r="114" spans="1:19" x14ac:dyDescent="0.2">
      <c r="A114" s="31"/>
      <c r="B114" s="31"/>
      <c r="C114" s="1">
        <f ca="1">IF(ISERROR(D114),"",IF(D114="","",MAX($C$66:C113)+1))</f>
        <v>10</v>
      </c>
      <c r="D114" t="s">
        <v>98</v>
      </c>
      <c r="F114" s="63">
        <f ca="1">AVERAGE(G114:S114)</f>
        <v>0.63271560582620934</v>
      </c>
      <c r="G114" s="63">
        <f t="shared" ref="G114:S114" si="23">AVERAGE(G68:G113)</f>
        <v>0.5939792437664777</v>
      </c>
      <c r="H114" s="63">
        <f t="shared" ca="1" si="23"/>
        <v>0.58286299276337239</v>
      </c>
      <c r="I114" s="63">
        <f t="shared" ca="1" si="23"/>
        <v>0.61491195047721792</v>
      </c>
      <c r="J114" s="63">
        <f t="shared" ca="1" si="23"/>
        <v>0.57191689633589482</v>
      </c>
      <c r="K114" s="63">
        <f t="shared" ca="1" si="23"/>
        <v>0.55114609341499965</v>
      </c>
      <c r="L114" s="63">
        <f t="shared" ca="1" si="23"/>
        <v>0.58152490674096147</v>
      </c>
      <c r="M114" s="63">
        <f t="shared" ca="1" si="23"/>
        <v>0.61424476064311628</v>
      </c>
      <c r="N114" s="63">
        <f t="shared" ca="1" si="23"/>
        <v>0.67992511003893263</v>
      </c>
      <c r="O114" s="63">
        <f t="shared" ca="1" si="23"/>
        <v>0.68260096929642489</v>
      </c>
      <c r="P114" s="63">
        <f t="shared" ca="1" si="23"/>
        <v>0.70325213350186122</v>
      </c>
      <c r="Q114" s="63">
        <f t="shared" ca="1" si="23"/>
        <v>0.66764565387758834</v>
      </c>
      <c r="R114" s="63">
        <f t="shared" ca="1" si="23"/>
        <v>0.66581697830788278</v>
      </c>
      <c r="S114" s="63">
        <f t="shared" ca="1" si="23"/>
        <v>0.71547518657599218</v>
      </c>
    </row>
    <row r="115" spans="1:19" x14ac:dyDescent="0.2">
      <c r="A115" s="31"/>
      <c r="B115" s="31"/>
      <c r="C115" s="1">
        <f ca="1">IF(ISERROR(D115),"",IF(D115="","",MAX($C$66:C114)+1))</f>
        <v>11</v>
      </c>
      <c r="D115" t="s">
        <v>257</v>
      </c>
      <c r="F115" s="63">
        <f ca="1">AVERAGE(G115:S115)</f>
        <v>0.63755014565352941</v>
      </c>
      <c r="G115" s="63">
        <f>MEDIAN(G68:G113)</f>
        <v>0.58333333333333337</v>
      </c>
      <c r="H115" s="63">
        <f t="shared" ref="H115:S115" ca="1" si="24">MEDIAN(H68:H113)</f>
        <v>0.58518518518518514</v>
      </c>
      <c r="I115" s="63">
        <f t="shared" ca="1" si="24"/>
        <v>0.56263311657713699</v>
      </c>
      <c r="J115" s="63">
        <f t="shared" ca="1" si="24"/>
        <v>0.58823529411764708</v>
      </c>
      <c r="K115" s="63">
        <f t="shared" ca="1" si="24"/>
        <v>0.52929936305732483</v>
      </c>
      <c r="L115" s="63">
        <f t="shared" ca="1" si="24"/>
        <v>0.59036144578313254</v>
      </c>
      <c r="M115" s="63">
        <f t="shared" ca="1" si="24"/>
        <v>0.6146788990825689</v>
      </c>
      <c r="N115" s="63">
        <f t="shared" ca="1" si="24"/>
        <v>0.7142857142857143</v>
      </c>
      <c r="O115" s="63">
        <f t="shared" ca="1" si="24"/>
        <v>0.69767441860465118</v>
      </c>
      <c r="P115" s="63">
        <f t="shared" ca="1" si="24"/>
        <v>0.7142857142857143</v>
      </c>
      <c r="Q115" s="63">
        <f t="shared" ca="1" si="24"/>
        <v>0.65</v>
      </c>
      <c r="R115" s="63">
        <f t="shared" ca="1" si="24"/>
        <v>0.72469483568075121</v>
      </c>
      <c r="S115" s="63">
        <f t="shared" ca="1" si="24"/>
        <v>0.73348457350272245</v>
      </c>
    </row>
    <row r="116" spans="1:19" x14ac:dyDescent="0.2">
      <c r="A116" s="31"/>
      <c r="B116" s="31"/>
      <c r="C116" s="1"/>
    </row>
    <row r="117" spans="1:19" x14ac:dyDescent="0.2">
      <c r="A117" s="31"/>
      <c r="B117" s="31"/>
      <c r="C117" s="1"/>
    </row>
    <row r="118" spans="1:19" ht="17.25" x14ac:dyDescent="0.25">
      <c r="A118" s="31"/>
      <c r="B118" s="31"/>
      <c r="C118" s="6"/>
      <c r="D118" s="6"/>
      <c r="E118" s="19"/>
      <c r="F118" s="235" t="s">
        <v>328</v>
      </c>
      <c r="G118" s="235"/>
      <c r="H118" s="235"/>
      <c r="I118" s="235"/>
      <c r="J118" s="235"/>
      <c r="K118" s="235"/>
      <c r="L118" s="235"/>
      <c r="M118" s="235"/>
      <c r="N118" s="235"/>
      <c r="O118" s="235"/>
      <c r="P118" s="235"/>
      <c r="Q118" s="235"/>
      <c r="R118" s="235"/>
      <c r="S118" s="235"/>
    </row>
    <row r="119" spans="1:19" ht="15" x14ac:dyDescent="0.25">
      <c r="A119" s="31"/>
      <c r="B119" s="31"/>
      <c r="C119" s="6"/>
      <c r="D119" s="7"/>
      <c r="E119" s="7"/>
      <c r="F119" s="8" t="s">
        <v>429</v>
      </c>
      <c r="G119" s="8"/>
      <c r="H119" s="8"/>
      <c r="I119" s="8"/>
      <c r="J119" s="8"/>
      <c r="K119" s="8"/>
      <c r="L119" s="8"/>
      <c r="M119" s="8"/>
      <c r="N119" s="8"/>
      <c r="O119" s="8"/>
      <c r="P119" s="7"/>
      <c r="Q119" s="7"/>
      <c r="R119" s="7"/>
      <c r="S119" s="7"/>
    </row>
    <row r="120" spans="1:19" ht="17.25" x14ac:dyDescent="0.25">
      <c r="A120" s="31"/>
      <c r="B120" s="31"/>
      <c r="C120" s="9" t="s">
        <v>96</v>
      </c>
      <c r="D120" s="234" t="s">
        <v>97</v>
      </c>
      <c r="E120" s="234"/>
      <c r="F120" s="10" t="s">
        <v>98</v>
      </c>
      <c r="G120" s="10" t="s">
        <v>434</v>
      </c>
      <c r="H120" s="41">
        <v>2017</v>
      </c>
      <c r="I120" s="41">
        <v>2016</v>
      </c>
      <c r="J120" s="41">
        <v>2015</v>
      </c>
      <c r="K120" s="41">
        <v>2014</v>
      </c>
      <c r="L120" s="41">
        <v>2013</v>
      </c>
      <c r="M120" s="41">
        <v>2012</v>
      </c>
      <c r="N120" s="41">
        <v>2011</v>
      </c>
      <c r="O120" s="41">
        <v>2010</v>
      </c>
      <c r="P120" s="41">
        <v>2009</v>
      </c>
      <c r="Q120" s="41">
        <v>2008</v>
      </c>
      <c r="R120" s="41">
        <v>2007</v>
      </c>
      <c r="S120" s="41">
        <v>2006</v>
      </c>
    </row>
    <row r="121" spans="1:19" ht="15" x14ac:dyDescent="0.25">
      <c r="A121" s="42"/>
      <c r="B121" s="42"/>
      <c r="C121" s="9"/>
      <c r="D121" s="11"/>
      <c r="E121" s="11"/>
      <c r="F121" s="12">
        <v>-1</v>
      </c>
      <c r="G121" s="12">
        <f t="shared" ref="G121:S121" si="25">+F121-1</f>
        <v>-2</v>
      </c>
      <c r="H121" s="12">
        <f t="shared" si="25"/>
        <v>-3</v>
      </c>
      <c r="I121" s="12">
        <f t="shared" si="25"/>
        <v>-4</v>
      </c>
      <c r="J121" s="12">
        <f t="shared" si="25"/>
        <v>-5</v>
      </c>
      <c r="K121" s="12">
        <f t="shared" si="25"/>
        <v>-6</v>
      </c>
      <c r="L121" s="12">
        <f t="shared" si="25"/>
        <v>-7</v>
      </c>
      <c r="M121" s="12">
        <f t="shared" si="25"/>
        <v>-8</v>
      </c>
      <c r="N121" s="12">
        <f t="shared" si="25"/>
        <v>-9</v>
      </c>
      <c r="O121" s="12">
        <f t="shared" si="25"/>
        <v>-10</v>
      </c>
      <c r="P121" s="12">
        <f t="shared" si="25"/>
        <v>-11</v>
      </c>
      <c r="Q121" s="12">
        <f t="shared" si="25"/>
        <v>-12</v>
      </c>
      <c r="R121" s="12">
        <f t="shared" si="25"/>
        <v>-13</v>
      </c>
      <c r="S121" s="12">
        <f t="shared" si="25"/>
        <v>-14</v>
      </c>
    </row>
    <row r="122" spans="1:19" x14ac:dyDescent="0.2">
      <c r="A122" s="43"/>
      <c r="B122" s="44"/>
      <c r="C122" s="6"/>
      <c r="E122" s="22"/>
      <c r="F122" s="36"/>
      <c r="G122" s="36"/>
      <c r="H122" s="36"/>
      <c r="I122" s="16">
        <f t="shared" ref="I122:S122" ca="1" si="26">MATCH(VALUE(LEFT(I120,4)),OFFSET(CF_CAP_WP,-1,0,1,),0)</f>
        <v>6</v>
      </c>
      <c r="J122" s="16">
        <f t="shared" ca="1" si="26"/>
        <v>7</v>
      </c>
      <c r="K122" s="16">
        <f t="shared" ca="1" si="26"/>
        <v>8</v>
      </c>
      <c r="L122" s="16">
        <f t="shared" ca="1" si="26"/>
        <v>9</v>
      </c>
      <c r="M122" s="16">
        <f t="shared" ca="1" si="26"/>
        <v>10</v>
      </c>
      <c r="N122" s="16">
        <f t="shared" ca="1" si="26"/>
        <v>11</v>
      </c>
      <c r="O122" s="16">
        <f t="shared" ca="1" si="26"/>
        <v>12</v>
      </c>
      <c r="P122" s="16">
        <f t="shared" ca="1" si="26"/>
        <v>13</v>
      </c>
      <c r="Q122" s="16">
        <f t="shared" ca="1" si="26"/>
        <v>14</v>
      </c>
      <c r="R122" s="16">
        <f t="shared" ca="1" si="26"/>
        <v>15</v>
      </c>
      <c r="S122" s="16">
        <f t="shared" ca="1" si="26"/>
        <v>16</v>
      </c>
    </row>
    <row r="123" spans="1:19" x14ac:dyDescent="0.2">
      <c r="A123" s="45" t="s">
        <v>165</v>
      </c>
      <c r="B123" s="46">
        <f t="shared" ref="B123:B167" ca="1" si="27">MATCH(A123,OFFSET(CF_CAP_WP,0,0,,1),0)</f>
        <v>4</v>
      </c>
      <c r="C123" s="1">
        <f ca="1">IF(ISERROR(D123),"",IF(D123="","",MAX($C$121:C122)+1))</f>
        <v>1</v>
      </c>
      <c r="D123" t="str">
        <f t="shared" ref="D123:D167" ca="1" si="28">D13</f>
        <v>Amer. States Water</v>
      </c>
      <c r="E123" s="22"/>
      <c r="F123" s="63">
        <f ca="1">AVERAGE(G123:S123)</f>
        <v>1.0017164324340406</v>
      </c>
      <c r="G123" s="63">
        <f t="shared" ref="G123:G167" si="29">IFERROR(IF(VLOOKUP(A123,LUCurYr,21,FALSE)=0,"",VLOOKUP(A123,LUCurYr,21,FALSE)),"N/A")</f>
        <v>0.80882352941176472</v>
      </c>
      <c r="H123" s="63">
        <f ca="1">IFERROR(VLOOKUP($A123,LASTYR,'2017'!$P$3,FALSE),"N/A")</f>
        <v>0.95817120622568097</v>
      </c>
      <c r="I123" s="63">
        <f t="shared" ref="I123:S138" ca="1" si="30">IFERROR(IF(INDEX(CF_CAP_WP,$B123,I$122)=0,"N/A",INDEX(CF_CAP_WP,$B123,I$122)),"N/A")</f>
        <v>0.76119402985074625</v>
      </c>
      <c r="J123" s="63">
        <f t="shared" ca="1" si="30"/>
        <v>1.1743311036789299</v>
      </c>
      <c r="K123" s="63">
        <f t="shared" ca="1" si="30"/>
        <v>1.4086589229144668</v>
      </c>
      <c r="L123" s="63">
        <f t="shared" ca="1" si="30"/>
        <v>1.0552683896620279</v>
      </c>
      <c r="M123" s="63">
        <f t="shared" ca="1" si="30"/>
        <v>1.4027149321266967</v>
      </c>
      <c r="N123" s="63">
        <f t="shared" ca="1" si="30"/>
        <v>1.0009389671361504</v>
      </c>
      <c r="O123" s="63">
        <f t="shared" ca="1" si="30"/>
        <v>0.9971711456859973</v>
      </c>
      <c r="P123" s="63">
        <f t="shared" ca="1" si="30"/>
        <v>0.81435406698564594</v>
      </c>
      <c r="Q123" s="63">
        <f t="shared" ca="1" si="30"/>
        <v>0.75741239892183287</v>
      </c>
      <c r="R123" s="63">
        <f t="shared" ca="1" si="30"/>
        <v>1.1423635107118175</v>
      </c>
      <c r="S123" s="63">
        <f t="shared" ca="1" si="30"/>
        <v>0.74091141833077323</v>
      </c>
    </row>
    <row r="124" spans="1:19" x14ac:dyDescent="0.2">
      <c r="A124" s="45" t="s">
        <v>167</v>
      </c>
      <c r="B124" s="46">
        <f t="shared" ca="1" si="27"/>
        <v>5</v>
      </c>
      <c r="C124" s="1">
        <f ca="1">IF(ISERROR(D124),"",IF(D124="","",MAX($C$121:C123)+1))</f>
        <v>2</v>
      </c>
      <c r="D124" t="str">
        <f t="shared" ca="1" si="28"/>
        <v>Amer. Water Works</v>
      </c>
      <c r="E124" s="22"/>
      <c r="F124" s="63">
        <f t="shared" ref="F124:F167" ca="1" si="31">AVERAGE(G124:S124)</f>
        <v>0.60891672946716469</v>
      </c>
      <c r="G124" s="63">
        <f t="shared" si="29"/>
        <v>0.60416666666666663</v>
      </c>
      <c r="H124" s="63">
        <f ca="1">IFERROR(VLOOKUP($A124,LASTYR,'2017'!$P$3,FALSE),"N/A")</f>
        <v>0.63962170233947235</v>
      </c>
      <c r="I124" s="63">
        <f t="shared" ca="1" si="30"/>
        <v>0.71471267490830059</v>
      </c>
      <c r="J124" s="63">
        <f t="shared" ca="1" si="30"/>
        <v>0.78868910404180115</v>
      </c>
      <c r="K124" s="63">
        <f t="shared" ca="1" si="30"/>
        <v>0.89207957957957951</v>
      </c>
      <c r="L124" s="63">
        <f t="shared" ca="1" si="30"/>
        <v>0.79268957992362254</v>
      </c>
      <c r="M124" s="63">
        <f t="shared" ca="1" si="30"/>
        <v>0.81379836096817226</v>
      </c>
      <c r="N124" s="63">
        <f t="shared" ca="1" si="30"/>
        <v>0.70940170940170943</v>
      </c>
      <c r="O124" s="63">
        <f t="shared" ca="1" si="30"/>
        <v>0.81302857142857143</v>
      </c>
      <c r="P124" s="63">
        <f t="shared" ca="1" si="30"/>
        <v>0.64198354458527906</v>
      </c>
      <c r="Q124" s="63">
        <f t="shared" ca="1" si="30"/>
        <v>0.45440126883425858</v>
      </c>
      <c r="R124" s="63">
        <f t="shared" ca="1" si="30"/>
        <v>-9.8713351613583647E-2</v>
      </c>
      <c r="S124" s="63">
        <f t="shared" ca="1" si="30"/>
        <v>0.15005807200929153</v>
      </c>
    </row>
    <row r="125" spans="1:19" x14ac:dyDescent="0.2">
      <c r="A125" s="45" t="s">
        <v>171</v>
      </c>
      <c r="B125" s="46">
        <f t="shared" ca="1" si="27"/>
        <v>8</v>
      </c>
      <c r="C125" s="1">
        <f ca="1">IF(ISERROR(D125),"",IF(D125="","",MAX($C$121:C124)+1))</f>
        <v>3</v>
      </c>
      <c r="D125" t="str">
        <f t="shared" ca="1" si="28"/>
        <v>Aqua America</v>
      </c>
      <c r="E125" s="22"/>
      <c r="F125" s="63">
        <f t="shared" ca="1" si="31"/>
        <v>0.82365981363915275</v>
      </c>
      <c r="G125" s="63">
        <f t="shared" si="29"/>
        <v>0.83018867924528317</v>
      </c>
      <c r="H125" s="63">
        <f ca="1">IFERROR(VLOOKUP($A125,LASTYR,'2017'!$P$3,FALSE),"N/A")</f>
        <v>0.78736059479553899</v>
      </c>
      <c r="I125" s="63">
        <f t="shared" ca="1" si="30"/>
        <v>0.95877721167207042</v>
      </c>
      <c r="J125" s="63">
        <f t="shared" ca="1" si="30"/>
        <v>0.90609874152952574</v>
      </c>
      <c r="K125" s="63">
        <f t="shared" ca="1" si="30"/>
        <v>1.0255434782608694</v>
      </c>
      <c r="L125" s="63">
        <f t="shared" ca="1" si="30"/>
        <v>1.0519630484988454</v>
      </c>
      <c r="M125" s="63">
        <f t="shared" ca="1" si="30"/>
        <v>0.76108870967741937</v>
      </c>
      <c r="N125" s="63">
        <f t="shared" ca="1" si="30"/>
        <v>0.76050420168067223</v>
      </c>
      <c r="O125" s="63">
        <f t="shared" ca="1" si="30"/>
        <v>0.75026399155227042</v>
      </c>
      <c r="P125" s="63">
        <f t="shared" ca="1" si="30"/>
        <v>0.77316486161251508</v>
      </c>
      <c r="Q125" s="63">
        <f t="shared" ca="1" si="30"/>
        <v>0.71898734177215184</v>
      </c>
      <c r="R125" s="63">
        <f t="shared" ca="1" si="30"/>
        <v>0.76890756302521013</v>
      </c>
      <c r="S125" s="63">
        <f t="shared" ca="1" si="30"/>
        <v>0.61472915398660988</v>
      </c>
    </row>
    <row r="126" spans="1:19" x14ac:dyDescent="0.2">
      <c r="A126" s="45" t="s">
        <v>177</v>
      </c>
      <c r="B126" s="46">
        <f t="shared" ca="1" si="27"/>
        <v>13</v>
      </c>
      <c r="C126" s="1">
        <f ca="1">IF(ISERROR(D126),"",IF(D126="","",MAX($C$121:C125)+1))</f>
        <v>4</v>
      </c>
      <c r="D126" t="str">
        <f t="shared" ca="1" si="28"/>
        <v>California Water</v>
      </c>
      <c r="E126" s="22"/>
      <c r="F126" s="63">
        <f t="shared" ca="1" si="31"/>
        <v>0.70243792768667579</v>
      </c>
      <c r="G126" s="63">
        <f t="shared" si="29"/>
        <v>0.60919540229885061</v>
      </c>
      <c r="H126" s="63">
        <f ca="1">IFERROR(VLOOKUP($A126,LASTYR,'2017'!$P$3,FALSE),"N/A")</f>
        <v>0.55547323578440455</v>
      </c>
      <c r="I126" s="63">
        <f t="shared" ca="1" si="30"/>
        <v>0.49046721139744404</v>
      </c>
      <c r="J126" s="63">
        <f t="shared" ca="1" si="30"/>
        <v>0.60097455332972394</v>
      </c>
      <c r="K126" s="63">
        <f t="shared" ca="1" si="30"/>
        <v>0.89351684172401302</v>
      </c>
      <c r="L126" s="63">
        <f t="shared" ca="1" si="30"/>
        <v>0.858307453416149</v>
      </c>
      <c r="M126" s="63">
        <f t="shared" ca="1" si="30"/>
        <v>0.76224926011180538</v>
      </c>
      <c r="N126" s="63">
        <f t="shared" ca="1" si="30"/>
        <v>0.72996823155665369</v>
      </c>
      <c r="O126" s="63">
        <f t="shared" ca="1" si="30"/>
        <v>0.64963012777404161</v>
      </c>
      <c r="P126" s="63">
        <f t="shared" ca="1" si="30"/>
        <v>0.7262485918137439</v>
      </c>
      <c r="Q126" s="63">
        <f t="shared" ca="1" si="30"/>
        <v>0.77187888842803809</v>
      </c>
      <c r="R126" s="63">
        <f t="shared" ca="1" si="30"/>
        <v>0.84937466014138119</v>
      </c>
      <c r="S126" s="63">
        <f t="shared" ca="1" si="30"/>
        <v>0.63440860215053774</v>
      </c>
    </row>
    <row r="127" spans="1:19" x14ac:dyDescent="0.2">
      <c r="A127" s="45" t="s">
        <v>180</v>
      </c>
      <c r="B127" s="46">
        <f t="shared" ca="1" si="27"/>
        <v>19</v>
      </c>
      <c r="C127" s="1">
        <f ca="1">IF(ISERROR(D127),"",IF(D127="","",MAX($C$121:C126)+1))</f>
        <v>5</v>
      </c>
      <c r="D127" t="str">
        <f t="shared" ca="1" si="28"/>
        <v>Conn. Water Services</v>
      </c>
      <c r="E127" s="22"/>
      <c r="F127" s="63">
        <f t="shared" ca="1" si="31"/>
        <v>0.75449065223253753</v>
      </c>
      <c r="G127" s="63">
        <f t="shared" si="29"/>
        <v>0.7078651685393258</v>
      </c>
      <c r="H127" s="63">
        <f ca="1">IFERROR(VLOOKUP($A127,LASTYR,'2017'!$P$3,FALSE),"N/A")</f>
        <v>0.77178612059158136</v>
      </c>
      <c r="I127" s="63">
        <f t="shared" ca="1" si="30"/>
        <v>0.55861022094788326</v>
      </c>
      <c r="J127" s="63">
        <f t="shared" ca="1" si="30"/>
        <v>0.74108599394080632</v>
      </c>
      <c r="K127" s="63">
        <f t="shared" ca="1" si="30"/>
        <v>0.72399512789281351</v>
      </c>
      <c r="L127" s="63">
        <f t="shared" ca="1" si="30"/>
        <v>0.87139542591978791</v>
      </c>
      <c r="M127" s="63">
        <f t="shared" ca="1" si="30"/>
        <v>0.94867193108399128</v>
      </c>
      <c r="N127" s="63">
        <f t="shared" ca="1" si="30"/>
        <v>0.80620451934124848</v>
      </c>
      <c r="O127" s="63">
        <f t="shared" ca="1" si="30"/>
        <v>0.66699378475629711</v>
      </c>
      <c r="P127" s="63">
        <f t="shared" ca="1" si="30"/>
        <v>0.58950899664531875</v>
      </c>
      <c r="Q127" s="63">
        <f t="shared" ca="1" si="30"/>
        <v>0.79885057471264365</v>
      </c>
      <c r="R127" s="63">
        <f t="shared" ca="1" si="30"/>
        <v>0.84852546916890081</v>
      </c>
      <c r="S127" s="63">
        <f t="shared" ca="1" si="30"/>
        <v>0.77488514548238896</v>
      </c>
    </row>
    <row r="128" spans="1:19" x14ac:dyDescent="0.2">
      <c r="A128" s="45" t="s">
        <v>182</v>
      </c>
      <c r="B128" s="46">
        <f t="shared" ca="1" si="27"/>
        <v>21</v>
      </c>
      <c r="C128" s="1">
        <f ca="1">IF(ISERROR(D128),"",IF(D128="","",MAX($C$121:C127)+1))</f>
        <v>6</v>
      </c>
      <c r="D128" t="str">
        <f t="shared" ca="1" si="28"/>
        <v>Consolidated Water</v>
      </c>
      <c r="E128" s="22"/>
      <c r="F128" s="63">
        <f t="shared" ca="1" si="31"/>
        <v>3.7666076377632964</v>
      </c>
      <c r="G128" s="63">
        <f t="shared" si="29"/>
        <v>5.25</v>
      </c>
      <c r="H128" s="63">
        <f ca="1">IFERROR(VLOOKUP($A128,LASTYR,'2017'!$P$3,FALSE),"N/A")</f>
        <v>3.6384364820846904</v>
      </c>
      <c r="I128" s="63">
        <f t="shared" ca="1" si="30"/>
        <v>4.0944206008583688</v>
      </c>
      <c r="J128" s="63">
        <f t="shared" ca="1" si="30"/>
        <v>4.2227488151658772</v>
      </c>
      <c r="K128" s="63">
        <f t="shared" ca="1" si="30"/>
        <v>2.4922118380062308</v>
      </c>
      <c r="L128" s="63">
        <f t="shared" ca="1" si="30"/>
        <v>3.2551020408163267</v>
      </c>
      <c r="M128" s="63">
        <f t="shared" ca="1" si="30"/>
        <v>3.7284345047923324</v>
      </c>
      <c r="N128" s="63">
        <f t="shared" ca="1" si="30"/>
        <v>0.86743215031315235</v>
      </c>
      <c r="O128" s="63">
        <f t="shared" ca="1" si="30"/>
        <v>9.931034482758621</v>
      </c>
      <c r="P128" s="63">
        <f t="shared" ca="1" si="30"/>
        <v>6.7045454545454541</v>
      </c>
      <c r="Q128" s="63">
        <f t="shared" ca="1" si="30"/>
        <v>2.0765864332603936</v>
      </c>
      <c r="R128" s="63">
        <f t="shared" ca="1" si="30"/>
        <v>2.2300556586270868</v>
      </c>
      <c r="S128" s="63">
        <f t="shared" ca="1" si="30"/>
        <v>0.47489082969432311</v>
      </c>
    </row>
    <row r="129" spans="1:19" x14ac:dyDescent="0.2">
      <c r="A129" s="45" t="s">
        <v>188</v>
      </c>
      <c r="B129" s="46">
        <f t="shared" ca="1" si="27"/>
        <v>41</v>
      </c>
      <c r="C129" s="1">
        <f ca="1">IF(ISERROR(D129),"",IF(D129="","",MAX($C$121:C128)+1))</f>
        <v>7</v>
      </c>
      <c r="D129" t="str">
        <f t="shared" ca="1" si="28"/>
        <v>Middlesex Water</v>
      </c>
      <c r="E129" s="22"/>
      <c r="F129" s="63">
        <f t="shared" ca="1" si="31"/>
        <v>0.94908998984977522</v>
      </c>
      <c r="G129" s="63">
        <f t="shared" si="29"/>
        <v>0.86885245901639352</v>
      </c>
      <c r="H129" s="63">
        <f ca="1">IFERROR(VLOOKUP($A129,LASTYR,'2017'!$P$3,FALSE),"N/A")</f>
        <v>0.72724317295188556</v>
      </c>
      <c r="I129" s="63">
        <f t="shared" ca="1" si="30"/>
        <v>0.74716202270381837</v>
      </c>
      <c r="J129" s="63">
        <f t="shared" ca="1" si="30"/>
        <v>1.2392947103274559</v>
      </c>
      <c r="K129" s="63">
        <f t="shared" ca="1" si="30"/>
        <v>1.3162027123483226</v>
      </c>
      <c r="L129" s="63">
        <f t="shared" ca="1" si="30"/>
        <v>1.3656597774244832</v>
      </c>
      <c r="M129" s="63">
        <f t="shared" ca="1" si="30"/>
        <v>1.1400293255131964</v>
      </c>
      <c r="N129" s="63">
        <f t="shared" ca="1" si="30"/>
        <v>0.97599999999999998</v>
      </c>
      <c r="O129" s="63">
        <f t="shared" ca="1" si="30"/>
        <v>0.81335436382755</v>
      </c>
      <c r="P129" s="63">
        <f t="shared" ca="1" si="30"/>
        <v>0.94291470785762244</v>
      </c>
      <c r="Q129" s="63">
        <f t="shared" ca="1" si="30"/>
        <v>0.72182932578972181</v>
      </c>
      <c r="R129" s="63">
        <f t="shared" ca="1" si="30"/>
        <v>0.90157004830917886</v>
      </c>
      <c r="S129" s="63">
        <f t="shared" ca="1" si="30"/>
        <v>0.57805724197745012</v>
      </c>
    </row>
    <row r="130" spans="1:19" x14ac:dyDescent="0.2">
      <c r="A130" s="45" t="s">
        <v>196</v>
      </c>
      <c r="B130" s="46">
        <f t="shared" ca="1" si="27"/>
        <v>60</v>
      </c>
      <c r="C130" s="1">
        <f ca="1">IF(ISERROR(D130),"",IF(D130="","",MAX($C$121:C129)+1))</f>
        <v>8</v>
      </c>
      <c r="D130" t="str">
        <f t="shared" ca="1" si="28"/>
        <v>SJW Corp.</v>
      </c>
      <c r="E130" s="22"/>
      <c r="F130" s="63">
        <f t="shared" ca="1" si="31"/>
        <v>0.65379332838932314</v>
      </c>
      <c r="G130" s="63">
        <f t="shared" si="29"/>
        <v>0.86363636363636365</v>
      </c>
      <c r="H130" s="63">
        <f ca="1">IFERROR(VLOOKUP($A130,LASTYR,'2017'!$P$3,FALSE),"N/A")</f>
        <v>0.72109030837004406</v>
      </c>
      <c r="I130" s="63">
        <f t="shared" ca="1" si="30"/>
        <v>0.68541426927502869</v>
      </c>
      <c r="J130" s="63">
        <f t="shared" ca="1" si="30"/>
        <v>0.73620920022905145</v>
      </c>
      <c r="K130" s="63">
        <f t="shared" ca="1" si="30"/>
        <v>0.88087649402390444</v>
      </c>
      <c r="L130" s="63">
        <f t="shared" ca="1" si="30"/>
        <v>0.62005559119093434</v>
      </c>
      <c r="M130" s="63">
        <f t="shared" ca="1" si="30"/>
        <v>0.52364149611856037</v>
      </c>
      <c r="N130" s="63">
        <f t="shared" ca="1" si="30"/>
        <v>0.74673420421221015</v>
      </c>
      <c r="O130" s="63">
        <f t="shared" ca="1" si="30"/>
        <v>0.42103399433427768</v>
      </c>
      <c r="P130" s="63">
        <f t="shared" ca="1" si="30"/>
        <v>0.69589905362776028</v>
      </c>
      <c r="Q130" s="63">
        <f t="shared" ca="1" si="30"/>
        <v>0.6422356973372001</v>
      </c>
      <c r="R130" s="63">
        <f t="shared" ca="1" si="30"/>
        <v>0.3472411186696901</v>
      </c>
      <c r="S130" s="63">
        <f t="shared" ca="1" si="30"/>
        <v>0.61524547803617569</v>
      </c>
    </row>
    <row r="131" spans="1:19" x14ac:dyDescent="0.2">
      <c r="A131" s="45" t="s">
        <v>208</v>
      </c>
      <c r="B131" s="46">
        <f t="shared" ca="1" si="27"/>
        <v>75</v>
      </c>
      <c r="C131" s="1">
        <f ca="1">IF(ISERROR(D131),"",IF(D131="","",MAX($C$121:C130)+1))</f>
        <v>9</v>
      </c>
      <c r="D131" t="str">
        <f t="shared" ca="1" si="28"/>
        <v>York Water Co. (The)</v>
      </c>
      <c r="E131" s="22"/>
      <c r="F131" s="63">
        <f t="shared" ca="1" si="31"/>
        <v>0.98552936817956616</v>
      </c>
      <c r="G131" s="63">
        <f t="shared" si="29"/>
        <v>0.85</v>
      </c>
      <c r="H131" s="63">
        <f ca="1">IFERROR(VLOOKUP($A131,LASTYR,'2017'!$P$3,FALSE),"N/A")</f>
        <v>0.78747433264887068</v>
      </c>
      <c r="I131" s="63" t="str">
        <f t="shared" ca="1" si="30"/>
        <v>N/A</v>
      </c>
      <c r="J131" s="63">
        <f t="shared" ca="1" si="30"/>
        <v>1.3131768953068592</v>
      </c>
      <c r="K131" s="63">
        <f t="shared" ca="1" si="30"/>
        <v>1.2313974591651542</v>
      </c>
      <c r="L131" s="63">
        <f t="shared" ca="1" si="30"/>
        <v>1.5625823451910408</v>
      </c>
      <c r="M131" s="63">
        <f t="shared" ca="1" si="30"/>
        <v>1.1851851851851853</v>
      </c>
      <c r="N131" s="63">
        <f t="shared" ca="1" si="30"/>
        <v>1.4783783783783786</v>
      </c>
      <c r="O131" s="63">
        <f t="shared" ca="1" si="30"/>
        <v>1.2815884476534296</v>
      </c>
      <c r="P131" s="63">
        <f t="shared" ca="1" si="30"/>
        <v>0.80697278911564629</v>
      </c>
      <c r="Q131" s="63">
        <f t="shared" ca="1" si="30"/>
        <v>0.40681086056143578</v>
      </c>
      <c r="R131" s="63">
        <f t="shared" ca="1" si="30"/>
        <v>0.50620934358367831</v>
      </c>
      <c r="S131" s="63">
        <f t="shared" ca="1" si="30"/>
        <v>0.41657638136511377</v>
      </c>
    </row>
    <row r="132" spans="1:19" hidden="1" x14ac:dyDescent="0.2">
      <c r="A132" s="51"/>
      <c r="B132" s="46" t="e">
        <f t="shared" ca="1" si="27"/>
        <v>#N/A</v>
      </c>
      <c r="C132" s="1" t="str">
        <f>IF(ISERROR(D132),"",IF(D132="","",MAX($C$121:C131)+1))</f>
        <v/>
      </c>
      <c r="D132" t="e">
        <f t="shared" si="28"/>
        <v>#N/A</v>
      </c>
      <c r="E132" s="22"/>
      <c r="F132" s="63" t="e">
        <f t="shared" ca="1" si="31"/>
        <v>#DIV/0!</v>
      </c>
      <c r="G132" s="63" t="str">
        <f t="shared" si="29"/>
        <v>N/A</v>
      </c>
      <c r="H132" s="63" t="str">
        <f ca="1">IFERROR(VLOOKUP($A132,LASTYR,'2017'!$P$3,FALSE),"N/A")</f>
        <v>N/A</v>
      </c>
      <c r="I132" s="63" t="str">
        <f t="shared" ca="1" si="30"/>
        <v>N/A</v>
      </c>
      <c r="J132" s="63" t="str">
        <f t="shared" ca="1" si="30"/>
        <v>N/A</v>
      </c>
      <c r="K132" s="63" t="str">
        <f t="shared" ca="1" si="30"/>
        <v>N/A</v>
      </c>
      <c r="L132" s="63" t="str">
        <f t="shared" ca="1" si="30"/>
        <v>N/A</v>
      </c>
      <c r="M132" s="63" t="str">
        <f t="shared" ca="1" si="30"/>
        <v>N/A</v>
      </c>
      <c r="N132" s="63" t="str">
        <f t="shared" ca="1" si="30"/>
        <v>N/A</v>
      </c>
      <c r="O132" s="63" t="str">
        <f t="shared" ca="1" si="30"/>
        <v>N/A</v>
      </c>
      <c r="P132" s="63" t="str">
        <f t="shared" ca="1" si="30"/>
        <v>N/A</v>
      </c>
      <c r="Q132" s="63" t="str">
        <f t="shared" ca="1" si="30"/>
        <v>N/A</v>
      </c>
      <c r="R132" s="63" t="str">
        <f t="shared" ca="1" si="30"/>
        <v>N/A</v>
      </c>
      <c r="S132" s="63" t="str">
        <f t="shared" ca="1" si="30"/>
        <v>N/A</v>
      </c>
    </row>
    <row r="133" spans="1:19" hidden="1" x14ac:dyDescent="0.2">
      <c r="A133" s="51"/>
      <c r="B133" s="46" t="e">
        <f t="shared" ca="1" si="27"/>
        <v>#N/A</v>
      </c>
      <c r="C133" s="1" t="str">
        <f>IF(ISERROR(D133),"",IF(D133="","",MAX($C$121:C132)+1))</f>
        <v/>
      </c>
      <c r="D133" t="e">
        <f t="shared" si="28"/>
        <v>#N/A</v>
      </c>
      <c r="E133" s="22"/>
      <c r="F133" s="63" t="e">
        <f t="shared" ca="1" si="31"/>
        <v>#DIV/0!</v>
      </c>
      <c r="G133" s="63" t="str">
        <f t="shared" si="29"/>
        <v>N/A</v>
      </c>
      <c r="H133" s="63" t="str">
        <f ca="1">IFERROR(VLOOKUP($A133,LASTYR,'2017'!$P$3,FALSE),"N/A")</f>
        <v>N/A</v>
      </c>
      <c r="I133" s="63" t="str">
        <f t="shared" ca="1" si="30"/>
        <v>N/A</v>
      </c>
      <c r="J133" s="63" t="str">
        <f t="shared" ca="1" si="30"/>
        <v>N/A</v>
      </c>
      <c r="K133" s="63" t="str">
        <f t="shared" ca="1" si="30"/>
        <v>N/A</v>
      </c>
      <c r="L133" s="63" t="str">
        <f t="shared" ca="1" si="30"/>
        <v>N/A</v>
      </c>
      <c r="M133" s="63" t="str">
        <f t="shared" ca="1" si="30"/>
        <v>N/A</v>
      </c>
      <c r="N133" s="63" t="str">
        <f t="shared" ca="1" si="30"/>
        <v>N/A</v>
      </c>
      <c r="O133" s="63" t="str">
        <f t="shared" ca="1" si="30"/>
        <v>N/A</v>
      </c>
      <c r="P133" s="63" t="str">
        <f t="shared" ca="1" si="30"/>
        <v>N/A</v>
      </c>
      <c r="Q133" s="63" t="str">
        <f t="shared" ca="1" si="30"/>
        <v>N/A</v>
      </c>
      <c r="R133" s="63" t="str">
        <f t="shared" ca="1" si="30"/>
        <v>N/A</v>
      </c>
      <c r="S133" s="63" t="str">
        <f t="shared" ca="1" si="30"/>
        <v>N/A</v>
      </c>
    </row>
    <row r="134" spans="1:19" hidden="1" x14ac:dyDescent="0.2">
      <c r="A134" s="51">
        <f t="shared" ref="A134:A167" si="32">A24</f>
        <v>0</v>
      </c>
      <c r="B134" s="46" t="e">
        <f t="shared" ca="1" si="27"/>
        <v>#N/A</v>
      </c>
      <c r="C134" s="1" t="str">
        <f>IF(ISERROR(D134),"",IF(D134="","",MAX($C$121:C133)+1))</f>
        <v/>
      </c>
      <c r="D134" t="e">
        <f t="shared" si="28"/>
        <v>#N/A</v>
      </c>
      <c r="E134" s="22"/>
      <c r="F134" s="63" t="e">
        <f t="shared" ca="1" si="31"/>
        <v>#DIV/0!</v>
      </c>
      <c r="G134" s="63" t="str">
        <f t="shared" si="29"/>
        <v>N/A</v>
      </c>
      <c r="H134" s="63"/>
      <c r="I134" s="63" t="str">
        <f t="shared" ca="1" si="30"/>
        <v>N/A</v>
      </c>
      <c r="J134" s="63" t="str">
        <f t="shared" ca="1" si="30"/>
        <v>N/A</v>
      </c>
      <c r="K134" s="63" t="str">
        <f t="shared" ca="1" si="30"/>
        <v>N/A</v>
      </c>
      <c r="L134" s="63" t="str">
        <f t="shared" ca="1" si="30"/>
        <v>N/A</v>
      </c>
      <c r="M134" s="63" t="str">
        <f t="shared" ca="1" si="30"/>
        <v>N/A</v>
      </c>
      <c r="N134" s="63" t="str">
        <f t="shared" ca="1" si="30"/>
        <v>N/A</v>
      </c>
      <c r="O134" s="63" t="str">
        <f t="shared" ca="1" si="30"/>
        <v>N/A</v>
      </c>
      <c r="P134" s="63" t="str">
        <f t="shared" ca="1" si="30"/>
        <v>N/A</v>
      </c>
      <c r="Q134" s="63" t="str">
        <f t="shared" ca="1" si="30"/>
        <v>N/A</v>
      </c>
      <c r="R134" s="63" t="str">
        <f t="shared" ca="1" si="30"/>
        <v>N/A</v>
      </c>
      <c r="S134" s="63" t="str">
        <f t="shared" ca="1" si="30"/>
        <v>N/A</v>
      </c>
    </row>
    <row r="135" spans="1:19" hidden="1" x14ac:dyDescent="0.2">
      <c r="A135" s="51">
        <f t="shared" si="32"/>
        <v>0</v>
      </c>
      <c r="B135" s="46" t="e">
        <f t="shared" ca="1" si="27"/>
        <v>#N/A</v>
      </c>
      <c r="C135" s="1" t="str">
        <f>IF(ISERROR(D135),"",IF(D135="","",MAX($C$121:C134)+1))</f>
        <v/>
      </c>
      <c r="D135" t="e">
        <f t="shared" si="28"/>
        <v>#N/A</v>
      </c>
      <c r="E135" s="22"/>
      <c r="F135" s="63" t="e">
        <f t="shared" ca="1" si="31"/>
        <v>#DIV/0!</v>
      </c>
      <c r="G135" s="63" t="str">
        <f t="shared" si="29"/>
        <v>N/A</v>
      </c>
      <c r="H135" s="63"/>
      <c r="I135" s="63" t="str">
        <f t="shared" ca="1" si="30"/>
        <v>N/A</v>
      </c>
      <c r="J135" s="63" t="str">
        <f t="shared" ca="1" si="30"/>
        <v>N/A</v>
      </c>
      <c r="K135" s="63" t="str">
        <f t="shared" ca="1" si="30"/>
        <v>N/A</v>
      </c>
      <c r="L135" s="63" t="str">
        <f t="shared" ca="1" si="30"/>
        <v>N/A</v>
      </c>
      <c r="M135" s="63" t="str">
        <f t="shared" ca="1" si="30"/>
        <v>N/A</v>
      </c>
      <c r="N135" s="63" t="str">
        <f t="shared" ca="1" si="30"/>
        <v>N/A</v>
      </c>
      <c r="O135" s="63" t="str">
        <f t="shared" ca="1" si="30"/>
        <v>N/A</v>
      </c>
      <c r="P135" s="63" t="str">
        <f t="shared" ca="1" si="30"/>
        <v>N/A</v>
      </c>
      <c r="Q135" s="63" t="str">
        <f t="shared" ca="1" si="30"/>
        <v>N/A</v>
      </c>
      <c r="R135" s="63" t="str">
        <f t="shared" ca="1" si="30"/>
        <v>N/A</v>
      </c>
      <c r="S135" s="63" t="str">
        <f t="shared" ca="1" si="30"/>
        <v>N/A</v>
      </c>
    </row>
    <row r="136" spans="1:19" hidden="1" x14ac:dyDescent="0.2">
      <c r="A136" s="51">
        <f t="shared" si="32"/>
        <v>0</v>
      </c>
      <c r="B136" s="46" t="e">
        <f t="shared" ca="1" si="27"/>
        <v>#N/A</v>
      </c>
      <c r="C136" s="1" t="str">
        <f>IF(ISERROR(D136),"",IF(D136="","",MAX($C$121:C135)+1))</f>
        <v/>
      </c>
      <c r="D136" t="e">
        <f t="shared" si="28"/>
        <v>#N/A</v>
      </c>
      <c r="E136" s="22"/>
      <c r="F136" s="63" t="e">
        <f t="shared" ca="1" si="31"/>
        <v>#DIV/0!</v>
      </c>
      <c r="G136" s="63" t="str">
        <f t="shared" si="29"/>
        <v>N/A</v>
      </c>
      <c r="H136" s="63"/>
      <c r="I136" s="63" t="str">
        <f t="shared" ca="1" si="30"/>
        <v>N/A</v>
      </c>
      <c r="J136" s="63" t="str">
        <f t="shared" ca="1" si="30"/>
        <v>N/A</v>
      </c>
      <c r="K136" s="63" t="str">
        <f t="shared" ca="1" si="30"/>
        <v>N/A</v>
      </c>
      <c r="L136" s="63" t="str">
        <f t="shared" ca="1" si="30"/>
        <v>N/A</v>
      </c>
      <c r="M136" s="63" t="str">
        <f t="shared" ca="1" si="30"/>
        <v>N/A</v>
      </c>
      <c r="N136" s="63" t="str">
        <f t="shared" ca="1" si="30"/>
        <v>N/A</v>
      </c>
      <c r="O136" s="63" t="str">
        <f t="shared" ca="1" si="30"/>
        <v>N/A</v>
      </c>
      <c r="P136" s="63" t="str">
        <f t="shared" ca="1" si="30"/>
        <v>N/A</v>
      </c>
      <c r="Q136" s="63" t="str">
        <f t="shared" ca="1" si="30"/>
        <v>N/A</v>
      </c>
      <c r="R136" s="63" t="str">
        <f t="shared" ca="1" si="30"/>
        <v>N/A</v>
      </c>
      <c r="S136" s="63" t="str">
        <f t="shared" ca="1" si="30"/>
        <v>N/A</v>
      </c>
    </row>
    <row r="137" spans="1:19" hidden="1" x14ac:dyDescent="0.2">
      <c r="A137" s="51">
        <f t="shared" si="32"/>
        <v>0</v>
      </c>
      <c r="B137" s="46" t="e">
        <f t="shared" ca="1" si="27"/>
        <v>#N/A</v>
      </c>
      <c r="C137" s="1" t="str">
        <f>IF(ISERROR(D137),"",IF(D137="","",MAX($C$121:C136)+1))</f>
        <v/>
      </c>
      <c r="D137" t="e">
        <f t="shared" si="28"/>
        <v>#N/A</v>
      </c>
      <c r="E137" s="22"/>
      <c r="F137" s="63" t="e">
        <f t="shared" ca="1" si="31"/>
        <v>#DIV/0!</v>
      </c>
      <c r="G137" s="63" t="str">
        <f t="shared" si="29"/>
        <v>N/A</v>
      </c>
      <c r="H137" s="63"/>
      <c r="I137" s="63" t="str">
        <f t="shared" ca="1" si="30"/>
        <v>N/A</v>
      </c>
      <c r="J137" s="63" t="str">
        <f t="shared" ca="1" si="30"/>
        <v>N/A</v>
      </c>
      <c r="K137" s="63" t="str">
        <f t="shared" ca="1" si="30"/>
        <v>N/A</v>
      </c>
      <c r="L137" s="63" t="str">
        <f t="shared" ca="1" si="30"/>
        <v>N/A</v>
      </c>
      <c r="M137" s="63" t="str">
        <f t="shared" ca="1" si="30"/>
        <v>N/A</v>
      </c>
      <c r="N137" s="63" t="str">
        <f t="shared" ca="1" si="30"/>
        <v>N/A</v>
      </c>
      <c r="O137" s="63" t="str">
        <f t="shared" ca="1" si="30"/>
        <v>N/A</v>
      </c>
      <c r="P137" s="63" t="str">
        <f t="shared" ca="1" si="30"/>
        <v>N/A</v>
      </c>
      <c r="Q137" s="63" t="str">
        <f t="shared" ca="1" si="30"/>
        <v>N/A</v>
      </c>
      <c r="R137" s="63" t="str">
        <f t="shared" ca="1" si="30"/>
        <v>N/A</v>
      </c>
      <c r="S137" s="63" t="str">
        <f t="shared" ca="1" si="30"/>
        <v>N/A</v>
      </c>
    </row>
    <row r="138" spans="1:19" hidden="1" x14ac:dyDescent="0.2">
      <c r="A138" s="51">
        <f t="shared" si="32"/>
        <v>0</v>
      </c>
      <c r="B138" s="46" t="e">
        <f t="shared" ca="1" si="27"/>
        <v>#N/A</v>
      </c>
      <c r="C138" s="1" t="str">
        <f>IF(ISERROR(D138),"",IF(D138="","",MAX($C$121:C137)+1))</f>
        <v/>
      </c>
      <c r="D138" t="e">
        <f t="shared" si="28"/>
        <v>#N/A</v>
      </c>
      <c r="E138" s="22"/>
      <c r="F138" s="63" t="e">
        <f t="shared" ca="1" si="31"/>
        <v>#DIV/0!</v>
      </c>
      <c r="G138" s="63" t="str">
        <f t="shared" si="29"/>
        <v>N/A</v>
      </c>
      <c r="H138" s="63"/>
      <c r="I138" s="63" t="str">
        <f t="shared" ca="1" si="30"/>
        <v>N/A</v>
      </c>
      <c r="J138" s="63" t="str">
        <f t="shared" ca="1" si="30"/>
        <v>N/A</v>
      </c>
      <c r="K138" s="63" t="str">
        <f t="shared" ca="1" si="30"/>
        <v>N/A</v>
      </c>
      <c r="L138" s="63" t="str">
        <f t="shared" ca="1" si="30"/>
        <v>N/A</v>
      </c>
      <c r="M138" s="63" t="str">
        <f t="shared" ca="1" si="30"/>
        <v>N/A</v>
      </c>
      <c r="N138" s="63" t="str">
        <f t="shared" ca="1" si="30"/>
        <v>N/A</v>
      </c>
      <c r="O138" s="63" t="str">
        <f t="shared" ca="1" si="30"/>
        <v>N/A</v>
      </c>
      <c r="P138" s="63" t="str">
        <f t="shared" ca="1" si="30"/>
        <v>N/A</v>
      </c>
      <c r="Q138" s="63" t="str">
        <f t="shared" ca="1" si="30"/>
        <v>N/A</v>
      </c>
      <c r="R138" s="63" t="str">
        <f t="shared" ca="1" si="30"/>
        <v>N/A</v>
      </c>
      <c r="S138" s="63" t="str">
        <f t="shared" ca="1" si="30"/>
        <v>N/A</v>
      </c>
    </row>
    <row r="139" spans="1:19" hidden="1" x14ac:dyDescent="0.2">
      <c r="A139" s="51">
        <f t="shared" si="32"/>
        <v>0</v>
      </c>
      <c r="B139" s="46" t="e">
        <f t="shared" ca="1" si="27"/>
        <v>#N/A</v>
      </c>
      <c r="C139" s="1" t="str">
        <f>IF(ISERROR(D139),"",IF(D139="","",MAX($C$121:C138)+1))</f>
        <v/>
      </c>
      <c r="D139" t="e">
        <f t="shared" si="28"/>
        <v>#N/A</v>
      </c>
      <c r="E139" s="22"/>
      <c r="F139" s="63" t="e">
        <f t="shared" ca="1" si="31"/>
        <v>#DIV/0!</v>
      </c>
      <c r="G139" s="63" t="str">
        <f t="shared" si="29"/>
        <v>N/A</v>
      </c>
      <c r="H139" s="63"/>
      <c r="I139" s="63" t="str">
        <f t="shared" ref="I139:S162" ca="1" si="33">IFERROR(IF(INDEX(CF_CAP_WP,$B139,I$122)=0,"N/A",INDEX(CF_CAP_WP,$B139,I$122)),"N/A")</f>
        <v>N/A</v>
      </c>
      <c r="J139" s="63" t="str">
        <f t="shared" ca="1" si="33"/>
        <v>N/A</v>
      </c>
      <c r="K139" s="63" t="str">
        <f t="shared" ca="1" si="33"/>
        <v>N/A</v>
      </c>
      <c r="L139" s="63" t="str">
        <f t="shared" ca="1" si="33"/>
        <v>N/A</v>
      </c>
      <c r="M139" s="63" t="str">
        <f t="shared" ca="1" si="33"/>
        <v>N/A</v>
      </c>
      <c r="N139" s="63" t="str">
        <f t="shared" ca="1" si="33"/>
        <v>N/A</v>
      </c>
      <c r="O139" s="63" t="str">
        <f t="shared" ca="1" si="33"/>
        <v>N/A</v>
      </c>
      <c r="P139" s="63" t="str">
        <f t="shared" ca="1" si="33"/>
        <v>N/A</v>
      </c>
      <c r="Q139" s="63" t="str">
        <f t="shared" ca="1" si="33"/>
        <v>N/A</v>
      </c>
      <c r="R139" s="63" t="str">
        <f t="shared" ca="1" si="33"/>
        <v>N/A</v>
      </c>
      <c r="S139" s="63" t="str">
        <f t="shared" ca="1" si="33"/>
        <v>N/A</v>
      </c>
    </row>
    <row r="140" spans="1:19" hidden="1" x14ac:dyDescent="0.2">
      <c r="A140" s="51">
        <f t="shared" si="32"/>
        <v>0</v>
      </c>
      <c r="B140" s="46" t="e">
        <f t="shared" ca="1" si="27"/>
        <v>#N/A</v>
      </c>
      <c r="C140" s="1" t="str">
        <f>IF(ISERROR(D140),"",IF(D140="","",MAX($C$121:C139)+1))</f>
        <v/>
      </c>
      <c r="D140" t="e">
        <f t="shared" si="28"/>
        <v>#N/A</v>
      </c>
      <c r="E140" s="22"/>
      <c r="F140" s="63" t="e">
        <f t="shared" ca="1" si="31"/>
        <v>#DIV/0!</v>
      </c>
      <c r="G140" s="63" t="str">
        <f t="shared" si="29"/>
        <v>N/A</v>
      </c>
      <c r="H140" s="63"/>
      <c r="I140" s="63" t="str">
        <f t="shared" ca="1" si="33"/>
        <v>N/A</v>
      </c>
      <c r="J140" s="63" t="str">
        <f t="shared" ca="1" si="33"/>
        <v>N/A</v>
      </c>
      <c r="K140" s="63" t="str">
        <f t="shared" ca="1" si="33"/>
        <v>N/A</v>
      </c>
      <c r="L140" s="63" t="str">
        <f t="shared" ca="1" si="33"/>
        <v>N/A</v>
      </c>
      <c r="M140" s="63" t="str">
        <f t="shared" ca="1" si="33"/>
        <v>N/A</v>
      </c>
      <c r="N140" s="63" t="str">
        <f t="shared" ca="1" si="33"/>
        <v>N/A</v>
      </c>
      <c r="O140" s="63" t="str">
        <f t="shared" ca="1" si="33"/>
        <v>N/A</v>
      </c>
      <c r="P140" s="63" t="str">
        <f t="shared" ca="1" si="33"/>
        <v>N/A</v>
      </c>
      <c r="Q140" s="63" t="str">
        <f t="shared" ca="1" si="33"/>
        <v>N/A</v>
      </c>
      <c r="R140" s="63" t="str">
        <f t="shared" ca="1" si="33"/>
        <v>N/A</v>
      </c>
      <c r="S140" s="63" t="str">
        <f t="shared" ca="1" si="33"/>
        <v>N/A</v>
      </c>
    </row>
    <row r="141" spans="1:19" hidden="1" x14ac:dyDescent="0.2">
      <c r="A141" s="51">
        <f t="shared" si="32"/>
        <v>0</v>
      </c>
      <c r="B141" s="46" t="e">
        <f t="shared" ca="1" si="27"/>
        <v>#N/A</v>
      </c>
      <c r="C141" s="1" t="str">
        <f>IF(ISERROR(D141),"",IF(D141="","",MAX($C$121:C140)+1))</f>
        <v/>
      </c>
      <c r="D141" t="e">
        <f t="shared" si="28"/>
        <v>#N/A</v>
      </c>
      <c r="E141" s="22"/>
      <c r="F141" s="63" t="e">
        <f t="shared" ca="1" si="31"/>
        <v>#DIV/0!</v>
      </c>
      <c r="G141" s="63" t="str">
        <f t="shared" si="29"/>
        <v>N/A</v>
      </c>
      <c r="H141" s="63"/>
      <c r="I141" s="63" t="str">
        <f t="shared" ca="1" si="33"/>
        <v>N/A</v>
      </c>
      <c r="J141" s="63" t="str">
        <f t="shared" ca="1" si="33"/>
        <v>N/A</v>
      </c>
      <c r="K141" s="63" t="str">
        <f t="shared" ca="1" si="33"/>
        <v>N/A</v>
      </c>
      <c r="L141" s="63" t="str">
        <f t="shared" ca="1" si="33"/>
        <v>N/A</v>
      </c>
      <c r="M141" s="63" t="str">
        <f t="shared" ca="1" si="33"/>
        <v>N/A</v>
      </c>
      <c r="N141" s="63" t="str">
        <f t="shared" ca="1" si="33"/>
        <v>N/A</v>
      </c>
      <c r="O141" s="63" t="str">
        <f t="shared" ca="1" si="33"/>
        <v>N/A</v>
      </c>
      <c r="P141" s="63" t="str">
        <f t="shared" ca="1" si="33"/>
        <v>N/A</v>
      </c>
      <c r="Q141" s="63" t="str">
        <f t="shared" ca="1" si="33"/>
        <v>N/A</v>
      </c>
      <c r="R141" s="63" t="str">
        <f t="shared" ca="1" si="33"/>
        <v>N/A</v>
      </c>
      <c r="S141" s="63" t="str">
        <f t="shared" ca="1" si="33"/>
        <v>N/A</v>
      </c>
    </row>
    <row r="142" spans="1:19" hidden="1" x14ac:dyDescent="0.2">
      <c r="A142" s="51">
        <f t="shared" si="32"/>
        <v>0</v>
      </c>
      <c r="B142" s="46" t="e">
        <f t="shared" ca="1" si="27"/>
        <v>#N/A</v>
      </c>
      <c r="C142" s="1" t="str">
        <f>IF(ISERROR(D142),"",IF(D142="","",MAX($C$121:C141)+1))</f>
        <v/>
      </c>
      <c r="D142" t="e">
        <f t="shared" si="28"/>
        <v>#N/A</v>
      </c>
      <c r="E142" s="22"/>
      <c r="F142" s="63" t="e">
        <f t="shared" ca="1" si="31"/>
        <v>#DIV/0!</v>
      </c>
      <c r="G142" s="63" t="str">
        <f t="shared" si="29"/>
        <v>N/A</v>
      </c>
      <c r="H142" s="63"/>
      <c r="I142" s="63" t="str">
        <f t="shared" ca="1" si="33"/>
        <v>N/A</v>
      </c>
      <c r="J142" s="63" t="str">
        <f t="shared" ca="1" si="33"/>
        <v>N/A</v>
      </c>
      <c r="K142" s="63" t="str">
        <f t="shared" ca="1" si="33"/>
        <v>N/A</v>
      </c>
      <c r="L142" s="63" t="str">
        <f t="shared" ca="1" si="33"/>
        <v>N/A</v>
      </c>
      <c r="M142" s="63" t="str">
        <f t="shared" ca="1" si="33"/>
        <v>N/A</v>
      </c>
      <c r="N142" s="63" t="str">
        <f t="shared" ca="1" si="33"/>
        <v>N/A</v>
      </c>
      <c r="O142" s="63" t="str">
        <f t="shared" ca="1" si="33"/>
        <v>N/A</v>
      </c>
      <c r="P142" s="63" t="str">
        <f t="shared" ca="1" si="33"/>
        <v>N/A</v>
      </c>
      <c r="Q142" s="63" t="str">
        <f t="shared" ca="1" si="33"/>
        <v>N/A</v>
      </c>
      <c r="R142" s="63" t="str">
        <f t="shared" ca="1" si="33"/>
        <v>N/A</v>
      </c>
      <c r="S142" s="63" t="str">
        <f t="shared" ca="1" si="33"/>
        <v>N/A</v>
      </c>
    </row>
    <row r="143" spans="1:19" hidden="1" x14ac:dyDescent="0.2">
      <c r="A143" s="51">
        <f t="shared" si="32"/>
        <v>0</v>
      </c>
      <c r="B143" s="46" t="e">
        <f t="shared" ca="1" si="27"/>
        <v>#N/A</v>
      </c>
      <c r="C143" s="1" t="str">
        <f>IF(ISERROR(D143),"",IF(D143="","",MAX($C$121:C142)+1))</f>
        <v/>
      </c>
      <c r="D143" t="e">
        <f t="shared" si="28"/>
        <v>#N/A</v>
      </c>
      <c r="E143" s="22"/>
      <c r="F143" s="63" t="e">
        <f t="shared" ca="1" si="31"/>
        <v>#DIV/0!</v>
      </c>
      <c r="G143" s="63" t="str">
        <f t="shared" si="29"/>
        <v>N/A</v>
      </c>
      <c r="H143" s="63"/>
      <c r="I143" s="63" t="str">
        <f t="shared" ca="1" si="33"/>
        <v>N/A</v>
      </c>
      <c r="J143" s="63" t="str">
        <f t="shared" ca="1" si="33"/>
        <v>N/A</v>
      </c>
      <c r="K143" s="63" t="str">
        <f t="shared" ca="1" si="33"/>
        <v>N/A</v>
      </c>
      <c r="L143" s="63" t="str">
        <f t="shared" ca="1" si="33"/>
        <v>N/A</v>
      </c>
      <c r="M143" s="63" t="str">
        <f t="shared" ca="1" si="33"/>
        <v>N/A</v>
      </c>
      <c r="N143" s="63" t="str">
        <f t="shared" ca="1" si="33"/>
        <v>N/A</v>
      </c>
      <c r="O143" s="63" t="str">
        <f t="shared" ca="1" si="33"/>
        <v>N/A</v>
      </c>
      <c r="P143" s="63" t="str">
        <f t="shared" ca="1" si="33"/>
        <v>N/A</v>
      </c>
      <c r="Q143" s="63" t="str">
        <f t="shared" ca="1" si="33"/>
        <v>N/A</v>
      </c>
      <c r="R143" s="63" t="str">
        <f t="shared" ca="1" si="33"/>
        <v>N/A</v>
      </c>
      <c r="S143" s="63" t="str">
        <f t="shared" ca="1" si="33"/>
        <v>N/A</v>
      </c>
    </row>
    <row r="144" spans="1:19" hidden="1" x14ac:dyDescent="0.2">
      <c r="A144" s="51">
        <f t="shared" si="32"/>
        <v>0</v>
      </c>
      <c r="B144" s="46" t="e">
        <f t="shared" ca="1" si="27"/>
        <v>#N/A</v>
      </c>
      <c r="C144" s="1" t="str">
        <f>IF(ISERROR(D144),"",IF(D144="","",MAX($C$121:C143)+1))</f>
        <v/>
      </c>
      <c r="D144" t="e">
        <f t="shared" si="28"/>
        <v>#N/A</v>
      </c>
      <c r="E144" s="22"/>
      <c r="F144" s="63" t="e">
        <f t="shared" ca="1" si="31"/>
        <v>#DIV/0!</v>
      </c>
      <c r="G144" s="63" t="str">
        <f t="shared" si="29"/>
        <v>N/A</v>
      </c>
      <c r="H144" s="63"/>
      <c r="I144" s="63" t="str">
        <f t="shared" ca="1" si="33"/>
        <v>N/A</v>
      </c>
      <c r="J144" s="63" t="str">
        <f t="shared" ca="1" si="33"/>
        <v>N/A</v>
      </c>
      <c r="K144" s="63" t="str">
        <f t="shared" ca="1" si="33"/>
        <v>N/A</v>
      </c>
      <c r="L144" s="63" t="str">
        <f t="shared" ca="1" si="33"/>
        <v>N/A</v>
      </c>
      <c r="M144" s="63" t="str">
        <f t="shared" ca="1" si="33"/>
        <v>N/A</v>
      </c>
      <c r="N144" s="63" t="str">
        <f t="shared" ca="1" si="33"/>
        <v>N/A</v>
      </c>
      <c r="O144" s="63" t="str">
        <f t="shared" ca="1" si="33"/>
        <v>N/A</v>
      </c>
      <c r="P144" s="63" t="str">
        <f t="shared" ca="1" si="33"/>
        <v>N/A</v>
      </c>
      <c r="Q144" s="63" t="str">
        <f t="shared" ca="1" si="33"/>
        <v>N/A</v>
      </c>
      <c r="R144" s="63" t="str">
        <f t="shared" ca="1" si="33"/>
        <v>N/A</v>
      </c>
      <c r="S144" s="63" t="str">
        <f t="shared" ca="1" si="33"/>
        <v>N/A</v>
      </c>
    </row>
    <row r="145" spans="1:19" hidden="1" x14ac:dyDescent="0.2">
      <c r="A145" s="51">
        <f t="shared" si="32"/>
        <v>0</v>
      </c>
      <c r="B145" s="46" t="e">
        <f t="shared" ca="1" si="27"/>
        <v>#N/A</v>
      </c>
      <c r="C145" s="1" t="str">
        <f>IF(ISERROR(D145),"",IF(D145="","",MAX($C$121:C144)+1))</f>
        <v/>
      </c>
      <c r="D145" t="e">
        <f t="shared" si="28"/>
        <v>#N/A</v>
      </c>
      <c r="E145" s="22"/>
      <c r="F145" s="63" t="e">
        <f t="shared" ca="1" si="31"/>
        <v>#DIV/0!</v>
      </c>
      <c r="G145" s="63" t="str">
        <f t="shared" si="29"/>
        <v>N/A</v>
      </c>
      <c r="H145" s="63"/>
      <c r="I145" s="63" t="str">
        <f t="shared" ca="1" si="33"/>
        <v>N/A</v>
      </c>
      <c r="J145" s="63" t="str">
        <f t="shared" ca="1" si="33"/>
        <v>N/A</v>
      </c>
      <c r="K145" s="63" t="str">
        <f t="shared" ca="1" si="33"/>
        <v>N/A</v>
      </c>
      <c r="L145" s="63" t="str">
        <f t="shared" ca="1" si="33"/>
        <v>N/A</v>
      </c>
      <c r="M145" s="63" t="str">
        <f t="shared" ca="1" si="33"/>
        <v>N/A</v>
      </c>
      <c r="N145" s="63" t="str">
        <f t="shared" ca="1" si="33"/>
        <v>N/A</v>
      </c>
      <c r="O145" s="63" t="str">
        <f t="shared" ca="1" si="33"/>
        <v>N/A</v>
      </c>
      <c r="P145" s="63" t="str">
        <f t="shared" ca="1" si="33"/>
        <v>N/A</v>
      </c>
      <c r="Q145" s="63" t="str">
        <f t="shared" ca="1" si="33"/>
        <v>N/A</v>
      </c>
      <c r="R145" s="63" t="str">
        <f t="shared" ca="1" si="33"/>
        <v>N/A</v>
      </c>
      <c r="S145" s="63" t="str">
        <f t="shared" ca="1" si="33"/>
        <v>N/A</v>
      </c>
    </row>
    <row r="146" spans="1:19" hidden="1" x14ac:dyDescent="0.2">
      <c r="A146" s="51">
        <f t="shared" si="32"/>
        <v>0</v>
      </c>
      <c r="B146" s="46" t="e">
        <f t="shared" ca="1" si="27"/>
        <v>#N/A</v>
      </c>
      <c r="C146" s="1" t="str">
        <f>IF(ISERROR(D146),"",IF(D146="","",MAX($C$121:C145)+1))</f>
        <v/>
      </c>
      <c r="D146" t="e">
        <f t="shared" si="28"/>
        <v>#N/A</v>
      </c>
      <c r="E146" s="22"/>
      <c r="F146" s="63" t="e">
        <f t="shared" ca="1" si="31"/>
        <v>#DIV/0!</v>
      </c>
      <c r="G146" s="63" t="str">
        <f t="shared" si="29"/>
        <v>N/A</v>
      </c>
      <c r="H146" s="63"/>
      <c r="I146" s="63" t="str">
        <f t="shared" ca="1" si="33"/>
        <v>N/A</v>
      </c>
      <c r="J146" s="63" t="str">
        <f t="shared" ca="1" si="33"/>
        <v>N/A</v>
      </c>
      <c r="K146" s="63" t="str">
        <f t="shared" ca="1" si="33"/>
        <v>N/A</v>
      </c>
      <c r="L146" s="63" t="str">
        <f t="shared" ca="1" si="33"/>
        <v>N/A</v>
      </c>
      <c r="M146" s="63" t="str">
        <f t="shared" ca="1" si="33"/>
        <v>N/A</v>
      </c>
      <c r="N146" s="63" t="str">
        <f t="shared" ca="1" si="33"/>
        <v>N/A</v>
      </c>
      <c r="O146" s="63" t="str">
        <f t="shared" ca="1" si="33"/>
        <v>N/A</v>
      </c>
      <c r="P146" s="63" t="str">
        <f t="shared" ca="1" si="33"/>
        <v>N/A</v>
      </c>
      <c r="Q146" s="63" t="str">
        <f t="shared" ca="1" si="33"/>
        <v>N/A</v>
      </c>
      <c r="R146" s="63" t="str">
        <f t="shared" ca="1" si="33"/>
        <v>N/A</v>
      </c>
      <c r="S146" s="63" t="str">
        <f t="shared" ca="1" si="33"/>
        <v>N/A</v>
      </c>
    </row>
    <row r="147" spans="1:19" hidden="1" x14ac:dyDescent="0.2">
      <c r="A147" s="51">
        <f t="shared" si="32"/>
        <v>0</v>
      </c>
      <c r="B147" s="46" t="e">
        <f t="shared" ca="1" si="27"/>
        <v>#N/A</v>
      </c>
      <c r="C147" s="1" t="str">
        <f>IF(ISERROR(D147),"",IF(D147="","",MAX($C$121:C146)+1))</f>
        <v/>
      </c>
      <c r="D147" t="e">
        <f t="shared" si="28"/>
        <v>#N/A</v>
      </c>
      <c r="E147" s="22"/>
      <c r="F147" s="63" t="e">
        <f t="shared" ca="1" si="31"/>
        <v>#DIV/0!</v>
      </c>
      <c r="G147" s="63" t="str">
        <f t="shared" si="29"/>
        <v>N/A</v>
      </c>
      <c r="H147" s="63"/>
      <c r="I147" s="63" t="str">
        <f t="shared" ca="1" si="33"/>
        <v>N/A</v>
      </c>
      <c r="J147" s="63" t="str">
        <f t="shared" ca="1" si="33"/>
        <v>N/A</v>
      </c>
      <c r="K147" s="63" t="str">
        <f t="shared" ca="1" si="33"/>
        <v>N/A</v>
      </c>
      <c r="L147" s="63" t="str">
        <f t="shared" ca="1" si="33"/>
        <v>N/A</v>
      </c>
      <c r="M147" s="63" t="str">
        <f t="shared" ca="1" si="33"/>
        <v>N/A</v>
      </c>
      <c r="N147" s="63" t="str">
        <f t="shared" ca="1" si="33"/>
        <v>N/A</v>
      </c>
      <c r="O147" s="63" t="str">
        <f t="shared" ca="1" si="33"/>
        <v>N/A</v>
      </c>
      <c r="P147" s="63" t="str">
        <f t="shared" ca="1" si="33"/>
        <v>N/A</v>
      </c>
      <c r="Q147" s="63" t="str">
        <f t="shared" ca="1" si="33"/>
        <v>N/A</v>
      </c>
      <c r="R147" s="63" t="str">
        <f t="shared" ca="1" si="33"/>
        <v>N/A</v>
      </c>
      <c r="S147" s="63" t="str">
        <f t="shared" ca="1" si="33"/>
        <v>N/A</v>
      </c>
    </row>
    <row r="148" spans="1:19" hidden="1" x14ac:dyDescent="0.2">
      <c r="A148" s="51">
        <f t="shared" si="32"/>
        <v>0</v>
      </c>
      <c r="B148" s="46" t="e">
        <f t="shared" ca="1" si="27"/>
        <v>#N/A</v>
      </c>
      <c r="C148" s="1" t="str">
        <f>IF(ISERROR(D148),"",IF(D148="","",MAX($C$121:C147)+1))</f>
        <v/>
      </c>
      <c r="D148" t="e">
        <f t="shared" si="28"/>
        <v>#N/A</v>
      </c>
      <c r="E148" s="22"/>
      <c r="F148" s="63" t="e">
        <f t="shared" ca="1" si="31"/>
        <v>#DIV/0!</v>
      </c>
      <c r="G148" s="63" t="str">
        <f t="shared" si="29"/>
        <v>N/A</v>
      </c>
      <c r="H148" s="63"/>
      <c r="I148" s="63" t="str">
        <f t="shared" ca="1" si="33"/>
        <v>N/A</v>
      </c>
      <c r="J148" s="63" t="str">
        <f t="shared" ca="1" si="33"/>
        <v>N/A</v>
      </c>
      <c r="K148" s="63" t="str">
        <f t="shared" ca="1" si="33"/>
        <v>N/A</v>
      </c>
      <c r="L148" s="63" t="str">
        <f t="shared" ca="1" si="33"/>
        <v>N/A</v>
      </c>
      <c r="M148" s="63" t="str">
        <f t="shared" ca="1" si="33"/>
        <v>N/A</v>
      </c>
      <c r="N148" s="63" t="str">
        <f t="shared" ca="1" si="33"/>
        <v>N/A</v>
      </c>
      <c r="O148" s="63" t="str">
        <f t="shared" ca="1" si="33"/>
        <v>N/A</v>
      </c>
      <c r="P148" s="63" t="str">
        <f t="shared" ca="1" si="33"/>
        <v>N/A</v>
      </c>
      <c r="Q148" s="63" t="str">
        <f t="shared" ca="1" si="33"/>
        <v>N/A</v>
      </c>
      <c r="R148" s="63" t="str">
        <f t="shared" ca="1" si="33"/>
        <v>N/A</v>
      </c>
      <c r="S148" s="63" t="str">
        <f t="shared" ca="1" si="33"/>
        <v>N/A</v>
      </c>
    </row>
    <row r="149" spans="1:19" hidden="1" x14ac:dyDescent="0.2">
      <c r="A149" s="51">
        <f t="shared" si="32"/>
        <v>0</v>
      </c>
      <c r="B149" s="46" t="e">
        <f t="shared" ca="1" si="27"/>
        <v>#N/A</v>
      </c>
      <c r="C149" s="1" t="str">
        <f>IF(ISERROR(D149),"",IF(D149="","",MAX($C$121:C148)+1))</f>
        <v/>
      </c>
      <c r="D149" t="e">
        <f t="shared" si="28"/>
        <v>#N/A</v>
      </c>
      <c r="E149" s="22"/>
      <c r="F149" s="63" t="e">
        <f t="shared" ca="1" si="31"/>
        <v>#DIV/0!</v>
      </c>
      <c r="G149" s="63" t="str">
        <f t="shared" si="29"/>
        <v>N/A</v>
      </c>
      <c r="H149" s="63"/>
      <c r="I149" s="63" t="str">
        <f t="shared" ca="1" si="33"/>
        <v>N/A</v>
      </c>
      <c r="J149" s="63" t="str">
        <f t="shared" ca="1" si="33"/>
        <v>N/A</v>
      </c>
      <c r="K149" s="63" t="str">
        <f t="shared" ca="1" si="33"/>
        <v>N/A</v>
      </c>
      <c r="L149" s="63" t="str">
        <f t="shared" ca="1" si="33"/>
        <v>N/A</v>
      </c>
      <c r="M149" s="63" t="str">
        <f t="shared" ca="1" si="33"/>
        <v>N/A</v>
      </c>
      <c r="N149" s="63" t="str">
        <f t="shared" ca="1" si="33"/>
        <v>N/A</v>
      </c>
      <c r="O149" s="63" t="str">
        <f t="shared" ca="1" si="33"/>
        <v>N/A</v>
      </c>
      <c r="P149" s="63" t="str">
        <f t="shared" ca="1" si="33"/>
        <v>N/A</v>
      </c>
      <c r="Q149" s="63" t="str">
        <f t="shared" ca="1" si="33"/>
        <v>N/A</v>
      </c>
      <c r="R149" s="63" t="str">
        <f t="shared" ca="1" si="33"/>
        <v>N/A</v>
      </c>
      <c r="S149" s="63" t="str">
        <f t="shared" ca="1" si="33"/>
        <v>N/A</v>
      </c>
    </row>
    <row r="150" spans="1:19" hidden="1" x14ac:dyDescent="0.2">
      <c r="A150" s="51">
        <f t="shared" si="32"/>
        <v>0</v>
      </c>
      <c r="B150" s="46" t="e">
        <f t="shared" ca="1" si="27"/>
        <v>#N/A</v>
      </c>
      <c r="C150" s="1" t="str">
        <f>IF(ISERROR(D150),"",IF(D150="","",MAX($C$121:C149)+1))</f>
        <v/>
      </c>
      <c r="D150" t="e">
        <f t="shared" si="28"/>
        <v>#N/A</v>
      </c>
      <c r="E150" s="22"/>
      <c r="F150" s="63" t="e">
        <f t="shared" ca="1" si="31"/>
        <v>#DIV/0!</v>
      </c>
      <c r="G150" s="63" t="str">
        <f t="shared" si="29"/>
        <v>N/A</v>
      </c>
      <c r="H150" s="63"/>
      <c r="I150" s="63" t="str">
        <f t="shared" ca="1" si="33"/>
        <v>N/A</v>
      </c>
      <c r="J150" s="63" t="str">
        <f t="shared" ca="1" si="33"/>
        <v>N/A</v>
      </c>
      <c r="K150" s="63" t="str">
        <f t="shared" ca="1" si="33"/>
        <v>N/A</v>
      </c>
      <c r="L150" s="63" t="str">
        <f t="shared" ca="1" si="33"/>
        <v>N/A</v>
      </c>
      <c r="M150" s="63" t="str">
        <f t="shared" ca="1" si="33"/>
        <v>N/A</v>
      </c>
      <c r="N150" s="63" t="str">
        <f t="shared" ca="1" si="33"/>
        <v>N/A</v>
      </c>
      <c r="O150" s="63" t="str">
        <f t="shared" ca="1" si="33"/>
        <v>N/A</v>
      </c>
      <c r="P150" s="63" t="str">
        <f t="shared" ca="1" si="33"/>
        <v>N/A</v>
      </c>
      <c r="Q150" s="63" t="str">
        <f t="shared" ca="1" si="33"/>
        <v>N/A</v>
      </c>
      <c r="R150" s="63" t="str">
        <f t="shared" ca="1" si="33"/>
        <v>N/A</v>
      </c>
      <c r="S150" s="63" t="str">
        <f t="shared" ca="1" si="33"/>
        <v>N/A</v>
      </c>
    </row>
    <row r="151" spans="1:19" hidden="1" x14ac:dyDescent="0.2">
      <c r="A151" s="51">
        <f t="shared" si="32"/>
        <v>0</v>
      </c>
      <c r="B151" s="46" t="e">
        <f t="shared" ca="1" si="27"/>
        <v>#N/A</v>
      </c>
      <c r="C151" s="1" t="str">
        <f>IF(ISERROR(D151),"",IF(D151="","",MAX($C$121:C150)+1))</f>
        <v/>
      </c>
      <c r="D151" t="e">
        <f t="shared" si="28"/>
        <v>#N/A</v>
      </c>
      <c r="E151" s="22"/>
      <c r="F151" s="63" t="e">
        <f t="shared" ca="1" si="31"/>
        <v>#DIV/0!</v>
      </c>
      <c r="G151" s="63" t="str">
        <f t="shared" si="29"/>
        <v>N/A</v>
      </c>
      <c r="H151" s="63"/>
      <c r="I151" s="63" t="str">
        <f t="shared" ca="1" si="33"/>
        <v>N/A</v>
      </c>
      <c r="J151" s="63" t="str">
        <f t="shared" ca="1" si="33"/>
        <v>N/A</v>
      </c>
      <c r="K151" s="63" t="str">
        <f t="shared" ca="1" si="33"/>
        <v>N/A</v>
      </c>
      <c r="L151" s="63" t="str">
        <f t="shared" ca="1" si="33"/>
        <v>N/A</v>
      </c>
      <c r="M151" s="63" t="str">
        <f t="shared" ca="1" si="33"/>
        <v>N/A</v>
      </c>
      <c r="N151" s="63" t="str">
        <f t="shared" ca="1" si="33"/>
        <v>N/A</v>
      </c>
      <c r="O151" s="63" t="str">
        <f t="shared" ca="1" si="33"/>
        <v>N/A</v>
      </c>
      <c r="P151" s="63" t="str">
        <f t="shared" ca="1" si="33"/>
        <v>N/A</v>
      </c>
      <c r="Q151" s="63" t="str">
        <f t="shared" ca="1" si="33"/>
        <v>N/A</v>
      </c>
      <c r="R151" s="63" t="str">
        <f t="shared" ca="1" si="33"/>
        <v>N/A</v>
      </c>
      <c r="S151" s="63" t="str">
        <f t="shared" ca="1" si="33"/>
        <v>N/A</v>
      </c>
    </row>
    <row r="152" spans="1:19" hidden="1" x14ac:dyDescent="0.2">
      <c r="A152" s="51">
        <f t="shared" si="32"/>
        <v>0</v>
      </c>
      <c r="B152" s="46" t="e">
        <f t="shared" ca="1" si="27"/>
        <v>#N/A</v>
      </c>
      <c r="C152" s="1" t="str">
        <f>IF(ISERROR(D152),"",IF(D152="","",MAX($C$121:C151)+1))</f>
        <v/>
      </c>
      <c r="D152" t="e">
        <f t="shared" si="28"/>
        <v>#N/A</v>
      </c>
      <c r="E152" s="22"/>
      <c r="F152" s="63" t="e">
        <f t="shared" ca="1" si="31"/>
        <v>#DIV/0!</v>
      </c>
      <c r="G152" s="63" t="str">
        <f t="shared" si="29"/>
        <v>N/A</v>
      </c>
      <c r="H152" s="63"/>
      <c r="I152" s="63" t="str">
        <f t="shared" ca="1" si="33"/>
        <v>N/A</v>
      </c>
      <c r="J152" s="63" t="str">
        <f t="shared" ca="1" si="33"/>
        <v>N/A</v>
      </c>
      <c r="K152" s="63" t="str">
        <f t="shared" ca="1" si="33"/>
        <v>N/A</v>
      </c>
      <c r="L152" s="63" t="str">
        <f t="shared" ca="1" si="33"/>
        <v>N/A</v>
      </c>
      <c r="M152" s="63" t="str">
        <f t="shared" ca="1" si="33"/>
        <v>N/A</v>
      </c>
      <c r="N152" s="63" t="str">
        <f t="shared" ca="1" si="33"/>
        <v>N/A</v>
      </c>
      <c r="O152" s="63" t="str">
        <f t="shared" ca="1" si="33"/>
        <v>N/A</v>
      </c>
      <c r="P152" s="63" t="str">
        <f t="shared" ca="1" si="33"/>
        <v>N/A</v>
      </c>
      <c r="Q152" s="63" t="str">
        <f t="shared" ca="1" si="33"/>
        <v>N/A</v>
      </c>
      <c r="R152" s="63" t="str">
        <f t="shared" ca="1" si="33"/>
        <v>N/A</v>
      </c>
      <c r="S152" s="63" t="str">
        <f t="shared" ca="1" si="33"/>
        <v>N/A</v>
      </c>
    </row>
    <row r="153" spans="1:19" hidden="1" x14ac:dyDescent="0.2">
      <c r="A153" s="51">
        <f t="shared" si="32"/>
        <v>0</v>
      </c>
      <c r="B153" s="46" t="e">
        <f t="shared" ca="1" si="27"/>
        <v>#N/A</v>
      </c>
      <c r="C153" s="1" t="str">
        <f>IF(ISERROR(D153),"",IF(D153="","",MAX($C$121:C152)+1))</f>
        <v/>
      </c>
      <c r="D153" t="e">
        <f t="shared" si="28"/>
        <v>#N/A</v>
      </c>
      <c r="E153" s="22"/>
      <c r="F153" s="63" t="e">
        <f t="shared" ca="1" si="31"/>
        <v>#DIV/0!</v>
      </c>
      <c r="G153" s="63" t="str">
        <f t="shared" si="29"/>
        <v>N/A</v>
      </c>
      <c r="H153" s="63"/>
      <c r="I153" s="63" t="str">
        <f t="shared" ca="1" si="33"/>
        <v>N/A</v>
      </c>
      <c r="J153" s="63" t="str">
        <f t="shared" ca="1" si="33"/>
        <v>N/A</v>
      </c>
      <c r="K153" s="63" t="str">
        <f t="shared" ca="1" si="33"/>
        <v>N/A</v>
      </c>
      <c r="L153" s="63" t="str">
        <f t="shared" ca="1" si="33"/>
        <v>N/A</v>
      </c>
      <c r="M153" s="63" t="str">
        <f t="shared" ca="1" si="33"/>
        <v>N/A</v>
      </c>
      <c r="N153" s="63" t="str">
        <f t="shared" ca="1" si="33"/>
        <v>N/A</v>
      </c>
      <c r="O153" s="63" t="str">
        <f t="shared" ca="1" si="33"/>
        <v>N/A</v>
      </c>
      <c r="P153" s="63" t="str">
        <f t="shared" ca="1" si="33"/>
        <v>N/A</v>
      </c>
      <c r="Q153" s="63" t="str">
        <f t="shared" ca="1" si="33"/>
        <v>N/A</v>
      </c>
      <c r="R153" s="63" t="str">
        <f t="shared" ca="1" si="33"/>
        <v>N/A</v>
      </c>
      <c r="S153" s="63" t="str">
        <f t="shared" ca="1" si="33"/>
        <v>N/A</v>
      </c>
    </row>
    <row r="154" spans="1:19" hidden="1" x14ac:dyDescent="0.2">
      <c r="A154" s="51">
        <f t="shared" si="32"/>
        <v>0</v>
      </c>
      <c r="B154" s="46" t="e">
        <f t="shared" ca="1" si="27"/>
        <v>#N/A</v>
      </c>
      <c r="C154" s="1" t="str">
        <f>IF(ISERROR(D154),"",IF(D154="","",MAX($C$121:C153)+1))</f>
        <v/>
      </c>
      <c r="D154" t="e">
        <f t="shared" si="28"/>
        <v>#N/A</v>
      </c>
      <c r="E154" s="22"/>
      <c r="F154" s="63" t="e">
        <f t="shared" ca="1" si="31"/>
        <v>#DIV/0!</v>
      </c>
      <c r="G154" s="63" t="str">
        <f t="shared" si="29"/>
        <v>N/A</v>
      </c>
      <c r="H154" s="63"/>
      <c r="I154" s="63" t="str">
        <f t="shared" ca="1" si="33"/>
        <v>N/A</v>
      </c>
      <c r="J154" s="63" t="str">
        <f t="shared" ca="1" si="33"/>
        <v>N/A</v>
      </c>
      <c r="K154" s="63" t="str">
        <f t="shared" ca="1" si="33"/>
        <v>N/A</v>
      </c>
      <c r="L154" s="63" t="str">
        <f t="shared" ca="1" si="33"/>
        <v>N/A</v>
      </c>
      <c r="M154" s="63" t="str">
        <f t="shared" ca="1" si="33"/>
        <v>N/A</v>
      </c>
      <c r="N154" s="63" t="str">
        <f t="shared" ca="1" si="33"/>
        <v>N/A</v>
      </c>
      <c r="O154" s="63" t="str">
        <f t="shared" ca="1" si="33"/>
        <v>N/A</v>
      </c>
      <c r="P154" s="63" t="str">
        <f t="shared" ca="1" si="33"/>
        <v>N/A</v>
      </c>
      <c r="Q154" s="63" t="str">
        <f t="shared" ca="1" si="33"/>
        <v>N/A</v>
      </c>
      <c r="R154" s="63" t="str">
        <f t="shared" ca="1" si="33"/>
        <v>N/A</v>
      </c>
      <c r="S154" s="63" t="str">
        <f t="shared" ca="1" si="33"/>
        <v>N/A</v>
      </c>
    </row>
    <row r="155" spans="1:19" hidden="1" x14ac:dyDescent="0.2">
      <c r="A155" s="51">
        <f t="shared" si="32"/>
        <v>0</v>
      </c>
      <c r="B155" s="46" t="e">
        <f t="shared" ca="1" si="27"/>
        <v>#N/A</v>
      </c>
      <c r="C155" s="1" t="str">
        <f>IF(ISERROR(D155),"",IF(D155="","",MAX($C$121:C154)+1))</f>
        <v/>
      </c>
      <c r="D155" t="e">
        <f t="shared" si="28"/>
        <v>#N/A</v>
      </c>
      <c r="E155" s="22"/>
      <c r="F155" s="63" t="e">
        <f t="shared" ca="1" si="31"/>
        <v>#DIV/0!</v>
      </c>
      <c r="G155" s="63" t="str">
        <f t="shared" si="29"/>
        <v>N/A</v>
      </c>
      <c r="H155" s="63"/>
      <c r="I155" s="63" t="str">
        <f t="shared" ca="1" si="33"/>
        <v>N/A</v>
      </c>
      <c r="J155" s="63" t="str">
        <f t="shared" ca="1" si="33"/>
        <v>N/A</v>
      </c>
      <c r="K155" s="63" t="str">
        <f t="shared" ca="1" si="33"/>
        <v>N/A</v>
      </c>
      <c r="L155" s="63" t="str">
        <f t="shared" ca="1" si="33"/>
        <v>N/A</v>
      </c>
      <c r="M155" s="63" t="str">
        <f t="shared" ca="1" si="33"/>
        <v>N/A</v>
      </c>
      <c r="N155" s="63" t="str">
        <f t="shared" ca="1" si="33"/>
        <v>N/A</v>
      </c>
      <c r="O155" s="63" t="str">
        <f t="shared" ca="1" si="33"/>
        <v>N/A</v>
      </c>
      <c r="P155" s="63" t="str">
        <f t="shared" ca="1" si="33"/>
        <v>N/A</v>
      </c>
      <c r="Q155" s="63" t="str">
        <f t="shared" ca="1" si="33"/>
        <v>N/A</v>
      </c>
      <c r="R155" s="63" t="str">
        <f t="shared" ca="1" si="33"/>
        <v>N/A</v>
      </c>
      <c r="S155" s="63" t="str">
        <f t="shared" ca="1" si="33"/>
        <v>N/A</v>
      </c>
    </row>
    <row r="156" spans="1:19" hidden="1" x14ac:dyDescent="0.2">
      <c r="A156" s="51">
        <f t="shared" si="32"/>
        <v>0</v>
      </c>
      <c r="B156" s="46" t="e">
        <f t="shared" ca="1" si="27"/>
        <v>#N/A</v>
      </c>
      <c r="C156" s="1" t="str">
        <f>IF(ISERROR(D156),"",IF(D156="","",MAX($C$121:C155)+1))</f>
        <v/>
      </c>
      <c r="D156" t="e">
        <f t="shared" si="28"/>
        <v>#N/A</v>
      </c>
      <c r="E156" s="22"/>
      <c r="F156" s="63" t="e">
        <f t="shared" ca="1" si="31"/>
        <v>#DIV/0!</v>
      </c>
      <c r="G156" s="63" t="str">
        <f t="shared" si="29"/>
        <v>N/A</v>
      </c>
      <c r="H156" s="63"/>
      <c r="I156" s="63" t="str">
        <f t="shared" ca="1" si="33"/>
        <v>N/A</v>
      </c>
      <c r="J156" s="63" t="str">
        <f t="shared" ca="1" si="33"/>
        <v>N/A</v>
      </c>
      <c r="K156" s="63" t="str">
        <f t="shared" ca="1" si="33"/>
        <v>N/A</v>
      </c>
      <c r="L156" s="63" t="str">
        <f t="shared" ca="1" si="33"/>
        <v>N/A</v>
      </c>
      <c r="M156" s="63" t="str">
        <f t="shared" ca="1" si="33"/>
        <v>N/A</v>
      </c>
      <c r="N156" s="63" t="str">
        <f t="shared" ca="1" si="33"/>
        <v>N/A</v>
      </c>
      <c r="O156" s="63" t="str">
        <f t="shared" ca="1" si="33"/>
        <v>N/A</v>
      </c>
      <c r="P156" s="63" t="str">
        <f t="shared" ca="1" si="33"/>
        <v>N/A</v>
      </c>
      <c r="Q156" s="63" t="str">
        <f t="shared" ca="1" si="33"/>
        <v>N/A</v>
      </c>
      <c r="R156" s="63" t="str">
        <f t="shared" ca="1" si="33"/>
        <v>N/A</v>
      </c>
      <c r="S156" s="63" t="str">
        <f t="shared" ca="1" si="33"/>
        <v>N/A</v>
      </c>
    </row>
    <row r="157" spans="1:19" hidden="1" x14ac:dyDescent="0.2">
      <c r="A157" s="51">
        <f t="shared" si="32"/>
        <v>0</v>
      </c>
      <c r="B157" s="46" t="e">
        <f t="shared" ca="1" si="27"/>
        <v>#N/A</v>
      </c>
      <c r="C157" s="1" t="str">
        <f>IF(ISERROR(D157),"",IF(D157="","",MAX($C$121:C156)+1))</f>
        <v/>
      </c>
      <c r="D157" t="e">
        <f t="shared" si="28"/>
        <v>#N/A</v>
      </c>
      <c r="E157" s="22"/>
      <c r="F157" s="63" t="e">
        <f t="shared" ca="1" si="31"/>
        <v>#DIV/0!</v>
      </c>
      <c r="G157" s="63" t="str">
        <f t="shared" si="29"/>
        <v>N/A</v>
      </c>
      <c r="H157" s="63"/>
      <c r="I157" s="63" t="str">
        <f t="shared" ca="1" si="33"/>
        <v>N/A</v>
      </c>
      <c r="J157" s="63" t="str">
        <f t="shared" ca="1" si="33"/>
        <v>N/A</v>
      </c>
      <c r="K157" s="63" t="str">
        <f t="shared" ca="1" si="33"/>
        <v>N/A</v>
      </c>
      <c r="L157" s="63" t="str">
        <f t="shared" ca="1" si="33"/>
        <v>N/A</v>
      </c>
      <c r="M157" s="63" t="str">
        <f t="shared" ca="1" si="33"/>
        <v>N/A</v>
      </c>
      <c r="N157" s="63" t="str">
        <f t="shared" ca="1" si="33"/>
        <v>N/A</v>
      </c>
      <c r="O157" s="63" t="str">
        <f t="shared" ca="1" si="33"/>
        <v>N/A</v>
      </c>
      <c r="P157" s="63" t="str">
        <f t="shared" ca="1" si="33"/>
        <v>N/A</v>
      </c>
      <c r="Q157" s="63" t="str">
        <f t="shared" ca="1" si="33"/>
        <v>N/A</v>
      </c>
      <c r="R157" s="63" t="str">
        <f t="shared" ca="1" si="33"/>
        <v>N/A</v>
      </c>
      <c r="S157" s="63" t="str">
        <f t="shared" ca="1" si="33"/>
        <v>N/A</v>
      </c>
    </row>
    <row r="158" spans="1:19" hidden="1" x14ac:dyDescent="0.2">
      <c r="A158" s="51">
        <f t="shared" si="32"/>
        <v>0</v>
      </c>
      <c r="B158" s="46" t="e">
        <f t="shared" ca="1" si="27"/>
        <v>#N/A</v>
      </c>
      <c r="C158" s="1" t="str">
        <f>IF(ISERROR(D158),"",IF(D158="","",MAX($C$121:C157)+1))</f>
        <v/>
      </c>
      <c r="D158" t="e">
        <f t="shared" si="28"/>
        <v>#N/A</v>
      </c>
      <c r="E158" s="22"/>
      <c r="F158" s="63" t="e">
        <f t="shared" ca="1" si="31"/>
        <v>#DIV/0!</v>
      </c>
      <c r="G158" s="63" t="str">
        <f t="shared" si="29"/>
        <v>N/A</v>
      </c>
      <c r="H158" s="63"/>
      <c r="I158" s="63" t="str">
        <f t="shared" ca="1" si="33"/>
        <v>N/A</v>
      </c>
      <c r="J158" s="63" t="str">
        <f t="shared" ca="1" si="33"/>
        <v>N/A</v>
      </c>
      <c r="K158" s="63" t="str">
        <f t="shared" ca="1" si="33"/>
        <v>N/A</v>
      </c>
      <c r="L158" s="63" t="str">
        <f t="shared" ca="1" si="33"/>
        <v>N/A</v>
      </c>
      <c r="M158" s="63" t="str">
        <f t="shared" ca="1" si="33"/>
        <v>N/A</v>
      </c>
      <c r="N158" s="63" t="str">
        <f t="shared" ca="1" si="33"/>
        <v>N/A</v>
      </c>
      <c r="O158" s="63" t="str">
        <f t="shared" ca="1" si="33"/>
        <v>N/A</v>
      </c>
      <c r="P158" s="63" t="str">
        <f t="shared" ca="1" si="33"/>
        <v>N/A</v>
      </c>
      <c r="Q158" s="63" t="str">
        <f t="shared" ca="1" si="33"/>
        <v>N/A</v>
      </c>
      <c r="R158" s="63" t="str">
        <f t="shared" ca="1" si="33"/>
        <v>N/A</v>
      </c>
      <c r="S158" s="63" t="str">
        <f t="shared" ca="1" si="33"/>
        <v>N/A</v>
      </c>
    </row>
    <row r="159" spans="1:19" hidden="1" x14ac:dyDescent="0.2">
      <c r="A159" s="51">
        <f t="shared" si="32"/>
        <v>0</v>
      </c>
      <c r="B159" s="46" t="e">
        <f t="shared" ca="1" si="27"/>
        <v>#N/A</v>
      </c>
      <c r="C159" s="1" t="str">
        <f>IF(ISERROR(D159),"",IF(D159="","",MAX($C$121:C158)+1))</f>
        <v/>
      </c>
      <c r="D159" t="e">
        <f t="shared" si="28"/>
        <v>#N/A</v>
      </c>
      <c r="E159" s="22"/>
      <c r="F159" s="63" t="e">
        <f t="shared" ca="1" si="31"/>
        <v>#DIV/0!</v>
      </c>
      <c r="G159" s="63" t="str">
        <f t="shared" si="29"/>
        <v>N/A</v>
      </c>
      <c r="H159" s="63"/>
      <c r="I159" s="63" t="str">
        <f t="shared" ca="1" si="33"/>
        <v>N/A</v>
      </c>
      <c r="J159" s="63" t="str">
        <f t="shared" ca="1" si="33"/>
        <v>N/A</v>
      </c>
      <c r="K159" s="63" t="str">
        <f t="shared" ca="1" si="33"/>
        <v>N/A</v>
      </c>
      <c r="L159" s="63" t="str">
        <f t="shared" ca="1" si="33"/>
        <v>N/A</v>
      </c>
      <c r="M159" s="63" t="str">
        <f t="shared" ca="1" si="33"/>
        <v>N/A</v>
      </c>
      <c r="N159" s="63" t="str">
        <f t="shared" ca="1" si="33"/>
        <v>N/A</v>
      </c>
      <c r="O159" s="63" t="str">
        <f t="shared" ca="1" si="33"/>
        <v>N/A</v>
      </c>
      <c r="P159" s="63" t="str">
        <f t="shared" ca="1" si="33"/>
        <v>N/A</v>
      </c>
      <c r="Q159" s="63" t="str">
        <f t="shared" ca="1" si="33"/>
        <v>N/A</v>
      </c>
      <c r="R159" s="63" t="str">
        <f t="shared" ca="1" si="33"/>
        <v>N/A</v>
      </c>
      <c r="S159" s="63" t="str">
        <f t="shared" ca="1" si="33"/>
        <v>N/A</v>
      </c>
    </row>
    <row r="160" spans="1:19" hidden="1" x14ac:dyDescent="0.2">
      <c r="A160" s="51">
        <f t="shared" si="32"/>
        <v>0</v>
      </c>
      <c r="B160" s="46" t="e">
        <f t="shared" ca="1" si="27"/>
        <v>#N/A</v>
      </c>
      <c r="C160" s="1" t="str">
        <f>IF(ISERROR(D160),"",IF(D160="","",MAX($C$121:C159)+1))</f>
        <v/>
      </c>
      <c r="D160" t="e">
        <f t="shared" si="28"/>
        <v>#N/A</v>
      </c>
      <c r="E160" s="22"/>
      <c r="F160" s="63" t="e">
        <f t="shared" ca="1" si="31"/>
        <v>#DIV/0!</v>
      </c>
      <c r="G160" s="63" t="str">
        <f t="shared" si="29"/>
        <v>N/A</v>
      </c>
      <c r="H160" s="63"/>
      <c r="I160" s="63" t="str">
        <f t="shared" ca="1" si="33"/>
        <v>N/A</v>
      </c>
      <c r="J160" s="63" t="str">
        <f t="shared" ca="1" si="33"/>
        <v>N/A</v>
      </c>
      <c r="K160" s="63" t="str">
        <f t="shared" ca="1" si="33"/>
        <v>N/A</v>
      </c>
      <c r="L160" s="63" t="str">
        <f t="shared" ca="1" si="33"/>
        <v>N/A</v>
      </c>
      <c r="M160" s="63" t="str">
        <f t="shared" ca="1" si="33"/>
        <v>N/A</v>
      </c>
      <c r="N160" s="63" t="str">
        <f t="shared" ca="1" si="33"/>
        <v>N/A</v>
      </c>
      <c r="O160" s="63" t="str">
        <f t="shared" ca="1" si="33"/>
        <v>N/A</v>
      </c>
      <c r="P160" s="63" t="str">
        <f t="shared" ca="1" si="33"/>
        <v>N/A</v>
      </c>
      <c r="Q160" s="63" t="str">
        <f t="shared" ca="1" si="33"/>
        <v>N/A</v>
      </c>
      <c r="R160" s="63" t="str">
        <f t="shared" ca="1" si="33"/>
        <v>N/A</v>
      </c>
      <c r="S160" s="63" t="str">
        <f t="shared" ca="1" si="33"/>
        <v>N/A</v>
      </c>
    </row>
    <row r="161" spans="1:19" hidden="1" x14ac:dyDescent="0.2">
      <c r="A161" s="51">
        <f t="shared" si="32"/>
        <v>0</v>
      </c>
      <c r="B161" s="46" t="e">
        <f t="shared" ca="1" si="27"/>
        <v>#N/A</v>
      </c>
      <c r="C161" s="1" t="str">
        <f>IF(ISERROR(D161),"",IF(D161="","",MAX($C$121:C160)+1))</f>
        <v/>
      </c>
      <c r="D161" t="e">
        <f t="shared" si="28"/>
        <v>#N/A</v>
      </c>
      <c r="E161" s="22"/>
      <c r="F161" s="63" t="e">
        <f t="shared" ca="1" si="31"/>
        <v>#DIV/0!</v>
      </c>
      <c r="G161" s="63" t="str">
        <f t="shared" si="29"/>
        <v>N/A</v>
      </c>
      <c r="H161" s="63"/>
      <c r="I161" s="63" t="str">
        <f t="shared" ca="1" si="33"/>
        <v>N/A</v>
      </c>
      <c r="J161" s="63" t="str">
        <f t="shared" ca="1" si="33"/>
        <v>N/A</v>
      </c>
      <c r="K161" s="63" t="str">
        <f t="shared" ca="1" si="33"/>
        <v>N/A</v>
      </c>
      <c r="L161" s="63" t="str">
        <f t="shared" ca="1" si="33"/>
        <v>N/A</v>
      </c>
      <c r="M161" s="63" t="str">
        <f t="shared" ca="1" si="33"/>
        <v>N/A</v>
      </c>
      <c r="N161" s="63" t="str">
        <f t="shared" ca="1" si="33"/>
        <v>N/A</v>
      </c>
      <c r="O161" s="63" t="str">
        <f t="shared" ca="1" si="33"/>
        <v>N/A</v>
      </c>
      <c r="P161" s="63" t="str">
        <f t="shared" ca="1" si="33"/>
        <v>N/A</v>
      </c>
      <c r="Q161" s="63" t="str">
        <f t="shared" ca="1" si="33"/>
        <v>N/A</v>
      </c>
      <c r="R161" s="63" t="str">
        <f t="shared" ca="1" si="33"/>
        <v>N/A</v>
      </c>
      <c r="S161" s="63" t="str">
        <f t="shared" ca="1" si="33"/>
        <v>N/A</v>
      </c>
    </row>
    <row r="162" spans="1:19" hidden="1" x14ac:dyDescent="0.2">
      <c r="A162" s="51">
        <f t="shared" si="32"/>
        <v>0</v>
      </c>
      <c r="B162" s="46" t="e">
        <f t="shared" ca="1" si="27"/>
        <v>#N/A</v>
      </c>
      <c r="C162" s="1" t="str">
        <f>IF(ISERROR(D162),"",IF(D162="","",MAX($C$121:C161)+1))</f>
        <v/>
      </c>
      <c r="D162" t="e">
        <f t="shared" si="28"/>
        <v>#N/A</v>
      </c>
      <c r="E162" s="22"/>
      <c r="F162" s="63" t="e">
        <f t="shared" ca="1" si="31"/>
        <v>#DIV/0!</v>
      </c>
      <c r="G162" s="63" t="str">
        <f t="shared" si="29"/>
        <v>N/A</v>
      </c>
      <c r="H162" s="63"/>
      <c r="I162" s="63" t="str">
        <f t="shared" ca="1" si="33"/>
        <v>N/A</v>
      </c>
      <c r="J162" s="63" t="str">
        <f t="shared" ca="1" si="33"/>
        <v>N/A</v>
      </c>
      <c r="K162" s="63" t="str">
        <f t="shared" ref="J162:S167" ca="1" si="34">IFERROR(IF(INDEX(CF_CAP_WP,$B162,K$122)=0,"N/A",INDEX(CF_CAP_WP,$B162,K$122)),"N/A")</f>
        <v>N/A</v>
      </c>
      <c r="L162" s="63" t="str">
        <f t="shared" ca="1" si="34"/>
        <v>N/A</v>
      </c>
      <c r="M162" s="63" t="str">
        <f t="shared" ca="1" si="34"/>
        <v>N/A</v>
      </c>
      <c r="N162" s="63" t="str">
        <f t="shared" ca="1" si="34"/>
        <v>N/A</v>
      </c>
      <c r="O162" s="63" t="str">
        <f t="shared" ca="1" si="34"/>
        <v>N/A</v>
      </c>
      <c r="P162" s="63" t="str">
        <f t="shared" ca="1" si="34"/>
        <v>N/A</v>
      </c>
      <c r="Q162" s="63" t="str">
        <f t="shared" ca="1" si="34"/>
        <v>N/A</v>
      </c>
      <c r="R162" s="63" t="str">
        <f t="shared" ca="1" si="34"/>
        <v>N/A</v>
      </c>
      <c r="S162" s="63" t="str">
        <f t="shared" ca="1" si="34"/>
        <v>N/A</v>
      </c>
    </row>
    <row r="163" spans="1:19" hidden="1" x14ac:dyDescent="0.2">
      <c r="A163" s="51">
        <f t="shared" si="32"/>
        <v>0</v>
      </c>
      <c r="B163" s="46" t="e">
        <f t="shared" ca="1" si="27"/>
        <v>#N/A</v>
      </c>
      <c r="C163" s="1" t="str">
        <f>IF(ISERROR(D163),"",IF(D163="","",MAX($C$121:C162)+1))</f>
        <v/>
      </c>
      <c r="D163" t="e">
        <f t="shared" si="28"/>
        <v>#N/A</v>
      </c>
      <c r="E163" s="22"/>
      <c r="F163" s="63" t="e">
        <f t="shared" ca="1" si="31"/>
        <v>#DIV/0!</v>
      </c>
      <c r="G163" s="63" t="str">
        <f t="shared" si="29"/>
        <v>N/A</v>
      </c>
      <c r="H163" s="63"/>
      <c r="I163" s="63" t="str">
        <f t="shared" ref="I163:I167" ca="1" si="35">IFERROR(IF(INDEX(CF_CAP_WP,$B163,I$122)=0,"N/A",INDEX(CF_CAP_WP,$B163,I$122)),"N/A")</f>
        <v>N/A</v>
      </c>
      <c r="J163" s="63" t="str">
        <f t="shared" ca="1" si="34"/>
        <v>N/A</v>
      </c>
      <c r="K163" s="63" t="str">
        <f t="shared" ca="1" si="34"/>
        <v>N/A</v>
      </c>
      <c r="L163" s="63" t="str">
        <f t="shared" ca="1" si="34"/>
        <v>N/A</v>
      </c>
      <c r="M163" s="63" t="str">
        <f t="shared" ca="1" si="34"/>
        <v>N/A</v>
      </c>
      <c r="N163" s="63" t="str">
        <f t="shared" ca="1" si="34"/>
        <v>N/A</v>
      </c>
      <c r="O163" s="63" t="str">
        <f t="shared" ca="1" si="34"/>
        <v>N/A</v>
      </c>
      <c r="P163" s="63" t="str">
        <f t="shared" ca="1" si="34"/>
        <v>N/A</v>
      </c>
      <c r="Q163" s="63" t="str">
        <f t="shared" ca="1" si="34"/>
        <v>N/A</v>
      </c>
      <c r="R163" s="63" t="str">
        <f t="shared" ca="1" si="34"/>
        <v>N/A</v>
      </c>
      <c r="S163" s="63" t="str">
        <f t="shared" ca="1" si="34"/>
        <v>N/A</v>
      </c>
    </row>
    <row r="164" spans="1:19" hidden="1" x14ac:dyDescent="0.2">
      <c r="A164" s="51">
        <f t="shared" si="32"/>
        <v>0</v>
      </c>
      <c r="B164" s="46" t="e">
        <f t="shared" ca="1" si="27"/>
        <v>#N/A</v>
      </c>
      <c r="C164" s="1" t="str">
        <f>IF(ISERROR(D164),"",IF(D164="","",MAX($C$121:C163)+1))</f>
        <v/>
      </c>
      <c r="D164" t="e">
        <f t="shared" si="28"/>
        <v>#N/A</v>
      </c>
      <c r="E164" s="22"/>
      <c r="F164" s="63" t="e">
        <f t="shared" ca="1" si="31"/>
        <v>#DIV/0!</v>
      </c>
      <c r="G164" s="63" t="str">
        <f t="shared" si="29"/>
        <v>N/A</v>
      </c>
      <c r="H164" s="63"/>
      <c r="I164" s="63" t="str">
        <f t="shared" ca="1" si="35"/>
        <v>N/A</v>
      </c>
      <c r="J164" s="63" t="str">
        <f t="shared" ca="1" si="34"/>
        <v>N/A</v>
      </c>
      <c r="K164" s="63" t="str">
        <f t="shared" ca="1" si="34"/>
        <v>N/A</v>
      </c>
      <c r="L164" s="63" t="str">
        <f t="shared" ca="1" si="34"/>
        <v>N/A</v>
      </c>
      <c r="M164" s="63" t="str">
        <f t="shared" ca="1" si="34"/>
        <v>N/A</v>
      </c>
      <c r="N164" s="63" t="str">
        <f t="shared" ca="1" si="34"/>
        <v>N/A</v>
      </c>
      <c r="O164" s="63" t="str">
        <f t="shared" ca="1" si="34"/>
        <v>N/A</v>
      </c>
      <c r="P164" s="63" t="str">
        <f t="shared" ca="1" si="34"/>
        <v>N/A</v>
      </c>
      <c r="Q164" s="63" t="str">
        <f t="shared" ca="1" si="34"/>
        <v>N/A</v>
      </c>
      <c r="R164" s="63" t="str">
        <f t="shared" ca="1" si="34"/>
        <v>N/A</v>
      </c>
      <c r="S164" s="63" t="str">
        <f t="shared" ca="1" si="34"/>
        <v>N/A</v>
      </c>
    </row>
    <row r="165" spans="1:19" hidden="1" x14ac:dyDescent="0.2">
      <c r="A165" s="51">
        <f t="shared" si="32"/>
        <v>0</v>
      </c>
      <c r="B165" s="46" t="e">
        <f t="shared" ca="1" si="27"/>
        <v>#N/A</v>
      </c>
      <c r="C165" s="1" t="str">
        <f>IF(ISERROR(D165),"",IF(D165="","",MAX($C$121:C164)+1))</f>
        <v/>
      </c>
      <c r="D165" t="e">
        <f t="shared" si="28"/>
        <v>#N/A</v>
      </c>
      <c r="F165" s="63" t="e">
        <f t="shared" ca="1" si="31"/>
        <v>#DIV/0!</v>
      </c>
      <c r="G165" s="63" t="str">
        <f t="shared" si="29"/>
        <v>N/A</v>
      </c>
      <c r="H165" s="63"/>
      <c r="I165" s="63" t="str">
        <f t="shared" ca="1" si="35"/>
        <v>N/A</v>
      </c>
      <c r="J165" s="63" t="str">
        <f t="shared" ca="1" si="34"/>
        <v>N/A</v>
      </c>
      <c r="K165" s="63" t="str">
        <f t="shared" ca="1" si="34"/>
        <v>N/A</v>
      </c>
      <c r="L165" s="63" t="str">
        <f t="shared" ca="1" si="34"/>
        <v>N/A</v>
      </c>
      <c r="M165" s="63" t="str">
        <f t="shared" ca="1" si="34"/>
        <v>N/A</v>
      </c>
      <c r="N165" s="63" t="str">
        <f t="shared" ca="1" si="34"/>
        <v>N/A</v>
      </c>
      <c r="O165" s="63" t="str">
        <f t="shared" ca="1" si="34"/>
        <v>N/A</v>
      </c>
      <c r="P165" s="63" t="str">
        <f t="shared" ca="1" si="34"/>
        <v>N/A</v>
      </c>
      <c r="Q165" s="63" t="str">
        <f t="shared" ca="1" si="34"/>
        <v>N/A</v>
      </c>
      <c r="R165" s="63" t="str">
        <f t="shared" ca="1" si="34"/>
        <v>N/A</v>
      </c>
      <c r="S165" s="63" t="str">
        <f t="shared" ca="1" si="34"/>
        <v>N/A</v>
      </c>
    </row>
    <row r="166" spans="1:19" hidden="1" x14ac:dyDescent="0.2">
      <c r="A166" s="51">
        <f t="shared" si="32"/>
        <v>0</v>
      </c>
      <c r="B166" s="46" t="e">
        <f t="shared" ca="1" si="27"/>
        <v>#N/A</v>
      </c>
      <c r="C166" s="1" t="str">
        <f>IF(ISERROR(D166),"",IF(D166="","",MAX($C$121:C165)+1))</f>
        <v/>
      </c>
      <c r="D166" t="e">
        <f t="shared" si="28"/>
        <v>#N/A</v>
      </c>
      <c r="F166" s="63" t="e">
        <f t="shared" ca="1" si="31"/>
        <v>#DIV/0!</v>
      </c>
      <c r="G166" s="63" t="str">
        <f t="shared" si="29"/>
        <v>N/A</v>
      </c>
      <c r="H166" s="63"/>
      <c r="I166" s="63" t="str">
        <f t="shared" ca="1" si="35"/>
        <v>N/A</v>
      </c>
      <c r="J166" s="63" t="str">
        <f t="shared" ca="1" si="34"/>
        <v>N/A</v>
      </c>
      <c r="K166" s="63" t="str">
        <f t="shared" ca="1" si="34"/>
        <v>N/A</v>
      </c>
      <c r="L166" s="63" t="str">
        <f t="shared" ca="1" si="34"/>
        <v>N/A</v>
      </c>
      <c r="M166" s="63" t="str">
        <f t="shared" ca="1" si="34"/>
        <v>N/A</v>
      </c>
      <c r="N166" s="63" t="str">
        <f t="shared" ca="1" si="34"/>
        <v>N/A</v>
      </c>
      <c r="O166" s="63" t="str">
        <f t="shared" ca="1" si="34"/>
        <v>N/A</v>
      </c>
      <c r="P166" s="63" t="str">
        <f t="shared" ca="1" si="34"/>
        <v>N/A</v>
      </c>
      <c r="Q166" s="63" t="str">
        <f t="shared" ca="1" si="34"/>
        <v>N/A</v>
      </c>
      <c r="R166" s="63" t="str">
        <f t="shared" ca="1" si="34"/>
        <v>N/A</v>
      </c>
      <c r="S166" s="63" t="str">
        <f t="shared" ca="1" si="34"/>
        <v>N/A</v>
      </c>
    </row>
    <row r="167" spans="1:19" hidden="1" x14ac:dyDescent="0.2">
      <c r="A167" s="51">
        <f t="shared" si="32"/>
        <v>0</v>
      </c>
      <c r="B167" s="46" t="e">
        <f t="shared" ca="1" si="27"/>
        <v>#N/A</v>
      </c>
      <c r="C167" s="1" t="str">
        <f>IF(ISERROR(D167),"",IF(D167="","",MAX($C$121:C166)+1))</f>
        <v/>
      </c>
      <c r="D167" t="e">
        <f t="shared" si="28"/>
        <v>#N/A</v>
      </c>
      <c r="F167" s="63" t="e">
        <f t="shared" ca="1" si="31"/>
        <v>#DIV/0!</v>
      </c>
      <c r="G167" s="63" t="str">
        <f t="shared" si="29"/>
        <v>N/A</v>
      </c>
      <c r="H167" s="63"/>
      <c r="I167" s="63" t="str">
        <f t="shared" ca="1" si="35"/>
        <v>N/A</v>
      </c>
      <c r="J167" s="63" t="str">
        <f t="shared" ca="1" si="34"/>
        <v>N/A</v>
      </c>
      <c r="K167" s="63" t="str">
        <f t="shared" ca="1" si="34"/>
        <v>N/A</v>
      </c>
      <c r="L167" s="63" t="str">
        <f t="shared" ca="1" si="34"/>
        <v>N/A</v>
      </c>
      <c r="M167" s="63" t="str">
        <f t="shared" ca="1" si="34"/>
        <v>N/A</v>
      </c>
      <c r="N167" s="63" t="str">
        <f t="shared" ca="1" si="34"/>
        <v>N/A</v>
      </c>
      <c r="O167" s="63" t="str">
        <f t="shared" ca="1" si="34"/>
        <v>N/A</v>
      </c>
      <c r="P167" s="63" t="str">
        <f t="shared" ca="1" si="34"/>
        <v>N/A</v>
      </c>
      <c r="Q167" s="63" t="str">
        <f t="shared" ca="1" si="34"/>
        <v>N/A</v>
      </c>
      <c r="R167" s="63" t="str">
        <f t="shared" ca="1" si="34"/>
        <v>N/A</v>
      </c>
      <c r="S167" s="63" t="str">
        <f t="shared" ca="1" si="34"/>
        <v>N/A</v>
      </c>
    </row>
    <row r="168" spans="1:19" x14ac:dyDescent="0.2">
      <c r="A168" s="31"/>
      <c r="B168" s="31"/>
      <c r="C168" s="1" t="str">
        <f>IF(ISERROR(D168),"",IF(D168="","",MAX($C$121:C167)+1))</f>
        <v/>
      </c>
      <c r="F168" s="63"/>
      <c r="G168" s="63"/>
      <c r="H168" s="63"/>
      <c r="I168" s="63"/>
      <c r="J168" s="63"/>
      <c r="K168" s="63"/>
      <c r="L168" s="63"/>
      <c r="M168" s="63"/>
      <c r="N168" s="63"/>
      <c r="O168" s="63"/>
      <c r="P168" s="63"/>
      <c r="Q168" s="63"/>
      <c r="R168" s="63"/>
      <c r="S168" s="63"/>
    </row>
    <row r="169" spans="1:19" x14ac:dyDescent="0.2">
      <c r="A169" s="31"/>
      <c r="B169" s="31"/>
      <c r="C169" s="1">
        <f ca="1">IF(ISERROR(D169),"",IF(D169="","",MAX($C$121:C168)+1))</f>
        <v>10</v>
      </c>
      <c r="D169" t="s">
        <v>98</v>
      </c>
      <c r="F169" s="63">
        <f ca="1">AVERAGE(G169:S169)</f>
        <v>1.1396748704902742</v>
      </c>
      <c r="G169" s="63">
        <f t="shared" ref="G169:S169" si="36">AVERAGE(G123:G168)</f>
        <v>1.2658586965349607</v>
      </c>
      <c r="H169" s="63">
        <f t="shared" ca="1" si="36"/>
        <v>1.0651841284213523</v>
      </c>
      <c r="I169" s="63">
        <f t="shared" ca="1" si="36"/>
        <v>1.1263447802017077</v>
      </c>
      <c r="J169" s="63">
        <f t="shared" ca="1" si="36"/>
        <v>1.3025121241722257</v>
      </c>
      <c r="K169" s="63">
        <f t="shared" ca="1" si="36"/>
        <v>1.2071647171017059</v>
      </c>
      <c r="L169" s="63">
        <f t="shared" ca="1" si="36"/>
        <v>1.2703359613381353</v>
      </c>
      <c r="M169" s="63">
        <f t="shared" ca="1" si="36"/>
        <v>1.2517570783974845</v>
      </c>
      <c r="N169" s="63">
        <f t="shared" ca="1" si="36"/>
        <v>0.8972847068911306</v>
      </c>
      <c r="O169" s="63">
        <f t="shared" ca="1" si="36"/>
        <v>1.8137887677523397</v>
      </c>
      <c r="P169" s="63">
        <f t="shared" ca="1" si="36"/>
        <v>1.4106213407543318</v>
      </c>
      <c r="Q169" s="63">
        <f t="shared" ca="1" si="36"/>
        <v>0.81655475440196401</v>
      </c>
      <c r="R169" s="63">
        <f t="shared" ca="1" si="36"/>
        <v>0.83283711340259559</v>
      </c>
      <c r="S169" s="63">
        <f t="shared" ca="1" si="36"/>
        <v>0.55552914700362932</v>
      </c>
    </row>
    <row r="170" spans="1:19" x14ac:dyDescent="0.2">
      <c r="A170" s="31"/>
      <c r="B170" s="31"/>
      <c r="C170" s="1">
        <f ca="1">IF(ISERROR(D170),"",IF(D170="","",MAX($C$121:C169)+1))</f>
        <v>11</v>
      </c>
      <c r="D170" t="s">
        <v>257</v>
      </c>
      <c r="F170" s="63">
        <f ca="1">AVERAGE(G170:S170)</f>
        <v>0.83405163456490194</v>
      </c>
      <c r="G170" s="63">
        <f>MEDIAN(G123:G168)</f>
        <v>0.83018867924528317</v>
      </c>
      <c r="H170" s="63">
        <f t="shared" ref="H170:S170" ca="1" si="37">MEDIAN(H123:H168)</f>
        <v>0.77178612059158136</v>
      </c>
      <c r="I170" s="63">
        <f t="shared" ca="1" si="37"/>
        <v>0.73093734880605954</v>
      </c>
      <c r="J170" s="63">
        <f t="shared" ca="1" si="37"/>
        <v>0.90609874152952574</v>
      </c>
      <c r="K170" s="63">
        <f t="shared" ca="1" si="37"/>
        <v>1.0255434782608694</v>
      </c>
      <c r="L170" s="63">
        <f t="shared" ca="1" si="37"/>
        <v>1.0519630484988454</v>
      </c>
      <c r="M170" s="63">
        <f t="shared" ca="1" si="37"/>
        <v>0.94867193108399128</v>
      </c>
      <c r="N170" s="63">
        <f t="shared" ca="1" si="37"/>
        <v>0.80620451934124848</v>
      </c>
      <c r="O170" s="63">
        <f t="shared" ca="1" si="37"/>
        <v>0.81302857142857143</v>
      </c>
      <c r="P170" s="63">
        <f t="shared" ca="1" si="37"/>
        <v>0.77316486161251508</v>
      </c>
      <c r="Q170" s="63">
        <f t="shared" ca="1" si="37"/>
        <v>0.72182932578972181</v>
      </c>
      <c r="R170" s="63">
        <f t="shared" ca="1" si="37"/>
        <v>0.84852546916890081</v>
      </c>
      <c r="S170" s="63">
        <f t="shared" ca="1" si="37"/>
        <v>0.61472915398660988</v>
      </c>
    </row>
    <row r="171" spans="1:19" x14ac:dyDescent="0.2">
      <c r="A171" s="31"/>
      <c r="B171" s="31"/>
      <c r="C171" s="1"/>
    </row>
    <row r="172" spans="1:19" x14ac:dyDescent="0.2">
      <c r="A172" s="31"/>
      <c r="B172" s="31"/>
      <c r="D172" s="18"/>
    </row>
    <row r="173" spans="1:19" x14ac:dyDescent="0.2">
      <c r="A173" s="31"/>
      <c r="B173" s="31"/>
      <c r="D173" s="20" t="s">
        <v>107</v>
      </c>
    </row>
    <row r="174" spans="1:19" ht="16.5" x14ac:dyDescent="0.2">
      <c r="A174" s="31"/>
      <c r="B174" s="31"/>
      <c r="D174" s="79">
        <v>1</v>
      </c>
      <c r="E174" s="21" t="str">
        <f>"The Value Line Investment Survey Investment Analyzer Software, downloaded on "&amp;TEXT('2017'!$A$1,"mmmm d, yyyy.")</f>
        <v>The Value Line Investment Survey Investment Analyzer Software, downloaded on June 21, 2018.</v>
      </c>
    </row>
    <row r="175" spans="1:19" ht="16.5" x14ac:dyDescent="0.2">
      <c r="A175" s="31"/>
      <c r="B175" s="31"/>
      <c r="D175" s="79">
        <v>2</v>
      </c>
      <c r="E175" s="21" t="str">
        <f>"The Value Line Investment Survey, "&amp;'2018 Data (WP)'!$D$3</f>
        <v>The Value Line Investment Survey, October 12, 2018.</v>
      </c>
    </row>
    <row r="176" spans="1:19" x14ac:dyDescent="0.2">
      <c r="A176" s="31"/>
      <c r="B176" s="31"/>
      <c r="D176" s="20" t="s">
        <v>329</v>
      </c>
    </row>
    <row r="177" spans="1:5" ht="16.5" x14ac:dyDescent="0.2">
      <c r="A177" s="31"/>
      <c r="B177" s="31"/>
      <c r="D177" s="79" t="s">
        <v>355</v>
      </c>
      <c r="E177" s="21" t="str">
        <f>"Based on the projected 2018 Dividends Declared per share and Book Value per share, published in The Value Line Investment Survey, "&amp;'2018 Data (WP)'!$D$3</f>
        <v>Based on the projected 2018 Dividends Declared per share and Book Value per share, published in The Value Line Investment Survey, October 12, 2018.</v>
      </c>
    </row>
    <row r="178" spans="1:5" ht="16.5" x14ac:dyDescent="0.2">
      <c r="A178" s="31"/>
      <c r="B178" s="31"/>
      <c r="D178" s="79" t="s">
        <v>356</v>
      </c>
      <c r="E178" s="21" t="str">
        <f>"Based on the projected 2018 Dividends Declared per share and Earnings per share, published in The Value Line Investment Survey, "&amp;'2018 Data (WP)'!$D$3</f>
        <v>Based on the projected 2018 Dividends Declared per share and Earnings per share, published in The Value Line Investment Survey, October 12, 2018.</v>
      </c>
    </row>
    <row r="179" spans="1:5" ht="16.5" x14ac:dyDescent="0.2">
      <c r="A179" s="31"/>
      <c r="B179" s="31"/>
      <c r="D179" s="79" t="s">
        <v>357</v>
      </c>
      <c r="E179" s="21" t="str">
        <f>"Based on the projected 2018 Cash Flow per share and Capital Spending per share, published in The Value Line Investment Survey, "&amp;'2018 Data (WP)'!$D$3</f>
        <v>Based on the projected 2018 Cash Flow per share and Capital Spending per share, published in The Value Line Investment Survey, October 12, 2018.</v>
      </c>
    </row>
  </sheetData>
  <mergeCells count="9">
    <mergeCell ref="D65:E65"/>
    <mergeCell ref="F118:S118"/>
    <mergeCell ref="D120:E120"/>
    <mergeCell ref="C1:S1"/>
    <mergeCell ref="C4:S4"/>
    <mergeCell ref="C5:S5"/>
    <mergeCell ref="F8:S8"/>
    <mergeCell ref="D10:E10"/>
    <mergeCell ref="F63:S63"/>
  </mergeCells>
  <pageMargins left="0.7" right="0.7" top="0.75" bottom="0.75" header="0.3" footer="0.3"/>
  <pageSetup scale="53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S80"/>
  <sheetViews>
    <sheetView zoomScale="70" zoomScaleNormal="70" workbookViewId="0">
      <selection activeCell="A33" sqref="A33"/>
    </sheetView>
  </sheetViews>
  <sheetFormatPr defaultRowHeight="14.25" x14ac:dyDescent="0.2"/>
  <cols>
    <col min="1" max="1" width="17.5" bestFit="1" customWidth="1"/>
    <col min="2" max="2" width="7.125" customWidth="1"/>
    <col min="3" max="3" width="18.75" customWidth="1"/>
    <col min="4" max="4" width="4.625" customWidth="1"/>
    <col min="5" max="5" width="8.25" customWidth="1"/>
    <col min="6" max="65" width="8.75" customWidth="1"/>
  </cols>
  <sheetData>
    <row r="1" spans="1:19" x14ac:dyDescent="0.2">
      <c r="A1" t="s">
        <v>218</v>
      </c>
    </row>
    <row r="2" spans="1:19" x14ac:dyDescent="0.2">
      <c r="A2" t="s">
        <v>220</v>
      </c>
      <c r="C2" s="70" t="s">
        <v>315</v>
      </c>
      <c r="E2" s="29">
        <v>42850</v>
      </c>
      <c r="F2" s="29">
        <v>42718</v>
      </c>
      <c r="G2" s="29">
        <v>42718</v>
      </c>
      <c r="H2" s="29">
        <v>42718</v>
      </c>
      <c r="I2" s="29">
        <v>42718</v>
      </c>
      <c r="J2" s="29">
        <v>42718</v>
      </c>
      <c r="K2" s="29">
        <v>42718</v>
      </c>
      <c r="L2" s="29">
        <v>42718</v>
      </c>
      <c r="M2" s="29">
        <v>42718</v>
      </c>
      <c r="N2" s="29">
        <v>42718</v>
      </c>
      <c r="O2" s="29">
        <v>42718</v>
      </c>
    </row>
    <row r="3" spans="1:19" x14ac:dyDescent="0.2"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</row>
    <row r="4" spans="1:19" ht="15.75" thickBot="1" x14ac:dyDescent="0.3">
      <c r="E4" s="49">
        <v>2016</v>
      </c>
      <c r="F4" s="47">
        <v>2015</v>
      </c>
      <c r="G4" s="47">
        <v>2014</v>
      </c>
      <c r="H4" s="47">
        <v>2013</v>
      </c>
      <c r="I4" s="47">
        <v>2012</v>
      </c>
      <c r="J4" s="47">
        <v>2011</v>
      </c>
      <c r="K4" s="47">
        <v>2010</v>
      </c>
      <c r="L4" s="47">
        <v>2009</v>
      </c>
      <c r="M4" s="47">
        <v>2008</v>
      </c>
      <c r="N4" s="47">
        <v>2007</v>
      </c>
      <c r="O4" s="47">
        <v>2006</v>
      </c>
      <c r="P4" s="47">
        <v>2005</v>
      </c>
      <c r="Q4" s="47">
        <v>2004</v>
      </c>
      <c r="R4" s="47">
        <v>2003</v>
      </c>
      <c r="S4" s="47">
        <v>2002</v>
      </c>
    </row>
    <row r="5" spans="1:19" x14ac:dyDescent="0.2">
      <c r="A5" t="str">
        <f>IFERROR(INDEX('2018 Data (WP)'!$C$9:$C$73,MATCH($B5,'2018 Data (WP)'!$D$9:$D$73,0)),"")</f>
        <v>Electric Util. (Central)</v>
      </c>
      <c r="B5" t="s">
        <v>0</v>
      </c>
      <c r="C5" t="s">
        <v>91</v>
      </c>
      <c r="D5" s="34"/>
      <c r="E5" s="68">
        <f>IF(IFERROR(INDEX('2016'!$C$5:$C$72,MATCH('P-E Ratio (WP)'!B5,'2016'!$A$5:$A$72,0)),0)=0,"N/A",INDEX('2016'!$C$5:$C$72,MATCH('P-E Ratio (WP)'!B5,'2016'!$A$5:$A$72,0)))</f>
        <v>18.632000000000001</v>
      </c>
      <c r="F5" s="28">
        <v>15.055999999999999</v>
      </c>
      <c r="G5" s="28">
        <v>17.228999999999999</v>
      </c>
      <c r="H5" s="28">
        <v>18.594000000000001</v>
      </c>
      <c r="I5" s="28">
        <v>15.881</v>
      </c>
      <c r="J5" s="28">
        <v>14.662000000000001</v>
      </c>
      <c r="K5" s="28">
        <v>15.976000000000001</v>
      </c>
      <c r="L5" s="28">
        <v>16.079999999999998</v>
      </c>
      <c r="M5" s="28">
        <v>13.948</v>
      </c>
      <c r="N5" s="28">
        <v>14.781000000000001</v>
      </c>
      <c r="O5" s="28">
        <v>16.545000000000002</v>
      </c>
      <c r="P5" s="39">
        <v>17.905999999999999</v>
      </c>
      <c r="Q5" s="39">
        <v>25.213000000000001</v>
      </c>
      <c r="R5" s="39" t="s">
        <v>106</v>
      </c>
      <c r="S5" s="39" t="s">
        <v>106</v>
      </c>
    </row>
    <row r="6" spans="1:19" x14ac:dyDescent="0.2">
      <c r="A6" t="str">
        <f>IFERROR(INDEX('2018 Data (WP)'!$C$9:$C$73,MATCH($B6,'2018 Data (WP)'!$D$9:$D$73,0)),"")</f>
        <v>Electric Util. (Central)</v>
      </c>
      <c r="B6" t="s">
        <v>1</v>
      </c>
      <c r="C6" t="s">
        <v>84</v>
      </c>
      <c r="D6" s="34"/>
      <c r="E6" s="68">
        <f>IF(IFERROR(INDEX('2016'!$C$5:$C$72,MATCH('P-E Ratio (WP)'!B6,'2016'!$A$5:$A$72,0)),0)=0,"N/A",INDEX('2016'!$C$5:$C$72,MATCH('P-E Ratio (WP)'!B6,'2016'!$A$5:$A$72,0)))</f>
        <v>22.303999999999998</v>
      </c>
      <c r="F6" s="28">
        <v>18.071999999999999</v>
      </c>
      <c r="G6" s="28">
        <v>16.603000000000002</v>
      </c>
      <c r="H6" s="28">
        <v>15.276</v>
      </c>
      <c r="I6" s="28">
        <v>14.497999999999999</v>
      </c>
      <c r="J6" s="28">
        <v>14.451000000000001</v>
      </c>
      <c r="K6" s="28">
        <v>12.473000000000001</v>
      </c>
      <c r="L6" s="28">
        <v>13.861000000000001</v>
      </c>
      <c r="M6" s="28">
        <v>13.433</v>
      </c>
      <c r="N6" s="28">
        <v>15.077</v>
      </c>
      <c r="O6" s="28">
        <v>16.82</v>
      </c>
      <c r="P6" s="39">
        <v>12.587999999999999</v>
      </c>
      <c r="Q6" s="39">
        <v>14.002000000000001</v>
      </c>
      <c r="R6" s="39">
        <v>12.692</v>
      </c>
      <c r="S6" s="39">
        <v>19.934000000000001</v>
      </c>
    </row>
    <row r="7" spans="1:19" x14ac:dyDescent="0.2">
      <c r="A7" t="str">
        <f>IFERROR(INDEX('2018 Data (WP)'!$C$9:$C$73,MATCH($B7,'2018 Data (WP)'!$D$9:$D$73,0)),"")</f>
        <v>Water Utility</v>
      </c>
      <c r="B7" s="31" t="s">
        <v>165</v>
      </c>
      <c r="C7" s="31" t="s">
        <v>164</v>
      </c>
      <c r="D7" s="34"/>
      <c r="E7" s="68">
        <f>IF(IFERROR(INDEX('2016'!$C$5:$C$72,MATCH('P-E Ratio (WP)'!B7,'2016'!$A$5:$A$72,0)),0)=0,"N/A",INDEX('2016'!$C$5:$C$72,MATCH('P-E Ratio (WP)'!B7,'2016'!$A$5:$A$72,0)))</f>
        <v>25.593</v>
      </c>
      <c r="F7" s="28">
        <v>24.728000000000002</v>
      </c>
      <c r="G7" s="28">
        <v>20.094999999999999</v>
      </c>
      <c r="H7" s="28">
        <v>17.166</v>
      </c>
      <c r="I7" s="28">
        <v>14.301</v>
      </c>
      <c r="J7" s="28">
        <v>15.356999999999999</v>
      </c>
      <c r="K7" s="28">
        <v>15.731999999999999</v>
      </c>
      <c r="L7" s="28">
        <v>21.196000000000002</v>
      </c>
      <c r="M7" s="28">
        <v>22.585000000000001</v>
      </c>
      <c r="N7" s="28">
        <v>24.004000000000001</v>
      </c>
      <c r="O7" s="28">
        <v>27.728999999999999</v>
      </c>
    </row>
    <row r="8" spans="1:19" x14ac:dyDescent="0.2">
      <c r="A8" t="str">
        <f>IFERROR(INDEX('2018 Data (WP)'!$C$9:$C$73,MATCH($B8,'2018 Data (WP)'!$D$9:$D$73,0)),"")</f>
        <v>Water Utility</v>
      </c>
      <c r="B8" s="31" t="s">
        <v>167</v>
      </c>
      <c r="C8" s="31" t="s">
        <v>166</v>
      </c>
      <c r="D8" s="34"/>
      <c r="E8" s="68">
        <f>IF(IFERROR(INDEX('2016'!$C$5:$C$72,MATCH('P-E Ratio (WP)'!B8,'2016'!$A$5:$A$72,0)),0)=0,"N/A",INDEX('2016'!$C$5:$C$72,MATCH('P-E Ratio (WP)'!B8,'2016'!$A$5:$A$72,0)))</f>
        <v>27.710999999999999</v>
      </c>
      <c r="F8" s="28">
        <v>20.507999999999999</v>
      </c>
      <c r="G8" s="28">
        <v>20.016999999999999</v>
      </c>
      <c r="H8" s="28">
        <v>19.901</v>
      </c>
      <c r="I8" s="28">
        <v>16.707000000000001</v>
      </c>
      <c r="J8" s="28">
        <v>16.797999999999998</v>
      </c>
      <c r="K8" s="28">
        <v>14.613</v>
      </c>
      <c r="L8" s="28">
        <v>15.635</v>
      </c>
      <c r="M8" s="28">
        <v>18.917000000000002</v>
      </c>
      <c r="N8" s="28" t="s">
        <v>106</v>
      </c>
      <c r="O8" s="28" t="s">
        <v>106</v>
      </c>
    </row>
    <row r="9" spans="1:19" x14ac:dyDescent="0.2">
      <c r="A9" t="str">
        <f>IFERROR(INDEX('2018 Data (WP)'!$C$9:$C$73,MATCH($B9,'2018 Data (WP)'!$D$9:$D$73,0)),"")</f>
        <v>Electric Util. (Central)</v>
      </c>
      <c r="B9" t="s">
        <v>3</v>
      </c>
      <c r="C9" t="s">
        <v>80</v>
      </c>
      <c r="D9" s="34"/>
      <c r="E9" s="68">
        <f>IF(IFERROR(INDEX('2016'!$C$5:$C$72,MATCH('P-E Ratio (WP)'!B9,'2016'!$A$5:$A$72,0)),0)=0,"N/A",INDEX('2016'!$C$5:$C$72,MATCH('P-E Ratio (WP)'!B9,'2016'!$A$5:$A$72,0)))</f>
        <v>18.294</v>
      </c>
      <c r="F9" s="28">
        <v>17.545000000000002</v>
      </c>
      <c r="G9" s="28">
        <v>16.706</v>
      </c>
      <c r="H9" s="28">
        <v>16.516999999999999</v>
      </c>
      <c r="I9" s="28">
        <v>13.351000000000001</v>
      </c>
      <c r="J9" s="28">
        <v>11.933999999999999</v>
      </c>
      <c r="K9" s="28">
        <v>9.6549999999999994</v>
      </c>
      <c r="L9" s="28">
        <v>9.2609999999999992</v>
      </c>
      <c r="M9" s="28">
        <v>14.205</v>
      </c>
      <c r="N9" s="28">
        <v>17.45</v>
      </c>
      <c r="O9" s="28">
        <v>19.385000000000002</v>
      </c>
      <c r="P9" s="39">
        <v>16.716000000000001</v>
      </c>
      <c r="Q9" s="39">
        <v>16.276</v>
      </c>
      <c r="R9" s="39">
        <v>13.505000000000001</v>
      </c>
      <c r="S9" s="39">
        <v>15.779</v>
      </c>
    </row>
    <row r="10" spans="1:19" x14ac:dyDescent="0.2">
      <c r="A10" t="str">
        <f>IFERROR(INDEX('2018 Data (WP)'!$C$9:$C$73,MATCH($B10,'2018 Data (WP)'!$D$9:$D$73,0)),"")</f>
        <v>Electric Util. (Central)</v>
      </c>
      <c r="B10" t="s">
        <v>2</v>
      </c>
      <c r="C10" t="s">
        <v>103</v>
      </c>
      <c r="D10" s="34"/>
      <c r="E10" s="68">
        <f>IF(IFERROR(INDEX('2016'!$C$5:$C$72,MATCH('P-E Ratio (WP)'!B10,'2016'!$A$5:$A$72,0)),0)=0,"N/A",INDEX('2016'!$C$5:$C$72,MATCH('P-E Ratio (WP)'!B10,'2016'!$A$5:$A$72,0)))</f>
        <v>15.157</v>
      </c>
      <c r="F10" s="28">
        <v>15.769</v>
      </c>
      <c r="G10" s="28">
        <v>15.875999999999999</v>
      </c>
      <c r="H10" s="28">
        <v>14.494</v>
      </c>
      <c r="I10" s="28">
        <v>13.766999999999999</v>
      </c>
      <c r="J10" s="28">
        <v>11.917999999999999</v>
      </c>
      <c r="K10" s="28">
        <v>13.416</v>
      </c>
      <c r="L10" s="28">
        <v>10.032</v>
      </c>
      <c r="M10" s="28">
        <v>13.061</v>
      </c>
      <c r="N10" s="28">
        <v>16.268000000000001</v>
      </c>
      <c r="O10" s="28">
        <v>12.906000000000001</v>
      </c>
      <c r="P10" s="39">
        <v>13.695</v>
      </c>
      <c r="Q10" s="39">
        <v>12.420999999999999</v>
      </c>
      <c r="R10" s="39">
        <v>10.662000000000001</v>
      </c>
      <c r="S10" s="39">
        <v>12.676</v>
      </c>
    </row>
    <row r="11" spans="1:19" x14ac:dyDescent="0.2">
      <c r="A11" t="str">
        <f>IFERROR(INDEX('2018 Data (WP)'!$C$9:$C$73,MATCH($B11,'2018 Data (WP)'!$D$9:$D$73,0)),"")</f>
        <v>Water Utility</v>
      </c>
      <c r="B11" s="31" t="s">
        <v>171</v>
      </c>
      <c r="C11" s="31" t="s">
        <v>170</v>
      </c>
      <c r="D11" s="34"/>
      <c r="E11" s="68">
        <f>IF(IFERROR(INDEX('2016'!$C$5:$C$72,MATCH('P-E Ratio (WP)'!B11,'2016'!$A$5:$A$72,0)),0)=0,"N/A",INDEX('2016'!$C$5:$C$72,MATCH('P-E Ratio (WP)'!B11,'2016'!$A$5:$A$72,0)))</f>
        <v>23.863</v>
      </c>
      <c r="F11" s="28">
        <v>23.509</v>
      </c>
      <c r="G11" s="28">
        <v>20.760999999999999</v>
      </c>
      <c r="H11" s="28">
        <v>21.18</v>
      </c>
      <c r="I11" s="28">
        <v>21.937000000000001</v>
      </c>
      <c r="J11" s="28">
        <v>21.257000000000001</v>
      </c>
      <c r="K11" s="28">
        <v>21.077999999999999</v>
      </c>
      <c r="L11" s="28">
        <v>23.094000000000001</v>
      </c>
      <c r="M11" s="28">
        <v>24.928000000000001</v>
      </c>
      <c r="N11" s="28">
        <v>31.968</v>
      </c>
      <c r="O11" s="28">
        <v>34.704000000000001</v>
      </c>
    </row>
    <row r="12" spans="1:19" x14ac:dyDescent="0.2">
      <c r="A12" t="str">
        <f>IFERROR(INDEX('2018 Data (WP)'!$C$9:$C$73,MATCH($B12,'2018 Data (WP)'!$D$9:$D$73,0)),"")</f>
        <v>Natural Gas Utility</v>
      </c>
      <c r="B12" s="31" t="s">
        <v>175</v>
      </c>
      <c r="C12" s="31" t="s">
        <v>174</v>
      </c>
      <c r="D12" s="34"/>
      <c r="E12" s="68">
        <f>IF(IFERROR(INDEX('2016'!$C$5:$C$72,MATCH('P-E Ratio (WP)'!B12,'2016'!$A$5:$A$72,0)),0)=0,"N/A",INDEX('2016'!$C$5:$C$72,MATCH('P-E Ratio (WP)'!B12,'2016'!$A$5:$A$72,0)))</f>
        <v>20.8</v>
      </c>
      <c r="F12" s="28">
        <v>17.501000000000001</v>
      </c>
      <c r="G12" s="28">
        <v>16.091999999999999</v>
      </c>
      <c r="H12" s="28">
        <v>15.872999999999999</v>
      </c>
      <c r="I12" s="28">
        <v>15.93</v>
      </c>
      <c r="J12" s="28">
        <v>14.355</v>
      </c>
      <c r="K12" s="28">
        <v>13.21</v>
      </c>
      <c r="L12" s="28">
        <v>12.538</v>
      </c>
      <c r="M12" s="28">
        <v>13.585000000000001</v>
      </c>
      <c r="N12" s="28">
        <v>15.866</v>
      </c>
      <c r="O12" s="28">
        <v>13.523999999999999</v>
      </c>
    </row>
    <row r="13" spans="1:19" x14ac:dyDescent="0.2">
      <c r="A13" t="str">
        <f>IFERROR(INDEX('2018 Data (WP)'!$C$9:$C$73,MATCH($B13,'2018 Data (WP)'!$D$9:$D$73,0)),"")</f>
        <v>Electric Utility (East)</v>
      </c>
      <c r="B13" t="s">
        <v>260</v>
      </c>
      <c r="C13" t="s">
        <v>261</v>
      </c>
      <c r="D13" s="34"/>
      <c r="E13" s="68">
        <f>IF(IFERROR(INDEX('2016'!$C$5:$C$72,MATCH('P-E Ratio (WP)'!B13,'2016'!$A$5:$A$72,0)),0)=0,"N/A",INDEX('2016'!$C$5:$C$72,MATCH('P-E Ratio (WP)'!B13,'2016'!$A$5:$A$72,0)))</f>
        <v>20.492000000000001</v>
      </c>
      <c r="F13" s="28">
        <v>40.936</v>
      </c>
      <c r="G13" s="28" t="s">
        <v>106</v>
      </c>
      <c r="H13" s="28" t="s">
        <v>106</v>
      </c>
      <c r="I13" s="28" t="s">
        <v>106</v>
      </c>
      <c r="J13" s="28" t="s">
        <v>106</v>
      </c>
      <c r="K13" s="28" t="s">
        <v>106</v>
      </c>
      <c r="L13" s="28" t="s">
        <v>106</v>
      </c>
      <c r="M13" s="28" t="s">
        <v>106</v>
      </c>
      <c r="N13" s="28" t="s">
        <v>106</v>
      </c>
      <c r="O13" s="28" t="s">
        <v>106</v>
      </c>
      <c r="P13" s="39" t="s">
        <v>106</v>
      </c>
      <c r="Q13" s="39" t="s">
        <v>106</v>
      </c>
      <c r="R13" s="39" t="s">
        <v>106</v>
      </c>
      <c r="S13" s="39" t="s">
        <v>106</v>
      </c>
    </row>
    <row r="14" spans="1:19" x14ac:dyDescent="0.2">
      <c r="A14" t="str">
        <f>IFERROR(INDEX('2018 Data (WP)'!$C$9:$C$73,MATCH($B14,'2018 Data (WP)'!$D$9:$D$73,0)),"")</f>
        <v>Electric Utility (West)</v>
      </c>
      <c r="B14" t="s">
        <v>4</v>
      </c>
      <c r="C14" t="s">
        <v>86</v>
      </c>
      <c r="D14" s="34"/>
      <c r="E14" s="68">
        <f>IF(IFERROR(INDEX('2016'!$C$5:$C$72,MATCH('P-E Ratio (WP)'!B14,'2016'!$A$5:$A$72,0)),0)=0,"N/A",INDEX('2016'!$C$5:$C$72,MATCH('P-E Ratio (WP)'!B14,'2016'!$A$5:$A$72,0)))</f>
        <v>18.795000000000002</v>
      </c>
      <c r="F14" s="28">
        <v>17.603000000000002</v>
      </c>
      <c r="G14" s="28">
        <v>17.282</v>
      </c>
      <c r="H14" s="28">
        <v>14.635</v>
      </c>
      <c r="I14" s="28">
        <v>19.297000000000001</v>
      </c>
      <c r="J14" s="28">
        <v>14.077999999999999</v>
      </c>
      <c r="K14" s="28">
        <v>12.739000000000001</v>
      </c>
      <c r="L14" s="28">
        <v>11.416</v>
      </c>
      <c r="M14" s="28">
        <v>14.972</v>
      </c>
      <c r="N14" s="28">
        <v>30.875</v>
      </c>
      <c r="O14" s="28">
        <v>15.39</v>
      </c>
      <c r="P14" s="39">
        <v>19.446999999999999</v>
      </c>
      <c r="Q14" s="39">
        <v>24.431999999999999</v>
      </c>
      <c r="R14" s="39">
        <v>13.842000000000001</v>
      </c>
      <c r="S14" s="39">
        <v>19.27</v>
      </c>
    </row>
    <row r="15" spans="1:19" x14ac:dyDescent="0.2">
      <c r="A15" t="str">
        <f>IFERROR(INDEX('2018 Data (WP)'!$C$9:$C$73,MATCH($B15,'2018 Data (WP)'!$D$9:$D$73,0)),"")</f>
        <v>Electric Utility (West)</v>
      </c>
      <c r="B15" t="s">
        <v>5</v>
      </c>
      <c r="C15" t="s">
        <v>46</v>
      </c>
      <c r="D15" s="34"/>
      <c r="E15" s="68">
        <f>IF(IFERROR(INDEX('2016'!$C$5:$C$72,MATCH('P-E Ratio (WP)'!B15,'2016'!$A$5:$A$72,0)),0)=0,"N/A",INDEX('2016'!$C$5:$C$72,MATCH('P-E Ratio (WP)'!B15,'2016'!$A$5:$A$72,0)))</f>
        <v>22.289000000000001</v>
      </c>
      <c r="F15" s="28">
        <v>16.137</v>
      </c>
      <c r="G15" s="28">
        <v>19.029</v>
      </c>
      <c r="H15" s="28">
        <v>18.238</v>
      </c>
      <c r="I15" s="28">
        <v>17.131</v>
      </c>
      <c r="J15" s="28">
        <v>31.129000000000001</v>
      </c>
      <c r="K15" s="28">
        <v>18.096</v>
      </c>
      <c r="L15" s="28">
        <v>9.9260000000000002</v>
      </c>
      <c r="M15" s="28" t="s">
        <v>106</v>
      </c>
      <c r="N15" s="28">
        <v>15.023</v>
      </c>
      <c r="O15" s="28">
        <v>15.766999999999999</v>
      </c>
      <c r="P15" s="39">
        <v>17.265000000000001</v>
      </c>
      <c r="Q15" s="39">
        <v>17.129000000000001</v>
      </c>
      <c r="R15" s="39">
        <v>15.949</v>
      </c>
      <c r="S15" s="39">
        <v>12.515000000000001</v>
      </c>
    </row>
    <row r="16" spans="1:19" x14ac:dyDescent="0.2">
      <c r="A16" t="str">
        <f>IFERROR(INDEX('2018 Data (WP)'!$C$9:$C$73,MATCH($B16,'2018 Data (WP)'!$D$9:$D$73,0)),"")</f>
        <v>Water Utility</v>
      </c>
      <c r="B16" s="31" t="s">
        <v>177</v>
      </c>
      <c r="C16" s="31" t="s">
        <v>176</v>
      </c>
      <c r="D16" s="34"/>
      <c r="E16" s="68">
        <f>IF(IFERROR(INDEX('2016'!$C$5:$C$72,MATCH('P-E Ratio (WP)'!B16,'2016'!$A$5:$A$72,0)),0)=0,"N/A",INDEX('2016'!$C$5:$C$72,MATCH('P-E Ratio (WP)'!B16,'2016'!$A$5:$A$72,0)))</f>
        <v>29.65</v>
      </c>
      <c r="F16" s="28">
        <v>24.773</v>
      </c>
      <c r="G16" s="28">
        <v>19.690999999999999</v>
      </c>
      <c r="H16" s="28">
        <v>20.125</v>
      </c>
      <c r="I16" s="28">
        <v>17.878</v>
      </c>
      <c r="J16" s="28">
        <v>21.277000000000001</v>
      </c>
      <c r="K16" s="28">
        <v>20.295000000000002</v>
      </c>
      <c r="L16" s="28">
        <v>19.686</v>
      </c>
      <c r="M16" s="28">
        <v>19.765999999999998</v>
      </c>
      <c r="N16" s="28">
        <v>26.056999999999999</v>
      </c>
      <c r="O16" s="28">
        <v>29.239000000000001</v>
      </c>
    </row>
    <row r="17" spans="1:19" x14ac:dyDescent="0.2">
      <c r="A17" t="str">
        <f>IFERROR(INDEX('2018 Data (WP)'!$C$9:$C$73,MATCH($B17,'2018 Data (WP)'!$D$9:$D$73,0)),"")</f>
        <v>Electric Util. (Central)</v>
      </c>
      <c r="B17" t="s">
        <v>6</v>
      </c>
      <c r="C17" t="s">
        <v>90</v>
      </c>
      <c r="D17" s="34"/>
      <c r="E17" s="68">
        <f>IF(IFERROR(INDEX('2016'!$C$5:$C$72,MATCH('P-E Ratio (WP)'!B17,'2016'!$A$5:$A$72,0)),0)=0,"N/A",INDEX('2016'!$C$5:$C$72,MATCH('P-E Ratio (WP)'!B17,'2016'!$A$5:$A$72,0)))</f>
        <v>21.91</v>
      </c>
      <c r="F17" s="28">
        <v>18.097999999999999</v>
      </c>
      <c r="G17" s="28">
        <v>16.96</v>
      </c>
      <c r="H17" s="28">
        <v>18.747</v>
      </c>
      <c r="I17" s="28">
        <v>14.847</v>
      </c>
      <c r="J17" s="28">
        <v>14.574999999999999</v>
      </c>
      <c r="K17" s="28">
        <v>13.781000000000001</v>
      </c>
      <c r="L17" s="28">
        <v>11.807</v>
      </c>
      <c r="M17" s="28">
        <v>11.272</v>
      </c>
      <c r="N17" s="28">
        <v>15.002000000000001</v>
      </c>
      <c r="O17" s="28">
        <v>10.265000000000001</v>
      </c>
      <c r="P17" s="39">
        <v>19.055</v>
      </c>
      <c r="Q17" s="39">
        <v>17.841000000000001</v>
      </c>
      <c r="R17" s="39">
        <v>6.0469999999999997</v>
      </c>
      <c r="S17" s="39">
        <v>5.59</v>
      </c>
    </row>
    <row r="18" spans="1:19" x14ac:dyDescent="0.2">
      <c r="A18" t="str">
        <f>IFERROR(INDEX('2018 Data (WP)'!$C$9:$C$73,MATCH($B18,'2018 Data (WP)'!$D$9:$D$73,0)),"")</f>
        <v/>
      </c>
      <c r="B18" t="s">
        <v>7</v>
      </c>
      <c r="C18" t="s">
        <v>48</v>
      </c>
      <c r="D18" s="34"/>
      <c r="E18" s="68" t="str">
        <f>IF(IFERROR(INDEX('2016'!$C$5:$C$72,MATCH('P-E Ratio (WP)'!B18,'2016'!$A$5:$A$72,0)),0)=0,"N/A",INDEX('2016'!$C$5:$C$72,MATCH('P-E Ratio (WP)'!B18,'2016'!$A$5:$A$72,0)))</f>
        <v>N/A</v>
      </c>
      <c r="F18" s="68" t="str">
        <f>IF(IFERROR(INDEX('2017'!$C$5:$C$72,MATCH('P-E Ratio (WP)'!C18,'2017'!$A$5:$A$72,0)),0)=0,"N/A",INDEX('2017'!$C$5:$C$72,MATCH('P-E Ratio (WP)'!C18,'2017'!$A$5:$A$72,0)))</f>
        <v>N/A</v>
      </c>
      <c r="G18" s="68" t="str">
        <f>IF(IFERROR(INDEX('2017'!$C$5:$C$72,MATCH('P-E Ratio (WP)'!D18,'2017'!$A$5:$A$72,0)),0)=0,"N/A",INDEX('2017'!$C$5:$C$72,MATCH('P-E Ratio (WP)'!D18,'2017'!$A$5:$A$72,0)))</f>
        <v>N/A</v>
      </c>
      <c r="H18" s="68" t="str">
        <f>IF(IFERROR(INDEX('2017'!$C$5:$C$72,MATCH('P-E Ratio (WP)'!E18,'2017'!$A$5:$A$72,0)),0)=0,"N/A",INDEX('2017'!$C$5:$C$72,MATCH('P-E Ratio (WP)'!E18,'2017'!$A$5:$A$72,0)))</f>
        <v>N/A</v>
      </c>
      <c r="I18" s="68" t="str">
        <f>IF(IFERROR(INDEX('2017'!$C$5:$C$72,MATCH('P-E Ratio (WP)'!F18,'2017'!$A$5:$A$72,0)),0)=0,"N/A",INDEX('2017'!$C$5:$C$72,MATCH('P-E Ratio (WP)'!F18,'2017'!$A$5:$A$72,0)))</f>
        <v>N/A</v>
      </c>
      <c r="J18" s="68" t="str">
        <f>IF(IFERROR(INDEX('2017'!$C$5:$C$72,MATCH('P-E Ratio (WP)'!G18,'2017'!$A$5:$A$72,0)),0)=0,"N/A",INDEX('2017'!$C$5:$C$72,MATCH('P-E Ratio (WP)'!G18,'2017'!$A$5:$A$72,0)))</f>
        <v>N/A</v>
      </c>
      <c r="K18" s="68" t="str">
        <f>IF(IFERROR(INDEX('2017'!$C$5:$C$72,MATCH('P-E Ratio (WP)'!H18,'2017'!$A$5:$A$72,0)),0)=0,"N/A",INDEX('2017'!$C$5:$C$72,MATCH('P-E Ratio (WP)'!H18,'2017'!$A$5:$A$72,0)))</f>
        <v>N/A</v>
      </c>
      <c r="L18" s="68" t="str">
        <f>IF(IFERROR(INDEX('2017'!$C$5:$C$72,MATCH('P-E Ratio (WP)'!I18,'2017'!$A$5:$A$72,0)),0)=0,"N/A",INDEX('2017'!$C$5:$C$72,MATCH('P-E Ratio (WP)'!I18,'2017'!$A$5:$A$72,0)))</f>
        <v>N/A</v>
      </c>
      <c r="M18" s="68" t="str">
        <f>IF(IFERROR(INDEX('2017'!$C$5:$C$72,MATCH('P-E Ratio (WP)'!J18,'2017'!$A$5:$A$72,0)),0)=0,"N/A",INDEX('2017'!$C$5:$C$72,MATCH('P-E Ratio (WP)'!J18,'2017'!$A$5:$A$72,0)))</f>
        <v>N/A</v>
      </c>
      <c r="N18" s="68" t="str">
        <f>IF(IFERROR(INDEX('2017'!$C$5:$C$72,MATCH('P-E Ratio (WP)'!K18,'2017'!$A$5:$A$72,0)),0)=0,"N/A",INDEX('2017'!$C$5:$C$72,MATCH('P-E Ratio (WP)'!K18,'2017'!$A$5:$A$72,0)))</f>
        <v>N/A</v>
      </c>
      <c r="O18" s="68" t="str">
        <f>IF(IFERROR(INDEX('2017'!$C$5:$C$72,MATCH('P-E Ratio (WP)'!L18,'2017'!$A$5:$A$72,0)),0)=0,"N/A",INDEX('2017'!$C$5:$C$72,MATCH('P-E Ratio (WP)'!L18,'2017'!$A$5:$A$72,0)))</f>
        <v>N/A</v>
      </c>
      <c r="P18" s="39" t="s">
        <v>106</v>
      </c>
      <c r="Q18" s="39">
        <v>17.190000000000001</v>
      </c>
      <c r="R18" s="39">
        <v>15.709</v>
      </c>
      <c r="S18" s="39">
        <v>22.559000000000001</v>
      </c>
    </row>
    <row r="19" spans="1:19" x14ac:dyDescent="0.2">
      <c r="A19" t="str">
        <f>IFERROR(INDEX('2018 Data (WP)'!$C$9:$C$73,MATCH($B19,'2018 Data (WP)'!$D$9:$D$73,0)),"")</f>
        <v>Natural Gas Utility</v>
      </c>
      <c r="B19" s="31" t="s">
        <v>178</v>
      </c>
      <c r="C19" s="31" t="s">
        <v>215</v>
      </c>
      <c r="D19" s="34"/>
      <c r="E19" s="68">
        <f>IF(IFERROR(INDEX('2016'!$C$5:$C$72,MATCH('P-E Ratio (WP)'!B19,'2016'!$A$5:$A$72,0)),0)=0,"N/A",INDEX('2016'!$C$5:$C$72,MATCH('P-E Ratio (WP)'!B19,'2016'!$A$5:$A$72,0)))</f>
        <v>21.774000000000001</v>
      </c>
      <c r="F19" s="28">
        <v>19.145</v>
      </c>
      <c r="G19" s="28">
        <v>17.702000000000002</v>
      </c>
      <c r="H19" s="28">
        <v>15.622</v>
      </c>
      <c r="I19" s="28">
        <v>14.808</v>
      </c>
      <c r="J19" s="28">
        <v>14.16</v>
      </c>
      <c r="K19" s="28">
        <v>12.214</v>
      </c>
      <c r="L19" s="28">
        <v>14.202999999999999</v>
      </c>
      <c r="M19" s="28">
        <v>14.154</v>
      </c>
      <c r="N19" s="28">
        <v>16.718</v>
      </c>
      <c r="O19" s="28">
        <v>17.853999999999999</v>
      </c>
    </row>
    <row r="20" spans="1:19" x14ac:dyDescent="0.2">
      <c r="A20" t="str">
        <f>IFERROR(INDEX('2018 Data (WP)'!$C$9:$C$73,MATCH($B20,'2018 Data (WP)'!$D$9:$D$73,0)),"")</f>
        <v/>
      </c>
      <c r="B20" t="s">
        <v>8</v>
      </c>
      <c r="C20" t="s">
        <v>49</v>
      </c>
      <c r="D20" s="34"/>
      <c r="E20" s="68" t="str">
        <f>IF(IFERROR(INDEX('2016'!$C$5:$C$72,MATCH('P-E Ratio (WP)'!B20,'2016'!$A$5:$A$72,0)),0)=0,"N/A",INDEX('2016'!$C$5:$C$72,MATCH('P-E Ratio (WP)'!B20,'2016'!$A$5:$A$72,0)))</f>
        <v>N/A</v>
      </c>
      <c r="F20" s="68" t="str">
        <f>IF(IFERROR(INDEX('2017'!$C$5:$C$72,MATCH('P-E Ratio (WP)'!C20,'2017'!$A$5:$A$72,0)),0)=0,"N/A",INDEX('2017'!$C$5:$C$72,MATCH('P-E Ratio (WP)'!C20,'2017'!$A$5:$A$72,0)))</f>
        <v>N/A</v>
      </c>
      <c r="G20" s="68" t="str">
        <f>IF(IFERROR(INDEX('2017'!$C$5:$C$72,MATCH('P-E Ratio (WP)'!D20,'2017'!$A$5:$A$72,0)),0)=0,"N/A",INDEX('2017'!$C$5:$C$72,MATCH('P-E Ratio (WP)'!D20,'2017'!$A$5:$A$72,0)))</f>
        <v>N/A</v>
      </c>
      <c r="H20" s="68" t="str">
        <f>IF(IFERROR(INDEX('2017'!$C$5:$C$72,MATCH('P-E Ratio (WP)'!E20,'2017'!$A$5:$A$72,0)),0)=0,"N/A",INDEX('2017'!$C$5:$C$72,MATCH('P-E Ratio (WP)'!E20,'2017'!$A$5:$A$72,0)))</f>
        <v>N/A</v>
      </c>
      <c r="I20" s="68" t="str">
        <f>IF(IFERROR(INDEX('2017'!$C$5:$C$72,MATCH('P-E Ratio (WP)'!F20,'2017'!$A$5:$A$72,0)),0)=0,"N/A",INDEX('2017'!$C$5:$C$72,MATCH('P-E Ratio (WP)'!F20,'2017'!$A$5:$A$72,0)))</f>
        <v>N/A</v>
      </c>
      <c r="J20" s="68" t="str">
        <f>IF(IFERROR(INDEX('2017'!$C$5:$C$72,MATCH('P-E Ratio (WP)'!G20,'2017'!$A$5:$A$72,0)),0)=0,"N/A",INDEX('2017'!$C$5:$C$72,MATCH('P-E Ratio (WP)'!G20,'2017'!$A$5:$A$72,0)))</f>
        <v>N/A</v>
      </c>
      <c r="K20" s="68" t="str">
        <f>IF(IFERROR(INDEX('2017'!$C$5:$C$72,MATCH('P-E Ratio (WP)'!H20,'2017'!$A$5:$A$72,0)),0)=0,"N/A",INDEX('2017'!$C$5:$C$72,MATCH('P-E Ratio (WP)'!H20,'2017'!$A$5:$A$72,0)))</f>
        <v>N/A</v>
      </c>
      <c r="L20" s="68" t="str">
        <f>IF(IFERROR(INDEX('2017'!$C$5:$C$72,MATCH('P-E Ratio (WP)'!I20,'2017'!$A$5:$A$72,0)),0)=0,"N/A",INDEX('2017'!$C$5:$C$72,MATCH('P-E Ratio (WP)'!I20,'2017'!$A$5:$A$72,0)))</f>
        <v>N/A</v>
      </c>
      <c r="M20" s="68" t="str">
        <f>IF(IFERROR(INDEX('2017'!$C$5:$C$72,MATCH('P-E Ratio (WP)'!J20,'2017'!$A$5:$A$72,0)),0)=0,"N/A",INDEX('2017'!$C$5:$C$72,MATCH('P-E Ratio (WP)'!J20,'2017'!$A$5:$A$72,0)))</f>
        <v>N/A</v>
      </c>
      <c r="N20" s="68" t="str">
        <f>IF(IFERROR(INDEX('2017'!$C$5:$C$72,MATCH('P-E Ratio (WP)'!K20,'2017'!$A$5:$A$72,0)),0)=0,"N/A",INDEX('2017'!$C$5:$C$72,MATCH('P-E Ratio (WP)'!K20,'2017'!$A$5:$A$72,0)))</f>
        <v>N/A</v>
      </c>
      <c r="O20" s="68" t="str">
        <f>IF(IFERROR(INDEX('2017'!$C$5:$C$72,MATCH('P-E Ratio (WP)'!L20,'2017'!$A$5:$A$72,0)),0)=0,"N/A",INDEX('2017'!$C$5:$C$72,MATCH('P-E Ratio (WP)'!L20,'2017'!$A$5:$A$72,0)))</f>
        <v>N/A</v>
      </c>
      <c r="P20" s="39" t="s">
        <v>106</v>
      </c>
      <c r="Q20" s="39">
        <v>13.757999999999999</v>
      </c>
      <c r="R20" s="39">
        <v>12.385999999999999</v>
      </c>
      <c r="S20" s="39">
        <v>12.244999999999999</v>
      </c>
    </row>
    <row r="21" spans="1:19" x14ac:dyDescent="0.2">
      <c r="A21" t="str">
        <f>IFERROR(INDEX('2018 Data (WP)'!$C$9:$C$73,MATCH($B21,'2018 Data (WP)'!$D$9:$D$73,0)),"")</f>
        <v>Electric Util. (Central)</v>
      </c>
      <c r="B21" t="s">
        <v>9</v>
      </c>
      <c r="C21" t="s">
        <v>47</v>
      </c>
      <c r="D21" s="34"/>
      <c r="E21" s="68">
        <f>IF(IFERROR(INDEX('2016'!$C$5:$C$72,MATCH('P-E Ratio (WP)'!B21,'2016'!$A$5:$A$72,0)),0)=0,"N/A",INDEX('2016'!$C$5:$C$72,MATCH('P-E Ratio (WP)'!B21,'2016'!$A$5:$A$72,0)))</f>
        <v>20.943000000000001</v>
      </c>
      <c r="F21" s="28">
        <v>18.291</v>
      </c>
      <c r="G21" s="28">
        <v>17.298999999999999</v>
      </c>
      <c r="H21" s="28">
        <v>16.323</v>
      </c>
      <c r="I21" s="28">
        <v>15.069000000000001</v>
      </c>
      <c r="J21" s="28">
        <v>13.615</v>
      </c>
      <c r="K21" s="28">
        <v>12.456</v>
      </c>
      <c r="L21" s="28">
        <v>13.555999999999999</v>
      </c>
      <c r="M21" s="28">
        <v>10.866</v>
      </c>
      <c r="N21" s="28">
        <v>26.837</v>
      </c>
      <c r="O21" s="28">
        <v>22.181000000000001</v>
      </c>
      <c r="P21" s="39">
        <v>12.601000000000001</v>
      </c>
      <c r="Q21" s="39">
        <v>12.385</v>
      </c>
      <c r="R21" s="39" t="s">
        <v>106</v>
      </c>
      <c r="S21" s="39" t="s">
        <v>106</v>
      </c>
    </row>
    <row r="22" spans="1:19" x14ac:dyDescent="0.2">
      <c r="A22" t="str">
        <f>IFERROR(INDEX('2018 Data (WP)'!$C$9:$C$73,MATCH($B22,'2018 Data (WP)'!$D$9:$D$73,0)),"")</f>
        <v>Water Utility</v>
      </c>
      <c r="B22" s="31" t="s">
        <v>180</v>
      </c>
      <c r="C22" s="31" t="s">
        <v>179</v>
      </c>
      <c r="D22" s="34"/>
      <c r="E22" s="68">
        <f>IF(IFERROR(INDEX('2016'!$C$5:$C$72,MATCH('P-E Ratio (WP)'!B22,'2016'!$A$5:$A$72,0)),0)=0,"N/A",INDEX('2016'!$C$5:$C$72,MATCH('P-E Ratio (WP)'!B22,'2016'!$A$5:$A$72,0)))</f>
        <v>23.285</v>
      </c>
      <c r="F22" s="28">
        <v>17.577000000000002</v>
      </c>
      <c r="G22" s="28">
        <v>17.521000000000001</v>
      </c>
      <c r="H22" s="28">
        <v>18.367000000000001</v>
      </c>
      <c r="I22" s="28">
        <v>19.385000000000002</v>
      </c>
      <c r="J22" s="28">
        <v>23.036000000000001</v>
      </c>
      <c r="K22" s="28">
        <v>20.669</v>
      </c>
      <c r="L22" s="28">
        <v>18.405000000000001</v>
      </c>
      <c r="M22" s="28">
        <v>22.167999999999999</v>
      </c>
      <c r="N22" s="28">
        <v>23.001000000000001</v>
      </c>
      <c r="O22" s="28">
        <v>28.977</v>
      </c>
    </row>
    <row r="23" spans="1:19" x14ac:dyDescent="0.2">
      <c r="A23" t="str">
        <f>IFERROR(INDEX('2018 Data (WP)'!$C$9:$C$73,MATCH($B23,'2018 Data (WP)'!$D$9:$D$73,0)),"")</f>
        <v>Electric Utility (East)</v>
      </c>
      <c r="B23" t="s">
        <v>10</v>
      </c>
      <c r="C23" t="s">
        <v>50</v>
      </c>
      <c r="D23" s="34"/>
      <c r="E23" s="68">
        <f>IF(IFERROR(INDEX('2016'!$C$5:$C$72,MATCH('P-E Ratio (WP)'!B23,'2016'!$A$5:$A$72,0)),0)=0,"N/A",INDEX('2016'!$C$5:$C$72,MATCH('P-E Ratio (WP)'!B23,'2016'!$A$5:$A$72,0)))</f>
        <v>18.802</v>
      </c>
      <c r="F23" s="28">
        <v>15.589</v>
      </c>
      <c r="G23" s="28">
        <v>15.901</v>
      </c>
      <c r="H23" s="28">
        <v>14.723000000000001</v>
      </c>
      <c r="I23" s="28">
        <v>15.39</v>
      </c>
      <c r="J23" s="28">
        <v>15.074999999999999</v>
      </c>
      <c r="K23" s="28">
        <v>13.297000000000001</v>
      </c>
      <c r="L23" s="28">
        <v>12.545999999999999</v>
      </c>
      <c r="M23" s="28">
        <v>12.285</v>
      </c>
      <c r="N23" s="28">
        <v>13.782</v>
      </c>
      <c r="O23" s="28">
        <v>15.484999999999999</v>
      </c>
      <c r="P23" s="39">
        <v>15.129</v>
      </c>
      <c r="Q23" s="39">
        <v>18.209</v>
      </c>
      <c r="R23" s="39">
        <v>14.3</v>
      </c>
      <c r="S23" s="39">
        <v>13.278</v>
      </c>
    </row>
    <row r="24" spans="1:19" x14ac:dyDescent="0.2">
      <c r="A24" t="str">
        <f>IFERROR(INDEX('2018 Data (WP)'!$C$9:$C$73,MATCH($B24,'2018 Data (WP)'!$D$9:$D$73,0)),"")</f>
        <v>Water Utility</v>
      </c>
      <c r="B24" s="31" t="s">
        <v>182</v>
      </c>
      <c r="C24" s="31" t="s">
        <v>181</v>
      </c>
      <c r="D24" s="34"/>
      <c r="E24" s="68">
        <f>IF(IFERROR(INDEX('2016'!$C$5:$C$72,MATCH('P-E Ratio (WP)'!B24,'2016'!$A$5:$A$72,0)),0)=0,"N/A",INDEX('2016'!$C$5:$C$72,MATCH('P-E Ratio (WP)'!B24,'2016'!$A$5:$A$72,0)))</f>
        <v>44.807000000000002</v>
      </c>
      <c r="F24" s="28">
        <v>22.692</v>
      </c>
      <c r="G24" s="28">
        <v>28.288</v>
      </c>
      <c r="H24" s="28">
        <v>20.021999999999998</v>
      </c>
      <c r="I24" s="28">
        <v>12.414</v>
      </c>
      <c r="J24" s="28">
        <v>22.393000000000001</v>
      </c>
      <c r="K24" s="28">
        <v>26.867000000000001</v>
      </c>
      <c r="L24" s="28">
        <v>19.030999999999999</v>
      </c>
      <c r="M24" s="28">
        <v>37.79</v>
      </c>
      <c r="N24" s="28">
        <v>35.39</v>
      </c>
      <c r="O24" s="28">
        <v>43.048999999999999</v>
      </c>
    </row>
    <row r="25" spans="1:19" x14ac:dyDescent="0.2">
      <c r="A25" t="str">
        <f>IFERROR(INDEX('2018 Data (WP)'!$C$9:$C$73,MATCH($B25,'2018 Data (WP)'!$D$9:$D$73,0)),"")</f>
        <v>Electric Utility (East)</v>
      </c>
      <c r="B25" t="s">
        <v>11</v>
      </c>
      <c r="C25" t="s">
        <v>52</v>
      </c>
      <c r="D25" s="34"/>
      <c r="E25" s="68">
        <f>IF(IFERROR(INDEX('2016'!$C$5:$C$72,MATCH('P-E Ratio (WP)'!B25,'2016'!$A$5:$A$72,0)),0)=0,"N/A",INDEX('2016'!$C$5:$C$72,MATCH('P-E Ratio (WP)'!B25,'2016'!$A$5:$A$72,0)))</f>
        <v>21.324999999999999</v>
      </c>
      <c r="F25" s="28">
        <v>22.137</v>
      </c>
      <c r="G25" s="28">
        <v>22.972000000000001</v>
      </c>
      <c r="H25" s="28">
        <v>19.245000000000001</v>
      </c>
      <c r="I25" s="28">
        <v>18.911999999999999</v>
      </c>
      <c r="J25" s="28">
        <v>17.27</v>
      </c>
      <c r="K25" s="28">
        <v>14.348000000000001</v>
      </c>
      <c r="L25" s="28">
        <v>12.742000000000001</v>
      </c>
      <c r="M25" s="28">
        <v>13.78</v>
      </c>
      <c r="N25" s="28">
        <v>20.626000000000001</v>
      </c>
      <c r="O25" s="28">
        <v>15.976000000000001</v>
      </c>
      <c r="P25" s="39">
        <v>24.893999999999998</v>
      </c>
      <c r="Q25" s="39">
        <v>15.071999999999999</v>
      </c>
      <c r="R25" s="39">
        <v>15.241</v>
      </c>
      <c r="S25" s="39">
        <v>12.045</v>
      </c>
    </row>
    <row r="26" spans="1:19" x14ac:dyDescent="0.2">
      <c r="A26" t="str">
        <f>IFERROR(INDEX('2018 Data (WP)'!$C$9:$C$73,MATCH($B26,'2018 Data (WP)'!$D$9:$D$73,0)),"")</f>
        <v>Electric Util. (Central)</v>
      </c>
      <c r="B26" t="s">
        <v>12</v>
      </c>
      <c r="C26" t="s">
        <v>51</v>
      </c>
      <c r="D26" s="34"/>
      <c r="E26" s="68">
        <f>IF(IFERROR(INDEX('2016'!$C$5:$C$72,MATCH('P-E Ratio (WP)'!B26,'2016'!$A$5:$A$72,0)),0)=0,"N/A",INDEX('2016'!$C$5:$C$72,MATCH('P-E Ratio (WP)'!B26,'2016'!$A$5:$A$72,0)))</f>
        <v>18.966000000000001</v>
      </c>
      <c r="F26" s="28">
        <v>18.113</v>
      </c>
      <c r="G26" s="28">
        <v>14.912000000000001</v>
      </c>
      <c r="H26" s="28">
        <v>17.914999999999999</v>
      </c>
      <c r="I26" s="28">
        <v>14.888999999999999</v>
      </c>
      <c r="J26" s="28">
        <v>13.509</v>
      </c>
      <c r="K26" s="28">
        <v>12.266</v>
      </c>
      <c r="L26" s="28">
        <v>10.41</v>
      </c>
      <c r="M26" s="28">
        <v>14.811</v>
      </c>
      <c r="N26" s="28">
        <v>18.265000000000001</v>
      </c>
      <c r="O26" s="28">
        <v>17.431000000000001</v>
      </c>
      <c r="P26" s="39">
        <v>13.797000000000001</v>
      </c>
      <c r="Q26" s="39">
        <v>16.042999999999999</v>
      </c>
      <c r="R26" s="39">
        <v>13.689</v>
      </c>
      <c r="S26" s="39">
        <v>11.279</v>
      </c>
    </row>
    <row r="27" spans="1:19" x14ac:dyDescent="0.2">
      <c r="A27" t="str">
        <f>IFERROR(INDEX('2018 Data (WP)'!$C$9:$C$73,MATCH($B27,'2018 Data (WP)'!$D$9:$D$73,0)),"")</f>
        <v>Electric Utility (East)</v>
      </c>
      <c r="B27" t="s">
        <v>13</v>
      </c>
      <c r="C27" t="s">
        <v>93</v>
      </c>
      <c r="D27" s="34"/>
      <c r="E27" s="68">
        <f>IF(IFERROR(INDEX('2016'!$C$5:$C$72,MATCH('P-E Ratio (WP)'!B27,'2016'!$A$5:$A$72,0)),0)=0,"N/A",INDEX('2016'!$C$5:$C$72,MATCH('P-E Ratio (WP)'!B27,'2016'!$A$5:$A$72,0)))</f>
        <v>21.251000000000001</v>
      </c>
      <c r="F27" s="28">
        <v>18.218</v>
      </c>
      <c r="G27" s="28">
        <v>17.913</v>
      </c>
      <c r="H27" s="28">
        <v>17.449000000000002</v>
      </c>
      <c r="I27" s="28">
        <v>17.463999999999999</v>
      </c>
      <c r="J27" s="28">
        <v>13.763</v>
      </c>
      <c r="K27" s="28">
        <v>12.685</v>
      </c>
      <c r="L27" s="28">
        <v>13.317</v>
      </c>
      <c r="M27" s="28">
        <v>17.283000000000001</v>
      </c>
      <c r="N27" s="28">
        <v>16.129000000000001</v>
      </c>
      <c r="O27" s="28" t="s">
        <v>106</v>
      </c>
      <c r="P27" s="39" t="s">
        <v>106</v>
      </c>
      <c r="Q27" s="39" t="s">
        <v>106</v>
      </c>
      <c r="R27" s="39" t="s">
        <v>106</v>
      </c>
      <c r="S27" s="39" t="s">
        <v>106</v>
      </c>
    </row>
    <row r="28" spans="1:19" x14ac:dyDescent="0.2">
      <c r="A28" t="str">
        <f>IFERROR(INDEX('2018 Data (WP)'!$C$9:$C$73,MATCH($B28,'2018 Data (WP)'!$D$9:$D$73,0)),"")</f>
        <v>Electric Utility (West)</v>
      </c>
      <c r="B28" t="s">
        <v>14</v>
      </c>
      <c r="C28" t="s">
        <v>53</v>
      </c>
      <c r="D28" s="34"/>
      <c r="E28" s="68">
        <f>IF(IFERROR(INDEX('2016'!$C$5:$C$72,MATCH('P-E Ratio (WP)'!B28,'2016'!$A$5:$A$72,0)),0)=0,"N/A",INDEX('2016'!$C$5:$C$72,MATCH('P-E Ratio (WP)'!B28,'2016'!$A$5:$A$72,0)))</f>
        <v>17.920000000000002</v>
      </c>
      <c r="F28" s="28">
        <v>14.766999999999999</v>
      </c>
      <c r="G28" s="28">
        <v>13.05</v>
      </c>
      <c r="H28" s="28">
        <v>12.699</v>
      </c>
      <c r="I28" s="28">
        <v>9.7070000000000007</v>
      </c>
      <c r="J28" s="28">
        <v>11.808</v>
      </c>
      <c r="K28" s="28">
        <v>10.319000000000001</v>
      </c>
      <c r="L28" s="28">
        <v>9.718</v>
      </c>
      <c r="M28" s="28">
        <v>12.356999999999999</v>
      </c>
      <c r="N28" s="28">
        <v>16.027999999999999</v>
      </c>
      <c r="O28" s="28">
        <v>12.988</v>
      </c>
      <c r="P28" s="39">
        <v>11.74</v>
      </c>
      <c r="Q28" s="39">
        <v>37.591000000000001</v>
      </c>
      <c r="R28" s="39">
        <v>6.968</v>
      </c>
      <c r="S28" s="39">
        <v>7.7839999999999998</v>
      </c>
    </row>
    <row r="29" spans="1:19" x14ac:dyDescent="0.2">
      <c r="A29" t="str">
        <f>IFERROR(INDEX('2018 Data (WP)'!$C$9:$C$73,MATCH($B29,'2018 Data (WP)'!$D$9:$D$73,0)),"")</f>
        <v>Electric Utility (West)</v>
      </c>
      <c r="B29" t="s">
        <v>15</v>
      </c>
      <c r="C29" t="s">
        <v>88</v>
      </c>
      <c r="D29" s="34"/>
      <c r="E29" s="68">
        <f>IF(IFERROR(INDEX('2016'!$C$5:$C$72,MATCH('P-E Ratio (WP)'!B29,'2016'!$A$5:$A$72,0)),0)=0,"N/A",INDEX('2016'!$C$5:$C$72,MATCH('P-E Ratio (WP)'!B29,'2016'!$A$5:$A$72,0)))</f>
        <v>18.657</v>
      </c>
      <c r="F29" s="28">
        <v>18.329000000000001</v>
      </c>
      <c r="G29" s="28">
        <v>16.382999999999999</v>
      </c>
      <c r="H29" s="28">
        <v>15.879</v>
      </c>
      <c r="I29" s="28">
        <v>14.473000000000001</v>
      </c>
      <c r="J29" s="28">
        <v>12.595000000000001</v>
      </c>
      <c r="K29" s="28">
        <v>10.72</v>
      </c>
      <c r="L29" s="28">
        <v>10.792999999999999</v>
      </c>
      <c r="M29" s="28">
        <v>11.894</v>
      </c>
      <c r="N29" s="28">
        <v>15.26</v>
      </c>
      <c r="O29" s="28">
        <v>16.920000000000002</v>
      </c>
      <c r="P29" s="39">
        <v>26.724</v>
      </c>
      <c r="Q29" s="39">
        <v>22.033000000000001</v>
      </c>
      <c r="R29" s="39">
        <v>18.263000000000002</v>
      </c>
      <c r="S29" s="39">
        <v>22.992999999999999</v>
      </c>
    </row>
    <row r="30" spans="1:19" x14ac:dyDescent="0.2">
      <c r="A30" t="str">
        <f>IFERROR(INDEX('2018 Data (WP)'!$C$9:$C$73,MATCH($B30,'2018 Data (WP)'!$D$9:$D$73,0)),"")</f>
        <v/>
      </c>
      <c r="B30" t="s">
        <v>16</v>
      </c>
      <c r="C30" t="s">
        <v>102</v>
      </c>
      <c r="D30" s="34"/>
      <c r="E30" s="68" t="str">
        <f>IF(IFERROR(INDEX('2016'!$C$5:$C$72,MATCH('P-E Ratio (WP)'!B30,'2016'!$A$5:$A$72,0)),0)=0,"N/A",INDEX('2016'!$C$5:$C$72,MATCH('P-E Ratio (WP)'!B30,'2016'!$A$5:$A$72,0)))</f>
        <v>N/A</v>
      </c>
      <c r="F30" s="28">
        <v>18.71</v>
      </c>
      <c r="G30" s="28">
        <v>16.212</v>
      </c>
      <c r="H30" s="28">
        <v>14.997</v>
      </c>
      <c r="I30" s="28">
        <v>15.757999999999999</v>
      </c>
      <c r="J30" s="28">
        <v>15.763</v>
      </c>
      <c r="K30" s="28">
        <v>16.751999999999999</v>
      </c>
      <c r="L30" s="28">
        <v>14.337999999999999</v>
      </c>
      <c r="M30" s="28">
        <v>17.254999999999999</v>
      </c>
      <c r="N30" s="28">
        <v>21.702000000000002</v>
      </c>
      <c r="O30" s="28">
        <v>15.916</v>
      </c>
      <c r="P30" s="39">
        <v>24.498000000000001</v>
      </c>
      <c r="Q30" s="39">
        <v>24.806999999999999</v>
      </c>
      <c r="R30" s="39">
        <v>15.827</v>
      </c>
      <c r="S30" s="39">
        <v>16.18</v>
      </c>
    </row>
    <row r="31" spans="1:19" x14ac:dyDescent="0.2">
      <c r="A31" t="str">
        <f>IFERROR(INDEX('2018 Data (WP)'!$C$9:$C$73,MATCH($B31,'2018 Data (WP)'!$D$9:$D$73,0)),"")</f>
        <v>Electric Util. (Central)</v>
      </c>
      <c r="B31" t="s">
        <v>17</v>
      </c>
      <c r="C31" t="s">
        <v>55</v>
      </c>
      <c r="D31" s="34"/>
      <c r="E31" s="68">
        <f>IF(IFERROR(INDEX('2016'!$C$5:$C$72,MATCH('P-E Ratio (WP)'!B31,'2016'!$A$5:$A$72,0)),0)=0,"N/A",INDEX('2016'!$C$5:$C$72,MATCH('P-E Ratio (WP)'!B31,'2016'!$A$5:$A$72,0)))</f>
        <v>10.922000000000001</v>
      </c>
      <c r="F31" s="28">
        <v>12.529</v>
      </c>
      <c r="G31" s="28">
        <v>12.885999999999999</v>
      </c>
      <c r="H31" s="28">
        <v>13.214</v>
      </c>
      <c r="I31" s="28">
        <v>11.224</v>
      </c>
      <c r="J31" s="28">
        <v>9.0619999999999994</v>
      </c>
      <c r="K31" s="28">
        <v>11.571</v>
      </c>
      <c r="L31" s="28">
        <v>11.981</v>
      </c>
      <c r="M31" s="28">
        <v>16.556000000000001</v>
      </c>
      <c r="N31" s="28">
        <v>19.303000000000001</v>
      </c>
      <c r="O31" s="28">
        <v>14.276</v>
      </c>
      <c r="P31" s="39">
        <v>16.282</v>
      </c>
      <c r="Q31" s="39">
        <v>15.087</v>
      </c>
      <c r="R31" s="39">
        <v>13.771000000000001</v>
      </c>
      <c r="S31" s="39">
        <v>11.525</v>
      </c>
    </row>
    <row r="32" spans="1:19" x14ac:dyDescent="0.2">
      <c r="A32" t="str">
        <f>IFERROR(INDEX('2018 Data (WP)'!$C$9:$C$73,MATCH($B32,'2018 Data (WP)'!$D$9:$D$73,0)),"")</f>
        <v>Electric Utility (East)</v>
      </c>
      <c r="B32" t="s">
        <v>211</v>
      </c>
      <c r="C32" t="s">
        <v>212</v>
      </c>
      <c r="D32" s="34"/>
      <c r="E32" s="68">
        <f>IF(IFERROR(INDEX('2016'!$C$5:$C$72,MATCH('P-E Ratio (WP)'!B32,'2016'!$A$5:$A$72,0)),0)=0,"N/A",INDEX('2016'!$C$5:$C$72,MATCH('P-E Ratio (WP)'!B32,'2016'!$A$5:$A$72,0)))</f>
        <v>18.692</v>
      </c>
      <c r="F32" s="28">
        <v>18.11</v>
      </c>
      <c r="G32" s="28">
        <v>17.920000000000002</v>
      </c>
      <c r="H32" s="28">
        <v>16.940999999999999</v>
      </c>
      <c r="I32" s="28">
        <v>19.855</v>
      </c>
      <c r="J32" s="28">
        <v>15.35</v>
      </c>
      <c r="K32" s="28">
        <v>13.423</v>
      </c>
      <c r="L32" s="28">
        <v>11.96</v>
      </c>
      <c r="M32" s="28">
        <v>13.662000000000001</v>
      </c>
      <c r="N32" s="28">
        <v>18.745999999999999</v>
      </c>
      <c r="O32" s="28">
        <v>27.065000000000001</v>
      </c>
      <c r="P32" s="39">
        <v>19.757000000000001</v>
      </c>
      <c r="Q32" s="39">
        <v>20.768000000000001</v>
      </c>
      <c r="R32" s="39">
        <v>13.353999999999999</v>
      </c>
      <c r="S32" s="39">
        <v>16.065999999999999</v>
      </c>
    </row>
    <row r="33" spans="1:19" x14ac:dyDescent="0.2">
      <c r="A33" t="str">
        <f>IFERROR(INDEX('2018 Data (WP)'!$C$9:$C$73,MATCH($B33,'2018 Data (WP)'!$D$9:$D$73,0)),"")</f>
        <v>Electric Util. (Central)</v>
      </c>
      <c r="B33" t="s">
        <v>487</v>
      </c>
      <c r="C33" t="s">
        <v>489</v>
      </c>
      <c r="D33" s="34"/>
      <c r="E33" s="68" t="s">
        <v>106</v>
      </c>
      <c r="F33" s="28" t="s">
        <v>106</v>
      </c>
      <c r="G33" s="68" t="s">
        <v>106</v>
      </c>
      <c r="H33" s="28" t="s">
        <v>106</v>
      </c>
      <c r="I33" s="68" t="s">
        <v>106</v>
      </c>
      <c r="J33" s="28" t="s">
        <v>106</v>
      </c>
      <c r="K33" s="68" t="s">
        <v>106</v>
      </c>
      <c r="L33" s="28" t="s">
        <v>106</v>
      </c>
      <c r="M33" s="68" t="s">
        <v>106</v>
      </c>
      <c r="N33" s="28" t="s">
        <v>106</v>
      </c>
      <c r="O33" s="68" t="s">
        <v>106</v>
      </c>
      <c r="P33" s="28" t="s">
        <v>106</v>
      </c>
      <c r="Q33" s="68" t="s">
        <v>106</v>
      </c>
      <c r="R33" s="28" t="s">
        <v>106</v>
      </c>
      <c r="S33" s="68" t="s">
        <v>106</v>
      </c>
    </row>
    <row r="34" spans="1:19" x14ac:dyDescent="0.2">
      <c r="A34" t="str">
        <f>IFERROR(INDEX('2018 Data (WP)'!$C$9:$C$73,MATCH($B34,'2018 Data (WP)'!$D$9:$D$73,0)),"")</f>
        <v>Electric Utility (East)</v>
      </c>
      <c r="B34" t="s">
        <v>18</v>
      </c>
      <c r="C34" t="s">
        <v>69</v>
      </c>
      <c r="D34" s="34"/>
      <c r="E34" s="68">
        <f>IF(IFERROR(INDEX('2016'!$C$5:$C$72,MATCH('P-E Ratio (WP)'!B34,'2016'!$A$5:$A$72,0)),0)=0,"N/A",INDEX('2016'!$C$5:$C$72,MATCH('P-E Ratio (WP)'!B34,'2016'!$A$5:$A$72,0)))</f>
        <v>18.681000000000001</v>
      </c>
      <c r="F34" s="28">
        <v>12.576000000000001</v>
      </c>
      <c r="G34" s="28">
        <v>16.018000000000001</v>
      </c>
      <c r="H34" s="28">
        <v>13.433</v>
      </c>
      <c r="I34" s="28">
        <v>19.077999999999999</v>
      </c>
      <c r="J34" s="28">
        <v>11.301</v>
      </c>
      <c r="K34" s="28">
        <v>10.97</v>
      </c>
      <c r="L34" s="28">
        <v>11.488</v>
      </c>
      <c r="M34" s="28">
        <v>17.972000000000001</v>
      </c>
      <c r="N34" s="28">
        <v>18.222000000000001</v>
      </c>
      <c r="O34" s="28">
        <v>16.529</v>
      </c>
      <c r="P34" s="39">
        <v>15.371</v>
      </c>
      <c r="Q34" s="39">
        <v>12.99</v>
      </c>
      <c r="R34" s="39">
        <v>11.765000000000001</v>
      </c>
      <c r="S34" s="39">
        <v>10.457000000000001</v>
      </c>
    </row>
    <row r="35" spans="1:19" x14ac:dyDescent="0.2">
      <c r="A35" t="str">
        <f>IFERROR(INDEX('2018 Data (WP)'!$C$9:$C$73,MATCH($B35,'2018 Data (WP)'!$D$9:$D$73,0)),"")</f>
        <v>Electric Utility (East)</v>
      </c>
      <c r="B35" t="s">
        <v>19</v>
      </c>
      <c r="C35" t="s">
        <v>66</v>
      </c>
      <c r="D35" s="34"/>
      <c r="E35" s="68">
        <f>IF(IFERROR(INDEX('2016'!$C$5:$C$72,MATCH('P-E Ratio (WP)'!B35,'2016'!$A$5:$A$72,0)),0)=0,"N/A",INDEX('2016'!$C$5:$C$72,MATCH('P-E Ratio (WP)'!B35,'2016'!$A$5:$A$72,0)))</f>
        <v>15.914</v>
      </c>
      <c r="F35" s="28">
        <v>17.023</v>
      </c>
      <c r="G35" s="28">
        <v>39.789000000000001</v>
      </c>
      <c r="H35" s="28">
        <v>13.055</v>
      </c>
      <c r="I35" s="28">
        <v>21.094999999999999</v>
      </c>
      <c r="J35" s="28">
        <v>22.39</v>
      </c>
      <c r="K35" s="28">
        <v>11.747999999999999</v>
      </c>
      <c r="L35" s="28">
        <v>13.023999999999999</v>
      </c>
      <c r="M35" s="28">
        <v>15.643000000000001</v>
      </c>
      <c r="N35" s="28">
        <v>15.587</v>
      </c>
      <c r="O35" s="28">
        <v>14.228999999999999</v>
      </c>
      <c r="P35" s="39">
        <v>16.065000000000001</v>
      </c>
      <c r="Q35" s="39">
        <v>14.127000000000001</v>
      </c>
      <c r="R35" s="39">
        <v>22.47</v>
      </c>
      <c r="S35" s="39">
        <v>12.954000000000001</v>
      </c>
    </row>
    <row r="36" spans="1:19" x14ac:dyDescent="0.2">
      <c r="A36" t="str">
        <f>IFERROR(INDEX('2018 Data (WP)'!$C$9:$C$73,MATCH($B36,'2018 Data (WP)'!$D$9:$D$73,0)),"")</f>
        <v>Electric Util. (Central)</v>
      </c>
      <c r="B36" t="s">
        <v>266</v>
      </c>
      <c r="C36" t="s">
        <v>265</v>
      </c>
      <c r="D36" s="34"/>
      <c r="E36" s="68">
        <f>IF(IFERROR(INDEX('2016'!$C$5:$C$72,MATCH('P-E Ratio (WP)'!B36,'2016'!$A$5:$A$72,0)),0)=0,"N/A",INDEX('2016'!$C$5:$C$72,MATCH('P-E Ratio (WP)'!B36,'2016'!$A$5:$A$72,0)))</f>
        <v>21.603000000000002</v>
      </c>
      <c r="F36" s="28">
        <v>18.001999999999999</v>
      </c>
      <c r="G36" s="28">
        <v>24.286000000000001</v>
      </c>
      <c r="H36" s="28">
        <v>19.97</v>
      </c>
      <c r="I36" s="28">
        <v>20.122</v>
      </c>
      <c r="J36" s="28">
        <v>18.792999999999999</v>
      </c>
      <c r="K36" s="28">
        <v>18.215</v>
      </c>
      <c r="L36" s="28">
        <v>16.364000000000001</v>
      </c>
      <c r="M36" s="28">
        <v>17.481999999999999</v>
      </c>
      <c r="N36" s="28">
        <v>21.143999999999998</v>
      </c>
      <c r="O36" s="28">
        <v>17.684000000000001</v>
      </c>
      <c r="P36" s="39" t="s">
        <v>106</v>
      </c>
      <c r="Q36" s="39" t="s">
        <v>106</v>
      </c>
      <c r="R36" s="39" t="s">
        <v>106</v>
      </c>
      <c r="S36" s="39" t="s">
        <v>106</v>
      </c>
    </row>
    <row r="37" spans="1:19" x14ac:dyDescent="0.2">
      <c r="A37" t="str">
        <f>IFERROR(INDEX('2018 Data (WP)'!$C$9:$C$73,MATCH($B37,'2018 Data (WP)'!$D$9:$D$73,0)),"")</f>
        <v/>
      </c>
      <c r="B37" t="s">
        <v>57</v>
      </c>
      <c r="C37" t="s">
        <v>56</v>
      </c>
      <c r="D37" s="34"/>
      <c r="E37" s="68" t="str">
        <f>IF(IFERROR(INDEX('2016'!$C$5:$C$72,MATCH('P-E Ratio (WP)'!B37,'2016'!$A$5:$A$72,0)),0)=0,"N/A",INDEX('2016'!$C$5:$C$72,MATCH('P-E Ratio (WP)'!B37,'2016'!$A$5:$A$72,0)))</f>
        <v>N/A</v>
      </c>
      <c r="F37" s="68" t="str">
        <f>IF(IFERROR(INDEX('2017'!$C$5:$C$72,MATCH('P-E Ratio (WP)'!C37,'2017'!$A$5:$A$72,0)),0)=0,"N/A",INDEX('2017'!$C$5:$C$72,MATCH('P-E Ratio (WP)'!C37,'2017'!$A$5:$A$72,0)))</f>
        <v>N/A</v>
      </c>
      <c r="G37" s="68" t="str">
        <f>IF(IFERROR(INDEX('2017'!$C$5:$C$72,MATCH('P-E Ratio (WP)'!D37,'2017'!$A$5:$A$72,0)),0)=0,"N/A",INDEX('2017'!$C$5:$C$72,MATCH('P-E Ratio (WP)'!D37,'2017'!$A$5:$A$72,0)))</f>
        <v>N/A</v>
      </c>
      <c r="H37" s="68" t="str">
        <f>IF(IFERROR(INDEX('2017'!$C$5:$C$72,MATCH('P-E Ratio (WP)'!E37,'2017'!$A$5:$A$72,0)),0)=0,"N/A",INDEX('2017'!$C$5:$C$72,MATCH('P-E Ratio (WP)'!E37,'2017'!$A$5:$A$72,0)))</f>
        <v>N/A</v>
      </c>
      <c r="I37" s="68" t="str">
        <f>IF(IFERROR(INDEX('2017'!$C$5:$C$72,MATCH('P-E Ratio (WP)'!F37,'2017'!$A$5:$A$72,0)),0)=0,"N/A",INDEX('2017'!$C$5:$C$72,MATCH('P-E Ratio (WP)'!F37,'2017'!$A$5:$A$72,0)))</f>
        <v>N/A</v>
      </c>
      <c r="J37" s="68" t="str">
        <f>IF(IFERROR(INDEX('2017'!$C$5:$C$72,MATCH('P-E Ratio (WP)'!G37,'2017'!$A$5:$A$72,0)),0)=0,"N/A",INDEX('2017'!$C$5:$C$72,MATCH('P-E Ratio (WP)'!G37,'2017'!$A$5:$A$72,0)))</f>
        <v>N/A</v>
      </c>
      <c r="K37" s="68" t="str">
        <f>IF(IFERROR(INDEX('2017'!$C$5:$C$72,MATCH('P-E Ratio (WP)'!H37,'2017'!$A$5:$A$72,0)),0)=0,"N/A",INDEX('2017'!$C$5:$C$72,MATCH('P-E Ratio (WP)'!H37,'2017'!$A$5:$A$72,0)))</f>
        <v>N/A</v>
      </c>
      <c r="L37" s="68" t="str">
        <f>IF(IFERROR(INDEX('2017'!$C$5:$C$72,MATCH('P-E Ratio (WP)'!I37,'2017'!$A$5:$A$72,0)),0)=0,"N/A",INDEX('2017'!$C$5:$C$72,MATCH('P-E Ratio (WP)'!I37,'2017'!$A$5:$A$72,0)))</f>
        <v>N/A</v>
      </c>
      <c r="M37" s="68" t="str">
        <f>IF(IFERROR(INDEX('2017'!$C$5:$C$72,MATCH('P-E Ratio (WP)'!J37,'2017'!$A$5:$A$72,0)),0)=0,"N/A",INDEX('2017'!$C$5:$C$72,MATCH('P-E Ratio (WP)'!J37,'2017'!$A$5:$A$72,0)))</f>
        <v>N/A</v>
      </c>
      <c r="N37" s="68" t="str">
        <f>IF(IFERROR(INDEX('2017'!$C$5:$C$72,MATCH('P-E Ratio (WP)'!K37,'2017'!$A$5:$A$72,0)),0)=0,"N/A",INDEX('2017'!$C$5:$C$72,MATCH('P-E Ratio (WP)'!K37,'2017'!$A$5:$A$72,0)))</f>
        <v>N/A</v>
      </c>
      <c r="O37" s="68" t="str">
        <f>IF(IFERROR(INDEX('2017'!$C$5:$C$72,MATCH('P-E Ratio (WP)'!L37,'2017'!$A$5:$A$72,0)),0)=0,"N/A",INDEX('2017'!$C$5:$C$72,MATCH('P-E Ratio (WP)'!L37,'2017'!$A$5:$A$72,0)))</f>
        <v>N/A</v>
      </c>
      <c r="P37" s="39" t="s">
        <v>106</v>
      </c>
      <c r="Q37" s="39">
        <v>13.602</v>
      </c>
      <c r="R37" s="39">
        <v>12.646000000000001</v>
      </c>
      <c r="S37" s="39">
        <v>14.225</v>
      </c>
    </row>
    <row r="38" spans="1:19" x14ac:dyDescent="0.2">
      <c r="A38" t="str">
        <f>IFERROR(INDEX('2018 Data (WP)'!$C$9:$C$73,MATCH($B38,'2018 Data (WP)'!$D$9:$D$73,0)),"")</f>
        <v>Electric Util. (Central)</v>
      </c>
      <c r="B38" t="s">
        <v>20</v>
      </c>
      <c r="C38" t="s">
        <v>104</v>
      </c>
      <c r="D38" s="34"/>
      <c r="E38" s="68">
        <f>IF(IFERROR(INDEX('2016'!$C$5:$C$72,MATCH('P-E Ratio (WP)'!B38,'2016'!$A$5:$A$72,0)),0)=0,"N/A",INDEX('2016'!$C$5:$C$72,MATCH('P-E Ratio (WP)'!B38,'2016'!$A$5:$A$72,0)))</f>
        <v>17.981000000000002</v>
      </c>
      <c r="F38" s="28">
        <v>19.366</v>
      </c>
      <c r="G38" s="28">
        <v>16.47</v>
      </c>
      <c r="H38" s="28">
        <v>14.186</v>
      </c>
      <c r="I38" s="28">
        <v>15.534000000000001</v>
      </c>
      <c r="J38" s="28">
        <v>16.105</v>
      </c>
      <c r="K38" s="28">
        <v>12.095000000000001</v>
      </c>
      <c r="L38" s="28">
        <v>16.033000000000001</v>
      </c>
      <c r="M38" s="28">
        <v>20.547000000000001</v>
      </c>
      <c r="N38" s="28">
        <v>16.347999999999999</v>
      </c>
      <c r="O38" s="28">
        <v>18.298999999999999</v>
      </c>
      <c r="P38" s="39">
        <v>13.962</v>
      </c>
      <c r="Q38" s="39">
        <v>12.593</v>
      </c>
      <c r="R38" s="39">
        <v>12.228999999999999</v>
      </c>
      <c r="S38" s="39">
        <v>11.09</v>
      </c>
    </row>
    <row r="39" spans="1:19" x14ac:dyDescent="0.2">
      <c r="A39" t="str">
        <f>IFERROR(INDEX('2018 Data (WP)'!$C$9:$C$73,MATCH($B39,'2018 Data (WP)'!$D$9:$D$73,0)),"")</f>
        <v>Electric Utility (West)</v>
      </c>
      <c r="B39" t="s">
        <v>21</v>
      </c>
      <c r="C39" t="s">
        <v>58</v>
      </c>
      <c r="D39" s="34"/>
      <c r="E39" s="68">
        <f>IF(IFERROR(INDEX('2016'!$C$5:$C$72,MATCH('P-E Ratio (WP)'!B39,'2016'!$A$5:$A$72,0)),0)=0,"N/A",INDEX('2016'!$C$5:$C$72,MATCH('P-E Ratio (WP)'!B39,'2016'!$A$5:$A$72,0)))</f>
        <v>13.555999999999999</v>
      </c>
      <c r="F39" s="28">
        <v>20.402999999999999</v>
      </c>
      <c r="G39" s="28">
        <v>15.881</v>
      </c>
      <c r="H39" s="28">
        <v>16.213000000000001</v>
      </c>
      <c r="I39" s="28">
        <v>15.813000000000001</v>
      </c>
      <c r="J39" s="28">
        <v>17.09</v>
      </c>
      <c r="K39" s="28">
        <v>18.588000000000001</v>
      </c>
      <c r="L39" s="28">
        <v>19.786000000000001</v>
      </c>
      <c r="M39" s="28">
        <v>23.161000000000001</v>
      </c>
      <c r="N39" s="28">
        <v>21.574000000000002</v>
      </c>
      <c r="O39" s="28">
        <v>20.329000000000001</v>
      </c>
      <c r="P39" s="39">
        <v>18.273</v>
      </c>
      <c r="Q39" s="39">
        <v>19.181000000000001</v>
      </c>
      <c r="R39" s="39">
        <v>13.759</v>
      </c>
      <c r="S39" s="39">
        <v>13.474</v>
      </c>
    </row>
    <row r="40" spans="1:19" x14ac:dyDescent="0.2">
      <c r="A40" t="str">
        <f>IFERROR(INDEX('2018 Data (WP)'!$C$9:$C$73,MATCH($B40,'2018 Data (WP)'!$D$9:$D$73,0)),"")</f>
        <v>Electric Utility (West)</v>
      </c>
      <c r="B40" t="s">
        <v>22</v>
      </c>
      <c r="C40" t="s">
        <v>59</v>
      </c>
      <c r="D40" s="34"/>
      <c r="E40" s="68">
        <f>IF(IFERROR(INDEX('2016'!$C$5:$C$72,MATCH('P-E Ratio (WP)'!B40,'2016'!$A$5:$A$72,0)),0)=0,"N/A",INDEX('2016'!$C$5:$C$72,MATCH('P-E Ratio (WP)'!B40,'2016'!$A$5:$A$72,0)))</f>
        <v>19.059999999999999</v>
      </c>
      <c r="F40" s="28">
        <v>16.218</v>
      </c>
      <c r="G40" s="28">
        <v>14.664999999999999</v>
      </c>
      <c r="H40" s="28">
        <v>13.45</v>
      </c>
      <c r="I40" s="28">
        <v>12.409000000000001</v>
      </c>
      <c r="J40" s="28">
        <v>11.535</v>
      </c>
      <c r="K40" s="28">
        <v>11.827</v>
      </c>
      <c r="L40" s="28">
        <v>10.196999999999999</v>
      </c>
      <c r="M40" s="28">
        <v>13.925000000000001</v>
      </c>
      <c r="N40" s="28">
        <v>18.193999999999999</v>
      </c>
      <c r="O40" s="28">
        <v>15.07</v>
      </c>
      <c r="P40" s="39">
        <v>16.699000000000002</v>
      </c>
      <c r="Q40" s="39">
        <v>15.488</v>
      </c>
      <c r="R40" s="39">
        <v>26.510999999999999</v>
      </c>
      <c r="S40" s="39">
        <v>18.875</v>
      </c>
    </row>
    <row r="41" spans="1:19" x14ac:dyDescent="0.2">
      <c r="A41" t="str">
        <f>IFERROR(INDEX('2018 Data (WP)'!$C$9:$C$73,MATCH($B41,'2018 Data (WP)'!$D$9:$D$73,0)),"")</f>
        <v/>
      </c>
      <c r="B41" t="s">
        <v>23</v>
      </c>
      <c r="C41" t="s">
        <v>85</v>
      </c>
      <c r="D41" s="34"/>
      <c r="E41" s="68" t="str">
        <f>IF(IFERROR(INDEX('2016'!$C$5:$C$72,MATCH('P-E Ratio (WP)'!B41,'2016'!$A$5:$A$72,0)),0)=0,"N/A",INDEX('2016'!$C$5:$C$72,MATCH('P-E Ratio (WP)'!B41,'2016'!$A$5:$A$72,0)))</f>
        <v>N/A</v>
      </c>
      <c r="F41" s="68" t="str">
        <f>IF(IFERROR(INDEX('2017'!$C$5:$C$72,MATCH('P-E Ratio (WP)'!C41,'2017'!$A$5:$A$72,0)),0)=0,"N/A",INDEX('2017'!$C$5:$C$72,MATCH('P-E Ratio (WP)'!C41,'2017'!$A$5:$A$72,0)))</f>
        <v>N/A</v>
      </c>
      <c r="G41" s="68" t="str">
        <f>IF(IFERROR(INDEX('2017'!$C$5:$C$72,MATCH('P-E Ratio (WP)'!D41,'2017'!$A$5:$A$72,0)),0)=0,"N/A",INDEX('2017'!$C$5:$C$72,MATCH('P-E Ratio (WP)'!D41,'2017'!$A$5:$A$72,0)))</f>
        <v>N/A</v>
      </c>
      <c r="H41" s="68" t="str">
        <f>IF(IFERROR(INDEX('2017'!$C$5:$C$72,MATCH('P-E Ratio (WP)'!E41,'2017'!$A$5:$A$72,0)),0)=0,"N/A",INDEX('2017'!$C$5:$C$72,MATCH('P-E Ratio (WP)'!E41,'2017'!$A$5:$A$72,0)))</f>
        <v>N/A</v>
      </c>
      <c r="I41" s="68" t="str">
        <f>IF(IFERROR(INDEX('2017'!$C$5:$C$72,MATCH('P-E Ratio (WP)'!F41,'2017'!$A$5:$A$72,0)),0)=0,"N/A",INDEX('2017'!$C$5:$C$72,MATCH('P-E Ratio (WP)'!F41,'2017'!$A$5:$A$72,0)))</f>
        <v>N/A</v>
      </c>
      <c r="J41" s="68" t="str">
        <f>IF(IFERROR(INDEX('2017'!$C$5:$C$72,MATCH('P-E Ratio (WP)'!G41,'2017'!$A$5:$A$72,0)),0)=0,"N/A",INDEX('2017'!$C$5:$C$72,MATCH('P-E Ratio (WP)'!G41,'2017'!$A$5:$A$72,0)))</f>
        <v>N/A</v>
      </c>
      <c r="K41" s="68" t="str">
        <f>IF(IFERROR(INDEX('2017'!$C$5:$C$72,MATCH('P-E Ratio (WP)'!H41,'2017'!$A$5:$A$72,0)),0)=0,"N/A",INDEX('2017'!$C$5:$C$72,MATCH('P-E Ratio (WP)'!H41,'2017'!$A$5:$A$72,0)))</f>
        <v>N/A</v>
      </c>
      <c r="L41" s="68" t="str">
        <f>IF(IFERROR(INDEX('2017'!$C$5:$C$72,MATCH('P-E Ratio (WP)'!I41,'2017'!$A$5:$A$72,0)),0)=0,"N/A",INDEX('2017'!$C$5:$C$72,MATCH('P-E Ratio (WP)'!I41,'2017'!$A$5:$A$72,0)))</f>
        <v>N/A</v>
      </c>
      <c r="M41" s="68" t="str">
        <f>IF(IFERROR(INDEX('2017'!$C$5:$C$72,MATCH('P-E Ratio (WP)'!J41,'2017'!$A$5:$A$72,0)),0)=0,"N/A",INDEX('2017'!$C$5:$C$72,MATCH('P-E Ratio (WP)'!J41,'2017'!$A$5:$A$72,0)))</f>
        <v>N/A</v>
      </c>
      <c r="N41" s="68" t="str">
        <f>IF(IFERROR(INDEX('2017'!$C$5:$C$72,MATCH('P-E Ratio (WP)'!K41,'2017'!$A$5:$A$72,0)),0)=0,"N/A",INDEX('2017'!$C$5:$C$72,MATCH('P-E Ratio (WP)'!K41,'2017'!$A$5:$A$72,0)))</f>
        <v>N/A</v>
      </c>
      <c r="O41" s="68" t="str">
        <f>IF(IFERROR(INDEX('2017'!$C$5:$C$72,MATCH('P-E Ratio (WP)'!L41,'2017'!$A$5:$A$72,0)),0)=0,"N/A",INDEX('2017'!$C$5:$C$72,MATCH('P-E Ratio (WP)'!L41,'2017'!$A$5:$A$72,0)))</f>
        <v>N/A</v>
      </c>
      <c r="P41" s="39" t="s">
        <v>106</v>
      </c>
      <c r="Q41" s="39">
        <v>11.55</v>
      </c>
      <c r="R41" s="39">
        <v>14.875</v>
      </c>
      <c r="S41" s="39">
        <v>13.955</v>
      </c>
    </row>
    <row r="42" spans="1:19" x14ac:dyDescent="0.2">
      <c r="A42" t="str">
        <f>IFERROR(INDEX('2018 Data (WP)'!$C$9:$C$73,MATCH($B42,'2018 Data (WP)'!$D$9:$D$73,0)),"")</f>
        <v/>
      </c>
      <c r="B42" t="s">
        <v>161</v>
      </c>
      <c r="C42" t="s">
        <v>160</v>
      </c>
      <c r="D42" s="34"/>
      <c r="E42" s="68" t="str">
        <f>IF(IFERROR(INDEX('2016'!$C$5:$C$72,MATCH('P-E Ratio (WP)'!B42,'2016'!$A$5:$A$72,0)),0)=0,"N/A",INDEX('2016'!$C$5:$C$72,MATCH('P-E Ratio (WP)'!B42,'2016'!$A$5:$A$72,0)))</f>
        <v>N/A</v>
      </c>
      <c r="F42" s="68" t="str">
        <f>IF(IFERROR(INDEX('2017'!$C$5:$C$72,MATCH('P-E Ratio (WP)'!C42,'2017'!$A$5:$A$72,0)),0)=0,"N/A",INDEX('2017'!$C$5:$C$72,MATCH('P-E Ratio (WP)'!C42,'2017'!$A$5:$A$72,0)))</f>
        <v>N/A</v>
      </c>
      <c r="G42" s="68" t="str">
        <f>IF(IFERROR(INDEX('2017'!$C$5:$C$72,MATCH('P-E Ratio (WP)'!D42,'2017'!$A$5:$A$72,0)),0)=0,"N/A",INDEX('2017'!$C$5:$C$72,MATCH('P-E Ratio (WP)'!D42,'2017'!$A$5:$A$72,0)))</f>
        <v>N/A</v>
      </c>
      <c r="H42" s="68" t="str">
        <f>IF(IFERROR(INDEX('2017'!$C$5:$C$72,MATCH('P-E Ratio (WP)'!E42,'2017'!$A$5:$A$72,0)),0)=0,"N/A",INDEX('2017'!$C$5:$C$72,MATCH('P-E Ratio (WP)'!E42,'2017'!$A$5:$A$72,0)))</f>
        <v>N/A</v>
      </c>
      <c r="I42" s="68" t="str">
        <f>IF(IFERROR(INDEX('2017'!$C$5:$C$72,MATCH('P-E Ratio (WP)'!F42,'2017'!$A$5:$A$72,0)),0)=0,"N/A",INDEX('2017'!$C$5:$C$72,MATCH('P-E Ratio (WP)'!F42,'2017'!$A$5:$A$72,0)))</f>
        <v>N/A</v>
      </c>
      <c r="J42" s="68" t="str">
        <f>IF(IFERROR(INDEX('2017'!$C$5:$C$72,MATCH('P-E Ratio (WP)'!G42,'2017'!$A$5:$A$72,0)),0)=0,"N/A",INDEX('2017'!$C$5:$C$72,MATCH('P-E Ratio (WP)'!G42,'2017'!$A$5:$A$72,0)))</f>
        <v>N/A</v>
      </c>
      <c r="K42" s="68" t="str">
        <f>IF(IFERROR(INDEX('2017'!$C$5:$C$72,MATCH('P-E Ratio (WP)'!H42,'2017'!$A$5:$A$72,0)),0)=0,"N/A",INDEX('2017'!$C$5:$C$72,MATCH('P-E Ratio (WP)'!H42,'2017'!$A$5:$A$72,0)))</f>
        <v>N/A</v>
      </c>
      <c r="L42" s="68" t="str">
        <f>IF(IFERROR(INDEX('2017'!$C$5:$C$72,MATCH('P-E Ratio (WP)'!I42,'2017'!$A$5:$A$72,0)),0)=0,"N/A",INDEX('2017'!$C$5:$C$72,MATCH('P-E Ratio (WP)'!I42,'2017'!$A$5:$A$72,0)))</f>
        <v>N/A</v>
      </c>
      <c r="M42" s="68" t="str">
        <f>IF(IFERROR(INDEX('2017'!$C$5:$C$72,MATCH('P-E Ratio (WP)'!J42,'2017'!$A$5:$A$72,0)),0)=0,"N/A",INDEX('2017'!$C$5:$C$72,MATCH('P-E Ratio (WP)'!J42,'2017'!$A$5:$A$72,0)))</f>
        <v>N/A</v>
      </c>
      <c r="N42" s="68" t="str">
        <f>IF(IFERROR(INDEX('2017'!$C$5:$C$72,MATCH('P-E Ratio (WP)'!K42,'2017'!$A$5:$A$72,0)),0)=0,"N/A",INDEX('2017'!$C$5:$C$72,MATCH('P-E Ratio (WP)'!K42,'2017'!$A$5:$A$72,0)))</f>
        <v>N/A</v>
      </c>
      <c r="O42" s="68" t="str">
        <f>IF(IFERROR(INDEX('2017'!$C$5:$C$72,MATCH('P-E Ratio (WP)'!L42,'2017'!$A$5:$A$72,0)),0)=0,"N/A",INDEX('2017'!$C$5:$C$72,MATCH('P-E Ratio (WP)'!L42,'2017'!$A$5:$A$72,0)))</f>
        <v>N/A</v>
      </c>
      <c r="P42" s="39">
        <v>26.367999999999999</v>
      </c>
      <c r="Q42" s="39" t="s">
        <v>106</v>
      </c>
      <c r="R42" s="39" t="s">
        <v>106</v>
      </c>
      <c r="S42" s="39" t="s">
        <v>106</v>
      </c>
    </row>
    <row r="43" spans="1:19" x14ac:dyDescent="0.2">
      <c r="A43" t="str">
        <f>IFERROR(INDEX('2018 Data (WP)'!$C$9:$C$73,MATCH($B43,'2018 Data (WP)'!$D$9:$D$73,0)),"")</f>
        <v/>
      </c>
      <c r="B43" t="s">
        <v>24</v>
      </c>
      <c r="C43" t="s">
        <v>60</v>
      </c>
      <c r="D43" s="34"/>
      <c r="E43" s="68" t="str">
        <f>IF(IFERROR(INDEX('2016'!$C$5:$C$72,MATCH('P-E Ratio (WP)'!B43,'2016'!$A$5:$A$72,0)),0)=0,"N/A",INDEX('2016'!$C$5:$C$72,MATCH('P-E Ratio (WP)'!B43,'2016'!$A$5:$A$72,0)))</f>
        <v>N/A</v>
      </c>
      <c r="F43" s="68" t="str">
        <f>IF(IFERROR(INDEX('2017'!$C$5:$C$72,MATCH('P-E Ratio (WP)'!C43,'2017'!$A$5:$A$72,0)),0)=0,"N/A",INDEX('2017'!$C$5:$C$72,MATCH('P-E Ratio (WP)'!C43,'2017'!$A$5:$A$72,0)))</f>
        <v>N/A</v>
      </c>
      <c r="G43" s="68" t="str">
        <f>IF(IFERROR(INDEX('2017'!$C$5:$C$72,MATCH('P-E Ratio (WP)'!D43,'2017'!$A$5:$A$72,0)),0)=0,"N/A",INDEX('2017'!$C$5:$C$72,MATCH('P-E Ratio (WP)'!D43,'2017'!$A$5:$A$72,0)))</f>
        <v>N/A</v>
      </c>
      <c r="H43" s="68" t="str">
        <f>IF(IFERROR(INDEX('2017'!$C$5:$C$72,MATCH('P-E Ratio (WP)'!E43,'2017'!$A$5:$A$72,0)),0)=0,"N/A",INDEX('2017'!$C$5:$C$72,MATCH('P-E Ratio (WP)'!E43,'2017'!$A$5:$A$72,0)))</f>
        <v>N/A</v>
      </c>
      <c r="I43" s="68" t="str">
        <f>IF(IFERROR(INDEX('2017'!$C$5:$C$72,MATCH('P-E Ratio (WP)'!F43,'2017'!$A$5:$A$72,0)),0)=0,"N/A",INDEX('2017'!$C$5:$C$72,MATCH('P-E Ratio (WP)'!F43,'2017'!$A$5:$A$72,0)))</f>
        <v>N/A</v>
      </c>
      <c r="J43" s="68" t="str">
        <f>IF(IFERROR(INDEX('2017'!$C$5:$C$72,MATCH('P-E Ratio (WP)'!G43,'2017'!$A$5:$A$72,0)),0)=0,"N/A",INDEX('2017'!$C$5:$C$72,MATCH('P-E Ratio (WP)'!G43,'2017'!$A$5:$A$72,0)))</f>
        <v>N/A</v>
      </c>
      <c r="K43" s="68" t="str">
        <f>IF(IFERROR(INDEX('2017'!$C$5:$C$72,MATCH('P-E Ratio (WP)'!H43,'2017'!$A$5:$A$72,0)),0)=0,"N/A",INDEX('2017'!$C$5:$C$72,MATCH('P-E Ratio (WP)'!H43,'2017'!$A$5:$A$72,0)))</f>
        <v>N/A</v>
      </c>
      <c r="L43" s="68" t="str">
        <f>IF(IFERROR(INDEX('2017'!$C$5:$C$72,MATCH('P-E Ratio (WP)'!I43,'2017'!$A$5:$A$72,0)),0)=0,"N/A",INDEX('2017'!$C$5:$C$72,MATCH('P-E Ratio (WP)'!I43,'2017'!$A$5:$A$72,0)))</f>
        <v>N/A</v>
      </c>
      <c r="M43" s="68" t="str">
        <f>IF(IFERROR(INDEX('2017'!$C$5:$C$72,MATCH('P-E Ratio (WP)'!J43,'2017'!$A$5:$A$72,0)),0)=0,"N/A",INDEX('2017'!$C$5:$C$72,MATCH('P-E Ratio (WP)'!J43,'2017'!$A$5:$A$72,0)))</f>
        <v>N/A</v>
      </c>
      <c r="N43" s="68" t="str">
        <f>IF(IFERROR(INDEX('2017'!$C$5:$C$72,MATCH('P-E Ratio (WP)'!K43,'2017'!$A$5:$A$72,0)),0)=0,"N/A",INDEX('2017'!$C$5:$C$72,MATCH('P-E Ratio (WP)'!K43,'2017'!$A$5:$A$72,0)))</f>
        <v>N/A</v>
      </c>
      <c r="O43" s="68" t="str">
        <f>IF(IFERROR(INDEX('2017'!$C$5:$C$72,MATCH('P-E Ratio (WP)'!L43,'2017'!$A$5:$A$72,0)),0)=0,"N/A",INDEX('2017'!$C$5:$C$72,MATCH('P-E Ratio (WP)'!L43,'2017'!$A$5:$A$72,0)))</f>
        <v>N/A</v>
      </c>
      <c r="P43" s="39">
        <v>13.023999999999999</v>
      </c>
      <c r="Q43" s="39">
        <v>13.635999999999999</v>
      </c>
      <c r="R43" s="39">
        <v>12.965999999999999</v>
      </c>
      <c r="S43" s="39">
        <v>14.363</v>
      </c>
    </row>
    <row r="44" spans="1:19" x14ac:dyDescent="0.2">
      <c r="A44" t="str">
        <f>IFERROR(INDEX('2018 Data (WP)'!$C$9:$C$73,MATCH($B44,'2018 Data (WP)'!$D$9:$D$73,0)),"")</f>
        <v>Electric Util. (Central)</v>
      </c>
      <c r="B44" t="s">
        <v>25</v>
      </c>
      <c r="C44" t="s">
        <v>61</v>
      </c>
      <c r="D44" s="34"/>
      <c r="E44" s="68">
        <f>IF(IFERROR(INDEX('2016'!$C$5:$C$72,MATCH('P-E Ratio (WP)'!B44,'2016'!$A$5:$A$72,0)),0)=0,"N/A",INDEX('2016'!$C$5:$C$72,MATCH('P-E Ratio (WP)'!B44,'2016'!$A$5:$A$72,0)))</f>
        <v>24.904</v>
      </c>
      <c r="F44" s="28">
        <v>20.279</v>
      </c>
      <c r="G44" s="28">
        <v>17.190999999999999</v>
      </c>
      <c r="H44" s="28">
        <v>17.013999999999999</v>
      </c>
      <c r="I44" s="28">
        <v>17.231000000000002</v>
      </c>
      <c r="J44" s="28">
        <v>15.823</v>
      </c>
      <c r="K44" s="28">
        <v>14.977</v>
      </c>
      <c r="L44" s="28">
        <v>15.138999999999999</v>
      </c>
      <c r="M44" s="28">
        <v>14.221</v>
      </c>
      <c r="N44" s="28">
        <v>15.007</v>
      </c>
      <c r="O44" s="28">
        <v>15.879</v>
      </c>
      <c r="P44" s="39">
        <v>22.401</v>
      </c>
      <c r="Q44" s="39">
        <v>17.983000000000001</v>
      </c>
      <c r="R44" s="39">
        <v>17.55</v>
      </c>
      <c r="S44" s="39">
        <v>15.957000000000001</v>
      </c>
    </row>
    <row r="45" spans="1:19" x14ac:dyDescent="0.2">
      <c r="A45" t="str">
        <f>IFERROR(INDEX('2018 Data (WP)'!$C$9:$C$73,MATCH($B45,'2018 Data (WP)'!$D$9:$D$73,0)),"")</f>
        <v>Water Utility</v>
      </c>
      <c r="B45" s="31" t="s">
        <v>188</v>
      </c>
      <c r="C45" s="31" t="s">
        <v>187</v>
      </c>
      <c r="D45" s="34"/>
      <c r="E45" s="68">
        <f>IF(IFERROR(INDEX('2016'!$C$5:$C$72,MATCH('P-E Ratio (WP)'!B45,'2016'!$A$5:$A$72,0)),0)=0,"N/A",INDEX('2016'!$C$5:$C$72,MATCH('P-E Ratio (WP)'!B45,'2016'!$A$5:$A$72,0)))</f>
        <v>25.645</v>
      </c>
      <c r="F45" s="28">
        <v>19.11</v>
      </c>
      <c r="G45" s="28">
        <v>18.486999999999998</v>
      </c>
      <c r="H45" s="28">
        <v>19.704000000000001</v>
      </c>
      <c r="I45" s="28">
        <v>20.829000000000001</v>
      </c>
      <c r="J45" s="28">
        <v>21.725999999999999</v>
      </c>
      <c r="K45" s="28">
        <v>17.809000000000001</v>
      </c>
      <c r="L45" s="28">
        <v>21.016999999999999</v>
      </c>
      <c r="M45" s="28">
        <v>19.798999999999999</v>
      </c>
      <c r="N45" s="28">
        <v>21.588999999999999</v>
      </c>
      <c r="O45" s="28">
        <v>22.718</v>
      </c>
    </row>
    <row r="46" spans="1:19" x14ac:dyDescent="0.2">
      <c r="A46" t="str">
        <f>IFERROR(INDEX('2018 Data (WP)'!$C$9:$C$73,MATCH($B46,'2018 Data (WP)'!$D$9:$D$73,0)),"")</f>
        <v>Natural Gas Utility</v>
      </c>
      <c r="B46" s="31" t="s">
        <v>190</v>
      </c>
      <c r="C46" s="31" t="s">
        <v>189</v>
      </c>
      <c r="D46" s="34"/>
      <c r="E46" s="68">
        <f>IF(IFERROR(INDEX('2016'!$C$5:$C$72,MATCH('P-E Ratio (WP)'!B46,'2016'!$A$5:$A$72,0)),0)=0,"N/A",INDEX('2016'!$C$5:$C$72,MATCH('P-E Ratio (WP)'!B46,'2016'!$A$5:$A$72,0)))</f>
        <v>21.25</v>
      </c>
      <c r="F46" s="28">
        <v>16.613</v>
      </c>
      <c r="G46" s="28">
        <v>11.731999999999999</v>
      </c>
      <c r="H46" s="28">
        <v>15.983000000000001</v>
      </c>
      <c r="I46" s="28">
        <v>16.829000000000001</v>
      </c>
      <c r="J46" s="28">
        <v>16.754999999999999</v>
      </c>
      <c r="K46" s="28">
        <v>14.984</v>
      </c>
      <c r="L46" s="28">
        <v>14.925000000000001</v>
      </c>
      <c r="M46" s="28">
        <v>12.273999999999999</v>
      </c>
      <c r="N46" s="28">
        <v>21.611000000000001</v>
      </c>
      <c r="O46" s="28">
        <v>16.125</v>
      </c>
    </row>
    <row r="47" spans="1:19" x14ac:dyDescent="0.2">
      <c r="A47" t="str">
        <f>IFERROR(INDEX('2018 Data (WP)'!$C$9:$C$73,MATCH($B47,'2018 Data (WP)'!$D$9:$D$73,0)),"")</f>
        <v>Electric Utility (East)</v>
      </c>
      <c r="B47" t="s">
        <v>141</v>
      </c>
      <c r="C47" t="s">
        <v>209</v>
      </c>
      <c r="D47" s="34"/>
      <c r="E47" s="68">
        <f>IF(IFERROR(INDEX('2016'!$C$5:$C$72,MATCH('P-E Ratio (WP)'!B47,'2016'!$A$5:$A$72,0)),0)=0,"N/A",INDEX('2016'!$C$5:$C$72,MATCH('P-E Ratio (WP)'!B47,'2016'!$A$5:$A$72,0)))</f>
        <v>20.710999999999999</v>
      </c>
      <c r="F47" s="28">
        <v>16.893999999999998</v>
      </c>
      <c r="G47" s="28">
        <v>17.254000000000001</v>
      </c>
      <c r="H47" s="28">
        <v>16.571000000000002</v>
      </c>
      <c r="I47" s="28">
        <v>14.433999999999999</v>
      </c>
      <c r="J47" s="28">
        <v>11.536</v>
      </c>
      <c r="K47" s="28">
        <v>10.827999999999999</v>
      </c>
      <c r="L47" s="28">
        <v>13.416</v>
      </c>
      <c r="M47" s="28">
        <v>14.481999999999999</v>
      </c>
      <c r="N47" s="28">
        <v>18.896999999999998</v>
      </c>
      <c r="O47" s="28">
        <v>13.651999999999999</v>
      </c>
      <c r="P47" s="39">
        <v>17.884</v>
      </c>
      <c r="Q47" s="39">
        <v>13.651999999999999</v>
      </c>
      <c r="R47" s="39">
        <v>17.884</v>
      </c>
      <c r="S47" s="39">
        <v>13.602</v>
      </c>
    </row>
    <row r="48" spans="1:19" x14ac:dyDescent="0.2">
      <c r="A48" t="str">
        <f>IFERROR(INDEX('2018 Data (WP)'!$C$9:$C$73,MATCH($B48,'2018 Data (WP)'!$D$9:$D$73,0)),"")</f>
        <v>Natural Gas Utility</v>
      </c>
      <c r="B48" t="s">
        <v>26</v>
      </c>
      <c r="C48" t="s">
        <v>62</v>
      </c>
      <c r="D48" s="34"/>
      <c r="E48" s="68">
        <f>IF(IFERROR(INDEX('2016'!$C$5:$C$72,MATCH('P-E Ratio (WP)'!B48,'2016'!$A$5:$A$72,0)),0)=0,"N/A",INDEX('2016'!$C$5:$C$72,MATCH('P-E Ratio (WP)'!B48,'2016'!$A$5:$A$72,0)))</f>
        <v>23.183</v>
      </c>
      <c r="F48" s="28">
        <v>37.340000000000003</v>
      </c>
      <c r="G48" s="28">
        <v>22.742000000000001</v>
      </c>
      <c r="H48" s="28">
        <v>18.888999999999999</v>
      </c>
      <c r="I48" s="28">
        <v>17.87</v>
      </c>
      <c r="J48" s="28">
        <v>19.363</v>
      </c>
      <c r="K48" s="28">
        <v>15.327</v>
      </c>
      <c r="L48" s="28">
        <v>14.335000000000001</v>
      </c>
      <c r="M48" s="28">
        <v>12.065</v>
      </c>
      <c r="N48" s="28">
        <v>18.815999999999999</v>
      </c>
      <c r="O48" s="28">
        <v>19.16</v>
      </c>
      <c r="P48" s="39">
        <v>21.427</v>
      </c>
      <c r="Q48" s="39">
        <v>13.035</v>
      </c>
      <c r="R48" s="39">
        <v>12.23</v>
      </c>
      <c r="S48" s="39">
        <v>10.752000000000001</v>
      </c>
    </row>
    <row r="49" spans="1:19" x14ac:dyDescent="0.2">
      <c r="A49" t="str">
        <f>IFERROR(INDEX('2018 Data (WP)'!$C$9:$C$73,MATCH($B49,'2018 Data (WP)'!$D$9:$D$73,0)),"")</f>
        <v>Natural Gas Utility</v>
      </c>
      <c r="B49" s="31" t="s">
        <v>192</v>
      </c>
      <c r="C49" s="31" t="s">
        <v>191</v>
      </c>
      <c r="D49" s="34"/>
      <c r="E49" s="68">
        <f>IF(IFERROR(INDEX('2016'!$C$5:$C$72,MATCH('P-E Ratio (WP)'!B49,'2016'!$A$5:$A$72,0)),0)=0,"N/A",INDEX('2016'!$C$5:$C$72,MATCH('P-E Ratio (WP)'!B49,'2016'!$A$5:$A$72,0)))</f>
        <v>26.922999999999998</v>
      </c>
      <c r="F49" s="28">
        <v>23.692</v>
      </c>
      <c r="G49" s="28">
        <v>20.69</v>
      </c>
      <c r="H49" s="28">
        <v>19.379000000000001</v>
      </c>
      <c r="I49" s="28">
        <v>21.076000000000001</v>
      </c>
      <c r="J49" s="28">
        <v>19.018000000000001</v>
      </c>
      <c r="K49" s="28">
        <v>16.971</v>
      </c>
      <c r="L49" s="28">
        <v>15.173</v>
      </c>
      <c r="M49" s="28">
        <v>18.074999999999999</v>
      </c>
      <c r="N49" s="28">
        <v>16.738</v>
      </c>
      <c r="O49" s="28">
        <v>15.85</v>
      </c>
    </row>
    <row r="50" spans="1:19" x14ac:dyDescent="0.2">
      <c r="A50" t="str">
        <f>IFERROR(INDEX('2018 Data (WP)'!$C$9:$C$73,MATCH($B50,'2018 Data (WP)'!$D$9:$D$73,0)),"")</f>
        <v>Electric Utility (West)</v>
      </c>
      <c r="B50" t="str">
        <f>"NWE"</f>
        <v>NWE</v>
      </c>
      <c r="C50" t="s">
        <v>94</v>
      </c>
      <c r="D50" s="34"/>
      <c r="E50" s="68">
        <f>IF(IFERROR(INDEX('2016'!$C$5:$C$72,MATCH('P-E Ratio (WP)'!B50,'2016'!$A$5:$A$72,0)),0)=0,"N/A",INDEX('2016'!$C$5:$C$72,MATCH('P-E Ratio (WP)'!B50,'2016'!$A$5:$A$72,0)))</f>
        <v>17.186</v>
      </c>
      <c r="F50" s="28">
        <v>18.361999999999998</v>
      </c>
      <c r="G50" s="28">
        <v>16.234999999999999</v>
      </c>
      <c r="H50" s="28">
        <v>16.86</v>
      </c>
      <c r="I50" s="28">
        <v>15.717000000000001</v>
      </c>
      <c r="J50" s="28">
        <v>12.622999999999999</v>
      </c>
      <c r="K50" s="28">
        <v>12.895</v>
      </c>
      <c r="L50" s="28">
        <v>11.538</v>
      </c>
      <c r="M50" s="28">
        <v>13.866</v>
      </c>
      <c r="N50" s="28">
        <v>21.734999999999999</v>
      </c>
      <c r="O50" s="28">
        <v>25.952999999999999</v>
      </c>
      <c r="P50" s="39">
        <v>17.091000000000001</v>
      </c>
      <c r="Q50" s="39" t="s">
        <v>106</v>
      </c>
      <c r="R50" s="39" t="s">
        <v>106</v>
      </c>
      <c r="S50" s="39" t="s">
        <v>106</v>
      </c>
    </row>
    <row r="51" spans="1:19" x14ac:dyDescent="0.2">
      <c r="A51" t="str">
        <f>IFERROR(INDEX('2018 Data (WP)'!$C$9:$C$73,MATCH($B51,'2018 Data (WP)'!$D$9:$D$73,0)),"")</f>
        <v>Electric Util. (Central)</v>
      </c>
      <c r="B51" t="s">
        <v>27</v>
      </c>
      <c r="C51" t="s">
        <v>67</v>
      </c>
      <c r="D51" s="34"/>
      <c r="E51" s="68">
        <f>IF(IFERROR(INDEX('2016'!$C$5:$C$72,MATCH('P-E Ratio (WP)'!B51,'2016'!$A$5:$A$72,0)),0)=0,"N/A",INDEX('2016'!$C$5:$C$72,MATCH('P-E Ratio (WP)'!B51,'2016'!$A$5:$A$72,0)))</f>
        <v>17.68</v>
      </c>
      <c r="F51" s="28">
        <v>17.689</v>
      </c>
      <c r="G51" s="28">
        <v>18.265999999999998</v>
      </c>
      <c r="H51" s="28">
        <v>17.693000000000001</v>
      </c>
      <c r="I51" s="28">
        <v>15.156000000000001</v>
      </c>
      <c r="J51" s="28">
        <v>14.366</v>
      </c>
      <c r="K51" s="28">
        <v>13.314</v>
      </c>
      <c r="L51" s="28">
        <v>10.834</v>
      </c>
      <c r="M51" s="28">
        <v>12.407999999999999</v>
      </c>
      <c r="N51" s="28">
        <v>13.750999999999999</v>
      </c>
      <c r="O51" s="28">
        <v>13.675000000000001</v>
      </c>
      <c r="P51" s="39">
        <v>14.95</v>
      </c>
      <c r="Q51" s="39">
        <v>14.131</v>
      </c>
      <c r="R51" s="39">
        <v>11.837999999999999</v>
      </c>
      <c r="S51" s="39">
        <v>14.122999999999999</v>
      </c>
    </row>
    <row r="52" spans="1:19" x14ac:dyDescent="0.2">
      <c r="B52" t="s">
        <v>346</v>
      </c>
      <c r="C52" t="s">
        <v>349</v>
      </c>
      <c r="D52" s="34"/>
      <c r="E52" s="68">
        <f>IF(IFERROR(INDEX('2016'!$C$5:$C$72,MATCH('P-E Ratio (WP)'!B52,'2016'!$A$5:$A$72,0)),0)=0,"N/A",INDEX('2016'!$C$5:$C$72,MATCH('P-E Ratio (WP)'!B52,'2016'!$A$5:$A$72,0)))</f>
        <v>22.738</v>
      </c>
      <c r="F52" s="28">
        <v>19.79</v>
      </c>
      <c r="G52" s="28">
        <v>17.827000000000002</v>
      </c>
      <c r="H52" s="28" t="s">
        <v>106</v>
      </c>
      <c r="I52" s="28" t="s">
        <v>106</v>
      </c>
      <c r="J52" s="28" t="s">
        <v>106</v>
      </c>
      <c r="K52" s="28" t="s">
        <v>106</v>
      </c>
      <c r="L52" s="28" t="s">
        <v>106</v>
      </c>
      <c r="M52" s="28" t="s">
        <v>106</v>
      </c>
      <c r="N52" s="28" t="s">
        <v>106</v>
      </c>
      <c r="O52" s="28" t="s">
        <v>106</v>
      </c>
      <c r="P52" s="39"/>
      <c r="Q52" s="39"/>
      <c r="R52" s="39"/>
      <c r="S52" s="39"/>
    </row>
    <row r="53" spans="1:19" x14ac:dyDescent="0.2">
      <c r="A53" t="str">
        <f>IFERROR(INDEX('2018 Data (WP)'!$C$9:$C$73,MATCH($B53,'2018 Data (WP)'!$D$9:$D$73,0)),"")</f>
        <v>Electric Util. (Central)</v>
      </c>
      <c r="B53" t="s">
        <v>28</v>
      </c>
      <c r="C53" t="s">
        <v>68</v>
      </c>
      <c r="D53" s="34"/>
      <c r="E53" s="68">
        <f>IF(IFERROR(INDEX('2016'!$C$5:$C$72,MATCH('P-E Ratio (WP)'!B53,'2016'!$A$5:$A$72,0)),0)=0,"N/A",INDEX('2016'!$C$5:$C$72,MATCH('P-E Ratio (WP)'!B53,'2016'!$A$5:$A$72,0)))</f>
        <v>20.193000000000001</v>
      </c>
      <c r="F53" s="28">
        <v>18.199000000000002</v>
      </c>
      <c r="G53" s="28">
        <v>18.838000000000001</v>
      </c>
      <c r="H53" s="28">
        <v>21.12</v>
      </c>
      <c r="I53" s="28">
        <v>21.75</v>
      </c>
      <c r="J53" s="28">
        <v>47.481999999999999</v>
      </c>
      <c r="K53" s="28">
        <v>55.097000000000001</v>
      </c>
      <c r="L53" s="28">
        <v>31.158999999999999</v>
      </c>
      <c r="M53" s="28">
        <v>30.056000000000001</v>
      </c>
      <c r="N53" s="28">
        <v>19.02</v>
      </c>
      <c r="O53" s="28">
        <v>17.349</v>
      </c>
      <c r="P53" s="39">
        <v>15.4</v>
      </c>
      <c r="Q53" s="39">
        <v>17.335000000000001</v>
      </c>
      <c r="R53" s="39">
        <v>17.766999999999999</v>
      </c>
      <c r="S53" s="39">
        <v>16.010999999999999</v>
      </c>
    </row>
    <row r="54" spans="1:19" x14ac:dyDescent="0.2">
      <c r="A54" t="str">
        <f>IFERROR(INDEX('2018 Data (WP)'!$C$9:$C$73,MATCH($B54,'2018 Data (WP)'!$D$9:$D$73,0)),"")</f>
        <v/>
      </c>
      <c r="B54" t="s">
        <v>29</v>
      </c>
      <c r="C54" t="s">
        <v>73</v>
      </c>
      <c r="D54" s="34"/>
      <c r="E54" s="68" t="str">
        <f>IF(IFERROR(INDEX('2016'!$C$5:$C$72,MATCH('P-E Ratio (WP)'!B54,'2016'!$A$5:$A$72,0)),0)=0,"N/A",INDEX('2016'!$C$5:$C$72,MATCH('P-E Ratio (WP)'!B54,'2016'!$A$5:$A$72,0)))</f>
        <v>N/A</v>
      </c>
      <c r="F54" s="68" t="str">
        <f>IF(IFERROR(INDEX('2017'!$C$5:$C$72,MATCH('P-E Ratio (WP)'!C54,'2017'!$A$5:$A$72,0)),0)=0,"N/A",INDEX('2017'!$C$5:$C$72,MATCH('P-E Ratio (WP)'!C54,'2017'!$A$5:$A$72,0)))</f>
        <v>N/A</v>
      </c>
      <c r="G54" s="68" t="str">
        <f>IF(IFERROR(INDEX('2017'!$C$5:$C$72,MATCH('P-E Ratio (WP)'!D54,'2017'!$A$5:$A$72,0)),0)=0,"N/A",INDEX('2017'!$C$5:$C$72,MATCH('P-E Ratio (WP)'!D54,'2017'!$A$5:$A$72,0)))</f>
        <v>N/A</v>
      </c>
      <c r="H54" s="68" t="str">
        <f>IF(IFERROR(INDEX('2017'!$C$5:$C$72,MATCH('P-E Ratio (WP)'!E54,'2017'!$A$5:$A$72,0)),0)=0,"N/A",INDEX('2017'!$C$5:$C$72,MATCH('P-E Ratio (WP)'!E54,'2017'!$A$5:$A$72,0)))</f>
        <v>N/A</v>
      </c>
      <c r="I54" s="68" t="str">
        <f>IF(IFERROR(INDEX('2017'!$C$5:$C$72,MATCH('P-E Ratio (WP)'!F54,'2017'!$A$5:$A$72,0)),0)=0,"N/A",INDEX('2017'!$C$5:$C$72,MATCH('P-E Ratio (WP)'!F54,'2017'!$A$5:$A$72,0)))</f>
        <v>N/A</v>
      </c>
      <c r="J54" s="68" t="str">
        <f>IF(IFERROR(INDEX('2017'!$C$5:$C$72,MATCH('P-E Ratio (WP)'!G54,'2017'!$A$5:$A$72,0)),0)=0,"N/A",INDEX('2017'!$C$5:$C$72,MATCH('P-E Ratio (WP)'!G54,'2017'!$A$5:$A$72,0)))</f>
        <v>N/A</v>
      </c>
      <c r="K54" s="68" t="str">
        <f>IF(IFERROR(INDEX('2017'!$C$5:$C$72,MATCH('P-E Ratio (WP)'!H54,'2017'!$A$5:$A$72,0)),0)=0,"N/A",INDEX('2017'!$C$5:$C$72,MATCH('P-E Ratio (WP)'!H54,'2017'!$A$5:$A$72,0)))</f>
        <v>N/A</v>
      </c>
      <c r="L54" s="68" t="str">
        <f>IF(IFERROR(INDEX('2017'!$C$5:$C$72,MATCH('P-E Ratio (WP)'!I54,'2017'!$A$5:$A$72,0)),0)=0,"N/A",INDEX('2017'!$C$5:$C$72,MATCH('P-E Ratio (WP)'!I54,'2017'!$A$5:$A$72,0)))</f>
        <v>N/A</v>
      </c>
      <c r="M54" s="68" t="str">
        <f>IF(IFERROR(INDEX('2017'!$C$5:$C$72,MATCH('P-E Ratio (WP)'!J54,'2017'!$A$5:$A$72,0)),0)=0,"N/A",INDEX('2017'!$C$5:$C$72,MATCH('P-E Ratio (WP)'!J54,'2017'!$A$5:$A$72,0)))</f>
        <v>N/A</v>
      </c>
      <c r="N54" s="68" t="str">
        <f>IF(IFERROR(INDEX('2017'!$C$5:$C$72,MATCH('P-E Ratio (WP)'!K54,'2017'!$A$5:$A$72,0)),0)=0,"N/A",INDEX('2017'!$C$5:$C$72,MATCH('P-E Ratio (WP)'!K54,'2017'!$A$5:$A$72,0)))</f>
        <v>N/A</v>
      </c>
      <c r="O54" s="68" t="str">
        <f>IF(IFERROR(INDEX('2017'!$C$5:$C$72,MATCH('P-E Ratio (WP)'!L54,'2017'!$A$5:$A$72,0)),0)=0,"N/A",INDEX('2017'!$C$5:$C$72,MATCH('P-E Ratio (WP)'!L54,'2017'!$A$5:$A$72,0)))</f>
        <v>N/A</v>
      </c>
      <c r="P54" s="39" t="s">
        <v>106</v>
      </c>
      <c r="Q54" s="39">
        <v>13.571999999999999</v>
      </c>
      <c r="R54" s="39">
        <v>13.358000000000001</v>
      </c>
      <c r="S54" s="39">
        <v>11.256</v>
      </c>
    </row>
    <row r="55" spans="1:19" x14ac:dyDescent="0.2">
      <c r="A55" t="str">
        <f>IFERROR(INDEX('2018 Data (WP)'!$C$9:$C$73,MATCH($B55,'2018 Data (WP)'!$D$9:$D$73,0)),"")</f>
        <v>Electric Utility (West)</v>
      </c>
      <c r="B55" t="s">
        <v>30</v>
      </c>
      <c r="C55" t="s">
        <v>71</v>
      </c>
      <c r="D55" s="34"/>
      <c r="E55" s="68">
        <f>IF(IFERROR(INDEX('2016'!$C$5:$C$72,MATCH('P-E Ratio (WP)'!B55,'2016'!$A$5:$A$72,0)),0)=0,"N/A",INDEX('2016'!$C$5:$C$72,MATCH('P-E Ratio (WP)'!B55,'2016'!$A$5:$A$72,0)))</f>
        <v>21.126999999999999</v>
      </c>
      <c r="F55" s="28">
        <v>26.399000000000001</v>
      </c>
      <c r="G55" s="28">
        <v>15.003</v>
      </c>
      <c r="H55" s="28">
        <v>23.666</v>
      </c>
      <c r="I55" s="28">
        <v>20.702000000000002</v>
      </c>
      <c r="J55" s="28">
        <v>15.458</v>
      </c>
      <c r="K55" s="28">
        <v>15.803000000000001</v>
      </c>
      <c r="L55" s="28">
        <v>13.01</v>
      </c>
      <c r="M55" s="28">
        <v>12.084</v>
      </c>
      <c r="N55" s="28">
        <v>16.847000000000001</v>
      </c>
      <c r="O55" s="28">
        <v>14.842000000000001</v>
      </c>
      <c r="P55" s="39">
        <v>15.366</v>
      </c>
      <c r="Q55" s="39">
        <v>13.808</v>
      </c>
      <c r="R55" s="39">
        <v>9.4990000000000006</v>
      </c>
      <c r="S55" s="39" t="s">
        <v>106</v>
      </c>
    </row>
    <row r="56" spans="1:19" x14ac:dyDescent="0.2">
      <c r="A56" t="str">
        <f>IFERROR(INDEX('2018 Data (WP)'!$C$9:$C$73,MATCH($B56,'2018 Data (WP)'!$D$9:$D$73,0)),"")</f>
        <v>Electric Utility (West)</v>
      </c>
      <c r="B56" t="s">
        <v>31</v>
      </c>
      <c r="C56" t="s">
        <v>72</v>
      </c>
      <c r="D56" s="34"/>
      <c r="E56" s="68">
        <f>IF(IFERROR(INDEX('2016'!$C$5:$C$72,MATCH('P-E Ratio (WP)'!B56,'2016'!$A$5:$A$72,0)),0)=0,"N/A",INDEX('2016'!$C$5:$C$72,MATCH('P-E Ratio (WP)'!B56,'2016'!$A$5:$A$72,0)))</f>
        <v>18.742999999999999</v>
      </c>
      <c r="F56" s="28">
        <v>16.036000000000001</v>
      </c>
      <c r="G56" s="28">
        <v>15.885999999999999</v>
      </c>
      <c r="H56" s="28">
        <v>15.268000000000001</v>
      </c>
      <c r="I56" s="28">
        <v>14.346</v>
      </c>
      <c r="J56" s="28">
        <v>14.603999999999999</v>
      </c>
      <c r="K56" s="28">
        <v>12.565</v>
      </c>
      <c r="L56" s="28">
        <v>13.742000000000001</v>
      </c>
      <c r="M56" s="28">
        <v>16.065999999999999</v>
      </c>
      <c r="N56" s="28">
        <v>14.930999999999999</v>
      </c>
      <c r="O56" s="28">
        <v>13.691000000000001</v>
      </c>
      <c r="P56" s="39">
        <v>19.236000000000001</v>
      </c>
      <c r="Q56" s="39">
        <v>15.798999999999999</v>
      </c>
      <c r="R56" s="39">
        <v>13.961</v>
      </c>
      <c r="S56" s="39">
        <v>14.430999999999999</v>
      </c>
    </row>
    <row r="57" spans="1:19" x14ac:dyDescent="0.2">
      <c r="A57" t="str">
        <f>IFERROR(INDEX('2018 Data (WP)'!$C$9:$C$73,MATCH($B57,'2018 Data (WP)'!$D$9:$D$73,0)),"")</f>
        <v>Electric Utility (West)</v>
      </c>
      <c r="B57" t="s">
        <v>32</v>
      </c>
      <c r="C57" t="s">
        <v>74</v>
      </c>
      <c r="D57" s="34"/>
      <c r="E57" s="68">
        <f>IF(IFERROR(INDEX('2016'!$C$5:$C$72,MATCH('P-E Ratio (WP)'!B57,'2016'!$A$5:$A$72,0)),0)=0,"N/A",INDEX('2016'!$C$5:$C$72,MATCH('P-E Ratio (WP)'!B57,'2016'!$A$5:$A$72,0)))</f>
        <v>19.832000000000001</v>
      </c>
      <c r="F57" s="28">
        <v>16.847000000000001</v>
      </c>
      <c r="G57" s="28">
        <v>18.675999999999998</v>
      </c>
      <c r="H57" s="28">
        <v>16.131</v>
      </c>
      <c r="I57" s="28">
        <v>14.971</v>
      </c>
      <c r="J57" s="28">
        <v>14.532</v>
      </c>
      <c r="K57" s="28">
        <v>14.045</v>
      </c>
      <c r="L57" s="28">
        <v>18.093</v>
      </c>
      <c r="M57" s="28" t="s">
        <v>106</v>
      </c>
      <c r="N57" s="28">
        <v>35.649000000000001</v>
      </c>
      <c r="O57" s="28">
        <v>15.573</v>
      </c>
      <c r="P57" s="39">
        <v>17.379000000000001</v>
      </c>
      <c r="Q57" s="39">
        <v>15.021000000000001</v>
      </c>
      <c r="R57" s="39">
        <v>14.73</v>
      </c>
      <c r="S57" s="39">
        <v>15.079000000000001</v>
      </c>
    </row>
    <row r="58" spans="1:19" x14ac:dyDescent="0.2">
      <c r="A58" t="str">
        <f>IFERROR(INDEX('2018 Data (WP)'!$C$9:$C$73,MATCH($B58,'2018 Data (WP)'!$D$9:$D$73,0)),"")</f>
        <v>Electric Utility (West)</v>
      </c>
      <c r="B58" t="s">
        <v>33</v>
      </c>
      <c r="C58" t="s">
        <v>92</v>
      </c>
      <c r="D58" s="34"/>
      <c r="E58" s="68">
        <f>IF(IFERROR(INDEX('2016'!$C$5:$C$72,MATCH('P-E Ratio (WP)'!B58,'2016'!$A$5:$A$72,0)),0)=0,"N/A",INDEX('2016'!$C$5:$C$72,MATCH('P-E Ratio (WP)'!B58,'2016'!$A$5:$A$72,0)))</f>
        <v>19.058</v>
      </c>
      <c r="F58" s="28">
        <v>17.713999999999999</v>
      </c>
      <c r="G58" s="28">
        <v>15.318</v>
      </c>
      <c r="H58" s="28">
        <v>16.88</v>
      </c>
      <c r="I58" s="28">
        <v>13.978999999999999</v>
      </c>
      <c r="J58" s="28">
        <v>12.37</v>
      </c>
      <c r="K58" s="28">
        <v>12</v>
      </c>
      <c r="L58" s="28">
        <v>14.395</v>
      </c>
      <c r="M58" s="28">
        <v>16.295999999999999</v>
      </c>
      <c r="N58" s="28">
        <v>11.942</v>
      </c>
      <c r="O58" s="28">
        <v>23.35</v>
      </c>
      <c r="P58" s="39" t="s">
        <v>106</v>
      </c>
      <c r="Q58" s="39" t="s">
        <v>106</v>
      </c>
      <c r="R58" s="39" t="s">
        <v>106</v>
      </c>
      <c r="S58" s="39" t="s">
        <v>106</v>
      </c>
    </row>
    <row r="59" spans="1:19" x14ac:dyDescent="0.2">
      <c r="A59" t="str">
        <f>IFERROR(INDEX('2018 Data (WP)'!$C$9:$C$73,MATCH($B59,'2018 Data (WP)'!$D$9:$D$73,0)),"")</f>
        <v>Electric Utility (East)</v>
      </c>
      <c r="B59" t="s">
        <v>34</v>
      </c>
      <c r="C59" t="s">
        <v>70</v>
      </c>
      <c r="D59" s="34"/>
      <c r="E59" s="68">
        <f>IF(IFERROR(INDEX('2016'!$C$5:$C$72,MATCH('P-E Ratio (WP)'!B59,'2016'!$A$5:$A$72,0)),0)=0,"N/A",INDEX('2016'!$C$5:$C$72,MATCH('P-E Ratio (WP)'!B59,'2016'!$A$5:$A$72,0)))</f>
        <v>12.829000000000001</v>
      </c>
      <c r="F59" s="28">
        <v>13.914999999999999</v>
      </c>
      <c r="G59" s="28">
        <v>14.076000000000001</v>
      </c>
      <c r="H59" s="28">
        <v>12.843999999999999</v>
      </c>
      <c r="I59" s="28">
        <v>10.882</v>
      </c>
      <c r="J59" s="28">
        <v>10.516</v>
      </c>
      <c r="K59" s="28">
        <v>11.93</v>
      </c>
      <c r="L59" s="28">
        <v>25.687000000000001</v>
      </c>
      <c r="M59" s="28">
        <v>17.638000000000002</v>
      </c>
      <c r="N59" s="28">
        <v>17.262</v>
      </c>
      <c r="O59" s="28">
        <v>14.1</v>
      </c>
      <c r="P59" s="39">
        <v>15.116</v>
      </c>
      <c r="Q59" s="39">
        <v>12.513</v>
      </c>
      <c r="R59" s="39">
        <v>10.587999999999999</v>
      </c>
      <c r="S59" s="39">
        <v>11.064</v>
      </c>
    </row>
    <row r="60" spans="1:19" x14ac:dyDescent="0.2">
      <c r="A60" t="str">
        <f>IFERROR(INDEX('2018 Data (WP)'!$C$9:$C$73,MATCH($B60,'2018 Data (WP)'!$D$9:$D$73,0)),"")</f>
        <v>Electric Utility (East)</v>
      </c>
      <c r="B60" t="s">
        <v>35</v>
      </c>
      <c r="C60" t="s">
        <v>75</v>
      </c>
      <c r="D60" s="34"/>
      <c r="E60" s="68">
        <f>IF(IFERROR(INDEX('2016'!$C$5:$C$72,MATCH('P-E Ratio (WP)'!B60,'2016'!$A$5:$A$72,0)),0)=0,"N/A",INDEX('2016'!$C$5:$C$72,MATCH('P-E Ratio (WP)'!B60,'2016'!$A$5:$A$72,0)))</f>
        <v>15.347</v>
      </c>
      <c r="F60" s="28">
        <v>12.412000000000001</v>
      </c>
      <c r="G60" s="28">
        <v>12.614000000000001</v>
      </c>
      <c r="H60" s="28">
        <v>13.5</v>
      </c>
      <c r="I60" s="28">
        <v>12.788</v>
      </c>
      <c r="J60" s="28">
        <v>10.395</v>
      </c>
      <c r="K60" s="28">
        <v>10.369</v>
      </c>
      <c r="L60" s="28">
        <v>10.039</v>
      </c>
      <c r="M60" s="28">
        <v>13.646000000000001</v>
      </c>
      <c r="N60" s="28">
        <v>16.542999999999999</v>
      </c>
      <c r="O60" s="28">
        <v>17.808</v>
      </c>
      <c r="P60" s="39">
        <v>16.738</v>
      </c>
      <c r="Q60" s="39">
        <v>14.255000000000001</v>
      </c>
      <c r="R60" s="39">
        <v>10.576000000000001</v>
      </c>
      <c r="S60" s="39">
        <v>9.9949999999999992</v>
      </c>
    </row>
    <row r="61" spans="1:19" x14ac:dyDescent="0.2">
      <c r="A61" t="str">
        <f>IFERROR(INDEX('2018 Data (WP)'!$C$9:$C$73,MATCH($B61,'2018 Data (WP)'!$D$9:$D$73,0)),"")</f>
        <v>Electric Utility (East)</v>
      </c>
      <c r="B61" t="s">
        <v>36</v>
      </c>
      <c r="C61" t="s">
        <v>76</v>
      </c>
      <c r="D61" s="34"/>
      <c r="E61" s="68">
        <f>IF(IFERROR(INDEX('2016'!$C$5:$C$72,MATCH('P-E Ratio (WP)'!B61,'2016'!$A$5:$A$72,0)),0)=0,"N/A",INDEX('2016'!$C$5:$C$72,MATCH('P-E Ratio (WP)'!B61,'2016'!$A$5:$A$72,0)))</f>
        <v>16.795999999999999</v>
      </c>
      <c r="F61" s="28">
        <v>14.664999999999999</v>
      </c>
      <c r="G61" s="28">
        <v>13.677</v>
      </c>
      <c r="H61" s="28">
        <v>14.427</v>
      </c>
      <c r="I61" s="28">
        <v>14.798999999999999</v>
      </c>
      <c r="J61" s="28">
        <v>13.670999999999999</v>
      </c>
      <c r="K61" s="28">
        <v>12.933999999999999</v>
      </c>
      <c r="L61" s="28">
        <v>11.625999999999999</v>
      </c>
      <c r="M61" s="28">
        <v>12.667</v>
      </c>
      <c r="N61" s="28">
        <v>14.957000000000001</v>
      </c>
      <c r="O61" s="28">
        <v>15.42</v>
      </c>
      <c r="P61" s="39">
        <v>14.444000000000001</v>
      </c>
      <c r="Q61" s="39">
        <v>13.568</v>
      </c>
      <c r="R61" s="39">
        <v>13.045</v>
      </c>
      <c r="S61" s="39">
        <v>12.167</v>
      </c>
    </row>
    <row r="62" spans="1:19" x14ac:dyDescent="0.2">
      <c r="A62" t="str">
        <f>IFERROR(INDEX('2018 Data (WP)'!$C$9:$C$73,MATCH($B62,'2018 Data (WP)'!$D$9:$D$73,0)),"")</f>
        <v>Electric Utility (West)</v>
      </c>
      <c r="B62" t="s">
        <v>37</v>
      </c>
      <c r="C62" t="s">
        <v>54</v>
      </c>
      <c r="D62" s="34"/>
      <c r="E62" s="68">
        <f>IF(IFERROR(INDEX('2016'!$C$5:$C$72,MATCH('P-E Ratio (WP)'!B62,'2016'!$A$5:$A$72,0)),0)=0,"N/A",INDEX('2016'!$C$5:$C$72,MATCH('P-E Ratio (WP)'!B62,'2016'!$A$5:$A$72,0)))</f>
        <v>24.373000000000001</v>
      </c>
      <c r="F62" s="28">
        <v>19.725999999999999</v>
      </c>
      <c r="G62" s="28">
        <v>21.870999999999999</v>
      </c>
      <c r="H62" s="28">
        <v>19.684000000000001</v>
      </c>
      <c r="I62" s="28">
        <v>14.888</v>
      </c>
      <c r="J62" s="28">
        <v>11.771000000000001</v>
      </c>
      <c r="K62" s="28">
        <v>12.595000000000001</v>
      </c>
      <c r="L62" s="28">
        <v>10.09</v>
      </c>
      <c r="M62" s="28">
        <v>11.8</v>
      </c>
      <c r="N62" s="28">
        <v>14.007</v>
      </c>
      <c r="O62" s="28">
        <v>11.500999999999999</v>
      </c>
      <c r="P62" s="39">
        <v>11.794</v>
      </c>
      <c r="Q62" s="39">
        <v>8.6470000000000002</v>
      </c>
      <c r="R62" s="39">
        <v>8.9589999999999996</v>
      </c>
      <c r="S62" s="39">
        <v>8.19</v>
      </c>
    </row>
    <row r="63" spans="1:19" x14ac:dyDescent="0.2">
      <c r="A63" t="str">
        <f>IFERROR(INDEX('2018 Data (WP)'!$C$9:$C$73,MATCH($B63,'2018 Data (WP)'!$D$9:$D$73,0)),"")</f>
        <v/>
      </c>
      <c r="B63" t="s">
        <v>64</v>
      </c>
      <c r="C63" t="s">
        <v>63</v>
      </c>
      <c r="D63" s="34"/>
      <c r="E63" s="68" t="str">
        <f>IF(IFERROR(INDEX('2016'!$C$5:$C$72,MATCH('P-E Ratio (WP)'!B63,'2016'!$A$5:$A$72,0)),0)=0,"N/A",INDEX('2016'!$C$5:$C$72,MATCH('P-E Ratio (WP)'!B63,'2016'!$A$5:$A$72,0)))</f>
        <v>N/A</v>
      </c>
      <c r="F63" s="68" t="str">
        <f>IF(IFERROR(INDEX('2017'!$C$5:$C$72,MATCH('P-E Ratio (WP)'!C63,'2017'!$A$5:$A$72,0)),0)=0,"N/A",INDEX('2017'!$C$5:$C$72,MATCH('P-E Ratio (WP)'!C63,'2017'!$A$5:$A$72,0)))</f>
        <v>N/A</v>
      </c>
      <c r="G63" s="68" t="str">
        <f>IF(IFERROR(INDEX('2017'!$C$5:$C$72,MATCH('P-E Ratio (WP)'!D63,'2017'!$A$5:$A$72,0)),0)=0,"N/A",INDEX('2017'!$C$5:$C$72,MATCH('P-E Ratio (WP)'!D63,'2017'!$A$5:$A$72,0)))</f>
        <v>N/A</v>
      </c>
      <c r="H63" s="68" t="str">
        <f>IF(IFERROR(INDEX('2017'!$C$5:$C$72,MATCH('P-E Ratio (WP)'!E63,'2017'!$A$5:$A$72,0)),0)=0,"N/A",INDEX('2017'!$C$5:$C$72,MATCH('P-E Ratio (WP)'!E63,'2017'!$A$5:$A$72,0)))</f>
        <v>N/A</v>
      </c>
      <c r="I63" s="68" t="str">
        <f>IF(IFERROR(INDEX('2017'!$C$5:$C$72,MATCH('P-E Ratio (WP)'!F63,'2017'!$A$5:$A$72,0)),0)=0,"N/A",INDEX('2017'!$C$5:$C$72,MATCH('P-E Ratio (WP)'!F63,'2017'!$A$5:$A$72,0)))</f>
        <v>N/A</v>
      </c>
      <c r="J63" s="68" t="str">
        <f>IF(IFERROR(INDEX('2017'!$C$5:$C$72,MATCH('P-E Ratio (WP)'!G63,'2017'!$A$5:$A$72,0)),0)=0,"N/A",INDEX('2017'!$C$5:$C$72,MATCH('P-E Ratio (WP)'!G63,'2017'!$A$5:$A$72,0)))</f>
        <v>N/A</v>
      </c>
      <c r="K63" s="68" t="str">
        <f>IF(IFERROR(INDEX('2017'!$C$5:$C$72,MATCH('P-E Ratio (WP)'!H63,'2017'!$A$5:$A$72,0)),0)=0,"N/A",INDEX('2017'!$C$5:$C$72,MATCH('P-E Ratio (WP)'!H63,'2017'!$A$5:$A$72,0)))</f>
        <v>N/A</v>
      </c>
      <c r="L63" s="68" t="str">
        <f>IF(IFERROR(INDEX('2017'!$C$5:$C$72,MATCH('P-E Ratio (WP)'!I63,'2017'!$A$5:$A$72,0)),0)=0,"N/A",INDEX('2017'!$C$5:$C$72,MATCH('P-E Ratio (WP)'!I63,'2017'!$A$5:$A$72,0)))</f>
        <v>N/A</v>
      </c>
      <c r="M63" s="68" t="str">
        <f>IF(IFERROR(INDEX('2017'!$C$5:$C$72,MATCH('P-E Ratio (WP)'!J63,'2017'!$A$5:$A$72,0)),0)=0,"N/A",INDEX('2017'!$C$5:$C$72,MATCH('P-E Ratio (WP)'!J63,'2017'!$A$5:$A$72,0)))</f>
        <v>N/A</v>
      </c>
      <c r="N63" s="68" t="str">
        <f>IF(IFERROR(INDEX('2017'!$C$5:$C$72,MATCH('P-E Ratio (WP)'!K63,'2017'!$A$5:$A$72,0)),0)=0,"N/A",INDEX('2017'!$C$5:$C$72,MATCH('P-E Ratio (WP)'!K63,'2017'!$A$5:$A$72,0)))</f>
        <v>N/A</v>
      </c>
      <c r="O63" s="68" t="str">
        <f>IF(IFERROR(INDEX('2017'!$C$5:$C$72,MATCH('P-E Ratio (WP)'!L63,'2017'!$A$5:$A$72,0)),0)=0,"N/A",INDEX('2017'!$C$5:$C$72,MATCH('P-E Ratio (WP)'!L63,'2017'!$A$5:$A$72,0)))</f>
        <v>N/A</v>
      </c>
      <c r="P63" s="39" t="s">
        <v>106</v>
      </c>
      <c r="Q63" s="39">
        <v>20.948</v>
      </c>
      <c r="R63" s="39" t="s">
        <v>106</v>
      </c>
      <c r="S63" s="39" t="s">
        <v>106</v>
      </c>
    </row>
    <row r="64" spans="1:19" x14ac:dyDescent="0.2">
      <c r="A64" t="str">
        <f>IFERROR(INDEX('2018 Data (WP)'!$C$9:$C$73,MATCH($B64,'2018 Data (WP)'!$D$9:$D$73,0)),"")</f>
        <v>Water Utility</v>
      </c>
      <c r="B64" s="31" t="s">
        <v>196</v>
      </c>
      <c r="C64" s="31" t="s">
        <v>195</v>
      </c>
      <c r="D64" s="34"/>
      <c r="E64" s="68">
        <f>IF(IFERROR(INDEX('2016'!$C$5:$C$72,MATCH('P-E Ratio (WP)'!B64,'2016'!$A$5:$A$72,0)),0)=0,"N/A",INDEX('2016'!$C$5:$C$72,MATCH('P-E Ratio (WP)'!B64,'2016'!$A$5:$A$72,0)))</f>
        <v>15.676</v>
      </c>
      <c r="F64" s="28">
        <v>16.641999999999999</v>
      </c>
      <c r="G64" s="28">
        <v>11.188000000000001</v>
      </c>
      <c r="H64" s="28">
        <v>24.338000000000001</v>
      </c>
      <c r="I64" s="28">
        <v>20.366</v>
      </c>
      <c r="J64" s="28">
        <v>21.173999999999999</v>
      </c>
      <c r="K64" s="28">
        <v>29.123000000000001</v>
      </c>
      <c r="L64" s="28">
        <v>28.667000000000002</v>
      </c>
      <c r="M64" s="28">
        <v>26.238</v>
      </c>
      <c r="N64" s="28">
        <v>33.427</v>
      </c>
      <c r="O64" s="28">
        <v>23.507999999999999</v>
      </c>
    </row>
    <row r="65" spans="1:19" x14ac:dyDescent="0.2">
      <c r="A65" t="str">
        <f>IFERROR(INDEX('2018 Data (WP)'!$C$9:$C$73,MATCH($B65,'2018 Data (WP)'!$D$9:$D$73,0)),"")</f>
        <v>Natural Gas Utility</v>
      </c>
      <c r="B65" s="31" t="s">
        <v>198</v>
      </c>
      <c r="C65" s="31" t="s">
        <v>197</v>
      </c>
      <c r="D65" s="34"/>
      <c r="E65" s="68">
        <f>IF(IFERROR(INDEX('2016'!$C$5:$C$72,MATCH('P-E Ratio (WP)'!B65,'2016'!$A$5:$A$72,0)),0)=0,"N/A",INDEX('2016'!$C$5:$C$72,MATCH('P-E Ratio (WP)'!B65,'2016'!$A$5:$A$72,0)))</f>
        <v>21.713999999999999</v>
      </c>
      <c r="F65" s="28">
        <v>17.949000000000002</v>
      </c>
      <c r="G65" s="28">
        <v>18.033999999999999</v>
      </c>
      <c r="H65" s="28">
        <v>18.902999999999999</v>
      </c>
      <c r="I65" s="28">
        <v>16.934999999999999</v>
      </c>
      <c r="J65" s="28">
        <v>18.481999999999999</v>
      </c>
      <c r="K65" s="28">
        <v>16.806999999999999</v>
      </c>
      <c r="L65" s="28">
        <v>14.955</v>
      </c>
      <c r="M65" s="28">
        <v>15.897</v>
      </c>
      <c r="N65" s="28">
        <v>17.181000000000001</v>
      </c>
      <c r="O65" s="28">
        <v>11.858000000000001</v>
      </c>
    </row>
    <row r="66" spans="1:19" x14ac:dyDescent="0.2">
      <c r="A66" t="str">
        <f>IFERROR(INDEX('2018 Data (WP)'!$C$9:$C$73,MATCH($B66,'2018 Data (WP)'!$D$9:$D$73,0)),"")</f>
        <v>Electric Utility (East)</v>
      </c>
      <c r="B66" t="s">
        <v>38</v>
      </c>
      <c r="C66" t="s">
        <v>77</v>
      </c>
      <c r="D66" s="34"/>
      <c r="E66" s="68">
        <f>IF(IFERROR(INDEX('2016'!$C$5:$C$72,MATCH('P-E Ratio (WP)'!B66,'2016'!$A$5:$A$72,0)),0)=0,"N/A",INDEX('2016'!$C$5:$C$72,MATCH('P-E Ratio (WP)'!B66,'2016'!$A$5:$A$72,0)))</f>
        <v>17.757999999999999</v>
      </c>
      <c r="F66" s="28">
        <v>15.849</v>
      </c>
      <c r="G66" s="28">
        <v>16.044</v>
      </c>
      <c r="H66" s="28">
        <v>16.186</v>
      </c>
      <c r="I66" s="28">
        <v>16.968</v>
      </c>
      <c r="J66" s="28">
        <v>15.847</v>
      </c>
      <c r="K66" s="28">
        <v>14.897</v>
      </c>
      <c r="L66" s="28">
        <v>13.521000000000001</v>
      </c>
      <c r="M66" s="28">
        <v>16.126999999999999</v>
      </c>
      <c r="N66" s="28">
        <v>15.952</v>
      </c>
      <c r="O66" s="28">
        <v>16.189</v>
      </c>
      <c r="P66" s="39">
        <v>15.917</v>
      </c>
      <c r="Q66" s="39">
        <v>14.683999999999999</v>
      </c>
      <c r="R66" s="39">
        <v>14.831</v>
      </c>
      <c r="S66" s="39">
        <v>14.632</v>
      </c>
    </row>
    <row r="67" spans="1:19" x14ac:dyDescent="0.2">
      <c r="A67" t="str">
        <f>IFERROR(INDEX('2018 Data (WP)'!$C$9:$C$73,MATCH($B67,'2018 Data (WP)'!$D$9:$D$73,0)),"")</f>
        <v>Natural Gas Utility</v>
      </c>
      <c r="B67" s="31" t="s">
        <v>200</v>
      </c>
      <c r="C67" s="31" t="s">
        <v>199</v>
      </c>
      <c r="D67" s="34"/>
      <c r="E67" s="68">
        <f>IF(IFERROR(INDEX('2016'!$C$5:$C$72,MATCH('P-E Ratio (WP)'!B67,'2016'!$A$5:$A$72,0)),0)=0,"N/A",INDEX('2016'!$C$5:$C$72,MATCH('P-E Ratio (WP)'!B67,'2016'!$A$5:$A$72,0)))</f>
        <v>21.643000000000001</v>
      </c>
      <c r="F67" s="28">
        <v>19.353999999999999</v>
      </c>
      <c r="G67" s="28">
        <v>17.86</v>
      </c>
      <c r="H67" s="28">
        <v>15.757</v>
      </c>
      <c r="I67" s="28">
        <v>15.002000000000001</v>
      </c>
      <c r="J67" s="28">
        <v>15.688000000000001</v>
      </c>
      <c r="K67" s="28">
        <v>13.968999999999999</v>
      </c>
      <c r="L67" s="28">
        <v>12.199</v>
      </c>
      <c r="M67" s="28">
        <v>20.268999999999998</v>
      </c>
      <c r="N67" s="28">
        <v>17.260999999999999</v>
      </c>
      <c r="O67" s="28">
        <v>15.936999999999999</v>
      </c>
    </row>
    <row r="68" spans="1:19" x14ac:dyDescent="0.2">
      <c r="A68" t="str">
        <f>IFERROR(INDEX('2018 Data (WP)'!$C$9:$C$73,MATCH($B68,'2018 Data (WP)'!$D$9:$D$73,0)),"")</f>
        <v>Natural Gas Utility</v>
      </c>
      <c r="B68" s="31" t="s">
        <v>244</v>
      </c>
      <c r="C68" s="31" t="s">
        <v>243</v>
      </c>
      <c r="D68" s="34"/>
      <c r="E68" s="68">
        <f>IF(IFERROR(INDEX('2016'!$C$5:$C$72,MATCH('P-E Ratio (WP)'!B68,'2016'!$A$5:$A$72,0)),0)=0,"N/A",INDEX('2016'!$C$5:$C$72,MATCH('P-E Ratio (WP)'!B68,'2016'!$A$5:$A$72,0)))</f>
        <v>19.614000000000001</v>
      </c>
      <c r="F68" s="28">
        <v>16.486999999999998</v>
      </c>
      <c r="G68" s="28">
        <v>19.797999999999998</v>
      </c>
      <c r="H68" s="28">
        <v>21.253</v>
      </c>
      <c r="I68" s="28">
        <v>14.46</v>
      </c>
      <c r="J68" s="28">
        <v>13.047000000000001</v>
      </c>
      <c r="K68" s="28">
        <v>13.739000000000001</v>
      </c>
      <c r="L68" s="28">
        <v>13.388999999999999</v>
      </c>
      <c r="M68" s="28">
        <v>14.314</v>
      </c>
      <c r="N68" s="28">
        <v>14.185</v>
      </c>
      <c r="O68" s="28">
        <v>13.6</v>
      </c>
    </row>
    <row r="69" spans="1:19" x14ac:dyDescent="0.2">
      <c r="A69" t="str">
        <f>IFERROR(INDEX('2018 Data (WP)'!$C$9:$C$73,MATCH($B69,'2018 Data (WP)'!$D$9:$D$73,0)),"")</f>
        <v/>
      </c>
      <c r="B69" t="s">
        <v>39</v>
      </c>
      <c r="C69" t="s">
        <v>78</v>
      </c>
      <c r="D69" s="34"/>
      <c r="E69" s="68" t="str">
        <f>IF(IFERROR(INDEX('2016'!$C$5:$C$72,MATCH('P-E Ratio (WP)'!B69,'2016'!$A$5:$A$72,0)),0)=0,"N/A",INDEX('2016'!$C$5:$C$72,MATCH('P-E Ratio (WP)'!B69,'2016'!$A$5:$A$72,0)))</f>
        <v>N/A</v>
      </c>
      <c r="F69" s="28" t="e">
        <v>#N/A</v>
      </c>
      <c r="G69" s="28" t="e">
        <v>#N/A</v>
      </c>
      <c r="H69" s="28" t="e">
        <v>#N/A</v>
      </c>
      <c r="I69" s="28" t="e">
        <v>#N/A</v>
      </c>
      <c r="J69" s="28" t="e">
        <v>#N/A</v>
      </c>
      <c r="K69" s="28" t="e">
        <v>#N/A</v>
      </c>
      <c r="L69" s="28" t="e">
        <v>#N/A</v>
      </c>
      <c r="M69" s="28" t="e">
        <v>#N/A</v>
      </c>
      <c r="N69" s="28" t="e">
        <v>#N/A</v>
      </c>
      <c r="O69" s="28" t="e">
        <v>#N/A</v>
      </c>
      <c r="P69" s="39">
        <v>17.085000000000001</v>
      </c>
      <c r="Q69" s="39">
        <v>19.3</v>
      </c>
      <c r="R69" s="39" t="s">
        <v>105</v>
      </c>
      <c r="S69" s="39">
        <v>10.968</v>
      </c>
    </row>
    <row r="70" spans="1:19" x14ac:dyDescent="0.2">
      <c r="A70" t="str">
        <f>IFERROR(INDEX('2018 Data (WP)'!$C$9:$C$73,MATCH($B70,'2018 Data (WP)'!$D$9:$D$73,0)),"")</f>
        <v>Natural Gas Utility</v>
      </c>
      <c r="B70" s="31" t="s">
        <v>204</v>
      </c>
      <c r="C70" s="31" t="s">
        <v>203</v>
      </c>
      <c r="D70" s="34"/>
      <c r="E70" s="68">
        <f>IF(IFERROR(INDEX('2016'!$C$5:$C$72,MATCH('P-E Ratio (WP)'!B70,'2016'!$A$5:$A$72,0)),0)=0,"N/A",INDEX('2016'!$C$5:$C$72,MATCH('P-E Ratio (WP)'!B70,'2016'!$A$5:$A$72,0)))</f>
        <v>19.327999999999999</v>
      </c>
      <c r="F70" s="28">
        <v>17.713999999999999</v>
      </c>
      <c r="G70" s="28">
        <v>15.805</v>
      </c>
      <c r="H70" s="28">
        <v>15.435</v>
      </c>
      <c r="I70" s="28">
        <v>16.378</v>
      </c>
      <c r="J70" s="28">
        <v>15.028</v>
      </c>
      <c r="K70" s="28">
        <v>10.863</v>
      </c>
      <c r="L70" s="28">
        <v>10.295</v>
      </c>
      <c r="M70" s="28">
        <v>13.301</v>
      </c>
      <c r="N70" s="28">
        <v>15.144</v>
      </c>
      <c r="O70" s="28">
        <v>13.965</v>
      </c>
    </row>
    <row r="71" spans="1:19" x14ac:dyDescent="0.2">
      <c r="A71" t="str">
        <f>IFERROR(INDEX('2018 Data (WP)'!$C$9:$C$73,MATCH($B71,'2018 Data (WP)'!$D$9:$D$73,0)),"")</f>
        <v/>
      </c>
      <c r="B71" t="s">
        <v>40</v>
      </c>
      <c r="C71" t="s">
        <v>81</v>
      </c>
      <c r="D71" s="34"/>
      <c r="E71" s="68" t="str">
        <f>IF(IFERROR(INDEX('2016'!$C$5:$C$72,MATCH('P-E Ratio (WP)'!B71,'2016'!$A$5:$A$72,0)),0)=0,"N/A",INDEX('2016'!$C$5:$C$72,MATCH('P-E Ratio (WP)'!B71,'2016'!$A$5:$A$72,0)))</f>
        <v>N/A</v>
      </c>
      <c r="F71" s="68" t="str">
        <f>IF(IFERROR(INDEX('2017'!$C$5:$C$72,MATCH('P-E Ratio (WP)'!C71,'2017'!$A$5:$A$72,0)),0)=0,"N/A",INDEX('2017'!$C$5:$C$72,MATCH('P-E Ratio (WP)'!C71,'2017'!$A$5:$A$72,0)))</f>
        <v>N/A</v>
      </c>
      <c r="G71" s="68" t="str">
        <f>IF(IFERROR(INDEX('2017'!$C$5:$C$72,MATCH('P-E Ratio (WP)'!D71,'2017'!$A$5:$A$72,0)),0)=0,"N/A",INDEX('2017'!$C$5:$C$72,MATCH('P-E Ratio (WP)'!D71,'2017'!$A$5:$A$72,0)))</f>
        <v>N/A</v>
      </c>
      <c r="H71" s="68" t="str">
        <f>IF(IFERROR(INDEX('2017'!$C$5:$C$72,MATCH('P-E Ratio (WP)'!E71,'2017'!$A$5:$A$72,0)),0)=0,"N/A",INDEX('2017'!$C$5:$C$72,MATCH('P-E Ratio (WP)'!E71,'2017'!$A$5:$A$72,0)))</f>
        <v>N/A</v>
      </c>
      <c r="I71" s="68" t="str">
        <f>IF(IFERROR(INDEX('2017'!$C$5:$C$72,MATCH('P-E Ratio (WP)'!F71,'2017'!$A$5:$A$72,0)),0)=0,"N/A",INDEX('2017'!$C$5:$C$72,MATCH('P-E Ratio (WP)'!F71,'2017'!$A$5:$A$72,0)))</f>
        <v>N/A</v>
      </c>
      <c r="J71" s="68" t="str">
        <f>IF(IFERROR(INDEX('2017'!$C$5:$C$72,MATCH('P-E Ratio (WP)'!G71,'2017'!$A$5:$A$72,0)),0)=0,"N/A",INDEX('2017'!$C$5:$C$72,MATCH('P-E Ratio (WP)'!G71,'2017'!$A$5:$A$72,0)))</f>
        <v>N/A</v>
      </c>
      <c r="K71" s="68" t="str">
        <f>IF(IFERROR(INDEX('2017'!$C$5:$C$72,MATCH('P-E Ratio (WP)'!H71,'2017'!$A$5:$A$72,0)),0)=0,"N/A",INDEX('2017'!$C$5:$C$72,MATCH('P-E Ratio (WP)'!H71,'2017'!$A$5:$A$72,0)))</f>
        <v>N/A</v>
      </c>
      <c r="L71" s="68" t="str">
        <f>IF(IFERROR(INDEX('2017'!$C$5:$C$72,MATCH('P-E Ratio (WP)'!I71,'2017'!$A$5:$A$72,0)),0)=0,"N/A",INDEX('2017'!$C$5:$C$72,MATCH('P-E Ratio (WP)'!I71,'2017'!$A$5:$A$72,0)))</f>
        <v>N/A</v>
      </c>
      <c r="M71" s="68" t="str">
        <f>IF(IFERROR(INDEX('2017'!$C$5:$C$72,MATCH('P-E Ratio (WP)'!J71,'2017'!$A$5:$A$72,0)),0)=0,"N/A",INDEX('2017'!$C$5:$C$72,MATCH('P-E Ratio (WP)'!J71,'2017'!$A$5:$A$72,0)))</f>
        <v>N/A</v>
      </c>
      <c r="N71" s="68" t="str">
        <f>IF(IFERROR(INDEX('2017'!$C$5:$C$72,MATCH('P-E Ratio (WP)'!K71,'2017'!$A$5:$A$72,0)),0)=0,"N/A",INDEX('2017'!$C$5:$C$72,MATCH('P-E Ratio (WP)'!K71,'2017'!$A$5:$A$72,0)))</f>
        <v>N/A</v>
      </c>
      <c r="O71" s="68" t="str">
        <f>IF(IFERROR(INDEX('2017'!$C$5:$C$72,MATCH('P-E Ratio (WP)'!L71,'2017'!$A$5:$A$72,0)),0)=0,"N/A",INDEX('2017'!$C$5:$C$72,MATCH('P-E Ratio (WP)'!L71,'2017'!$A$5:$A$72,0)))</f>
        <v>N/A</v>
      </c>
      <c r="P71" s="39" t="s">
        <v>106</v>
      </c>
      <c r="Q71" s="39">
        <v>18.701000000000001</v>
      </c>
      <c r="R71" s="39">
        <v>18.036999999999999</v>
      </c>
      <c r="S71" s="39">
        <v>14.98</v>
      </c>
    </row>
    <row r="72" spans="1:19" x14ac:dyDescent="0.2">
      <c r="A72" t="str">
        <f>IFERROR(INDEX('2018 Data (WP)'!$C$9:$C$73,MATCH($B72,'2018 Data (WP)'!$D$9:$D$73,0)),"")</f>
        <v/>
      </c>
      <c r="B72" t="s">
        <v>41</v>
      </c>
      <c r="C72" t="s">
        <v>79</v>
      </c>
      <c r="D72" s="34"/>
      <c r="E72" s="68" t="str">
        <f>IF(IFERROR(INDEX('2016'!$C$5:$C$72,MATCH('P-E Ratio (WP)'!B72,'2016'!$A$5:$A$72,0)),0)=0,"N/A",INDEX('2016'!$C$5:$C$72,MATCH('P-E Ratio (WP)'!B72,'2016'!$A$5:$A$72,0)))</f>
        <v>N/A</v>
      </c>
      <c r="F72" s="68" t="str">
        <f>IF(IFERROR(INDEX('2017'!$C$5:$C$72,MATCH('P-E Ratio (WP)'!C72,'2017'!$A$5:$A$72,0)),0)=0,"N/A",INDEX('2017'!$C$5:$C$72,MATCH('P-E Ratio (WP)'!C72,'2017'!$A$5:$A$72,0)))</f>
        <v>N/A</v>
      </c>
      <c r="G72" s="68" t="str">
        <f>IF(IFERROR(INDEX('2017'!$C$5:$C$72,MATCH('P-E Ratio (WP)'!D72,'2017'!$A$5:$A$72,0)),0)=0,"N/A",INDEX('2017'!$C$5:$C$72,MATCH('P-E Ratio (WP)'!D72,'2017'!$A$5:$A$72,0)))</f>
        <v>N/A</v>
      </c>
      <c r="H72" s="68" t="str">
        <f>IF(IFERROR(INDEX('2017'!$C$5:$C$72,MATCH('P-E Ratio (WP)'!E72,'2017'!$A$5:$A$72,0)),0)=0,"N/A",INDEX('2017'!$C$5:$C$72,MATCH('P-E Ratio (WP)'!E72,'2017'!$A$5:$A$72,0)))</f>
        <v>N/A</v>
      </c>
      <c r="I72" s="68" t="str">
        <f>IF(IFERROR(INDEX('2017'!$C$5:$C$72,MATCH('P-E Ratio (WP)'!F72,'2017'!$A$5:$A$72,0)),0)=0,"N/A",INDEX('2017'!$C$5:$C$72,MATCH('P-E Ratio (WP)'!F72,'2017'!$A$5:$A$72,0)))</f>
        <v>N/A</v>
      </c>
      <c r="J72" s="68" t="str">
        <f>IF(IFERROR(INDEX('2017'!$C$5:$C$72,MATCH('P-E Ratio (WP)'!G72,'2017'!$A$5:$A$72,0)),0)=0,"N/A",INDEX('2017'!$C$5:$C$72,MATCH('P-E Ratio (WP)'!G72,'2017'!$A$5:$A$72,0)))</f>
        <v>N/A</v>
      </c>
      <c r="K72" s="68" t="str">
        <f>IF(IFERROR(INDEX('2017'!$C$5:$C$72,MATCH('P-E Ratio (WP)'!H72,'2017'!$A$5:$A$72,0)),0)=0,"N/A",INDEX('2017'!$C$5:$C$72,MATCH('P-E Ratio (WP)'!H72,'2017'!$A$5:$A$72,0)))</f>
        <v>N/A</v>
      </c>
      <c r="L72" s="68" t="str">
        <f>IF(IFERROR(INDEX('2017'!$C$5:$C$72,MATCH('P-E Ratio (WP)'!I72,'2017'!$A$5:$A$72,0)),0)=0,"N/A",INDEX('2017'!$C$5:$C$72,MATCH('P-E Ratio (WP)'!I72,'2017'!$A$5:$A$72,0)))</f>
        <v>N/A</v>
      </c>
      <c r="M72" s="68" t="str">
        <f>IF(IFERROR(INDEX('2017'!$C$5:$C$72,MATCH('P-E Ratio (WP)'!J72,'2017'!$A$5:$A$72,0)),0)=0,"N/A",INDEX('2017'!$C$5:$C$72,MATCH('P-E Ratio (WP)'!J72,'2017'!$A$5:$A$72,0)))</f>
        <v>N/A</v>
      </c>
      <c r="N72" s="68" t="str">
        <f>IF(IFERROR(INDEX('2017'!$C$5:$C$72,MATCH('P-E Ratio (WP)'!K72,'2017'!$A$5:$A$72,0)),0)=0,"N/A",INDEX('2017'!$C$5:$C$72,MATCH('P-E Ratio (WP)'!K72,'2017'!$A$5:$A$72,0)))</f>
        <v>N/A</v>
      </c>
      <c r="O72" s="68" t="str">
        <f>IF(IFERROR(INDEX('2017'!$C$5:$C$72,MATCH('P-E Ratio (WP)'!L72,'2017'!$A$5:$A$72,0)),0)=0,"N/A",INDEX('2017'!$C$5:$C$72,MATCH('P-E Ratio (WP)'!L72,'2017'!$A$5:$A$72,0)))</f>
        <v>N/A</v>
      </c>
      <c r="P72" s="39" t="s">
        <v>106</v>
      </c>
      <c r="Q72" s="39">
        <v>18.716999999999999</v>
      </c>
      <c r="R72" s="39">
        <v>14.595000000000001</v>
      </c>
      <c r="S72" s="39">
        <v>18.231999999999999</v>
      </c>
    </row>
    <row r="73" spans="1:19" x14ac:dyDescent="0.2">
      <c r="A73" t="str">
        <f>IFERROR(INDEX('2018 Data (WP)'!$C$9:$C$73,MATCH($B73,'2018 Data (WP)'!$D$9:$D$73,0)),"")</f>
        <v/>
      </c>
      <c r="B73" t="s">
        <v>83</v>
      </c>
      <c r="C73" t="s">
        <v>82</v>
      </c>
      <c r="D73" s="34"/>
      <c r="E73" s="68">
        <f>IF(IFERROR(INDEX('2016'!$C$5:$C$72,MATCH('P-E Ratio (WP)'!B73,'2016'!$A$5:$A$72,0)),0)=0,"N/A",INDEX('2016'!$C$5:$C$72,MATCH('P-E Ratio (WP)'!B73,'2016'!$A$5:$A$72,0)))</f>
        <v>20.963999999999999</v>
      </c>
      <c r="F73" s="28">
        <v>18.53</v>
      </c>
      <c r="G73" s="28">
        <v>18.391999999999999</v>
      </c>
      <c r="H73" s="28">
        <v>18.495000000000001</v>
      </c>
      <c r="I73" s="28">
        <v>18.684999999999999</v>
      </c>
      <c r="J73" s="28">
        <v>16.785</v>
      </c>
      <c r="K73" s="28">
        <v>25.105</v>
      </c>
      <c r="L73" s="28">
        <v>20.309999999999999</v>
      </c>
      <c r="M73" s="28">
        <v>15.818</v>
      </c>
      <c r="N73" s="28">
        <v>18.376000000000001</v>
      </c>
      <c r="O73" s="28">
        <v>17.617999999999999</v>
      </c>
      <c r="P73" s="39">
        <v>17.774999999999999</v>
      </c>
      <c r="Q73" s="39">
        <v>18.581</v>
      </c>
      <c r="R73" s="39">
        <v>15.772</v>
      </c>
      <c r="S73" s="39">
        <v>21.882000000000001</v>
      </c>
    </row>
    <row r="74" spans="1:19" x14ac:dyDescent="0.2">
      <c r="A74" t="str">
        <f>IFERROR(INDEX('2018 Data (WP)'!$C$9:$C$73,MATCH($B74,'2018 Data (WP)'!$D$9:$D$73,0)),"")</f>
        <v>Electric Util. (Central)</v>
      </c>
      <c r="B74" t="s">
        <v>42</v>
      </c>
      <c r="C74" t="s">
        <v>89</v>
      </c>
      <c r="D74" s="34"/>
      <c r="E74" s="68">
        <f>IF(IFERROR(INDEX('2016'!$C$5:$C$72,MATCH('P-E Ratio (WP)'!B74,'2016'!$A$5:$A$72,0)),0)=0,"N/A",INDEX('2016'!$C$5:$C$72,MATCH('P-E Ratio (WP)'!B74,'2016'!$A$5:$A$72,0)))</f>
        <v>19.178000000000001</v>
      </c>
      <c r="F74" s="28">
        <v>17.922000000000001</v>
      </c>
      <c r="G74" s="28">
        <v>19.983000000000001</v>
      </c>
      <c r="H74" s="28">
        <v>20.664000000000001</v>
      </c>
      <c r="I74" s="28">
        <v>15.018000000000001</v>
      </c>
      <c r="J74" s="28">
        <v>15.826000000000001</v>
      </c>
      <c r="K74" s="28">
        <v>15.102</v>
      </c>
      <c r="L74" s="28">
        <v>12.891</v>
      </c>
      <c r="M74" s="28">
        <v>16.788</v>
      </c>
      <c r="N74" s="28">
        <v>15.334</v>
      </c>
      <c r="O74" s="28">
        <v>18.917000000000002</v>
      </c>
      <c r="P74" s="39">
        <v>15.106</v>
      </c>
      <c r="Q74" s="39">
        <v>17.57</v>
      </c>
      <c r="R74" s="39">
        <v>14.795999999999999</v>
      </c>
      <c r="S74" s="39">
        <v>14.157</v>
      </c>
    </row>
    <row r="75" spans="1:19" x14ac:dyDescent="0.2">
      <c r="A75" t="str">
        <f>IFERROR(INDEX('2018 Data (WP)'!$C$9:$C$73,MATCH($B75,'2018 Data (WP)'!$D$9:$D$73,0)),"")</f>
        <v>Electric Util. (Central)</v>
      </c>
      <c r="B75" t="s">
        <v>44</v>
      </c>
      <c r="C75" t="s">
        <v>217</v>
      </c>
      <c r="D75" s="34"/>
      <c r="E75" s="68">
        <f>IF(IFERROR(INDEX('2016'!$C$5:$C$72,MATCH('P-E Ratio (WP)'!B75,'2016'!$A$5:$A$72,0)),0)=0,"N/A",INDEX('2016'!$C$5:$C$72,MATCH('P-E Ratio (WP)'!B75,'2016'!$A$5:$A$72,0)))</f>
        <v>19.946999999999999</v>
      </c>
      <c r="F75" s="28">
        <v>21.334</v>
      </c>
      <c r="G75" s="28">
        <v>17.71</v>
      </c>
      <c r="H75" s="28">
        <v>16.504000000000001</v>
      </c>
      <c r="I75" s="28">
        <v>15.757</v>
      </c>
      <c r="J75" s="28">
        <v>14.249000000000001</v>
      </c>
      <c r="K75" s="28">
        <v>14.01</v>
      </c>
      <c r="L75" s="28">
        <v>13.346</v>
      </c>
      <c r="M75" s="28">
        <v>14.772</v>
      </c>
      <c r="N75" s="28">
        <v>16.472000000000001</v>
      </c>
      <c r="O75" s="28">
        <v>15.967000000000001</v>
      </c>
      <c r="P75" s="39">
        <v>14.462999999999999</v>
      </c>
      <c r="Q75" s="39">
        <v>17.513999999999999</v>
      </c>
      <c r="R75" s="39">
        <v>12.427</v>
      </c>
      <c r="S75" s="39">
        <v>10.459</v>
      </c>
    </row>
    <row r="76" spans="1:19" x14ac:dyDescent="0.2">
      <c r="A76" t="str">
        <f>IFERROR(INDEX('2018 Data (WP)'!$C$9:$C$73,MATCH($B76,'2018 Data (WP)'!$D$9:$D$73,0)),"")</f>
        <v>Electric Util. (Central)</v>
      </c>
      <c r="B76" t="s">
        <v>43</v>
      </c>
      <c r="C76" t="s">
        <v>87</v>
      </c>
      <c r="D76" s="34"/>
      <c r="E76" s="68">
        <f>IF(IFERROR(INDEX('2016'!$C$5:$C$72,MATCH('P-E Ratio (WP)'!B76,'2016'!$A$5:$A$72,0)),0)=0,"N/A",INDEX('2016'!$C$5:$C$72,MATCH('P-E Ratio (WP)'!B76,'2016'!$A$5:$A$72,0)))</f>
        <v>21.585999999999999</v>
      </c>
      <c r="F76" s="28">
        <v>18.454000000000001</v>
      </c>
      <c r="G76" s="28">
        <v>15.358000000000001</v>
      </c>
      <c r="H76" s="28">
        <v>14.037000000000001</v>
      </c>
      <c r="I76" s="28">
        <v>13.43</v>
      </c>
      <c r="J76" s="28">
        <v>14.778</v>
      </c>
      <c r="K76" s="28">
        <v>12.957000000000001</v>
      </c>
      <c r="L76" s="28">
        <v>14.946999999999999</v>
      </c>
      <c r="M76" s="28">
        <v>16.963000000000001</v>
      </c>
      <c r="N76" s="28">
        <v>14.103</v>
      </c>
      <c r="O76" s="28">
        <v>12.177</v>
      </c>
      <c r="P76" s="39">
        <v>14.785</v>
      </c>
      <c r="Q76" s="39">
        <v>17.436</v>
      </c>
      <c r="R76" s="39">
        <v>10.781000000000001</v>
      </c>
      <c r="S76" s="39">
        <v>14.023</v>
      </c>
    </row>
    <row r="77" spans="1:19" x14ac:dyDescent="0.2">
      <c r="A77" t="str">
        <f>IFERROR(INDEX('2018 Data (WP)'!$C$9:$C$73,MATCH($B77,'2018 Data (WP)'!$D$9:$D$73,0)),"")</f>
        <v>Natural Gas Utility</v>
      </c>
      <c r="B77" s="31" t="s">
        <v>206</v>
      </c>
      <c r="C77" s="31" t="s">
        <v>205</v>
      </c>
      <c r="D77" s="34"/>
      <c r="E77" s="68">
        <f>IF(IFERROR(INDEX('2016'!$C$5:$C$72,MATCH('P-E Ratio (WP)'!B77,'2016'!$A$5:$A$72,0)),0)=0,"N/A",INDEX('2016'!$C$5:$C$72,MATCH('P-E Ratio (WP)'!B77,'2016'!$A$5:$A$72,0)))</f>
        <v>20.047999999999998</v>
      </c>
      <c r="F77" s="28">
        <v>16.992999999999999</v>
      </c>
      <c r="G77" s="28">
        <v>15.151</v>
      </c>
      <c r="H77" s="28">
        <v>18.245000000000001</v>
      </c>
      <c r="I77" s="28">
        <v>15.268000000000001</v>
      </c>
      <c r="J77" s="28">
        <v>16.972000000000001</v>
      </c>
      <c r="K77" s="28">
        <v>15.111000000000001</v>
      </c>
      <c r="L77" s="28">
        <v>12.584</v>
      </c>
      <c r="M77" s="28">
        <v>13.661</v>
      </c>
      <c r="N77" s="28">
        <v>15.603999999999999</v>
      </c>
      <c r="O77" s="28">
        <v>15.46</v>
      </c>
    </row>
    <row r="78" spans="1:19" x14ac:dyDescent="0.2">
      <c r="A78" t="str">
        <f>IFERROR(INDEX('2018 Data (WP)'!$C$9:$C$73,MATCH($B78,'2018 Data (WP)'!$D$9:$D$73,0)),"")</f>
        <v>Electric Utility (West)</v>
      </c>
      <c r="B78" t="s">
        <v>45</v>
      </c>
      <c r="C78" t="s">
        <v>65</v>
      </c>
      <c r="D78" s="34"/>
      <c r="E78" s="68">
        <f>IF(IFERROR(INDEX('2016'!$C$5:$C$72,MATCH('P-E Ratio (WP)'!B78,'2016'!$A$5:$A$72,0)),0)=0,"N/A",INDEX('2016'!$C$5:$C$72,MATCH('P-E Ratio (WP)'!B78,'2016'!$A$5:$A$72,0)))</f>
        <v>18.475000000000001</v>
      </c>
      <c r="F78" s="28">
        <v>16.538</v>
      </c>
      <c r="G78" s="28">
        <v>15.44</v>
      </c>
      <c r="H78" s="28">
        <v>15.039</v>
      </c>
      <c r="I78" s="28">
        <v>14.821999999999999</v>
      </c>
      <c r="J78" s="28">
        <v>14.242000000000001</v>
      </c>
      <c r="K78" s="28">
        <v>14.129</v>
      </c>
      <c r="L78" s="28">
        <v>12.664</v>
      </c>
      <c r="M78" s="28">
        <v>13.686</v>
      </c>
      <c r="N78" s="28">
        <v>16.652999999999999</v>
      </c>
      <c r="O78" s="28">
        <v>14.801</v>
      </c>
      <c r="P78" s="39">
        <v>15.362</v>
      </c>
      <c r="Q78" s="39">
        <v>13.648</v>
      </c>
      <c r="R78" s="39">
        <v>11.616</v>
      </c>
      <c r="S78" s="39">
        <v>40.799999999999997</v>
      </c>
    </row>
    <row r="79" spans="1:19" x14ac:dyDescent="0.2">
      <c r="A79" t="str">
        <f>IFERROR(INDEX('2018 Data (WP)'!$C$9:$C$73,MATCH($B79,'2018 Data (WP)'!$D$9:$D$73,0)),"")</f>
        <v>Water Utility</v>
      </c>
      <c r="B79" s="31" t="s">
        <v>208</v>
      </c>
      <c r="C79" s="31" t="s">
        <v>207</v>
      </c>
      <c r="D79" s="34"/>
      <c r="E79" s="68" t="str">
        <f>IF(IFERROR(INDEX('2016'!$C$5:$C$72,MATCH('P-E Ratio (WP)'!B79,'2016'!$A$5:$A$72,0)),0)=0,"N/A",INDEX('2016'!$C$5:$C$72,MATCH('P-E Ratio (WP)'!B79,'2016'!$A$5:$A$72,0)))</f>
        <v>N/A</v>
      </c>
      <c r="F79" s="28">
        <v>23.523</v>
      </c>
      <c r="G79" s="28">
        <v>23.065999999999999</v>
      </c>
      <c r="H79" s="28">
        <v>26.263000000000002</v>
      </c>
      <c r="I79" s="28">
        <v>24.443999999999999</v>
      </c>
      <c r="J79" s="28">
        <v>23.905999999999999</v>
      </c>
      <c r="K79" s="28">
        <v>20.72</v>
      </c>
      <c r="L79" s="28">
        <v>21.867000000000001</v>
      </c>
      <c r="M79" s="28">
        <v>24.574999999999999</v>
      </c>
      <c r="N79" s="28">
        <v>30.263000000000002</v>
      </c>
      <c r="O79" s="28">
        <v>31.248000000000001</v>
      </c>
    </row>
    <row r="80" spans="1:19" x14ac:dyDescent="0.2">
      <c r="B80" s="31"/>
      <c r="C80" s="31"/>
      <c r="D80" s="34"/>
      <c r="E80" s="68"/>
      <c r="F80" s="28"/>
      <c r="G80" s="28"/>
      <c r="H80" s="28"/>
      <c r="I80" s="28"/>
      <c r="J80" s="28"/>
      <c r="K80" s="28"/>
      <c r="L80" s="28"/>
      <c r="M80" s="28"/>
      <c r="N80" s="28"/>
      <c r="O80" s="28"/>
    </row>
  </sheetData>
  <autoFilter ref="A4:S79"/>
  <sortState ref="B4:S77">
    <sortCondition ref="C4:C77"/>
  </sortState>
  <pageMargins left="0.7" right="0.7" top="0.75" bottom="0.75" header="0.3" footer="0.3"/>
  <pageSetup fitToHeight="0" orientation="landscape" r:id="rId1"/>
  <headerFooter>
    <oddFooter>&amp;R&amp;A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U79"/>
  <sheetViews>
    <sheetView zoomScale="70" zoomScaleNormal="70" workbookViewId="0">
      <selection activeCell="G8" sqref="G8"/>
    </sheetView>
  </sheetViews>
  <sheetFormatPr defaultRowHeight="14.25" x14ac:dyDescent="0.2"/>
  <cols>
    <col min="1" max="1" width="15.125" customWidth="1"/>
    <col min="2" max="2" width="7.5" bestFit="1" customWidth="1"/>
    <col min="3" max="3" width="21.75" customWidth="1"/>
    <col min="4" max="4" width="3.25" bestFit="1" customWidth="1"/>
    <col min="5" max="5" width="2.875" bestFit="1" customWidth="1"/>
    <col min="6" max="6" width="2.875" customWidth="1"/>
    <col min="7" max="10" width="6.25" bestFit="1" customWidth="1"/>
    <col min="11" max="21" width="5.375" bestFit="1" customWidth="1"/>
  </cols>
  <sheetData>
    <row r="1" spans="1:21" x14ac:dyDescent="0.2">
      <c r="A1" t="s">
        <v>219</v>
      </c>
    </row>
    <row r="2" spans="1:21" x14ac:dyDescent="0.2">
      <c r="E2" s="35"/>
      <c r="F2" s="35"/>
      <c r="G2" s="35">
        <v>2</v>
      </c>
      <c r="H2" s="35">
        <f ca="1">MATCH(H3,OFFSET(CashFlow,-2,0,1,),0)</f>
        <v>3</v>
      </c>
      <c r="I2" s="35">
        <f ca="1">MATCH(I3,OFFSET(CashFlow,-2,0,1,),0)</f>
        <v>4</v>
      </c>
      <c r="J2" s="35">
        <f t="shared" ref="J2:Q2" ca="1" si="0">MATCH(J3,OFFSET(CashFlow,-2,0,1,),0)</f>
        <v>5</v>
      </c>
      <c r="K2" s="35">
        <f t="shared" ca="1" si="0"/>
        <v>6</v>
      </c>
      <c r="L2" s="35">
        <f t="shared" ca="1" si="0"/>
        <v>7</v>
      </c>
      <c r="M2" s="35">
        <f t="shared" ca="1" si="0"/>
        <v>8</v>
      </c>
      <c r="N2" s="35">
        <f t="shared" ca="1" si="0"/>
        <v>9</v>
      </c>
      <c r="O2" s="35">
        <f t="shared" ca="1" si="0"/>
        <v>10</v>
      </c>
      <c r="P2" s="35">
        <f t="shared" ca="1" si="0"/>
        <v>11</v>
      </c>
      <c r="Q2" s="35">
        <f t="shared" ca="1" si="0"/>
        <v>12</v>
      </c>
      <c r="R2" s="35"/>
      <c r="S2" s="35"/>
      <c r="T2" s="35"/>
      <c r="U2" s="35"/>
    </row>
    <row r="3" spans="1:21" ht="15.75" thickBot="1" x14ac:dyDescent="0.3">
      <c r="D3" s="35" t="s">
        <v>213</v>
      </c>
      <c r="E3" s="35" t="s">
        <v>214</v>
      </c>
      <c r="F3" s="35"/>
      <c r="G3" s="47">
        <v>2016</v>
      </c>
      <c r="H3" s="49">
        <v>2015</v>
      </c>
      <c r="I3" s="30">
        <v>2014</v>
      </c>
      <c r="J3" s="27">
        <v>2013</v>
      </c>
      <c r="K3" s="3">
        <v>2012</v>
      </c>
      <c r="L3" s="3">
        <v>2011</v>
      </c>
      <c r="M3" s="3">
        <v>2010</v>
      </c>
      <c r="N3" s="3">
        <v>2009</v>
      </c>
      <c r="O3" s="3">
        <v>2008</v>
      </c>
      <c r="P3" s="3">
        <v>2007</v>
      </c>
      <c r="Q3" s="3">
        <v>2006</v>
      </c>
      <c r="R3" s="3">
        <v>2005</v>
      </c>
      <c r="S3" s="3">
        <v>2004</v>
      </c>
      <c r="T3" s="3">
        <v>2003</v>
      </c>
      <c r="U3" s="3">
        <v>2002</v>
      </c>
    </row>
    <row r="4" spans="1:21" x14ac:dyDescent="0.2">
      <c r="D4" s="35"/>
      <c r="E4" s="35"/>
      <c r="F4" s="35"/>
      <c r="G4" s="35"/>
      <c r="H4" s="35"/>
    </row>
    <row r="5" spans="1:21" x14ac:dyDescent="0.2">
      <c r="A5" t="str">
        <f>IFERROR(INDEX('2018 Data (WP)'!$C$9:$C$73,MATCH($B5,'2018 Data (WP)'!$D$9:$D$73,0)),"")</f>
        <v>Electric Util. (Central)</v>
      </c>
      <c r="B5" t="s">
        <v>0</v>
      </c>
      <c r="C5" t="s">
        <v>91</v>
      </c>
      <c r="D5" s="35">
        <f t="shared" ref="D5:D36" ca="1" si="1">MATCH(B5,OFFSET(MarketPrice,0,0,,1),0)</f>
        <v>3</v>
      </c>
      <c r="E5" s="35">
        <f t="shared" ref="E5:E36" ca="1" si="2">MATCH(B5,OFFSET(CashFlow,0,0,,1),0)</f>
        <v>3</v>
      </c>
      <c r="F5" s="35"/>
      <c r="G5" s="17">
        <f t="shared" ref="G5:G36" ca="1" si="3">IFERROR(INDEX(MarketPrice,$D5,2)/INDEX(CashFlow,$E5,2),"N/A")</f>
        <v>8.2644441305269112</v>
      </c>
      <c r="H5" s="17">
        <v>7.4948453608247423</v>
      </c>
      <c r="I5" s="17">
        <v>8.8042290748898679</v>
      </c>
      <c r="J5" s="17">
        <v>9.1492984097287184</v>
      </c>
      <c r="K5" s="17">
        <v>8.1817092651757175</v>
      </c>
      <c r="L5" s="17">
        <v>7.9102198697068395</v>
      </c>
      <c r="M5" s="17">
        <v>8.0392922794117645</v>
      </c>
      <c r="N5" s="17">
        <v>8.5107812937552509</v>
      </c>
      <c r="O5" s="17">
        <v>9.2917552563193961</v>
      </c>
      <c r="P5" s="17">
        <v>10.302330844082373</v>
      </c>
      <c r="Q5" s="17">
        <v>11.056694813027745</v>
      </c>
      <c r="R5" s="37">
        <v>11.543020535482194</v>
      </c>
      <c r="S5" s="37">
        <v>11.46027</v>
      </c>
      <c r="T5" s="38" t="s">
        <v>106</v>
      </c>
      <c r="U5" s="38" t="s">
        <v>106</v>
      </c>
    </row>
    <row r="6" spans="1:21" x14ac:dyDescent="0.2">
      <c r="A6" t="str">
        <f>IFERROR(INDEX('2018 Data (WP)'!$C$9:$C$73,MATCH($B6,'2018 Data (WP)'!$D$9:$D$73,0)),"")</f>
        <v>Electric Util. (Central)</v>
      </c>
      <c r="B6" t="s">
        <v>1</v>
      </c>
      <c r="C6" t="s">
        <v>84</v>
      </c>
      <c r="D6" s="35">
        <f t="shared" ca="1" si="1"/>
        <v>4</v>
      </c>
      <c r="E6" s="35">
        <f t="shared" ca="1" si="2"/>
        <v>4</v>
      </c>
      <c r="F6" s="35"/>
      <c r="G6" s="17">
        <f t="shared" ca="1" si="3"/>
        <v>10.666956521739131</v>
      </c>
      <c r="H6" s="17">
        <v>8.8627394080092863</v>
      </c>
      <c r="I6" s="17">
        <v>8.3958151700087189</v>
      </c>
      <c r="J6" s="17">
        <v>7.5191502094554163</v>
      </c>
      <c r="K6" s="17">
        <v>7.4996607869742204</v>
      </c>
      <c r="L6" s="17">
        <v>7.2149600580973132</v>
      </c>
      <c r="M6" s="17">
        <v>6.5860215053763431</v>
      </c>
      <c r="N6" s="17">
        <v>6.2287208749405609</v>
      </c>
      <c r="O6" s="17">
        <v>7.4890254609306401</v>
      </c>
      <c r="P6" s="17">
        <v>7.924579914028917</v>
      </c>
      <c r="Q6" s="17">
        <v>8.0023094688221708</v>
      </c>
      <c r="R6" s="37">
        <v>5.0915080527086376</v>
      </c>
      <c r="S6" s="37">
        <v>5.5218499999999997</v>
      </c>
      <c r="T6" s="37">
        <v>4.7578800000000001</v>
      </c>
      <c r="U6" s="37">
        <v>5.2005309999999998</v>
      </c>
    </row>
    <row r="7" spans="1:21" x14ac:dyDescent="0.2">
      <c r="A7" t="str">
        <f>IFERROR(INDEX('2018 Data (WP)'!$C$9:$C$73,MATCH($B7,'2018 Data (WP)'!$D$9:$D$73,0)),"")</f>
        <v>Water Utility</v>
      </c>
      <c r="B7" s="31" t="s">
        <v>165</v>
      </c>
      <c r="C7" s="31" t="s">
        <v>164</v>
      </c>
      <c r="D7" s="35">
        <f t="shared" ca="1" si="1"/>
        <v>6</v>
      </c>
      <c r="E7" s="35">
        <f t="shared" ca="1" si="2"/>
        <v>6</v>
      </c>
      <c r="F7" s="35"/>
      <c r="G7" s="17">
        <f t="shared" ca="1" si="3"/>
        <v>15.338882722900481</v>
      </c>
      <c r="H7" s="17">
        <v>14.08508365966536</v>
      </c>
      <c r="I7" s="17">
        <v>11.824962518740628</v>
      </c>
      <c r="J7" s="17">
        <v>10.413715146948004</v>
      </c>
      <c r="K7" s="17">
        <v>8.1306451612903228</v>
      </c>
      <c r="L7" s="17">
        <v>8.0675422138836765</v>
      </c>
      <c r="M7" s="17">
        <v>8.25626477541371</v>
      </c>
      <c r="N7" s="17">
        <v>10.087544065804936</v>
      </c>
      <c r="O7" s="17">
        <v>10.381376037959669</v>
      </c>
      <c r="P7" s="17">
        <v>11.762250453720508</v>
      </c>
      <c r="Q7" s="17">
        <v>12.743607463718037</v>
      </c>
      <c r="R7" s="57"/>
      <c r="S7" s="58"/>
      <c r="T7" s="58"/>
      <c r="U7" s="58"/>
    </row>
    <row r="8" spans="1:21" x14ac:dyDescent="0.2">
      <c r="A8" t="str">
        <f>IFERROR(INDEX('2018 Data (WP)'!$C$9:$C$73,MATCH($B8,'2018 Data (WP)'!$D$9:$D$73,0)),"")</f>
        <v>Water Utility</v>
      </c>
      <c r="B8" s="31" t="s">
        <v>167</v>
      </c>
      <c r="C8" s="31" t="s">
        <v>166</v>
      </c>
      <c r="D8" s="35">
        <f t="shared" ca="1" si="1"/>
        <v>7</v>
      </c>
      <c r="E8" s="35">
        <f t="shared" ca="1" si="2"/>
        <v>7</v>
      </c>
      <c r="F8" s="35"/>
      <c r="G8" s="17">
        <f t="shared" ca="1" si="3"/>
        <v>13.800418171450294</v>
      </c>
      <c r="H8" s="17">
        <v>10.549688230709275</v>
      </c>
      <c r="I8" s="17">
        <v>10.065432358510414</v>
      </c>
      <c r="J8" s="17">
        <v>9.4051387933012158</v>
      </c>
      <c r="K8" s="17">
        <v>8.2557377049180349</v>
      </c>
      <c r="L8" s="17">
        <v>7.735742971887551</v>
      </c>
      <c r="M8" s="17">
        <v>6.2856339612032617</v>
      </c>
      <c r="N8" s="17">
        <v>6.769657083477659</v>
      </c>
      <c r="O8" s="17">
        <v>7.2631762652705056</v>
      </c>
      <c r="P8" s="17">
        <v>0</v>
      </c>
      <c r="Q8" s="17">
        <v>0</v>
      </c>
      <c r="R8" s="57"/>
      <c r="S8" s="58"/>
      <c r="T8" s="58"/>
      <c r="U8" s="58"/>
    </row>
    <row r="9" spans="1:21" x14ac:dyDescent="0.2">
      <c r="A9" t="str">
        <f>IFERROR(INDEX('2018 Data (WP)'!$C$9:$C$73,MATCH($B9,'2018 Data (WP)'!$D$9:$D$73,0)),"")</f>
        <v>Electric Util. (Central)</v>
      </c>
      <c r="B9" t="s">
        <v>3</v>
      </c>
      <c r="C9" t="s">
        <v>80</v>
      </c>
      <c r="D9" s="35">
        <f t="shared" ca="1" si="1"/>
        <v>8</v>
      </c>
      <c r="E9" s="35">
        <f t="shared" ca="1" si="2"/>
        <v>8</v>
      </c>
      <c r="F9" s="35"/>
      <c r="G9" s="17">
        <f t="shared" ca="1" si="3"/>
        <v>7.4442757364105674</v>
      </c>
      <c r="H9" s="17">
        <v>6.8692219114986024</v>
      </c>
      <c r="I9" s="17">
        <v>6.9488734835355288</v>
      </c>
      <c r="J9" s="17">
        <v>6.6104440632742527</v>
      </c>
      <c r="K9" s="17">
        <v>5.4788012940575515</v>
      </c>
      <c r="L9" s="17">
        <v>5.0182158665304737</v>
      </c>
      <c r="M9" s="17">
        <v>4.2268057531215426</v>
      </c>
      <c r="N9" s="17">
        <v>4.2504540201419845</v>
      </c>
      <c r="O9" s="17">
        <v>6.3536263394937107</v>
      </c>
      <c r="P9" s="17">
        <v>7.6877587226493196</v>
      </c>
      <c r="Q9" s="17">
        <v>8.5713098404255312</v>
      </c>
      <c r="R9" s="37">
        <v>8.5745657161586362</v>
      </c>
      <c r="S9" s="37">
        <v>8.241695</v>
      </c>
      <c r="T9" s="37">
        <v>6.7395110000000003</v>
      </c>
      <c r="U9" s="37">
        <v>7.9554590000000003</v>
      </c>
    </row>
    <row r="10" spans="1:21" x14ac:dyDescent="0.2">
      <c r="A10" t="str">
        <f>IFERROR(INDEX('2018 Data (WP)'!$C$9:$C$73,MATCH($B10,'2018 Data (WP)'!$D$9:$D$73,0)),"")</f>
        <v>Electric Util. (Central)</v>
      </c>
      <c r="B10" t="s">
        <v>2</v>
      </c>
      <c r="C10" t="s">
        <v>103</v>
      </c>
      <c r="D10" s="35">
        <f t="shared" ca="1" si="1"/>
        <v>5</v>
      </c>
      <c r="E10" s="35">
        <f t="shared" ca="1" si="2"/>
        <v>5</v>
      </c>
      <c r="F10" s="35"/>
      <c r="G10" s="17">
        <f t="shared" ca="1" si="3"/>
        <v>7.5706695005313502</v>
      </c>
      <c r="H10" s="17">
        <v>7.0949993733550567</v>
      </c>
      <c r="I10" s="17">
        <v>7</v>
      </c>
      <c r="J10" s="17">
        <v>6.5675406098603597</v>
      </c>
      <c r="K10" s="17">
        <v>5.9286127167630065</v>
      </c>
      <c r="L10" s="17">
        <v>5.4648403164371517</v>
      </c>
      <c r="M10" s="17">
        <v>5.5438652256834073</v>
      </c>
      <c r="N10" s="17">
        <v>4.7136529030216741</v>
      </c>
      <c r="O10" s="17">
        <v>5.7125511995318901</v>
      </c>
      <c r="P10" s="17">
        <v>6.8440717858193594</v>
      </c>
      <c r="Q10" s="17">
        <v>5.5355428914217155</v>
      </c>
      <c r="R10" s="37">
        <v>6.0654252642174127</v>
      </c>
      <c r="S10" s="37">
        <v>5.5033099999999999</v>
      </c>
      <c r="T10" s="37">
        <v>4.6854269999999998</v>
      </c>
      <c r="U10" s="37">
        <v>5.1870079999999996</v>
      </c>
    </row>
    <row r="11" spans="1:21" x14ac:dyDescent="0.2">
      <c r="A11" t="str">
        <f>IFERROR(INDEX('2018 Data (WP)'!$C$9:$C$73,MATCH($B11,'2018 Data (WP)'!$D$9:$D$73,0)),"")</f>
        <v>Water Utility</v>
      </c>
      <c r="B11" s="31" t="s">
        <v>171</v>
      </c>
      <c r="C11" s="31" t="s">
        <v>170</v>
      </c>
      <c r="D11" s="35">
        <f t="shared" ca="1" si="1"/>
        <v>10</v>
      </c>
      <c r="E11" s="35">
        <f t="shared" ca="1" si="2"/>
        <v>10</v>
      </c>
      <c r="F11" s="35"/>
      <c r="G11" s="17">
        <f t="shared" ca="1" si="3"/>
        <v>15.216908212560387</v>
      </c>
      <c r="H11" s="17">
        <v>14.316239316239315</v>
      </c>
      <c r="I11" s="17">
        <v>13.202437731849496</v>
      </c>
      <c r="J11" s="17">
        <v>13.484632272228319</v>
      </c>
      <c r="K11" s="17">
        <v>12.668211920529803</v>
      </c>
      <c r="L11" s="17">
        <v>12.214088397790055</v>
      </c>
      <c r="M11" s="17">
        <v>10.679802955665025</v>
      </c>
      <c r="N11" s="17">
        <v>11.07081712062257</v>
      </c>
      <c r="O11" s="17">
        <v>12.815140845070424</v>
      </c>
      <c r="P11" s="17">
        <v>16.537340619307834</v>
      </c>
      <c r="Q11" s="17">
        <v>19.241584158415844</v>
      </c>
      <c r="R11" s="57"/>
      <c r="S11" s="58"/>
      <c r="T11" s="58"/>
      <c r="U11" s="58"/>
    </row>
    <row r="12" spans="1:21" x14ac:dyDescent="0.2">
      <c r="A12" t="str">
        <f>IFERROR(INDEX('2018 Data (WP)'!$C$9:$C$73,MATCH($B12,'2018 Data (WP)'!$D$9:$D$73,0)),"")</f>
        <v>Natural Gas Utility</v>
      </c>
      <c r="B12" s="31" t="s">
        <v>175</v>
      </c>
      <c r="C12" s="31" t="s">
        <v>174</v>
      </c>
      <c r="D12" s="35">
        <f t="shared" ca="1" si="1"/>
        <v>12</v>
      </c>
      <c r="E12" s="35">
        <f t="shared" ca="1" si="2"/>
        <v>12</v>
      </c>
      <c r="F12" s="35"/>
      <c r="G12" s="17">
        <f t="shared" ca="1" si="3"/>
        <v>11.359670382937471</v>
      </c>
      <c r="H12" s="17">
        <v>9.3031137106485478</v>
      </c>
      <c r="I12" s="17">
        <v>8.7932434927081413</v>
      </c>
      <c r="J12" s="17">
        <v>7.7219303366413694</v>
      </c>
      <c r="K12" s="17">
        <v>7.0247795044099117</v>
      </c>
      <c r="L12" s="17">
        <v>6.8703939008894528</v>
      </c>
      <c r="M12" s="17">
        <v>6.1520051746442439</v>
      </c>
      <c r="N12" s="17">
        <v>5.7602611940298498</v>
      </c>
      <c r="O12" s="17">
        <v>6.4796088719294067</v>
      </c>
      <c r="P12" s="17">
        <v>7.443772672309553</v>
      </c>
      <c r="Q12" s="17">
        <v>6.3552631578947363</v>
      </c>
      <c r="R12" s="57"/>
      <c r="S12" s="58"/>
      <c r="T12" s="58"/>
      <c r="U12" s="58"/>
    </row>
    <row r="13" spans="1:21" x14ac:dyDescent="0.2">
      <c r="A13" t="str">
        <f>IFERROR(INDEX('2018 Data (WP)'!$C$9:$C$73,MATCH($B13,'2018 Data (WP)'!$D$9:$D$73,0)),"")</f>
        <v>Electric Utility (East)</v>
      </c>
      <c r="B13" t="s">
        <v>260</v>
      </c>
      <c r="C13" t="s">
        <v>261</v>
      </c>
      <c r="D13" s="35">
        <f t="shared" ca="1" si="1"/>
        <v>13</v>
      </c>
      <c r="E13" s="35">
        <f t="shared" ca="1" si="2"/>
        <v>13</v>
      </c>
      <c r="F13" s="35"/>
      <c r="G13" s="17">
        <f t="shared" ca="1" si="3"/>
        <v>8.563739974672858</v>
      </c>
      <c r="H13" s="17">
        <v>11.301765650080256</v>
      </c>
      <c r="I13" s="17" t="s">
        <v>106</v>
      </c>
      <c r="J13" s="17" t="s">
        <v>106</v>
      </c>
      <c r="K13" s="17" t="s">
        <v>106</v>
      </c>
      <c r="L13" s="17" t="s">
        <v>106</v>
      </c>
      <c r="M13" s="17" t="s">
        <v>106</v>
      </c>
      <c r="N13" s="17" t="s">
        <v>106</v>
      </c>
      <c r="O13" s="17" t="s">
        <v>106</v>
      </c>
      <c r="P13" s="17" t="s">
        <v>106</v>
      </c>
      <c r="Q13" s="17" t="s">
        <v>106</v>
      </c>
      <c r="R13" s="38" t="s">
        <v>106</v>
      </c>
      <c r="S13" s="38" t="s">
        <v>106</v>
      </c>
      <c r="T13" s="38" t="s">
        <v>106</v>
      </c>
      <c r="U13" s="38" t="s">
        <v>106</v>
      </c>
    </row>
    <row r="14" spans="1:21" x14ac:dyDescent="0.2">
      <c r="A14" t="str">
        <f>IFERROR(INDEX('2018 Data (WP)'!$C$9:$C$73,MATCH($B14,'2018 Data (WP)'!$D$9:$D$73,0)),"")</f>
        <v>Electric Utility (West)</v>
      </c>
      <c r="B14" t="s">
        <v>4</v>
      </c>
      <c r="C14" t="s">
        <v>86</v>
      </c>
      <c r="D14" s="35">
        <f t="shared" ca="1" si="1"/>
        <v>14</v>
      </c>
      <c r="E14" s="35">
        <f t="shared" ca="1" si="2"/>
        <v>14</v>
      </c>
      <c r="F14" s="35"/>
      <c r="G14" s="17">
        <f t="shared" ca="1" si="3"/>
        <v>7.6315391879131251</v>
      </c>
      <c r="H14" s="17">
        <v>6.7580743449116394</v>
      </c>
      <c r="I14" s="17">
        <v>7.3000459136822773</v>
      </c>
      <c r="J14" s="17">
        <v>6.2096330275229361</v>
      </c>
      <c r="K14" s="17">
        <v>6.882464198865172</v>
      </c>
      <c r="L14" s="17">
        <v>6.404125892620999</v>
      </c>
      <c r="M14" s="17">
        <v>5.8034235229155167</v>
      </c>
      <c r="N14" s="17">
        <v>4.0559928041376203</v>
      </c>
      <c r="O14" s="17">
        <v>5.1186525892408241</v>
      </c>
      <c r="P14" s="17">
        <v>7.5844421699078817</v>
      </c>
      <c r="Q14" s="17">
        <v>5.2971201123858576</v>
      </c>
      <c r="R14" s="37">
        <v>6.582413539367181</v>
      </c>
      <c r="S14" s="37">
        <v>7.5796849999999996</v>
      </c>
      <c r="T14" s="37">
        <v>5.3602889999999999</v>
      </c>
      <c r="U14" s="37">
        <v>5.8981279999999998</v>
      </c>
    </row>
    <row r="15" spans="1:21" x14ac:dyDescent="0.2">
      <c r="A15" t="str">
        <f>IFERROR(INDEX('2018 Data (WP)'!$C$9:$C$73,MATCH($B15,'2018 Data (WP)'!$D$9:$D$73,0)),"")</f>
        <v>Electric Utility (West)</v>
      </c>
      <c r="B15" t="s">
        <v>5</v>
      </c>
      <c r="C15" t="s">
        <v>46</v>
      </c>
      <c r="D15" s="35">
        <f t="shared" ca="1" si="1"/>
        <v>15</v>
      </c>
      <c r="E15" s="35">
        <f t="shared" ca="1" si="2"/>
        <v>15</v>
      </c>
      <c r="F15" s="35"/>
      <c r="G15" s="17">
        <f t="shared" ca="1" si="3"/>
        <v>9.3268098647573581</v>
      </c>
      <c r="H15" s="17">
        <v>8.0614298323036184</v>
      </c>
      <c r="I15" s="17">
        <v>8.8062449959967974</v>
      </c>
      <c r="J15" s="17">
        <v>8.0283353010625742</v>
      </c>
      <c r="K15" s="17">
        <v>6.0373881932021476</v>
      </c>
      <c r="L15" s="17">
        <v>7.8482276585122319</v>
      </c>
      <c r="M15" s="17">
        <v>6.1607875307629199</v>
      </c>
      <c r="N15" s="17">
        <v>4.2542028450027702</v>
      </c>
      <c r="O15" s="17">
        <v>11.257026752455131</v>
      </c>
      <c r="P15" s="17">
        <v>7.6150936258747874</v>
      </c>
      <c r="Q15" s="17">
        <v>6.9166335847558544</v>
      </c>
      <c r="R15" s="37">
        <v>7.5738045738045745</v>
      </c>
      <c r="S15" s="37">
        <v>6.6870099999999999</v>
      </c>
      <c r="T15" s="37">
        <v>6.8855000000000004</v>
      </c>
      <c r="U15" s="37">
        <v>5.9184089999999996</v>
      </c>
    </row>
    <row r="16" spans="1:21" x14ac:dyDescent="0.2">
      <c r="A16" t="str">
        <f>IFERROR(INDEX('2018 Data (WP)'!$C$9:$C$73,MATCH($B16,'2018 Data (WP)'!$D$9:$D$73,0)),"")</f>
        <v>Water Utility</v>
      </c>
      <c r="B16" s="31" t="s">
        <v>177</v>
      </c>
      <c r="C16" s="31" t="s">
        <v>176</v>
      </c>
      <c r="D16" s="35">
        <f t="shared" ca="1" si="1"/>
        <v>16</v>
      </c>
      <c r="E16" s="35">
        <f t="shared" ca="1" si="2"/>
        <v>16</v>
      </c>
      <c r="F16" s="35"/>
      <c r="G16" s="17">
        <f t="shared" ca="1" si="3"/>
        <v>12.791969243912858</v>
      </c>
      <c r="H16" s="17">
        <v>10.489639639639638</v>
      </c>
      <c r="I16" s="17">
        <v>9.4981759221726794</v>
      </c>
      <c r="J16" s="17">
        <v>9.2844866576209863</v>
      </c>
      <c r="K16" s="17">
        <v>7.8671268334771352</v>
      </c>
      <c r="L16" s="17">
        <v>8.8481624758220487</v>
      </c>
      <c r="M16" s="17">
        <v>9.5067287784679095</v>
      </c>
      <c r="N16" s="17">
        <v>9.9245087900723892</v>
      </c>
      <c r="O16" s="17">
        <v>10.090274046211713</v>
      </c>
      <c r="P16" s="17">
        <v>12.511523687580025</v>
      </c>
      <c r="Q16" s="17">
        <v>14.436256448047162</v>
      </c>
      <c r="R16" s="57"/>
      <c r="S16" s="58"/>
      <c r="T16" s="58"/>
      <c r="U16" s="58"/>
    </row>
    <row r="17" spans="1:21" x14ac:dyDescent="0.2">
      <c r="A17" t="str">
        <f>IFERROR(INDEX('2018 Data (WP)'!$C$9:$C$73,MATCH($B17,'2018 Data (WP)'!$D$9:$D$73,0)),"")</f>
        <v>Electric Util. (Central)</v>
      </c>
      <c r="B17" t="s">
        <v>6</v>
      </c>
      <c r="C17" t="s">
        <v>90</v>
      </c>
      <c r="D17" s="35">
        <f t="shared" ca="1" si="1"/>
        <v>17</v>
      </c>
      <c r="E17" s="35">
        <f t="shared" ca="1" si="2"/>
        <v>17</v>
      </c>
      <c r="F17" s="35"/>
      <c r="G17" s="17">
        <f t="shared" ca="1" si="3"/>
        <v>5.957041870581838</v>
      </c>
      <c r="H17" s="17">
        <v>5.7488235294117649</v>
      </c>
      <c r="I17" s="17">
        <v>6.2537003375746556</v>
      </c>
      <c r="J17" s="17">
        <v>6.5611064069997171</v>
      </c>
      <c r="K17" s="17">
        <v>5.1511179645335385</v>
      </c>
      <c r="L17" s="17">
        <v>5.3933566433566442</v>
      </c>
      <c r="M17" s="17">
        <v>4.6976744186046515</v>
      </c>
      <c r="N17" s="17">
        <v>4.0547432845970759</v>
      </c>
      <c r="O17" s="17">
        <v>4.2873025160912812</v>
      </c>
      <c r="P17" s="17">
        <v>5.1730032419687593</v>
      </c>
      <c r="Q17" s="17">
        <v>3.938834391229082</v>
      </c>
      <c r="R17" s="37">
        <v>4.698932646301067</v>
      </c>
      <c r="S17" s="37">
        <v>4.2561600000000004</v>
      </c>
      <c r="T17" s="37">
        <v>2.080613</v>
      </c>
      <c r="U17" s="37">
        <v>2.1596289999999998</v>
      </c>
    </row>
    <row r="18" spans="1:21" x14ac:dyDescent="0.2">
      <c r="A18" t="str">
        <f>IFERROR(INDEX('2018 Data (WP)'!$C$9:$C$73,MATCH($B18,'2018 Data (WP)'!$D$9:$D$73,0)),"")</f>
        <v/>
      </c>
      <c r="B18" t="s">
        <v>7</v>
      </c>
      <c r="C18" t="s">
        <v>48</v>
      </c>
      <c r="D18" s="35" t="e">
        <f t="shared" ca="1" si="1"/>
        <v>#N/A</v>
      </c>
      <c r="E18" s="35" t="e">
        <f t="shared" ca="1" si="2"/>
        <v>#N/A</v>
      </c>
      <c r="F18" s="35"/>
      <c r="G18" s="17" t="str">
        <f t="shared" ca="1" si="3"/>
        <v>N/A</v>
      </c>
      <c r="H18" s="17" t="s">
        <v>106</v>
      </c>
      <c r="I18" s="17" t="s">
        <v>106</v>
      </c>
      <c r="J18" s="17" t="s">
        <v>106</v>
      </c>
      <c r="K18" s="17" t="s">
        <v>106</v>
      </c>
      <c r="L18" s="17" t="s">
        <v>106</v>
      </c>
      <c r="M18" s="17" t="s">
        <v>106</v>
      </c>
      <c r="N18" s="17" t="s">
        <v>106</v>
      </c>
      <c r="O18" s="17" t="s">
        <v>106</v>
      </c>
      <c r="P18" s="17" t="s">
        <v>106</v>
      </c>
      <c r="Q18" s="17" t="s">
        <v>106</v>
      </c>
      <c r="R18" s="37" t="s">
        <v>106</v>
      </c>
      <c r="S18" s="37">
        <v>9.4581719999999994</v>
      </c>
      <c r="T18" s="37">
        <v>8.6922759999999997</v>
      </c>
      <c r="U18" s="37">
        <v>11.4496</v>
      </c>
    </row>
    <row r="19" spans="1:21" x14ac:dyDescent="0.2">
      <c r="A19" t="str">
        <f>IFERROR(INDEX('2018 Data (WP)'!$C$9:$C$73,MATCH($B19,'2018 Data (WP)'!$D$9:$D$73,0)),"")</f>
        <v>Natural Gas Utility</v>
      </c>
      <c r="B19" s="31" t="s">
        <v>178</v>
      </c>
      <c r="C19" s="31" t="s">
        <v>215</v>
      </c>
      <c r="D19" s="35">
        <f t="shared" ca="1" si="1"/>
        <v>18</v>
      </c>
      <c r="E19" s="35">
        <f t="shared" ca="1" si="2"/>
        <v>18</v>
      </c>
      <c r="F19" s="35"/>
      <c r="G19" s="17">
        <f t="shared" ca="1" si="3"/>
        <v>12.061785783459229</v>
      </c>
      <c r="H19" s="17">
        <v>10.156175771971498</v>
      </c>
      <c r="I19" s="17">
        <v>9.2457179107633749</v>
      </c>
      <c r="J19" s="17">
        <v>8.1181880892159111</v>
      </c>
      <c r="K19" s="17">
        <v>7.4640870005058169</v>
      </c>
      <c r="L19" s="17">
        <v>7.3488876831253398</v>
      </c>
      <c r="M19" s="17">
        <v>6.3584096109839816</v>
      </c>
      <c r="N19" s="17">
        <v>9.4753258845437625</v>
      </c>
      <c r="O19" s="17">
        <v>7.8808000000000007</v>
      </c>
      <c r="P19" s="17">
        <v>8.5781746031746042</v>
      </c>
      <c r="Q19" s="17">
        <v>9.4022038567493116</v>
      </c>
      <c r="R19" s="57"/>
      <c r="S19" s="58"/>
      <c r="T19" s="58"/>
      <c r="U19" s="58"/>
    </row>
    <row r="20" spans="1:21" x14ac:dyDescent="0.2">
      <c r="A20" t="str">
        <f>IFERROR(INDEX('2018 Data (WP)'!$C$9:$C$73,MATCH($B20,'2018 Data (WP)'!$D$9:$D$73,0)),"")</f>
        <v/>
      </c>
      <c r="B20" t="s">
        <v>8</v>
      </c>
      <c r="C20" t="s">
        <v>49</v>
      </c>
      <c r="D20" s="35" t="e">
        <f t="shared" ca="1" si="1"/>
        <v>#N/A</v>
      </c>
      <c r="E20" s="35" t="e">
        <f t="shared" ca="1" si="2"/>
        <v>#N/A</v>
      </c>
      <c r="F20" s="35"/>
      <c r="G20" s="17" t="str">
        <f t="shared" ca="1" si="3"/>
        <v>N/A</v>
      </c>
      <c r="H20" s="17" t="s">
        <v>106</v>
      </c>
      <c r="I20" s="17" t="s">
        <v>106</v>
      </c>
      <c r="J20" s="17" t="s">
        <v>106</v>
      </c>
      <c r="K20" s="17" t="s">
        <v>106</v>
      </c>
      <c r="L20" s="17" t="s">
        <v>106</v>
      </c>
      <c r="M20" s="17" t="s">
        <v>106</v>
      </c>
      <c r="N20" s="17" t="s">
        <v>106</v>
      </c>
      <c r="O20" s="17" t="s">
        <v>106</v>
      </c>
      <c r="P20" s="17" t="s">
        <v>106</v>
      </c>
      <c r="Q20" s="17" t="s">
        <v>106</v>
      </c>
      <c r="R20" s="37" t="s">
        <v>106</v>
      </c>
      <c r="S20" s="37">
        <v>7.0826840000000004</v>
      </c>
      <c r="T20" s="37">
        <v>5.2404299999999999</v>
      </c>
      <c r="U20" s="37">
        <v>6.100295</v>
      </c>
    </row>
    <row r="21" spans="1:21" x14ac:dyDescent="0.2">
      <c r="A21" t="str">
        <f>IFERROR(INDEX('2018 Data (WP)'!$C$9:$C$73,MATCH($B21,'2018 Data (WP)'!$D$9:$D$73,0)),"")</f>
        <v>Electric Util. (Central)</v>
      </c>
      <c r="B21" t="s">
        <v>9</v>
      </c>
      <c r="C21" t="s">
        <v>47</v>
      </c>
      <c r="D21" s="35">
        <f t="shared" ca="1" si="1"/>
        <v>19</v>
      </c>
      <c r="E21" s="35">
        <f t="shared" ca="1" si="2"/>
        <v>19</v>
      </c>
      <c r="F21" s="35"/>
      <c r="G21" s="17">
        <f t="shared" ca="1" si="3"/>
        <v>8.5008200082000815</v>
      </c>
      <c r="H21" s="17">
        <v>7.5266710211190944</v>
      </c>
      <c r="I21" s="17">
        <v>7.1293225959261006</v>
      </c>
      <c r="J21" s="17">
        <v>6.6755358462675529</v>
      </c>
      <c r="K21" s="17">
        <v>6.0340225071970686</v>
      </c>
      <c r="L21" s="17">
        <v>5.405805038335159</v>
      </c>
      <c r="M21" s="17">
        <v>4.4751485683414369</v>
      </c>
      <c r="N21" s="17">
        <v>3.6362849725987885</v>
      </c>
      <c r="O21" s="17">
        <v>3.4463641052088705</v>
      </c>
      <c r="P21" s="17">
        <v>5.5730045425048669</v>
      </c>
      <c r="Q21" s="17">
        <v>4.4045919950356813</v>
      </c>
      <c r="R21" s="37">
        <v>4.0422863808690588</v>
      </c>
      <c r="S21" s="37">
        <v>3.1967210000000001</v>
      </c>
      <c r="T21" s="37">
        <v>2.876099</v>
      </c>
      <c r="U21" s="37" t="s">
        <v>105</v>
      </c>
    </row>
    <row r="22" spans="1:21" x14ac:dyDescent="0.2">
      <c r="A22" t="str">
        <f>IFERROR(INDEX('2018 Data (WP)'!$C$9:$C$73,MATCH($B22,'2018 Data (WP)'!$D$9:$D$73,0)),"")</f>
        <v>Water Utility</v>
      </c>
      <c r="B22" s="31" t="s">
        <v>180</v>
      </c>
      <c r="C22" s="31" t="s">
        <v>179</v>
      </c>
      <c r="D22" s="35">
        <f t="shared" ca="1" si="1"/>
        <v>20</v>
      </c>
      <c r="E22" s="35">
        <f t="shared" ca="1" si="2"/>
        <v>20</v>
      </c>
      <c r="F22" s="35"/>
      <c r="G22" s="17">
        <f t="shared" ca="1" si="3"/>
        <v>14.623490338164252</v>
      </c>
      <c r="H22" s="17">
        <v>11.275786163522012</v>
      </c>
      <c r="I22" s="17">
        <v>11.319313593539704</v>
      </c>
      <c r="J22" s="17">
        <v>11.597185241536707</v>
      </c>
      <c r="K22" s="17">
        <v>11.221717744986758</v>
      </c>
      <c r="L22" s="17">
        <v>12.344418052256533</v>
      </c>
      <c r="M22" s="17">
        <v>11.454634624816086</v>
      </c>
      <c r="N22" s="17">
        <v>11.330574236937403</v>
      </c>
      <c r="O22" s="17">
        <v>12.644398766700926</v>
      </c>
      <c r="P22" s="17">
        <v>12.717746182201159</v>
      </c>
      <c r="Q22" s="17">
        <v>15.461791831357049</v>
      </c>
      <c r="R22" s="57"/>
      <c r="S22" s="58"/>
      <c r="T22" s="58"/>
      <c r="U22" s="58"/>
    </row>
    <row r="23" spans="1:21" x14ac:dyDescent="0.2">
      <c r="A23" t="str">
        <f>IFERROR(INDEX('2018 Data (WP)'!$C$9:$C$73,MATCH($B23,'2018 Data (WP)'!$D$9:$D$73,0)),"")</f>
        <v>Electric Utility (East)</v>
      </c>
      <c r="B23" t="s">
        <v>10</v>
      </c>
      <c r="C23" t="s">
        <v>50</v>
      </c>
      <c r="D23" s="35">
        <f t="shared" ca="1" si="1"/>
        <v>21</v>
      </c>
      <c r="E23" s="35">
        <f t="shared" ca="1" si="2"/>
        <v>21</v>
      </c>
      <c r="F23" s="35"/>
      <c r="G23" s="17">
        <f t="shared" ca="1" si="3"/>
        <v>9.3949270767279636</v>
      </c>
      <c r="H23" s="17">
        <v>7.963546922300706</v>
      </c>
      <c r="I23" s="17">
        <v>7.8885843497327679</v>
      </c>
      <c r="J23" s="17">
        <v>7.7697059218477236</v>
      </c>
      <c r="K23" s="17">
        <v>8.3131821998320738</v>
      </c>
      <c r="L23" s="17">
        <v>8.1457545028000613</v>
      </c>
      <c r="M23" s="17">
        <v>7.3884707766212969</v>
      </c>
      <c r="N23" s="17">
        <v>6.7200614124872056</v>
      </c>
      <c r="O23" s="17">
        <v>6.8936205744822976</v>
      </c>
      <c r="P23" s="17">
        <v>8.3095980595980592</v>
      </c>
      <c r="Q23" s="17">
        <v>8.6531540064406141</v>
      </c>
      <c r="R23" s="37">
        <v>8.5887602050503133</v>
      </c>
      <c r="S23" s="37">
        <v>9.3134920000000001</v>
      </c>
      <c r="T23" s="37">
        <v>7.8992769999999997</v>
      </c>
      <c r="U23" s="37">
        <v>7.6411100000000003</v>
      </c>
    </row>
    <row r="24" spans="1:21" x14ac:dyDescent="0.2">
      <c r="A24" t="str">
        <f>IFERROR(INDEX('2018 Data (WP)'!$C$9:$C$73,MATCH($B24,'2018 Data (WP)'!$D$9:$D$73,0)),"")</f>
        <v>Water Utility</v>
      </c>
      <c r="B24" s="31" t="s">
        <v>182</v>
      </c>
      <c r="C24" s="31" t="s">
        <v>181</v>
      </c>
      <c r="D24" s="35">
        <f t="shared" ca="1" si="1"/>
        <v>22</v>
      </c>
      <c r="E24" s="35">
        <f t="shared" ca="1" si="2"/>
        <v>22</v>
      </c>
      <c r="F24" s="35"/>
      <c r="G24" s="17">
        <f t="shared" ca="1" si="3"/>
        <v>12.681341719077569</v>
      </c>
      <c r="H24" s="17">
        <v>12.988776655443322</v>
      </c>
      <c r="I24" s="17">
        <v>14.85125</v>
      </c>
      <c r="J24" s="17">
        <v>12.134796238244514</v>
      </c>
      <c r="K24" s="17">
        <v>6.8080548414738642</v>
      </c>
      <c r="L24" s="17">
        <v>11.31768953068592</v>
      </c>
      <c r="M24" s="17">
        <v>13.371527777777779</v>
      </c>
      <c r="N24" s="17">
        <v>11.934745762711865</v>
      </c>
      <c r="O24" s="17">
        <v>19.910432033719704</v>
      </c>
      <c r="P24" s="17">
        <v>23.259567387687188</v>
      </c>
      <c r="Q24" s="17">
        <v>29.194252873563219</v>
      </c>
      <c r="R24" s="57"/>
      <c r="S24" s="58"/>
      <c r="T24" s="58"/>
      <c r="U24" s="58"/>
    </row>
    <row r="25" spans="1:21" x14ac:dyDescent="0.2">
      <c r="A25" t="str">
        <f>IFERROR(INDEX('2018 Data (WP)'!$C$9:$C$73,MATCH($B25,'2018 Data (WP)'!$D$9:$D$73,0)),"")</f>
        <v>Electric Utility (East)</v>
      </c>
      <c r="B25" t="s">
        <v>11</v>
      </c>
      <c r="C25" t="s">
        <v>52</v>
      </c>
      <c r="D25" s="35">
        <f t="shared" ca="1" si="1"/>
        <v>24</v>
      </c>
      <c r="E25" s="35">
        <f t="shared" ca="1" si="2"/>
        <v>24</v>
      </c>
      <c r="F25" s="35"/>
      <c r="G25" s="17">
        <f t="shared" ca="1" si="3"/>
        <v>11.594436541804964</v>
      </c>
      <c r="H25" s="17">
        <v>11.837733957219251</v>
      </c>
      <c r="I25" s="17">
        <v>12.270753064798599</v>
      </c>
      <c r="J25" s="17">
        <v>10.877263581488934</v>
      </c>
      <c r="K25" s="17">
        <v>9.9176201372997728</v>
      </c>
      <c r="L25" s="17">
        <v>9.4481665014866199</v>
      </c>
      <c r="M25" s="17">
        <v>8.1228207639569039</v>
      </c>
      <c r="N25" s="17">
        <v>6.9848421926910307</v>
      </c>
      <c r="O25" s="17">
        <v>8.2672192618906646</v>
      </c>
      <c r="P25" s="17">
        <v>8.6465262743554412</v>
      </c>
      <c r="Q25" s="17">
        <v>7.8091649694501024</v>
      </c>
      <c r="R25" s="37">
        <v>10.089435287760065</v>
      </c>
      <c r="S25" s="37">
        <v>7.6822210000000002</v>
      </c>
      <c r="T25" s="37">
        <v>7.50718</v>
      </c>
      <c r="U25" s="37">
        <v>6.5263039999999997</v>
      </c>
    </row>
    <row r="26" spans="1:21" x14ac:dyDescent="0.2">
      <c r="A26" t="str">
        <f>IFERROR(INDEX('2018 Data (WP)'!$C$9:$C$73,MATCH($B26,'2018 Data (WP)'!$D$9:$D$73,0)),"")</f>
        <v>Electric Util. (Central)</v>
      </c>
      <c r="B26" t="s">
        <v>12</v>
      </c>
      <c r="C26" t="s">
        <v>51</v>
      </c>
      <c r="D26" s="35">
        <f t="shared" ca="1" si="1"/>
        <v>25</v>
      </c>
      <c r="E26" s="35">
        <f t="shared" ca="1" si="2"/>
        <v>25</v>
      </c>
      <c r="F26" s="35"/>
      <c r="G26" s="17">
        <f t="shared" ca="1" si="3"/>
        <v>8.6420754716981136</v>
      </c>
      <c r="H26" s="17">
        <v>8.5202881661192933</v>
      </c>
      <c r="I26" s="17">
        <v>6.4158090096170071</v>
      </c>
      <c r="J26" s="17">
        <v>6.6529382716049383</v>
      </c>
      <c r="K26" s="17">
        <v>5.9124961621123733</v>
      </c>
      <c r="L26" s="17">
        <v>5.1828350407693913</v>
      </c>
      <c r="M26" s="17">
        <v>4.6905930470347652</v>
      </c>
      <c r="N26" s="17">
        <v>3.5945859533198341</v>
      </c>
      <c r="O26" s="17">
        <v>4.8969359331476321</v>
      </c>
      <c r="P26" s="17">
        <v>5.7259870359457867</v>
      </c>
      <c r="Q26" s="17">
        <v>5.2138932975216701</v>
      </c>
      <c r="R26" s="37">
        <v>5.5403413975193416</v>
      </c>
      <c r="S26" s="37">
        <v>6.0036690000000004</v>
      </c>
      <c r="T26" s="37">
        <v>5.6177109999999999</v>
      </c>
      <c r="U26" s="37">
        <v>5.20106</v>
      </c>
    </row>
    <row r="27" spans="1:21" x14ac:dyDescent="0.2">
      <c r="A27" t="str">
        <f>IFERROR(INDEX('2018 Data (WP)'!$C$9:$C$73,MATCH($B27,'2018 Data (WP)'!$D$9:$D$73,0)),"")</f>
        <v>Electric Utility (East)</v>
      </c>
      <c r="B27" t="s">
        <v>13</v>
      </c>
      <c r="C27" t="s">
        <v>93</v>
      </c>
      <c r="D27" s="35">
        <f t="shared" ca="1" si="1"/>
        <v>26</v>
      </c>
      <c r="E27" s="35">
        <f t="shared" ca="1" si="2"/>
        <v>26</v>
      </c>
      <c r="F27" s="35"/>
      <c r="G27" s="17">
        <f t="shared" ca="1" si="3"/>
        <v>8.5698913043478271</v>
      </c>
      <c r="H27" s="17">
        <v>7.9461702127659573</v>
      </c>
      <c r="I27" s="17">
        <v>8.1206366630076836</v>
      </c>
      <c r="J27" s="17">
        <v>8.1148632858144438</v>
      </c>
      <c r="K27" s="17">
        <v>9.5307443365695796</v>
      </c>
      <c r="L27" s="17">
        <v>6.5644009216589865</v>
      </c>
      <c r="M27" s="17">
        <v>6.0090737685599809</v>
      </c>
      <c r="N27" s="17">
        <v>5.9555408970976256</v>
      </c>
      <c r="O27" s="17">
        <v>7.1315538608198281</v>
      </c>
      <c r="P27" s="17">
        <v>7.1623288516097201</v>
      </c>
      <c r="Q27" s="17">
        <v>0</v>
      </c>
      <c r="R27" s="37" t="s">
        <v>106</v>
      </c>
      <c r="S27" s="38" t="s">
        <v>106</v>
      </c>
      <c r="T27" s="38" t="s">
        <v>106</v>
      </c>
      <c r="U27" s="38" t="s">
        <v>106</v>
      </c>
    </row>
    <row r="28" spans="1:21" x14ac:dyDescent="0.2">
      <c r="A28" t="str">
        <f>IFERROR(INDEX('2018 Data (WP)'!$C$9:$C$73,MATCH($B28,'2018 Data (WP)'!$D$9:$D$73,0)),"")</f>
        <v>Electric Utility (West)</v>
      </c>
      <c r="B28" t="s">
        <v>14</v>
      </c>
      <c r="C28" t="s">
        <v>53</v>
      </c>
      <c r="D28" s="35">
        <f t="shared" ca="1" si="1"/>
        <v>27</v>
      </c>
      <c r="E28" s="35">
        <f t="shared" ca="1" si="2"/>
        <v>27</v>
      </c>
      <c r="F28" s="35"/>
      <c r="G28" s="17">
        <f t="shared" ca="1" si="3"/>
        <v>6.7719163629388071</v>
      </c>
      <c r="H28" s="17">
        <v>5.9209661835748788</v>
      </c>
      <c r="I28" s="17">
        <v>5.6784242789669381</v>
      </c>
      <c r="J28" s="17">
        <v>5.4568602932817996</v>
      </c>
      <c r="K28" s="17">
        <v>4.5871416701287906</v>
      </c>
      <c r="L28" s="17">
        <v>4.22358803986711</v>
      </c>
      <c r="M28" s="17">
        <v>4.1089979793177225</v>
      </c>
      <c r="N28" s="17">
        <v>3.9531701192718138</v>
      </c>
      <c r="O28" s="17">
        <v>5.6253092528451267</v>
      </c>
      <c r="P28" s="17">
        <v>7.0055292259083721</v>
      </c>
      <c r="Q28" s="17">
        <v>5.873293809458155</v>
      </c>
      <c r="R28" s="37">
        <v>5.6129401660463794</v>
      </c>
      <c r="S28" s="37">
        <v>6.8365840000000002</v>
      </c>
      <c r="T28" s="37">
        <v>2.8197589999999999</v>
      </c>
      <c r="U28" s="37">
        <v>2.960502</v>
      </c>
    </row>
    <row r="29" spans="1:21" x14ac:dyDescent="0.2">
      <c r="A29" t="str">
        <f>IFERROR(INDEX('2018 Data (WP)'!$C$9:$C$73,MATCH($B29,'2018 Data (WP)'!$D$9:$D$73,0)),"")</f>
        <v>Electric Utility (West)</v>
      </c>
      <c r="B29" t="s">
        <v>15</v>
      </c>
      <c r="C29" t="s">
        <v>88</v>
      </c>
      <c r="D29" s="35">
        <f t="shared" ca="1" si="1"/>
        <v>28</v>
      </c>
      <c r="E29" s="35">
        <f t="shared" ca="1" si="2"/>
        <v>28</v>
      </c>
      <c r="F29" s="35"/>
      <c r="G29" s="17">
        <f t="shared" ca="1" si="3"/>
        <v>7.4615127175368148</v>
      </c>
      <c r="H29" s="17">
        <v>6.4707826086956519</v>
      </c>
      <c r="I29" s="17">
        <v>6.3323684658607178</v>
      </c>
      <c r="J29" s="17">
        <v>6.1883082373782115</v>
      </c>
      <c r="K29" s="17">
        <v>5.77813107224872</v>
      </c>
      <c r="L29" s="17">
        <v>5.1629752066115708</v>
      </c>
      <c r="M29" s="17">
        <v>4.3062293809431402</v>
      </c>
      <c r="N29" s="17">
        <v>3.9808212441603148</v>
      </c>
      <c r="O29" s="17">
        <v>4.9475835537388804</v>
      </c>
      <c r="P29" s="17">
        <v>6.4357050452781364</v>
      </c>
      <c r="Q29" s="17">
        <v>6.2486187845303869</v>
      </c>
      <c r="R29" s="37">
        <v>6.6677609980302037</v>
      </c>
      <c r="S29" s="37">
        <v>4.6549300000000002</v>
      </c>
      <c r="T29" s="37">
        <v>3.8985989999999999</v>
      </c>
      <c r="U29" s="37">
        <v>4.3862110000000003</v>
      </c>
    </row>
    <row r="30" spans="1:21" x14ac:dyDescent="0.2">
      <c r="A30" t="str">
        <f>IFERROR(INDEX('2018 Data (WP)'!$C$9:$C$73,MATCH($B30,'2018 Data (WP)'!$D$9:$D$73,0)),"")</f>
        <v/>
      </c>
      <c r="B30" t="s">
        <v>16</v>
      </c>
      <c r="C30" t="s">
        <v>102</v>
      </c>
      <c r="D30" s="35">
        <f t="shared" ca="1" si="1"/>
        <v>29</v>
      </c>
      <c r="E30" s="35">
        <f t="shared" ca="1" si="2"/>
        <v>29</v>
      </c>
      <c r="F30" s="35"/>
      <c r="G30" s="17" t="str">
        <f t="shared" ca="1" si="3"/>
        <v>N/A</v>
      </c>
      <c r="H30" s="17">
        <v>7.2742616033755274</v>
      </c>
      <c r="I30" s="17">
        <v>7.2901073397156955</v>
      </c>
      <c r="J30" s="17">
        <v>7.0684713375796173</v>
      </c>
      <c r="K30" s="17">
        <v>6.9661754855994635</v>
      </c>
      <c r="L30" s="17">
        <v>6.4347148644437517</v>
      </c>
      <c r="M30" s="17">
        <v>6.8796068796068797</v>
      </c>
      <c r="N30" s="17">
        <v>6.227088700772911</v>
      </c>
      <c r="O30" s="17">
        <v>6.9446164430684547</v>
      </c>
      <c r="P30" s="17">
        <v>8.7838841440772377</v>
      </c>
      <c r="Q30" s="17">
        <v>8.1666666666666661</v>
      </c>
      <c r="R30" s="37">
        <v>9.1954304365565083</v>
      </c>
      <c r="S30" s="37">
        <v>9.6012599999999999</v>
      </c>
      <c r="T30" s="37">
        <v>8.2227139999999999</v>
      </c>
      <c r="U30" s="37">
        <v>7.9267190000000003</v>
      </c>
    </row>
    <row r="31" spans="1:21" x14ac:dyDescent="0.2">
      <c r="A31" t="str">
        <f>IFERROR(INDEX('2018 Data (WP)'!$C$9:$C$73,MATCH($B31,'2018 Data (WP)'!$D$9:$D$73,0)),"")</f>
        <v>Electric Util. (Central)</v>
      </c>
      <c r="B31" t="s">
        <v>17</v>
      </c>
      <c r="C31" t="s">
        <v>55</v>
      </c>
      <c r="D31" s="35">
        <f t="shared" ca="1" si="1"/>
        <v>30</v>
      </c>
      <c r="E31" s="35">
        <f t="shared" ca="1" si="2"/>
        <v>30</v>
      </c>
      <c r="F31" s="35"/>
      <c r="G31" s="17">
        <f t="shared" ca="1" si="3"/>
        <v>4.0131916257209994</v>
      </c>
      <c r="H31" s="17">
        <v>4.1113181972212809</v>
      </c>
      <c r="I31" s="17">
        <v>4.2062683865127859</v>
      </c>
      <c r="J31" s="17">
        <v>4.0342238089375853</v>
      </c>
      <c r="K31" s="17">
        <v>4.2285499718380377</v>
      </c>
      <c r="L31" s="17">
        <v>3.9024070271503537</v>
      </c>
      <c r="M31" s="17">
        <v>4.6604172966434838</v>
      </c>
      <c r="N31" s="17">
        <v>5.6803883202889818</v>
      </c>
      <c r="O31" s="17">
        <v>7.963460046547711</v>
      </c>
      <c r="P31" s="17">
        <v>9.2136890555744984</v>
      </c>
      <c r="Q31" s="17">
        <v>7.1561769381838589</v>
      </c>
      <c r="R31" s="37">
        <v>8.756049865558543</v>
      </c>
      <c r="S31" s="37">
        <v>7.1220420000000004</v>
      </c>
      <c r="T31" s="37">
        <v>6.8374600000000001</v>
      </c>
      <c r="U31" s="37">
        <v>5.5696649999999996</v>
      </c>
    </row>
    <row r="32" spans="1:21" x14ac:dyDescent="0.2">
      <c r="A32" t="str">
        <f>IFERROR(INDEX('2018 Data (WP)'!$C$9:$C$73,MATCH($B32,'2018 Data (WP)'!$D$9:$D$73,0)),"")</f>
        <v>Electric Utility (East)</v>
      </c>
      <c r="B32" t="s">
        <v>211</v>
      </c>
      <c r="C32" t="s">
        <v>212</v>
      </c>
      <c r="D32" s="35">
        <f t="shared" ca="1" si="1"/>
        <v>31</v>
      </c>
      <c r="E32" s="35">
        <f t="shared" ca="1" si="2"/>
        <v>31</v>
      </c>
      <c r="F32" s="35"/>
      <c r="G32" s="17">
        <f t="shared" ca="1" si="3"/>
        <v>10.136863319897397</v>
      </c>
      <c r="H32" s="17">
        <v>10.12006479044341</v>
      </c>
      <c r="I32" s="17">
        <v>10.143264589732338</v>
      </c>
      <c r="J32" s="17">
        <v>8.0810344827586214</v>
      </c>
      <c r="K32" s="17">
        <v>9.3024293505205762</v>
      </c>
      <c r="L32" s="17">
        <v>6.9887202625102534</v>
      </c>
      <c r="M32" s="17">
        <v>4.9663495419309376</v>
      </c>
      <c r="N32" s="17">
        <v>4.6065739060294417</v>
      </c>
      <c r="O32" s="17">
        <v>4.1233165666071718</v>
      </c>
      <c r="P32" s="17">
        <v>6.1838174273858924</v>
      </c>
      <c r="Q32" s="17">
        <v>6.0159934941718625</v>
      </c>
      <c r="R32" s="37">
        <v>3.5481033534909288</v>
      </c>
      <c r="S32" s="37">
        <v>3.782826</v>
      </c>
      <c r="T32" s="37">
        <v>2.852541</v>
      </c>
      <c r="U32" s="37">
        <v>2.746715</v>
      </c>
    </row>
    <row r="33" spans="1:21" x14ac:dyDescent="0.2">
      <c r="A33" t="str">
        <f>IFERROR(INDEX('2018 Data (WP)'!$C$9:$C$73,MATCH($B33,'2018 Data (WP)'!$D$9:$D$73,0)),"")</f>
        <v>Electric Utility (East)</v>
      </c>
      <c r="B33" t="s">
        <v>18</v>
      </c>
      <c r="C33" t="s">
        <v>69</v>
      </c>
      <c r="D33" s="35">
        <f t="shared" ca="1" si="1"/>
        <v>32</v>
      </c>
      <c r="E33" s="35">
        <f t="shared" ca="1" si="2"/>
        <v>32</v>
      </c>
      <c r="F33" s="35"/>
      <c r="G33" s="17">
        <f t="shared" ca="1" si="3"/>
        <v>4.8002855103497497</v>
      </c>
      <c r="H33" s="17">
        <v>4.6968092927510661</v>
      </c>
      <c r="I33" s="17">
        <v>5.0912668382019071</v>
      </c>
      <c r="J33" s="17">
        <v>4.6141263940520449</v>
      </c>
      <c r="K33" s="17">
        <v>5.5449591280653951</v>
      </c>
      <c r="L33" s="17">
        <v>5.858446226154272</v>
      </c>
      <c r="M33" s="17">
        <v>5.1031373963216735</v>
      </c>
      <c r="N33" s="17">
        <v>5.9759912695525648</v>
      </c>
      <c r="O33" s="17">
        <v>9.6510805500982322</v>
      </c>
      <c r="P33" s="17">
        <v>9.8861066235864303</v>
      </c>
      <c r="Q33" s="17">
        <v>8.615040953090098</v>
      </c>
      <c r="R33" s="37">
        <v>7.9709208400646201</v>
      </c>
      <c r="S33" s="37">
        <v>6.2868700000000004</v>
      </c>
      <c r="T33" s="37">
        <v>5.7122630000000001</v>
      </c>
      <c r="U33" s="37">
        <v>4.9749699999999999</v>
      </c>
    </row>
    <row r="34" spans="1:21" x14ac:dyDescent="0.2">
      <c r="A34" t="str">
        <f>IFERROR(INDEX('2018 Data (WP)'!$C$9:$C$73,MATCH($B34,'2018 Data (WP)'!$D$9:$D$73,0)),"")</f>
        <v>Electric Utility (East)</v>
      </c>
      <c r="B34" t="s">
        <v>19</v>
      </c>
      <c r="C34" t="s">
        <v>66</v>
      </c>
      <c r="D34" s="35">
        <f t="shared" ca="1" si="1"/>
        <v>33</v>
      </c>
      <c r="E34" s="35">
        <f t="shared" ca="1" si="2"/>
        <v>33</v>
      </c>
      <c r="F34" s="35"/>
      <c r="G34" s="17">
        <f t="shared" ca="1" si="3"/>
        <v>5.1169805542795892</v>
      </c>
      <c r="H34" s="17">
        <v>5.3809072230124864</v>
      </c>
      <c r="I34" s="17">
        <v>7.4331868131868131</v>
      </c>
      <c r="J34" s="17">
        <v>6.1523325928276735</v>
      </c>
      <c r="K34" s="17">
        <v>7.4218698381235546</v>
      </c>
      <c r="L34" s="17">
        <v>7.3257918552036196</v>
      </c>
      <c r="M34" s="17">
        <v>4.4901799364930026</v>
      </c>
      <c r="N34" s="17">
        <v>4.9147533530347811</v>
      </c>
      <c r="O34" s="17">
        <v>7.5785864395531464</v>
      </c>
      <c r="P34" s="17">
        <v>7.8850395588587867</v>
      </c>
      <c r="Q34" s="17">
        <v>7.5272122974657245</v>
      </c>
      <c r="R34" s="37">
        <v>6.0413135593220346</v>
      </c>
      <c r="S34" s="37">
        <v>5.149756</v>
      </c>
      <c r="T34" s="37">
        <v>6.8987049999999996</v>
      </c>
      <c r="U34" s="37">
        <v>5.104406</v>
      </c>
    </row>
    <row r="35" spans="1:21" x14ac:dyDescent="0.2">
      <c r="A35" t="str">
        <f>IFERROR(INDEX('2018 Data (WP)'!$C$9:$C$73,MATCH($B35,'2018 Data (WP)'!$D$9:$D$73,0)),"")</f>
        <v>Electric Util. (Central)</v>
      </c>
      <c r="B35" t="s">
        <v>266</v>
      </c>
      <c r="C35" t="s">
        <v>265</v>
      </c>
      <c r="D35" s="35">
        <f t="shared" ca="1" si="1"/>
        <v>34</v>
      </c>
      <c r="E35" s="35">
        <f t="shared" ca="1" si="2"/>
        <v>34</v>
      </c>
      <c r="F35" s="35"/>
      <c r="G35" s="17">
        <f t="shared" ca="1" si="3"/>
        <v>10.455569782330347</v>
      </c>
      <c r="H35" s="17">
        <v>7.2851937092443411</v>
      </c>
      <c r="I35" s="17">
        <v>9.2506210322936795</v>
      </c>
      <c r="J35" s="17">
        <v>7.9295980511571251</v>
      </c>
      <c r="K35" s="17">
        <v>8.0921277114306598</v>
      </c>
      <c r="L35" s="17">
        <v>8.3779144248014337</v>
      </c>
      <c r="M35" s="17">
        <v>7.4047678795483058</v>
      </c>
      <c r="N35" s="17">
        <v>6.7606019151846795</v>
      </c>
      <c r="O35" s="17">
        <v>7.5814550641940093</v>
      </c>
      <c r="P35" s="17">
        <v>9.183935200809989</v>
      </c>
      <c r="Q35" s="17">
        <v>7.8926108374384238</v>
      </c>
      <c r="R35" s="37" t="s">
        <v>106</v>
      </c>
      <c r="S35" s="37" t="s">
        <v>106</v>
      </c>
      <c r="T35" s="37" t="s">
        <v>106</v>
      </c>
      <c r="U35" s="37" t="s">
        <v>106</v>
      </c>
    </row>
    <row r="36" spans="1:21" x14ac:dyDescent="0.2">
      <c r="A36" t="str">
        <f>IFERROR(INDEX('2018 Data (WP)'!$C$9:$C$73,MATCH($B36,'2018 Data (WP)'!$D$9:$D$73,0)),"")</f>
        <v/>
      </c>
      <c r="B36" t="s">
        <v>57</v>
      </c>
      <c r="C36" t="s">
        <v>56</v>
      </c>
      <c r="D36" s="35" t="e">
        <f t="shared" ca="1" si="1"/>
        <v>#N/A</v>
      </c>
      <c r="E36" s="35" t="e">
        <f t="shared" ca="1" si="2"/>
        <v>#N/A</v>
      </c>
      <c r="F36" s="35"/>
      <c r="G36" s="17" t="str">
        <f t="shared" ca="1" si="3"/>
        <v>N/A</v>
      </c>
      <c r="H36" s="17" t="s">
        <v>106</v>
      </c>
      <c r="I36" s="17" t="s">
        <v>106</v>
      </c>
      <c r="J36" s="17" t="s">
        <v>106</v>
      </c>
      <c r="K36" s="17" t="s">
        <v>106</v>
      </c>
      <c r="L36" s="17" t="s">
        <v>106</v>
      </c>
      <c r="M36" s="17" t="s">
        <v>106</v>
      </c>
      <c r="N36" s="17" t="s">
        <v>106</v>
      </c>
      <c r="O36" s="17" t="s">
        <v>106</v>
      </c>
      <c r="P36" s="17" t="s">
        <v>106</v>
      </c>
      <c r="Q36" s="17" t="s">
        <v>106</v>
      </c>
      <c r="R36" s="37" t="s">
        <v>106</v>
      </c>
      <c r="S36" s="37">
        <v>5.974291</v>
      </c>
      <c r="T36" s="37">
        <v>5.7684699999999998</v>
      </c>
      <c r="U36" s="37">
        <v>6.3455389999999996</v>
      </c>
    </row>
    <row r="37" spans="1:21" x14ac:dyDescent="0.2">
      <c r="A37" t="str">
        <f>IFERROR(INDEX('2018 Data (WP)'!$C$9:$C$73,MATCH($B37,'2018 Data (WP)'!$D$9:$D$73,0)),"")</f>
        <v>Electric Util. (Central)</v>
      </c>
      <c r="B37" t="s">
        <v>20</v>
      </c>
      <c r="C37" t="s">
        <v>104</v>
      </c>
      <c r="D37" s="35">
        <f t="shared" ref="D37:D46" ca="1" si="4">MATCH(B37,OFFSET(MarketPrice,0,0,,1),0)</f>
        <v>36</v>
      </c>
      <c r="E37" s="35">
        <f t="shared" ref="E37:E46" ca="1" si="5">MATCH(B37,OFFSET(CashFlow,0,0,,1),0)</f>
        <v>36</v>
      </c>
      <c r="F37" s="35"/>
      <c r="G37" s="17">
        <f t="shared" ref="G37:G68" ca="1" si="6">IFERROR(INDEX(MarketPrice,$D37,2)/INDEX(CashFlow,$E37,2),"N/A")</f>
        <v>8.628614008941879</v>
      </c>
      <c r="H37" s="17">
        <v>6.66273229532898</v>
      </c>
      <c r="I37" s="17">
        <v>6.4499875280618602</v>
      </c>
      <c r="J37" s="17">
        <v>5.7326016462958336</v>
      </c>
      <c r="K37" s="17">
        <v>6.087373004354137</v>
      </c>
      <c r="L37" s="17">
        <v>5.7353276353276357</v>
      </c>
      <c r="M37" s="17">
        <v>4.491504854368932</v>
      </c>
      <c r="N37" s="17">
        <v>5.0578866768759569</v>
      </c>
      <c r="O37" s="17">
        <v>7.7057872615583571</v>
      </c>
      <c r="P37" s="17">
        <v>7.132783018867924</v>
      </c>
      <c r="Q37" s="17">
        <v>7.6797927461139892</v>
      </c>
      <c r="R37" s="37">
        <v>6.6982834507042259</v>
      </c>
      <c r="S37" s="37">
        <v>6.5216839999999996</v>
      </c>
      <c r="T37" s="37">
        <v>5.9151930000000004</v>
      </c>
      <c r="U37" s="37">
        <v>5.1369210000000001</v>
      </c>
    </row>
    <row r="38" spans="1:21" x14ac:dyDescent="0.2">
      <c r="A38" t="str">
        <f>IFERROR(INDEX('2018 Data (WP)'!$C$9:$C$73,MATCH($B38,'2018 Data (WP)'!$D$9:$D$73,0)),"")</f>
        <v>Electric Utility (West)</v>
      </c>
      <c r="B38" t="s">
        <v>21</v>
      </c>
      <c r="C38" t="s">
        <v>58</v>
      </c>
      <c r="D38" s="35">
        <f t="shared" ca="1" si="4"/>
        <v>37</v>
      </c>
      <c r="E38" s="35">
        <f t="shared" ca="1" si="5"/>
        <v>37</v>
      </c>
      <c r="F38" s="35"/>
      <c r="G38" s="17">
        <f t="shared" ca="1" si="6"/>
        <v>7.441035474592522</v>
      </c>
      <c r="H38" s="17">
        <v>9.2515114873035067</v>
      </c>
      <c r="I38" s="17">
        <v>7.6423122065727709</v>
      </c>
      <c r="J38" s="17">
        <v>8.1517690875232773</v>
      </c>
      <c r="K38" s="17">
        <v>8.0463132236441197</v>
      </c>
      <c r="L38" s="17">
        <v>7.731385485391141</v>
      </c>
      <c r="M38" s="17">
        <v>7.8093750000000002</v>
      </c>
      <c r="N38" s="17">
        <v>6.9490544191431871</v>
      </c>
      <c r="O38" s="17">
        <v>9.104335047759001</v>
      </c>
      <c r="P38" s="17">
        <v>7.945255474452555</v>
      </c>
      <c r="Q38" s="17">
        <v>8.473205891570041</v>
      </c>
      <c r="R38" s="37">
        <v>8.290553138595401</v>
      </c>
      <c r="S38" s="37">
        <v>8.4448039999999995</v>
      </c>
      <c r="T38" s="37">
        <v>6.1214690000000003</v>
      </c>
      <c r="U38" s="37">
        <v>6.1993749999999999</v>
      </c>
    </row>
    <row r="39" spans="1:21" x14ac:dyDescent="0.2">
      <c r="A39" t="str">
        <f>IFERROR(INDEX('2018 Data (WP)'!$C$9:$C$73,MATCH($B39,'2018 Data (WP)'!$D$9:$D$73,0)),"")</f>
        <v>Electric Utility (West)</v>
      </c>
      <c r="B39" t="s">
        <v>22</v>
      </c>
      <c r="C39" t="s">
        <v>59</v>
      </c>
      <c r="D39" s="35">
        <f t="shared" ca="1" si="4"/>
        <v>38</v>
      </c>
      <c r="E39" s="35">
        <f t="shared" ca="1" si="5"/>
        <v>38</v>
      </c>
      <c r="F39" s="35"/>
      <c r="G39" s="17">
        <f t="shared" ca="1" si="6"/>
        <v>10.952019833746537</v>
      </c>
      <c r="H39" s="17">
        <v>9.3677611940298515</v>
      </c>
      <c r="I39" s="17">
        <v>8.5856143552311437</v>
      </c>
      <c r="J39" s="17">
        <v>7.7771247021445591</v>
      </c>
      <c r="K39" s="17">
        <v>7.0498988536749829</v>
      </c>
      <c r="L39" s="17">
        <v>6.6411925976696367</v>
      </c>
      <c r="M39" s="17">
        <v>6.5214953271028042</v>
      </c>
      <c r="N39" s="17">
        <v>5.3067218608318543</v>
      </c>
      <c r="O39" s="17">
        <v>7.104376316405336</v>
      </c>
      <c r="P39" s="17">
        <v>8.2275711159737419</v>
      </c>
      <c r="Q39" s="17">
        <v>7.7289393278044525</v>
      </c>
      <c r="R39" s="37">
        <v>7.5475206611570247</v>
      </c>
      <c r="S39" s="37">
        <v>7.1459450000000002</v>
      </c>
      <c r="T39" s="37">
        <v>7.2654870000000003</v>
      </c>
      <c r="U39" s="37">
        <v>7.5333009999999998</v>
      </c>
    </row>
    <row r="40" spans="1:21" x14ac:dyDescent="0.2">
      <c r="A40" t="str">
        <f>IFERROR(INDEX('2018 Data (WP)'!$C$9:$C$73,MATCH($B40,'2018 Data (WP)'!$D$9:$D$73,0)),"")</f>
        <v/>
      </c>
      <c r="B40" t="s">
        <v>23</v>
      </c>
      <c r="C40" t="s">
        <v>85</v>
      </c>
      <c r="D40" s="35" t="e">
        <f t="shared" ca="1" si="4"/>
        <v>#N/A</v>
      </c>
      <c r="E40" s="35" t="e">
        <f t="shared" ca="1" si="5"/>
        <v>#N/A</v>
      </c>
      <c r="F40" s="35"/>
      <c r="G40" s="17" t="str">
        <f t="shared" ca="1" si="6"/>
        <v>N/A</v>
      </c>
      <c r="H40" s="17" t="s">
        <v>106</v>
      </c>
      <c r="I40" s="17" t="s">
        <v>106</v>
      </c>
      <c r="J40" s="17" t="s">
        <v>106</v>
      </c>
      <c r="K40" s="17" t="s">
        <v>106</v>
      </c>
      <c r="L40" s="17" t="s">
        <v>106</v>
      </c>
      <c r="M40" s="17" t="s">
        <v>106</v>
      </c>
      <c r="N40" s="17" t="s">
        <v>106</v>
      </c>
      <c r="O40" s="17" t="s">
        <v>106</v>
      </c>
      <c r="P40" s="17" t="s">
        <v>106</v>
      </c>
      <c r="Q40" s="17" t="s">
        <v>106</v>
      </c>
      <c r="R40" s="37" t="s">
        <v>106</v>
      </c>
      <c r="S40" s="37">
        <v>6.7337059999999997</v>
      </c>
      <c r="T40" s="37">
        <v>6.5950199999999999</v>
      </c>
      <c r="U40" s="37">
        <v>6.4653359999999997</v>
      </c>
    </row>
    <row r="41" spans="1:21" x14ac:dyDescent="0.2">
      <c r="A41" t="str">
        <f>IFERROR(INDEX('2018 Data (WP)'!$C$9:$C$73,MATCH($B41,'2018 Data (WP)'!$D$9:$D$73,0)),"")</f>
        <v/>
      </c>
      <c r="B41" t="s">
        <v>161</v>
      </c>
      <c r="C41" t="s">
        <v>160</v>
      </c>
      <c r="D41" s="35" t="e">
        <f t="shared" ca="1" si="4"/>
        <v>#N/A</v>
      </c>
      <c r="E41" s="35" t="e">
        <f t="shared" ca="1" si="5"/>
        <v>#N/A</v>
      </c>
      <c r="F41" s="35"/>
      <c r="G41" s="17" t="str">
        <f t="shared" ca="1" si="6"/>
        <v>N/A</v>
      </c>
      <c r="H41" s="17" t="s">
        <v>106</v>
      </c>
      <c r="I41" s="17" t="s">
        <v>106</v>
      </c>
      <c r="J41" s="17" t="s">
        <v>106</v>
      </c>
      <c r="K41" s="17" t="s">
        <v>106</v>
      </c>
      <c r="L41" s="17" t="s">
        <v>106</v>
      </c>
      <c r="M41" s="17" t="s">
        <v>106</v>
      </c>
      <c r="N41" s="17" t="s">
        <v>106</v>
      </c>
      <c r="O41" s="17" t="s">
        <v>106</v>
      </c>
      <c r="P41" s="17" t="s">
        <v>106</v>
      </c>
      <c r="Q41" s="17" t="s">
        <v>106</v>
      </c>
      <c r="R41" s="37">
        <v>13.66813509544787</v>
      </c>
      <c r="S41" s="38" t="s">
        <v>106</v>
      </c>
      <c r="T41" s="38" t="s">
        <v>106</v>
      </c>
      <c r="U41" s="38" t="s">
        <v>106</v>
      </c>
    </row>
    <row r="42" spans="1:21" x14ac:dyDescent="0.2">
      <c r="A42" t="str">
        <f>IFERROR(INDEX('2018 Data (WP)'!$C$9:$C$73,MATCH($B42,'2018 Data (WP)'!$D$9:$D$73,0)),"")</f>
        <v/>
      </c>
      <c r="B42" t="s">
        <v>24</v>
      </c>
      <c r="C42" t="s">
        <v>60</v>
      </c>
      <c r="D42" s="35" t="e">
        <f t="shared" ca="1" si="4"/>
        <v>#N/A</v>
      </c>
      <c r="E42" s="35" t="e">
        <f t="shared" ca="1" si="5"/>
        <v>#N/A</v>
      </c>
      <c r="F42" s="35"/>
      <c r="G42" s="17" t="str">
        <f t="shared" ca="1" si="6"/>
        <v>N/A</v>
      </c>
      <c r="H42" s="17" t="s">
        <v>106</v>
      </c>
      <c r="I42" s="17" t="s">
        <v>106</v>
      </c>
      <c r="J42" s="17" t="s">
        <v>106</v>
      </c>
      <c r="K42" s="17" t="s">
        <v>106</v>
      </c>
      <c r="L42" s="17" t="s">
        <v>106</v>
      </c>
      <c r="M42" s="17" t="s">
        <v>106</v>
      </c>
      <c r="N42" s="17" t="s">
        <v>106</v>
      </c>
      <c r="O42" s="17" t="s">
        <v>106</v>
      </c>
      <c r="P42" s="17" t="s">
        <v>106</v>
      </c>
      <c r="Q42" s="17" t="s">
        <v>106</v>
      </c>
      <c r="R42" s="37">
        <v>7.1101179835538071</v>
      </c>
      <c r="S42" s="37">
        <v>6.9013080000000002</v>
      </c>
      <c r="T42" s="37">
        <v>6.4263430000000001</v>
      </c>
      <c r="U42" s="37">
        <v>6.7717580000000002</v>
      </c>
    </row>
    <row r="43" spans="1:21" x14ac:dyDescent="0.2">
      <c r="A43" t="str">
        <f>IFERROR(INDEX('2018 Data (WP)'!$C$9:$C$73,MATCH($B43,'2018 Data (WP)'!$D$9:$D$73,0)),"")</f>
        <v>Electric Util. (Central)</v>
      </c>
      <c r="B43" t="s">
        <v>25</v>
      </c>
      <c r="C43" t="s">
        <v>61</v>
      </c>
      <c r="D43" s="35">
        <f t="shared" ca="1" si="4"/>
        <v>39</v>
      </c>
      <c r="E43" s="35">
        <f t="shared" ca="1" si="5"/>
        <v>39</v>
      </c>
      <c r="F43" s="35"/>
      <c r="G43" s="17">
        <f t="shared" ca="1" si="6"/>
        <v>15.659071243149697</v>
      </c>
      <c r="H43" s="17">
        <v>12.529994001199759</v>
      </c>
      <c r="I43" s="17">
        <v>11.424520194786595</v>
      </c>
      <c r="J43" s="17">
        <v>11.201158183480645</v>
      </c>
      <c r="K43" s="17">
        <v>10.772773109243698</v>
      </c>
      <c r="L43" s="17">
        <v>9.4788972089857033</v>
      </c>
      <c r="M43" s="17">
        <v>9.0492932221819498</v>
      </c>
      <c r="N43" s="17">
        <v>8.3960843373493983</v>
      </c>
      <c r="O43" s="17">
        <v>8.4240388204553955</v>
      </c>
      <c r="P43" s="17">
        <v>9.2263307598537185</v>
      </c>
      <c r="Q43" s="17">
        <v>9.3011945392491473</v>
      </c>
      <c r="R43" s="37">
        <v>11.727</v>
      </c>
      <c r="S43" s="37">
        <v>11.044409999999999</v>
      </c>
      <c r="T43" s="37">
        <v>10.19708</v>
      </c>
      <c r="U43" s="37">
        <v>8.0936369999999993</v>
      </c>
    </row>
    <row r="44" spans="1:21" x14ac:dyDescent="0.2">
      <c r="A44" t="str">
        <f>IFERROR(INDEX('2018 Data (WP)'!$C$9:$C$73,MATCH($B44,'2018 Data (WP)'!$D$9:$D$73,0)),"")</f>
        <v>Water Utility</v>
      </c>
      <c r="B44" s="31" t="s">
        <v>188</v>
      </c>
      <c r="C44" s="31" t="s">
        <v>187</v>
      </c>
      <c r="D44" s="35">
        <f t="shared" ca="1" si="4"/>
        <v>40</v>
      </c>
      <c r="E44" s="35">
        <f t="shared" ca="1" si="5"/>
        <v>40</v>
      </c>
      <c r="F44" s="35"/>
      <c r="G44" s="17">
        <f t="shared" ca="1" si="6"/>
        <v>16.293738489871085</v>
      </c>
      <c r="H44" s="17">
        <v>11.846544715447155</v>
      </c>
      <c r="I44" s="17">
        <v>11.328633405639913</v>
      </c>
      <c r="J44" s="17">
        <v>11.81315483119907</v>
      </c>
      <c r="K44" s="17">
        <v>12.055305466237941</v>
      </c>
      <c r="L44" s="17">
        <v>12.46584699453552</v>
      </c>
      <c r="M44" s="17">
        <v>11.051712992889465</v>
      </c>
      <c r="N44" s="17">
        <v>10.777777777777779</v>
      </c>
      <c r="O44" s="17">
        <v>11.509470934030045</v>
      </c>
      <c r="P44" s="17">
        <v>12.580040187541861</v>
      </c>
      <c r="Q44" s="17">
        <v>13.97524381095274</v>
      </c>
      <c r="R44" s="57"/>
      <c r="S44" s="58"/>
      <c r="T44" s="58"/>
      <c r="U44" s="58"/>
    </row>
    <row r="45" spans="1:21" x14ac:dyDescent="0.2">
      <c r="A45" t="str">
        <f>IFERROR(INDEX('2018 Data (WP)'!$C$9:$C$73,MATCH($B45,'2018 Data (WP)'!$D$9:$D$73,0)),"")</f>
        <v>Natural Gas Utility</v>
      </c>
      <c r="B45" s="31" t="s">
        <v>190</v>
      </c>
      <c r="C45" s="31" t="s">
        <v>189</v>
      </c>
      <c r="D45" s="35">
        <f t="shared" ca="1" si="4"/>
        <v>41</v>
      </c>
      <c r="E45" s="35">
        <f t="shared" ca="1" si="5"/>
        <v>41</v>
      </c>
      <c r="F45" s="35"/>
      <c r="G45" s="17">
        <f t="shared" ca="1" si="6"/>
        <v>13.936048879837067</v>
      </c>
      <c r="H45" s="17">
        <v>11.711287128712872</v>
      </c>
      <c r="I45" s="17">
        <v>8.9486615328199495</v>
      </c>
      <c r="J45" s="17">
        <v>11.286601138127264</v>
      </c>
      <c r="K45" s="17">
        <v>12.292722371967656</v>
      </c>
      <c r="L45" s="17">
        <v>12.714117647058824</v>
      </c>
      <c r="M45" s="17">
        <v>11.320638820638822</v>
      </c>
      <c r="N45" s="17">
        <v>11.342621912602914</v>
      </c>
      <c r="O45" s="17">
        <v>9.1496410822749858</v>
      </c>
      <c r="P45" s="17">
        <v>13.763934426229509</v>
      </c>
      <c r="Q45" s="17">
        <v>11.00585223116313</v>
      </c>
      <c r="R45" s="57"/>
      <c r="S45" s="58"/>
      <c r="T45" s="58"/>
      <c r="U45" s="58"/>
    </row>
    <row r="46" spans="1:21" x14ac:dyDescent="0.2">
      <c r="A46" t="str">
        <f>IFERROR(INDEX('2018 Data (WP)'!$C$9:$C$73,MATCH($B46,'2018 Data (WP)'!$D$9:$D$73,0)),"")</f>
        <v>Electric Utility (East)</v>
      </c>
      <c r="B46" t="s">
        <v>141</v>
      </c>
      <c r="C46" t="s">
        <v>209</v>
      </c>
      <c r="D46" s="35">
        <f t="shared" ca="1" si="4"/>
        <v>42</v>
      </c>
      <c r="E46" s="35">
        <f t="shared" ca="1" si="5"/>
        <v>42</v>
      </c>
      <c r="F46" s="35"/>
      <c r="G46" s="17">
        <f t="shared" ca="1" si="6"/>
        <v>9.229915188897456</v>
      </c>
      <c r="H46" s="17">
        <v>7.9253754451153426</v>
      </c>
      <c r="I46" s="17">
        <v>7.9842174847132705</v>
      </c>
      <c r="J46" s="17">
        <v>7.5967160212604412</v>
      </c>
      <c r="K46" s="17">
        <v>7.5773658761224949</v>
      </c>
      <c r="L46" s="17">
        <v>5.9845011301259277</v>
      </c>
      <c r="M46" s="17">
        <v>5.33489242282507</v>
      </c>
      <c r="N46" s="17">
        <v>6.0868571428571423</v>
      </c>
      <c r="O46" s="17">
        <v>7.3440069773236978</v>
      </c>
      <c r="P46" s="17">
        <v>9.0182428488032684</v>
      </c>
      <c r="Q46" s="17">
        <v>6.5145516324420152</v>
      </c>
      <c r="R46" s="37">
        <v>6.7148405890920859</v>
      </c>
      <c r="S46" s="37">
        <v>6.7148405890920859</v>
      </c>
      <c r="T46" s="37">
        <v>5.9742903053026248</v>
      </c>
      <c r="U46" s="37">
        <v>5.7684701492537309</v>
      </c>
    </row>
    <row r="47" spans="1:21" x14ac:dyDescent="0.2">
      <c r="A47" t="str">
        <f>IFERROR(INDEX('2018 Data (WP)'!$C$9:$C$73,MATCH($B47,'2018 Data (WP)'!$D$9:$D$73,0)),"")</f>
        <v>Natural Gas Utility</v>
      </c>
      <c r="B47" t="s">
        <v>26</v>
      </c>
      <c r="C47" t="s">
        <v>62</v>
      </c>
      <c r="D47" s="35">
        <f t="shared" ref="D47:D78" ca="1" si="7">MATCH(B47,OFFSET(MarketPrice,0,0,,1),0)</f>
        <v>43</v>
      </c>
      <c r="E47" s="35">
        <f t="shared" ref="E47:E78" ca="1" si="8">MATCH(B47,OFFSET(CashFlow,0,0,,1),0)</f>
        <v>43</v>
      </c>
      <c r="F47" s="35"/>
      <c r="G47" s="17">
        <f t="shared" ca="1" si="6"/>
        <v>8.5609305760709002</v>
      </c>
      <c r="H47" s="17">
        <v>10.381288614298324</v>
      </c>
      <c r="I47" s="17">
        <v>10.564394993045896</v>
      </c>
      <c r="J47" s="17">
        <v>8.7092511013215859</v>
      </c>
      <c r="K47" s="17">
        <v>7.8117421825143589</v>
      </c>
      <c r="L47" s="17">
        <v>6.8133378016085793</v>
      </c>
      <c r="M47" s="17">
        <v>5.0931034482758619</v>
      </c>
      <c r="N47" s="17">
        <v>4.0637867026662171</v>
      </c>
      <c r="O47" s="17">
        <v>4.8725135623869802</v>
      </c>
      <c r="P47" s="17">
        <v>6.6947565543071157</v>
      </c>
      <c r="Q47" s="17">
        <v>6.866394215655454</v>
      </c>
      <c r="R47" s="37">
        <v>7.3603689567430015</v>
      </c>
      <c r="S47" s="37">
        <v>6.0803339999999997</v>
      </c>
      <c r="T47" s="37">
        <v>5.6005190000000002</v>
      </c>
      <c r="U47" s="37">
        <v>5.2161540000000004</v>
      </c>
    </row>
    <row r="48" spans="1:21" x14ac:dyDescent="0.2">
      <c r="A48" t="str">
        <f>IFERROR(INDEX('2018 Data (WP)'!$C$9:$C$73,MATCH($B48,'2018 Data (WP)'!$D$9:$D$73,0)),"")</f>
        <v>Natural Gas Utility</v>
      </c>
      <c r="B48" s="31" t="s">
        <v>192</v>
      </c>
      <c r="C48" s="31" t="s">
        <v>191</v>
      </c>
      <c r="D48" s="35">
        <f t="shared" ca="1" si="7"/>
        <v>44</v>
      </c>
      <c r="E48" s="35">
        <f t="shared" ca="1" si="8"/>
        <v>44</v>
      </c>
      <c r="F48" s="35"/>
      <c r="G48" s="17">
        <f t="shared" ca="1" si="6"/>
        <v>11.574934090448185</v>
      </c>
      <c r="H48" s="17">
        <v>9.4593603585251582</v>
      </c>
      <c r="I48" s="17">
        <v>8.8426988523941432</v>
      </c>
      <c r="J48" s="17">
        <v>8.6148045247072833</v>
      </c>
      <c r="K48" s="17">
        <v>9.4791329011345216</v>
      </c>
      <c r="L48" s="17">
        <v>9.0817182817182829</v>
      </c>
      <c r="M48" s="17">
        <v>8.9357762777242051</v>
      </c>
      <c r="N48" s="17">
        <v>8.2592806308905562</v>
      </c>
      <c r="O48" s="17">
        <v>8.7531562087808545</v>
      </c>
      <c r="P48" s="17">
        <v>8.5409502680717324</v>
      </c>
      <c r="Q48" s="17">
        <v>7.8252100840336132</v>
      </c>
      <c r="R48" s="57"/>
      <c r="S48" s="58"/>
      <c r="T48" s="58"/>
      <c r="U48" s="58"/>
    </row>
    <row r="49" spans="1:21" x14ac:dyDescent="0.2">
      <c r="A49" t="str">
        <f>IFERROR(INDEX('2018 Data (WP)'!$C$9:$C$73,MATCH($B49,'2018 Data (WP)'!$D$9:$D$73,0)),"")</f>
        <v>Electric Utility (West)</v>
      </c>
      <c r="B49" t="str">
        <f>"NWE"</f>
        <v>NWE</v>
      </c>
      <c r="C49" t="s">
        <v>94</v>
      </c>
      <c r="D49" s="35">
        <f t="shared" ca="1" si="7"/>
        <v>45</v>
      </c>
      <c r="E49" s="35">
        <f t="shared" ca="1" si="8"/>
        <v>45</v>
      </c>
      <c r="F49" s="35"/>
      <c r="G49" s="17">
        <f t="shared" ca="1" si="6"/>
        <v>8.647914502003859</v>
      </c>
      <c r="H49" s="17">
        <v>8.9886900742741389</v>
      </c>
      <c r="I49" s="17">
        <v>9.0096510764662217</v>
      </c>
      <c r="J49" s="17">
        <v>7.607300073367572</v>
      </c>
      <c r="K49" s="17">
        <v>6.8546893091470471</v>
      </c>
      <c r="L49" s="17">
        <v>5.8909795240730487</v>
      </c>
      <c r="M49" s="17">
        <v>5.7926112510495376</v>
      </c>
      <c r="N49" s="17">
        <v>5.0469900389779117</v>
      </c>
      <c r="O49" s="17">
        <v>5.5741539859186924</v>
      </c>
      <c r="P49" s="17">
        <v>8.4497840172786169</v>
      </c>
      <c r="Q49" s="17">
        <v>9.3943078198397334</v>
      </c>
      <c r="R49" s="37">
        <v>7.3119839879909936</v>
      </c>
      <c r="S49" s="37">
        <v>8.1297280000000001</v>
      </c>
      <c r="T49" s="38" t="s">
        <v>106</v>
      </c>
      <c r="U49" s="38" t="s">
        <v>106</v>
      </c>
    </row>
    <row r="50" spans="1:21" x14ac:dyDescent="0.2">
      <c r="A50" t="str">
        <f>IFERROR(INDEX('2018 Data (WP)'!$C$9:$C$73,MATCH($B50,'2018 Data (WP)'!$D$9:$D$73,0)),"")</f>
        <v>Electric Util. (Central)</v>
      </c>
      <c r="B50" t="s">
        <v>27</v>
      </c>
      <c r="C50" t="s">
        <v>67</v>
      </c>
      <c r="D50" s="35">
        <f t="shared" ca="1" si="7"/>
        <v>46</v>
      </c>
      <c r="E50" s="35">
        <f t="shared" ca="1" si="8"/>
        <v>46</v>
      </c>
      <c r="F50" s="35"/>
      <c r="G50" s="17">
        <f t="shared" ca="1" si="6"/>
        <v>9.0299184043517666</v>
      </c>
      <c r="H50" s="17">
        <v>9.2496905940594054</v>
      </c>
      <c r="I50" s="17">
        <v>10.649587750294463</v>
      </c>
      <c r="J50" s="17">
        <v>9.9288400347121772</v>
      </c>
      <c r="K50" s="17">
        <v>7.3460601137286758</v>
      </c>
      <c r="L50" s="17">
        <v>7.4802293993359488</v>
      </c>
      <c r="M50" s="17">
        <v>6.6104284290933242</v>
      </c>
      <c r="N50" s="17">
        <v>5.3664804469273744</v>
      </c>
      <c r="O50" s="17">
        <v>6.4339858392336531</v>
      </c>
      <c r="P50" s="17">
        <v>7.5818713450292394</v>
      </c>
      <c r="Q50" s="17">
        <v>7.498657117278424</v>
      </c>
      <c r="R50" s="37">
        <v>7.0365226337448563</v>
      </c>
      <c r="S50" s="37">
        <v>6.7290000000000001</v>
      </c>
      <c r="T50" s="37">
        <v>5.6171150000000001</v>
      </c>
      <c r="U50" s="37">
        <v>5.3884740000000004</v>
      </c>
    </row>
    <row r="51" spans="1:21" x14ac:dyDescent="0.2">
      <c r="A51" t="str">
        <f>IFERROR(INDEX('2018 Data (WP)'!$C$9:$C$73,MATCH($B51,'2018 Data (WP)'!$D$9:$D$73,0)),"")</f>
        <v>Natural Gas Utility</v>
      </c>
      <c r="B51" t="s">
        <v>346</v>
      </c>
      <c r="C51" t="s">
        <v>349</v>
      </c>
      <c r="D51" s="35">
        <f t="shared" ca="1" si="7"/>
        <v>47</v>
      </c>
      <c r="E51" s="35">
        <f t="shared" ca="1" si="8"/>
        <v>47</v>
      </c>
      <c r="F51" s="35"/>
      <c r="G51" s="17">
        <f t="shared" ref="G51:Q51" ca="1" si="9">IFERROR(INDEX(MarketPrice,$D51,G$2)/INDEX(CashFlow,$E51,G$2),"N/A")</f>
        <v>11.095010127048425</v>
      </c>
      <c r="H51" s="17">
        <f t="shared" ca="1" si="9"/>
        <v>9.1913746630727751</v>
      </c>
      <c r="I51" s="17">
        <f t="shared" ca="1" si="9"/>
        <v>8.1605484298982756</v>
      </c>
      <c r="J51" s="52" t="str">
        <f t="shared" ca="1" si="9"/>
        <v>N/A</v>
      </c>
      <c r="K51" s="52" t="str">
        <f t="shared" ca="1" si="9"/>
        <v>N/A</v>
      </c>
      <c r="L51" s="52" t="str">
        <f t="shared" ca="1" si="9"/>
        <v>N/A</v>
      </c>
      <c r="M51" s="52" t="str">
        <f t="shared" ca="1" si="9"/>
        <v>N/A</v>
      </c>
      <c r="N51" s="52" t="str">
        <f t="shared" ca="1" si="9"/>
        <v>N/A</v>
      </c>
      <c r="O51" s="52" t="str">
        <f t="shared" ca="1" si="9"/>
        <v>N/A</v>
      </c>
      <c r="P51" s="52" t="str">
        <f t="shared" ca="1" si="9"/>
        <v>N/A</v>
      </c>
      <c r="Q51" s="52" t="str">
        <f t="shared" ca="1" si="9"/>
        <v>N/A</v>
      </c>
      <c r="R51" s="37"/>
      <c r="S51" s="37"/>
      <c r="T51" s="37"/>
      <c r="U51" s="37"/>
    </row>
    <row r="52" spans="1:21" x14ac:dyDescent="0.2">
      <c r="A52" t="str">
        <f>IFERROR(INDEX('2018 Data (WP)'!$C$9:$C$73,MATCH($B52,'2018 Data (WP)'!$D$9:$D$73,0)),"")</f>
        <v>Electric Util. (Central)</v>
      </c>
      <c r="B52" t="s">
        <v>28</v>
      </c>
      <c r="C52" t="s">
        <v>68</v>
      </c>
      <c r="D52" s="35">
        <f t="shared" ca="1" si="7"/>
        <v>48</v>
      </c>
      <c r="E52" s="35">
        <f t="shared" ca="1" si="8"/>
        <v>48</v>
      </c>
      <c r="F52" s="35"/>
      <c r="G52" s="17">
        <f t="shared" ca="1" si="6"/>
        <v>9.3839674702294502</v>
      </c>
      <c r="H52" s="17">
        <v>9.0356460852959906</v>
      </c>
      <c r="I52" s="17">
        <v>9.4525736484299134</v>
      </c>
      <c r="J52" s="17">
        <v>9.5807947019867559</v>
      </c>
      <c r="K52" s="17">
        <v>8.430047988187523</v>
      </c>
      <c r="L52" s="17">
        <v>9.03849407783418</v>
      </c>
      <c r="M52" s="17">
        <v>8.0651001540832059</v>
      </c>
      <c r="N52" s="17">
        <v>8.0097755249818974</v>
      </c>
      <c r="O52" s="17">
        <v>11.65457132692992</v>
      </c>
      <c r="P52" s="17">
        <v>9.5285674078243723</v>
      </c>
      <c r="Q52" s="17">
        <v>8.6563330380868013</v>
      </c>
      <c r="R52" s="37">
        <v>8.1753653444676395</v>
      </c>
      <c r="S52" s="37">
        <v>9.0128249999999994</v>
      </c>
      <c r="T52" s="37">
        <v>8.1296970000000002</v>
      </c>
      <c r="U52" s="37">
        <v>8.3335279999999994</v>
      </c>
    </row>
    <row r="53" spans="1:21" x14ac:dyDescent="0.2">
      <c r="A53" t="str">
        <f>IFERROR(INDEX('2018 Data (WP)'!$C$9:$C$73,MATCH($B53,'2018 Data (WP)'!$D$9:$D$73,0)),"")</f>
        <v/>
      </c>
      <c r="B53" t="s">
        <v>29</v>
      </c>
      <c r="C53" t="s">
        <v>73</v>
      </c>
      <c r="D53" s="35" t="e">
        <f t="shared" ca="1" si="7"/>
        <v>#N/A</v>
      </c>
      <c r="E53" s="35" t="e">
        <f t="shared" ca="1" si="8"/>
        <v>#N/A</v>
      </c>
      <c r="F53" s="35"/>
      <c r="G53" s="17" t="str">
        <f t="shared" ca="1" si="6"/>
        <v>N/A</v>
      </c>
      <c r="H53" s="17" t="s">
        <v>106</v>
      </c>
      <c r="I53" s="17" t="s">
        <v>106</v>
      </c>
      <c r="J53" s="17" t="s">
        <v>106</v>
      </c>
      <c r="K53" s="17" t="s">
        <v>106</v>
      </c>
      <c r="L53" s="17" t="s">
        <v>106</v>
      </c>
      <c r="M53" s="17" t="s">
        <v>106</v>
      </c>
      <c r="N53" s="17" t="s">
        <v>106</v>
      </c>
      <c r="O53" s="17" t="s">
        <v>106</v>
      </c>
      <c r="P53" s="17" t="s">
        <v>106</v>
      </c>
      <c r="Q53" s="17" t="s">
        <v>106</v>
      </c>
      <c r="R53" s="37" t="s">
        <v>106</v>
      </c>
      <c r="S53" s="37">
        <v>5.3380929999999998</v>
      </c>
      <c r="T53" s="37">
        <v>4.7405369999999998</v>
      </c>
      <c r="U53" s="37">
        <v>6.4597629999999997</v>
      </c>
    </row>
    <row r="54" spans="1:21" x14ac:dyDescent="0.2">
      <c r="A54" t="str">
        <f>IFERROR(INDEX('2018 Data (WP)'!$C$9:$C$73,MATCH($B54,'2018 Data (WP)'!$D$9:$D$73,0)),"")</f>
        <v>Electric Utility (West)</v>
      </c>
      <c r="B54" t="s">
        <v>30</v>
      </c>
      <c r="C54" t="s">
        <v>71</v>
      </c>
      <c r="D54" s="35">
        <f t="shared" ca="1" si="7"/>
        <v>49</v>
      </c>
      <c r="E54" s="35">
        <f t="shared" ca="1" si="8"/>
        <v>49</v>
      </c>
      <c r="F54" s="35"/>
      <c r="G54" s="17">
        <f t="shared" ca="1" si="6"/>
        <v>7.2637589600291577</v>
      </c>
      <c r="H54" s="17">
        <v>7.2443743139407237</v>
      </c>
      <c r="I54" s="17">
        <v>5.6468634686346855</v>
      </c>
      <c r="J54" s="17">
        <v>6.8407834465329325</v>
      </c>
      <c r="K54" s="17">
        <v>5.8574357572443958</v>
      </c>
      <c r="L54" s="17">
        <v>5.3151515151515145</v>
      </c>
      <c r="M54" s="17">
        <v>5.4195549069682594</v>
      </c>
      <c r="N54" s="17">
        <v>4.7112465638819163</v>
      </c>
      <c r="O54" s="17">
        <v>4.6108543666311173</v>
      </c>
      <c r="P54" s="17">
        <v>5.8399002493765586</v>
      </c>
      <c r="Q54" s="17">
        <v>5.2815884476534292</v>
      </c>
      <c r="R54" s="37">
        <v>5.069493191071178</v>
      </c>
      <c r="S54" s="37">
        <v>5.1284159999999996</v>
      </c>
      <c r="T54" s="37">
        <v>4.0549770000000001</v>
      </c>
      <c r="U54" s="37">
        <v>14.685969999999999</v>
      </c>
    </row>
    <row r="55" spans="1:21" x14ac:dyDescent="0.2">
      <c r="A55" t="str">
        <f>IFERROR(INDEX('2018 Data (WP)'!$C$9:$C$73,MATCH($B55,'2018 Data (WP)'!$D$9:$D$73,0)),"")</f>
        <v>Electric Utility (West)</v>
      </c>
      <c r="B55" t="s">
        <v>31</v>
      </c>
      <c r="C55" t="s">
        <v>72</v>
      </c>
      <c r="D55" s="35">
        <f t="shared" ca="1" si="7"/>
        <v>50</v>
      </c>
      <c r="E55" s="35">
        <f t="shared" ca="1" si="8"/>
        <v>50</v>
      </c>
      <c r="F55" s="35"/>
      <c r="G55" s="17">
        <f t="shared" ca="1" si="6"/>
        <v>7.8861312313591814</v>
      </c>
      <c r="H55" s="17">
        <v>6.9145308546914537</v>
      </c>
      <c r="I55" s="17">
        <v>7.033391046252782</v>
      </c>
      <c r="J55" s="17">
        <v>6.8530782438067206</v>
      </c>
      <c r="K55" s="17">
        <v>6.3436512950094759</v>
      </c>
      <c r="L55" s="17">
        <v>5.8035619351408823</v>
      </c>
      <c r="M55" s="17">
        <v>5.6503139144400638</v>
      </c>
      <c r="N55" s="17">
        <v>3.8445159692993318</v>
      </c>
      <c r="O55" s="17">
        <v>4.1873616916646181</v>
      </c>
      <c r="P55" s="17">
        <v>4.7558377273216399</v>
      </c>
      <c r="Q55" s="17">
        <v>4.4759694719471952</v>
      </c>
      <c r="R55" s="37">
        <v>7.479257073424753</v>
      </c>
      <c r="S55" s="37">
        <v>5.8802649999999996</v>
      </c>
      <c r="T55" s="37">
        <v>4.8030030000000004</v>
      </c>
      <c r="U55" s="37">
        <v>5.2054470000000004</v>
      </c>
    </row>
    <row r="56" spans="1:21" x14ac:dyDescent="0.2">
      <c r="A56" t="str">
        <f>IFERROR(INDEX('2018 Data (WP)'!$C$9:$C$73,MATCH($B56,'2018 Data (WP)'!$D$9:$D$73,0)),"")</f>
        <v>Electric Utility (West)</v>
      </c>
      <c r="B56" t="s">
        <v>32</v>
      </c>
      <c r="C56" t="s">
        <v>74</v>
      </c>
      <c r="D56" s="35">
        <f t="shared" ca="1" si="7"/>
        <v>51</v>
      </c>
      <c r="E56" s="35">
        <f t="shared" ca="1" si="8"/>
        <v>51</v>
      </c>
      <c r="F56" s="35"/>
      <c r="G56" s="17">
        <f t="shared" ca="1" si="6"/>
        <v>7.6435412286848878</v>
      </c>
      <c r="H56" s="17">
        <v>6.9454499748617398</v>
      </c>
      <c r="I56" s="17">
        <v>7.4806629834254137</v>
      </c>
      <c r="J56" s="17">
        <v>6.4745231995445494</v>
      </c>
      <c r="K56" s="17">
        <v>5.8023668639053252</v>
      </c>
      <c r="L56" s="17">
        <v>4.9386406544996859</v>
      </c>
      <c r="M56" s="17">
        <v>4.5815523059617549</v>
      </c>
      <c r="N56" s="17">
        <v>4.5271786022433131</v>
      </c>
      <c r="O56" s="17">
        <v>7.1007972665148058</v>
      </c>
      <c r="P56" s="17">
        <v>10.670736510437179</v>
      </c>
      <c r="Q56" s="17">
        <v>7.4967814161768827</v>
      </c>
      <c r="R56" s="37">
        <v>7.6200112422709383</v>
      </c>
      <c r="S56" s="37">
        <v>6.8385860000000003</v>
      </c>
      <c r="T56" s="37">
        <v>5.5484400000000003</v>
      </c>
      <c r="U56" s="37">
        <v>5.7152950000000002</v>
      </c>
    </row>
    <row r="57" spans="1:21" x14ac:dyDescent="0.2">
      <c r="A57" t="str">
        <f>IFERROR(INDEX('2018 Data (WP)'!$C$9:$C$73,MATCH($B57,'2018 Data (WP)'!$D$9:$D$73,0)),"")</f>
        <v>Electric Utility (West)</v>
      </c>
      <c r="B57" t="s">
        <v>33</v>
      </c>
      <c r="C57" t="s">
        <v>92</v>
      </c>
      <c r="D57" s="35">
        <f t="shared" ca="1" si="7"/>
        <v>52</v>
      </c>
      <c r="E57" s="35">
        <f t="shared" ca="1" si="8"/>
        <v>52</v>
      </c>
      <c r="F57" s="35"/>
      <c r="G57" s="17">
        <f t="shared" ca="1" si="6"/>
        <v>7.1232047066966606</v>
      </c>
      <c r="H57" s="17">
        <v>6.7269173492181684</v>
      </c>
      <c r="I57" s="17">
        <v>5.4877567789646671</v>
      </c>
      <c r="J57" s="17">
        <v>6.0602434077079108</v>
      </c>
      <c r="K57" s="17">
        <v>5.0777000777000785</v>
      </c>
      <c r="L57" s="17">
        <v>4.8601652226475922</v>
      </c>
      <c r="M57" s="17">
        <v>4.1327800829875523</v>
      </c>
      <c r="N57" s="17">
        <v>4.6343081838289502</v>
      </c>
      <c r="O57" s="17">
        <v>4.8050487908358077</v>
      </c>
      <c r="P57" s="17">
        <v>5.3364019946298429</v>
      </c>
      <c r="Q57" s="17">
        <v>5.7368534482758626</v>
      </c>
      <c r="R57" s="37" t="s">
        <v>106</v>
      </c>
      <c r="S57" s="38" t="s">
        <v>106</v>
      </c>
      <c r="T57" s="38" t="s">
        <v>106</v>
      </c>
      <c r="U57" s="38" t="s">
        <v>106</v>
      </c>
    </row>
    <row r="58" spans="1:21" x14ac:dyDescent="0.2">
      <c r="A58" t="str">
        <f>IFERROR(INDEX('2018 Data (WP)'!$C$9:$C$73,MATCH($B58,'2018 Data (WP)'!$D$9:$D$73,0)),"")</f>
        <v>Electric Utility (East)</v>
      </c>
      <c r="B58" t="s">
        <v>34</v>
      </c>
      <c r="C58" t="s">
        <v>70</v>
      </c>
      <c r="D58" s="35">
        <f t="shared" ca="1" si="7"/>
        <v>53</v>
      </c>
      <c r="E58" s="35">
        <f t="shared" ca="1" si="8"/>
        <v>53</v>
      </c>
      <c r="F58" s="35"/>
      <c r="G58" s="17">
        <f t="shared" ca="1" si="6"/>
        <v>8.3669939223936414</v>
      </c>
      <c r="H58" s="17">
        <v>8.7315329626687834</v>
      </c>
      <c r="I58" s="17">
        <v>7.3180428134556577</v>
      </c>
      <c r="J58" s="17">
        <v>6.58935115326579</v>
      </c>
      <c r="K58" s="17">
        <v>5.8655514250309793</v>
      </c>
      <c r="L58" s="17">
        <v>5.9795206971677564</v>
      </c>
      <c r="M58" s="17">
        <v>7.4642076502732237</v>
      </c>
      <c r="N58" s="17">
        <v>8.821645021645022</v>
      </c>
      <c r="O58" s="17">
        <v>9.1652173913043473</v>
      </c>
      <c r="P58" s="17">
        <v>8.9002156439913733</v>
      </c>
      <c r="Q58" s="17">
        <v>7.5813571260859351</v>
      </c>
      <c r="R58" s="37">
        <v>7.5679269882659712</v>
      </c>
      <c r="S58" s="37">
        <v>6.493322</v>
      </c>
      <c r="T58" s="37">
        <v>5.4071610000000003</v>
      </c>
      <c r="U58" s="37">
        <v>5.3008740000000003</v>
      </c>
    </row>
    <row r="59" spans="1:21" x14ac:dyDescent="0.2">
      <c r="A59" t="str">
        <f>IFERROR(INDEX('2018 Data (WP)'!$C$9:$C$73,MATCH($B59,'2018 Data (WP)'!$D$9:$D$73,0)),"")</f>
        <v>Electric Utility (East)</v>
      </c>
      <c r="B59" t="s">
        <v>35</v>
      </c>
      <c r="C59" t="s">
        <v>75</v>
      </c>
      <c r="D59" s="35">
        <f t="shared" ca="1" si="7"/>
        <v>54</v>
      </c>
      <c r="E59" s="35">
        <f t="shared" ca="1" si="8"/>
        <v>54</v>
      </c>
      <c r="F59" s="35"/>
      <c r="G59" s="17">
        <f t="shared" ca="1" si="6"/>
        <v>8.5649773220272145</v>
      </c>
      <c r="H59" s="17">
        <v>6.6634130470148039</v>
      </c>
      <c r="I59" s="17">
        <v>6.4780144280316048</v>
      </c>
      <c r="J59" s="17">
        <v>6.4036786060019368</v>
      </c>
      <c r="K59" s="17">
        <v>6.4006153846153842</v>
      </c>
      <c r="L59" s="17">
        <v>6.0311567164179101</v>
      </c>
      <c r="M59" s="17">
        <v>6.0390817681654339</v>
      </c>
      <c r="N59" s="17">
        <v>6.2038523274478337</v>
      </c>
      <c r="O59" s="17">
        <v>8.4593843522873033</v>
      </c>
      <c r="P59" s="17">
        <v>9.8315741165672321</v>
      </c>
      <c r="Q59" s="17">
        <v>8.4095213718965969</v>
      </c>
      <c r="R59" s="37">
        <v>8.5944997074312468</v>
      </c>
      <c r="S59" s="37">
        <v>7.1653440000000002</v>
      </c>
      <c r="T59" s="37">
        <v>6.7910959999999996</v>
      </c>
      <c r="U59" s="37">
        <v>6.2383800000000003</v>
      </c>
    </row>
    <row r="60" spans="1:21" x14ac:dyDescent="0.2">
      <c r="A60" t="str">
        <f>IFERROR(INDEX('2018 Data (WP)'!$C$9:$C$73,MATCH($B60,'2018 Data (WP)'!$D$9:$D$73,0)),"")</f>
        <v>Electric Utility (East)</v>
      </c>
      <c r="B60" t="s">
        <v>36</v>
      </c>
      <c r="C60" t="s">
        <v>76</v>
      </c>
      <c r="D60" s="35">
        <f t="shared" ca="1" si="7"/>
        <v>56</v>
      </c>
      <c r="E60" s="35">
        <f t="shared" ca="1" si="8"/>
        <v>56</v>
      </c>
      <c r="F60" s="35"/>
      <c r="G60" s="17">
        <f t="shared" ca="1" si="6"/>
        <v>9.5910775566231976</v>
      </c>
      <c r="H60" s="17">
        <v>8.3345763723150359</v>
      </c>
      <c r="I60" s="17">
        <v>7.5013024602026048</v>
      </c>
      <c r="J60" s="17">
        <v>7.4871402327005505</v>
      </c>
      <c r="K60" s="17">
        <v>7.3960019038553071</v>
      </c>
      <c r="L60" s="17">
        <v>6.7523698652918673</v>
      </c>
      <c r="M60" s="17">
        <v>6.5238659444820577</v>
      </c>
      <c r="N60" s="17">
        <v>5.8802129547471162</v>
      </c>
      <c r="O60" s="17">
        <v>6.3791396381017416</v>
      </c>
      <c r="P60" s="17">
        <v>7.1470177886292294</v>
      </c>
      <c r="Q60" s="17">
        <v>7.0274502903396092</v>
      </c>
      <c r="R60" s="37">
        <v>5.4041722745625842</v>
      </c>
      <c r="S60" s="37">
        <v>6.8624739999999997</v>
      </c>
      <c r="T60" s="37">
        <v>6.5898159999999999</v>
      </c>
      <c r="U60" s="37">
        <v>6.3557940000000004</v>
      </c>
    </row>
    <row r="61" spans="1:21" x14ac:dyDescent="0.2">
      <c r="A61" t="str">
        <f>IFERROR(INDEX('2018 Data (WP)'!$C$9:$C$73,MATCH($B61,'2018 Data (WP)'!$D$9:$D$73,0)),"")</f>
        <v>Electric Utility (West)</v>
      </c>
      <c r="B61" t="s">
        <v>37</v>
      </c>
      <c r="C61" t="s">
        <v>54</v>
      </c>
      <c r="D61" s="35">
        <f t="shared" ca="1" si="7"/>
        <v>57</v>
      </c>
      <c r="E61" s="35">
        <f t="shared" ca="1" si="8"/>
        <v>57</v>
      </c>
      <c r="F61" s="35"/>
      <c r="G61" s="17">
        <f t="shared" ca="1" si="6"/>
        <v>10.880185302168879</v>
      </c>
      <c r="H61" s="17">
        <v>9.9947684557256355</v>
      </c>
      <c r="I61" s="17">
        <v>10.766000425260472</v>
      </c>
      <c r="J61" s="17">
        <v>9.3668245376635095</v>
      </c>
      <c r="K61" s="17">
        <v>7.2571716718960122</v>
      </c>
      <c r="L61" s="17">
        <v>6.1345458785123004</v>
      </c>
      <c r="M61" s="17">
        <v>6.5281072717895814</v>
      </c>
      <c r="N61" s="17">
        <v>6.0718871962734484</v>
      </c>
      <c r="O61" s="17">
        <v>7.0656934306569346</v>
      </c>
      <c r="P61" s="17">
        <v>8.6065195442088562</v>
      </c>
      <c r="Q61" s="17">
        <v>7.222090261282661</v>
      </c>
      <c r="R61" s="37">
        <v>6.9599329421626148</v>
      </c>
      <c r="S61" s="37">
        <v>5.163653</v>
      </c>
      <c r="T61" s="37">
        <v>4.8501799999999999</v>
      </c>
      <c r="U61" s="37">
        <v>3.9982500000000001</v>
      </c>
    </row>
    <row r="62" spans="1:21" x14ac:dyDescent="0.2">
      <c r="A62" t="str">
        <f>IFERROR(INDEX('2018 Data (WP)'!$C$9:$C$73,MATCH($B62,'2018 Data (WP)'!$D$9:$D$73,0)),"")</f>
        <v/>
      </c>
      <c r="B62" t="s">
        <v>64</v>
      </c>
      <c r="C62" t="s">
        <v>63</v>
      </c>
      <c r="D62" s="35" t="e">
        <f t="shared" ca="1" si="7"/>
        <v>#N/A</v>
      </c>
      <c r="E62" s="35" t="e">
        <f t="shared" ca="1" si="8"/>
        <v>#N/A</v>
      </c>
      <c r="F62" s="35"/>
      <c r="G62" s="17" t="str">
        <f t="shared" ca="1" si="6"/>
        <v>N/A</v>
      </c>
      <c r="H62" s="17" t="s">
        <v>106</v>
      </c>
      <c r="I62" s="17" t="s">
        <v>106</v>
      </c>
      <c r="J62" s="17" t="s">
        <v>106</v>
      </c>
      <c r="K62" s="17" t="s">
        <v>106</v>
      </c>
      <c r="L62" s="17" t="s">
        <v>106</v>
      </c>
      <c r="M62" s="17" t="s">
        <v>106</v>
      </c>
      <c r="N62" s="17" t="s">
        <v>106</v>
      </c>
      <c r="O62" s="17" t="s">
        <v>106</v>
      </c>
      <c r="P62" s="17" t="s">
        <v>106</v>
      </c>
      <c r="Q62" s="17" t="s">
        <v>106</v>
      </c>
      <c r="R62" s="37" t="s">
        <v>106</v>
      </c>
      <c r="S62" s="37">
        <v>1.8034870000000001</v>
      </c>
      <c r="T62" s="37">
        <v>1.884924</v>
      </c>
      <c r="U62" s="37">
        <v>-7.0251169999999998</v>
      </c>
    </row>
    <row r="63" spans="1:21" x14ac:dyDescent="0.2">
      <c r="A63" t="str">
        <f>IFERROR(INDEX('2018 Data (WP)'!$C$9:$C$73,MATCH($B63,'2018 Data (WP)'!$D$9:$D$73,0)),"")</f>
        <v>Water Utility</v>
      </c>
      <c r="B63" s="31" t="s">
        <v>196</v>
      </c>
      <c r="C63" s="31" t="s">
        <v>195</v>
      </c>
      <c r="D63" s="35">
        <f t="shared" ca="1" si="7"/>
        <v>58</v>
      </c>
      <c r="E63" s="35">
        <f t="shared" ca="1" si="8"/>
        <v>58</v>
      </c>
      <c r="F63" s="35"/>
      <c r="G63" s="17">
        <f t="shared" ca="1" si="6"/>
        <v>8.4547743966421827</v>
      </c>
      <c r="H63" s="17">
        <v>7.9823697173969403</v>
      </c>
      <c r="I63" s="17">
        <v>6.4265038444142926</v>
      </c>
      <c r="J63" s="17">
        <v>9.3993103448275868</v>
      </c>
      <c r="K63" s="17">
        <v>8.0970350404312672</v>
      </c>
      <c r="L63" s="17">
        <v>8.3909318100678316</v>
      </c>
      <c r="M63" s="17">
        <v>10.28721614802355</v>
      </c>
      <c r="N63" s="17">
        <v>10.525838621940164</v>
      </c>
      <c r="O63" s="17">
        <v>11.675697865353039</v>
      </c>
      <c r="P63" s="17">
        <v>15.134523291249456</v>
      </c>
      <c r="Q63" s="17">
        <v>11.749265014699708</v>
      </c>
      <c r="R63" s="57"/>
      <c r="S63" s="58"/>
      <c r="T63" s="58"/>
      <c r="U63" s="58"/>
    </row>
    <row r="64" spans="1:21" x14ac:dyDescent="0.2">
      <c r="A64" t="str">
        <f>IFERROR(INDEX('2018 Data (WP)'!$C$9:$C$73,MATCH($B64,'2018 Data (WP)'!$D$9:$D$73,0)),"")</f>
        <v>Natural Gas Utility</v>
      </c>
      <c r="B64" s="31" t="s">
        <v>198</v>
      </c>
      <c r="C64" s="31" t="s">
        <v>197</v>
      </c>
      <c r="D64" s="35">
        <f t="shared" ca="1" si="7"/>
        <v>59</v>
      </c>
      <c r="E64" s="35">
        <f t="shared" ca="1" si="8"/>
        <v>59</v>
      </c>
      <c r="F64" s="35"/>
      <c r="G64" s="17">
        <f t="shared" ca="1" si="6"/>
        <v>10.877383177570096</v>
      </c>
      <c r="H64" s="17">
        <v>10.697847682119205</v>
      </c>
      <c r="I64" s="17">
        <v>10.566454511418945</v>
      </c>
      <c r="J64" s="17">
        <v>11.566235864297255</v>
      </c>
      <c r="K64" s="17">
        <v>10.945392491467578</v>
      </c>
      <c r="L64" s="17">
        <v>11.975784753363229</v>
      </c>
      <c r="M64" s="17">
        <v>10.784220532319392</v>
      </c>
      <c r="N64" s="17">
        <v>9.5734265734265733</v>
      </c>
      <c r="O64" s="17">
        <v>10.381472957422325</v>
      </c>
      <c r="P64" s="17">
        <v>11.228267667292059</v>
      </c>
      <c r="Q64" s="17">
        <v>8.3200228180262421</v>
      </c>
      <c r="R64" s="57"/>
      <c r="S64" s="58"/>
      <c r="T64" s="58"/>
      <c r="U64" s="58"/>
    </row>
    <row r="65" spans="1:21" x14ac:dyDescent="0.2">
      <c r="A65" t="str">
        <f>IFERROR(INDEX('2018 Data (WP)'!$C$9:$C$73,MATCH($B65,'2018 Data (WP)'!$D$9:$D$73,0)),"")</f>
        <v>Electric Utility (East)</v>
      </c>
      <c r="B65" t="s">
        <v>38</v>
      </c>
      <c r="C65" t="s">
        <v>77</v>
      </c>
      <c r="D65" s="35">
        <f t="shared" ca="1" si="7"/>
        <v>60</v>
      </c>
      <c r="E65" s="35">
        <f t="shared" ca="1" si="8"/>
        <v>60</v>
      </c>
      <c r="F65" s="35"/>
      <c r="G65" s="17">
        <f t="shared" ca="1" si="6"/>
        <v>8.832337434094903</v>
      </c>
      <c r="H65" s="17">
        <v>8.2270151709011152</v>
      </c>
      <c r="I65" s="17">
        <v>8.4186398939193037</v>
      </c>
      <c r="J65" s="17">
        <v>8.2988985947588301</v>
      </c>
      <c r="K65" s="17">
        <v>8.7459459459459463</v>
      </c>
      <c r="L65" s="17">
        <v>8.2234432234432226</v>
      </c>
      <c r="M65" s="17">
        <v>7.7901617549302014</v>
      </c>
      <c r="N65" s="17">
        <v>7.0776173285198549</v>
      </c>
      <c r="O65" s="17">
        <v>8.1835814163283711</v>
      </c>
      <c r="P65" s="17">
        <v>8.6184834123222753</v>
      </c>
      <c r="Q65" s="17">
        <v>8.4714677298778973</v>
      </c>
      <c r="R65" s="37">
        <v>8.4108161746464916</v>
      </c>
      <c r="S65" s="37">
        <v>8.2763340000000003</v>
      </c>
      <c r="T65" s="37">
        <v>8.2793989999999997</v>
      </c>
      <c r="U65" s="37">
        <v>7.832465</v>
      </c>
    </row>
    <row r="66" spans="1:21" x14ac:dyDescent="0.2">
      <c r="A66" t="str">
        <f>IFERROR(INDEX('2018 Data (WP)'!$C$9:$C$73,MATCH($B66,'2018 Data (WP)'!$D$9:$D$73,0)),"")</f>
        <v>Natural Gas Utility</v>
      </c>
      <c r="B66" s="31" t="s">
        <v>200</v>
      </c>
      <c r="C66" s="31" t="s">
        <v>199</v>
      </c>
      <c r="D66" s="35">
        <f t="shared" ca="1" si="7"/>
        <v>61</v>
      </c>
      <c r="E66" s="35">
        <f t="shared" ca="1" si="8"/>
        <v>61</v>
      </c>
      <c r="F66" s="35"/>
      <c r="G66" s="17">
        <f t="shared" ca="1" si="6"/>
        <v>7.4075987514799264</v>
      </c>
      <c r="H66" s="17">
        <v>6.5555040018559332</v>
      </c>
      <c r="I66" s="17">
        <v>6.3454910292728997</v>
      </c>
      <c r="J66" s="17">
        <v>5.9443231441048043</v>
      </c>
      <c r="K66" s="17">
        <v>5.5499935325313672</v>
      </c>
      <c r="L66" s="17">
        <v>5.6010872759330006</v>
      </c>
      <c r="M66" s="17">
        <v>4.9079089924160346</v>
      </c>
      <c r="N66" s="17">
        <v>3.844379467186485</v>
      </c>
      <c r="O66" s="17">
        <v>4.8887732083984039</v>
      </c>
      <c r="P66" s="17">
        <v>5.4208407150909972</v>
      </c>
      <c r="Q66" s="17">
        <v>5.284876905041032</v>
      </c>
      <c r="R66" s="57"/>
      <c r="S66" s="58"/>
      <c r="T66" s="58"/>
      <c r="U66" s="58"/>
    </row>
    <row r="67" spans="1:21" x14ac:dyDescent="0.2">
      <c r="A67" t="str">
        <f>IFERROR(INDEX('2018 Data (WP)'!$C$9:$C$73,MATCH($B67,'2018 Data (WP)'!$D$9:$D$73,0)),"")</f>
        <v>Natural Gas Utility</v>
      </c>
      <c r="B67" s="31" t="s">
        <v>244</v>
      </c>
      <c r="C67" s="31" t="s">
        <v>243</v>
      </c>
      <c r="D67" s="35">
        <f t="shared" ca="1" si="7"/>
        <v>62</v>
      </c>
      <c r="E67" s="35">
        <f t="shared" ca="1" si="8"/>
        <v>62</v>
      </c>
      <c r="F67" s="35"/>
      <c r="G67" s="17">
        <f t="shared" ca="1" si="6"/>
        <v>10.319909061383566</v>
      </c>
      <c r="H67" s="17">
        <v>8.4657133571660701</v>
      </c>
      <c r="I67" s="17">
        <v>12.031290405999483</v>
      </c>
      <c r="J67" s="17">
        <v>13.755847484780519</v>
      </c>
      <c r="K67" s="17">
        <v>8.8010471204188487</v>
      </c>
      <c r="L67" s="17">
        <v>8.079904720658293</v>
      </c>
      <c r="M67" s="17">
        <v>8.1248478948649296</v>
      </c>
      <c r="N67" s="17">
        <v>8.579328505595786</v>
      </c>
      <c r="O67" s="17">
        <v>8.9523809523809508</v>
      </c>
      <c r="P67" s="17">
        <v>8.4581827568404755</v>
      </c>
      <c r="Q67" s="17">
        <v>8.4618009976371749</v>
      </c>
      <c r="R67" s="57"/>
      <c r="S67" s="58"/>
      <c r="T67" s="58"/>
      <c r="U67" s="58"/>
    </row>
    <row r="68" spans="1:21" x14ac:dyDescent="0.2">
      <c r="A68" t="str">
        <f>IFERROR(INDEX('2018 Data (WP)'!$C$9:$C$73,MATCH($B68,'2018 Data (WP)'!$D$9:$D$73,0)),"")</f>
        <v/>
      </c>
      <c r="B68" t="s">
        <v>39</v>
      </c>
      <c r="C68" t="s">
        <v>78</v>
      </c>
      <c r="D68" s="35" t="e">
        <f t="shared" ca="1" si="7"/>
        <v>#N/A</v>
      </c>
      <c r="E68" s="35" t="e">
        <f t="shared" ca="1" si="8"/>
        <v>#N/A</v>
      </c>
      <c r="F68" s="35"/>
      <c r="G68" s="17" t="str">
        <f t="shared" ca="1" si="6"/>
        <v>N/A</v>
      </c>
      <c r="H68" s="17" t="s">
        <v>106</v>
      </c>
      <c r="I68" s="17" t="s">
        <v>106</v>
      </c>
      <c r="J68" s="17" t="s">
        <v>106</v>
      </c>
      <c r="K68" s="17" t="s">
        <v>106</v>
      </c>
      <c r="L68" s="17" t="s">
        <v>106</v>
      </c>
      <c r="M68" s="17" t="s">
        <v>106</v>
      </c>
      <c r="N68" s="17" t="s">
        <v>106</v>
      </c>
      <c r="O68" s="17" t="s">
        <v>106</v>
      </c>
      <c r="P68" s="17" t="s">
        <v>106</v>
      </c>
      <c r="Q68" s="17" t="s">
        <v>106</v>
      </c>
      <c r="R68" s="37">
        <v>7.2119037568594342</v>
      </c>
      <c r="S68" s="37">
        <v>6.4092609999999999</v>
      </c>
      <c r="T68" s="37">
        <v>6.3931490000000002</v>
      </c>
      <c r="U68" s="37">
        <v>6.681349</v>
      </c>
    </row>
    <row r="69" spans="1:21" x14ac:dyDescent="0.2">
      <c r="A69" t="str">
        <f>IFERROR(INDEX('2018 Data (WP)'!$C$9:$C$73,MATCH($B69,'2018 Data (WP)'!$D$9:$D$73,0)),"")</f>
        <v>Natural Gas Utility</v>
      </c>
      <c r="B69" s="31" t="s">
        <v>204</v>
      </c>
      <c r="C69" s="31" t="s">
        <v>203</v>
      </c>
      <c r="D69" s="35">
        <f t="shared" ca="1" si="7"/>
        <v>64</v>
      </c>
      <c r="E69" s="35">
        <f t="shared" ca="1" si="8"/>
        <v>64</v>
      </c>
      <c r="F69" s="35"/>
      <c r="G69" s="17">
        <f t="shared" ref="G69:G78" ca="1" si="10">IFERROR(INDEX(MarketPrice,$D69,2)/INDEX(CashFlow,$E69,2),"N/A")</f>
        <v>9.0175238962221211</v>
      </c>
      <c r="H69" s="17">
        <v>8.467300832342449</v>
      </c>
      <c r="I69" s="17">
        <v>7.4872933629410312</v>
      </c>
      <c r="J69" s="17">
        <v>6.5533049040511733</v>
      </c>
      <c r="K69" s="17">
        <v>6.3007543456871105</v>
      </c>
      <c r="L69" s="17">
        <v>7.5111030214779761</v>
      </c>
      <c r="M69" s="17">
        <v>6.0150034891835311</v>
      </c>
      <c r="N69" s="17">
        <v>5.7384833451452861</v>
      </c>
      <c r="O69" s="17">
        <v>7.1116035455277995</v>
      </c>
      <c r="P69" s="17">
        <v>7.9175897208684098</v>
      </c>
      <c r="Q69" s="17">
        <v>7.4790652385589098</v>
      </c>
      <c r="R69" s="57"/>
      <c r="S69" s="58"/>
      <c r="T69" s="58"/>
      <c r="U69" s="58"/>
    </row>
    <row r="70" spans="1:21" x14ac:dyDescent="0.2">
      <c r="A70" t="str">
        <f>IFERROR(INDEX('2018 Data (WP)'!$C$9:$C$73,MATCH($B70,'2018 Data (WP)'!$D$9:$D$73,0)),"")</f>
        <v/>
      </c>
      <c r="B70" t="s">
        <v>40</v>
      </c>
      <c r="C70" t="s">
        <v>81</v>
      </c>
      <c r="D70" s="35" t="e">
        <f t="shared" ca="1" si="7"/>
        <v>#N/A</v>
      </c>
      <c r="E70" s="35" t="e">
        <f t="shared" ca="1" si="8"/>
        <v>#N/A</v>
      </c>
      <c r="F70" s="35"/>
      <c r="G70" s="17" t="str">
        <f t="shared" ca="1" si="10"/>
        <v>N/A</v>
      </c>
      <c r="H70" s="17" t="s">
        <v>106</v>
      </c>
      <c r="I70" s="17" t="s">
        <v>106</v>
      </c>
      <c r="J70" s="17" t="s">
        <v>106</v>
      </c>
      <c r="K70" s="17" t="s">
        <v>106</v>
      </c>
      <c r="L70" s="17" t="s">
        <v>106</v>
      </c>
      <c r="M70" s="17" t="s">
        <v>106</v>
      </c>
      <c r="N70" s="17" t="s">
        <v>106</v>
      </c>
      <c r="O70" s="17" t="s">
        <v>106</v>
      </c>
      <c r="P70" s="17" t="s">
        <v>106</v>
      </c>
      <c r="Q70" s="17" t="s">
        <v>106</v>
      </c>
      <c r="R70" s="37" t="s">
        <v>106</v>
      </c>
      <c r="S70" s="37">
        <v>6.5928209999999998</v>
      </c>
      <c r="T70" s="37">
        <v>4.781644</v>
      </c>
      <c r="U70" s="37">
        <v>4.7159110000000002</v>
      </c>
    </row>
    <row r="71" spans="1:21" x14ac:dyDescent="0.2">
      <c r="A71" t="str">
        <f>IFERROR(INDEX('2018 Data (WP)'!$C$9:$C$73,MATCH($B71,'2018 Data (WP)'!$D$9:$D$73,0)),"")</f>
        <v/>
      </c>
      <c r="B71" t="s">
        <v>41</v>
      </c>
      <c r="C71" t="s">
        <v>79</v>
      </c>
      <c r="D71" s="35" t="e">
        <f t="shared" ca="1" si="7"/>
        <v>#N/A</v>
      </c>
      <c r="E71" s="35" t="e">
        <f t="shared" ca="1" si="8"/>
        <v>#N/A</v>
      </c>
      <c r="F71" s="35"/>
      <c r="G71" s="17" t="str">
        <f t="shared" ca="1" si="10"/>
        <v>N/A</v>
      </c>
      <c r="H71" s="17" t="s">
        <v>106</v>
      </c>
      <c r="I71" s="17" t="s">
        <v>106</v>
      </c>
      <c r="J71" s="17" t="s">
        <v>106</v>
      </c>
      <c r="K71" s="17" t="s">
        <v>106</v>
      </c>
      <c r="L71" s="17" t="s">
        <v>106</v>
      </c>
      <c r="M71" s="17" t="s">
        <v>106</v>
      </c>
      <c r="N71" s="17" t="s">
        <v>106</v>
      </c>
      <c r="O71" s="17" t="s">
        <v>106</v>
      </c>
      <c r="P71" s="17" t="s">
        <v>106</v>
      </c>
      <c r="Q71" s="17" t="s">
        <v>106</v>
      </c>
      <c r="R71" s="37" t="s">
        <v>106</v>
      </c>
      <c r="S71" s="37">
        <v>4.6349720000000003</v>
      </c>
      <c r="T71" s="37">
        <v>3.64655</v>
      </c>
      <c r="U71" s="37">
        <v>3.6843750000000002</v>
      </c>
    </row>
    <row r="72" spans="1:21" x14ac:dyDescent="0.2">
      <c r="A72" t="str">
        <f>IFERROR(INDEX('2018 Data (WP)'!$C$9:$C$73,MATCH($B72,'2018 Data (WP)'!$D$9:$D$73,0)),"")</f>
        <v/>
      </c>
      <c r="B72" t="s">
        <v>83</v>
      </c>
      <c r="C72" t="s">
        <v>82</v>
      </c>
      <c r="D72" s="35">
        <f t="shared" ca="1" si="7"/>
        <v>65</v>
      </c>
      <c r="E72" s="35">
        <f t="shared" ca="1" si="8"/>
        <v>65</v>
      </c>
      <c r="F72" s="35"/>
      <c r="G72" s="17">
        <f t="shared" ca="1" si="10"/>
        <v>7.7614503816793894</v>
      </c>
      <c r="H72" s="17">
        <v>6.8056743101438011</v>
      </c>
      <c r="I72" s="17">
        <v>6.8585416666666665</v>
      </c>
      <c r="J72" s="17">
        <v>6.7780112044817926</v>
      </c>
      <c r="K72" s="17">
        <v>6.9222797927461137</v>
      </c>
      <c r="L72" s="17">
        <v>6.052163461538461</v>
      </c>
      <c r="M72" s="17">
        <v>6.2707919386886175</v>
      </c>
      <c r="N72" s="17">
        <v>6.0775711795467746</v>
      </c>
      <c r="O72" s="17">
        <v>7.0863426554439322</v>
      </c>
      <c r="P72" s="17">
        <v>6.0732767993041969</v>
      </c>
      <c r="Q72" s="17">
        <v>5.8232536333802152</v>
      </c>
      <c r="R72" s="37">
        <v>5.4577063847092315</v>
      </c>
      <c r="S72" s="37">
        <v>5.5678859999999997</v>
      </c>
      <c r="T72" s="37">
        <v>5.1765679999999996</v>
      </c>
      <c r="U72" s="37">
        <v>6.0934340000000002</v>
      </c>
    </row>
    <row r="73" spans="1:21" x14ac:dyDescent="0.2">
      <c r="A73" t="str">
        <f>IFERROR(INDEX('2018 Data (WP)'!$C$9:$C$73,MATCH($B73,'2018 Data (WP)'!$D$9:$D$73,0)),"")</f>
        <v>Electric Util. (Central)</v>
      </c>
      <c r="B73" t="s">
        <v>42</v>
      </c>
      <c r="C73" t="s">
        <v>89</v>
      </c>
      <c r="D73" s="35">
        <f t="shared" ca="1" si="7"/>
        <v>66</v>
      </c>
      <c r="E73" s="35">
        <f t="shared" ca="1" si="8"/>
        <v>66</v>
      </c>
      <c r="F73" s="35"/>
      <c r="G73" s="17">
        <f t="shared" ca="1" si="10"/>
        <v>8.5962383547196346</v>
      </c>
      <c r="H73" s="17">
        <v>7.8192771084337362</v>
      </c>
      <c r="I73" s="17">
        <v>7.5717501406865502</v>
      </c>
      <c r="J73" s="17">
        <v>6.8210379797176373</v>
      </c>
      <c r="K73" s="17">
        <v>5.7899443561208273</v>
      </c>
      <c r="L73" s="17">
        <v>5.8104838709677429</v>
      </c>
      <c r="M73" s="17">
        <v>5.5771222697590632</v>
      </c>
      <c r="N73" s="17">
        <v>5.2428993410588509</v>
      </c>
      <c r="O73" s="17">
        <v>6.9016393442622945</v>
      </c>
      <c r="P73" s="17">
        <v>6.5349324639031217</v>
      </c>
      <c r="Q73" s="17">
        <v>7.3743909041689228</v>
      </c>
      <c r="R73" s="37">
        <v>7.0612086776859506</v>
      </c>
      <c r="S73" s="37">
        <v>7.6323040000000004</v>
      </c>
      <c r="T73" s="37">
        <v>7.2745040000000003</v>
      </c>
      <c r="U73" s="37">
        <v>6.9240180000000002</v>
      </c>
    </row>
    <row r="74" spans="1:21" x14ac:dyDescent="0.2">
      <c r="A74" t="str">
        <f>IFERROR(INDEX('2018 Data (WP)'!$C$9:$C$73,MATCH($B74,'2018 Data (WP)'!$D$9:$D$73,0)),"")</f>
        <v>Electric Util. (Central)</v>
      </c>
      <c r="B74" t="s">
        <v>44</v>
      </c>
      <c r="C74" t="s">
        <v>217</v>
      </c>
      <c r="D74" s="35">
        <f t="shared" ca="1" si="7"/>
        <v>67</v>
      </c>
      <c r="E74" s="35">
        <f t="shared" ca="1" si="8"/>
        <v>67</v>
      </c>
      <c r="F74" s="35"/>
      <c r="G74" s="17">
        <f t="shared" ca="1" si="10"/>
        <v>10.951956965312558</v>
      </c>
      <c r="H74" s="17">
        <v>12.896150865409455</v>
      </c>
      <c r="I74" s="17">
        <v>10.266114592658909</v>
      </c>
      <c r="J74" s="17">
        <v>9.5760517799352769</v>
      </c>
      <c r="K74" s="17">
        <v>9.2385229540918168</v>
      </c>
      <c r="L74" s="17">
        <v>8.4315960912052113</v>
      </c>
      <c r="M74" s="17">
        <v>8.1465778316172006</v>
      </c>
      <c r="N74" s="17">
        <v>6.8706563706563699</v>
      </c>
      <c r="O74" s="17">
        <v>7.5732656514382404</v>
      </c>
      <c r="P74" s="17">
        <v>7.8410995641971173</v>
      </c>
      <c r="Q74" s="17">
        <v>7.2726017943409245</v>
      </c>
      <c r="R74" s="37">
        <v>6.4014522821576767</v>
      </c>
      <c r="S74" s="37">
        <v>6.2742060000000004</v>
      </c>
      <c r="T74" s="37">
        <v>4.9149459999999996</v>
      </c>
      <c r="U74" s="37">
        <v>4.2733350000000003</v>
      </c>
    </row>
    <row r="75" spans="1:21" x14ac:dyDescent="0.2">
      <c r="A75" t="str">
        <f>IFERROR(INDEX('2018 Data (WP)'!$C$9:$C$73,MATCH($B75,'2018 Data (WP)'!$D$9:$D$73,0)),"")</f>
        <v>Electric Util. (Central)</v>
      </c>
      <c r="B75" t="s">
        <v>43</v>
      </c>
      <c r="C75" t="s">
        <v>87</v>
      </c>
      <c r="D75" s="35">
        <f t="shared" ca="1" si="7"/>
        <v>68</v>
      </c>
      <c r="E75" s="35">
        <f t="shared" ca="1" si="8"/>
        <v>68</v>
      </c>
      <c r="F75" s="35"/>
      <c r="G75" s="17">
        <f t="shared" ca="1" si="10"/>
        <v>10.855546357615895</v>
      </c>
      <c r="H75" s="17">
        <v>9.0473844710297922</v>
      </c>
      <c r="I75" s="17">
        <v>7.92512077294686</v>
      </c>
      <c r="J75" s="17">
        <v>7.2319564230594651</v>
      </c>
      <c r="K75" s="17">
        <v>6.7148837209302323</v>
      </c>
      <c r="L75" s="17">
        <v>6.6716267339218156</v>
      </c>
      <c r="M75" s="17">
        <v>5.5069657615112151</v>
      </c>
      <c r="N75" s="17">
        <v>5.3247982187586977</v>
      </c>
      <c r="O75" s="17">
        <v>7.0880382775119619</v>
      </c>
      <c r="P75" s="17">
        <v>6.875993640699523</v>
      </c>
      <c r="Q75" s="17">
        <v>5.8074581430745811</v>
      </c>
      <c r="R75" s="37">
        <v>6.9972519083969464</v>
      </c>
      <c r="S75" s="37">
        <v>6.538462</v>
      </c>
      <c r="T75" s="37">
        <v>4.2357319999999996</v>
      </c>
      <c r="U75" s="37">
        <v>2.941065</v>
      </c>
    </row>
    <row r="76" spans="1:21" x14ac:dyDescent="0.2">
      <c r="A76" t="str">
        <f>IFERROR(INDEX('2018 Data (WP)'!$C$9:$C$73,MATCH($B76,'2018 Data (WP)'!$D$9:$D$73,0)),"")</f>
        <v>Natural Gas Utility</v>
      </c>
      <c r="B76" s="31" t="s">
        <v>206</v>
      </c>
      <c r="C76" s="31" t="s">
        <v>205</v>
      </c>
      <c r="D76" s="35">
        <f t="shared" ca="1" si="7"/>
        <v>69</v>
      </c>
      <c r="E76" s="35">
        <f t="shared" ca="1" si="8"/>
        <v>69</v>
      </c>
      <c r="F76" s="35"/>
      <c r="G76" s="17">
        <f t="shared" ca="1" si="10"/>
        <v>11.36384122031548</v>
      </c>
      <c r="H76" s="17">
        <v>9.5870380289234074</v>
      </c>
      <c r="I76" s="17">
        <v>8.4593749999999996</v>
      </c>
      <c r="J76" s="17">
        <v>9.8308840681128995</v>
      </c>
      <c r="K76" s="17">
        <v>9.0269137436576212</v>
      </c>
      <c r="L76" s="17">
        <v>9.5160727635185651</v>
      </c>
      <c r="M76" s="17">
        <v>8.3439552420335694</v>
      </c>
      <c r="N76" s="17">
        <v>7.1658789106459606</v>
      </c>
      <c r="O76" s="17">
        <v>7.6821848352154865</v>
      </c>
      <c r="P76" s="17">
        <v>8.3900180087471057</v>
      </c>
      <c r="Q76" s="17">
        <v>7.8083832335329344</v>
      </c>
      <c r="R76" s="57"/>
      <c r="S76" s="58"/>
      <c r="T76" s="58"/>
      <c r="U76" s="58"/>
    </row>
    <row r="77" spans="1:21" x14ac:dyDescent="0.2">
      <c r="A77" t="str">
        <f>IFERROR(INDEX('2018 Data (WP)'!$C$9:$C$73,MATCH($B77,'2018 Data (WP)'!$D$9:$D$73,0)),"")</f>
        <v>Electric Utility (West)</v>
      </c>
      <c r="B77" t="s">
        <v>45</v>
      </c>
      <c r="C77" t="s">
        <v>65</v>
      </c>
      <c r="D77" s="35">
        <f t="shared" ca="1" si="7"/>
        <v>70</v>
      </c>
      <c r="E77" s="35">
        <f t="shared" ca="1" si="8"/>
        <v>70</v>
      </c>
      <c r="F77" s="35"/>
      <c r="G77" s="17">
        <f t="shared" ca="1" si="10"/>
        <v>8.0961729129486422</v>
      </c>
      <c r="H77" s="17">
        <v>7.6210226025894219</v>
      </c>
      <c r="I77" s="17">
        <v>7.314819136522754</v>
      </c>
      <c r="J77" s="17">
        <v>7.0043891733723482</v>
      </c>
      <c r="K77" s="17">
        <v>6.8532866783304174</v>
      </c>
      <c r="L77" s="17">
        <v>6.4721268163804488</v>
      </c>
      <c r="M77" s="17">
        <v>6.2759111617312078</v>
      </c>
      <c r="N77" s="17">
        <v>5.4270923209663504</v>
      </c>
      <c r="O77" s="17">
        <v>5.7058823529411766</v>
      </c>
      <c r="P77" s="17">
        <v>6.5089751013317887</v>
      </c>
      <c r="Q77" s="17">
        <v>5.5397837538120314</v>
      </c>
      <c r="R77" s="37">
        <v>5.6238560097620498</v>
      </c>
      <c r="S77" s="37">
        <v>5.3087289999999996</v>
      </c>
      <c r="T77" s="37">
        <v>4.2676220000000002</v>
      </c>
      <c r="U77" s="37">
        <v>5.4642860000000004</v>
      </c>
    </row>
    <row r="78" spans="1:21" x14ac:dyDescent="0.2">
      <c r="A78" t="str">
        <f>IFERROR(INDEX('2018 Data (WP)'!$C$9:$C$73,MATCH($B78,'2018 Data (WP)'!$D$9:$D$73,0)),"")</f>
        <v>Water Utility</v>
      </c>
      <c r="B78" s="31" t="s">
        <v>208</v>
      </c>
      <c r="C78" s="31" t="s">
        <v>207</v>
      </c>
      <c r="D78" s="35">
        <f t="shared" ca="1" si="7"/>
        <v>71</v>
      </c>
      <c r="E78" s="35">
        <f t="shared" ca="1" si="8"/>
        <v>71</v>
      </c>
      <c r="F78" s="35"/>
      <c r="G78" s="17" t="str">
        <f t="shared" ca="1" si="10"/>
        <v>N/A</v>
      </c>
      <c r="H78" s="17">
        <v>15.681786941580755</v>
      </c>
      <c r="I78" s="17">
        <v>15.12822402358143</v>
      </c>
      <c r="J78" s="17">
        <v>16.607925801011806</v>
      </c>
      <c r="K78" s="17">
        <v>15.714285714285714</v>
      </c>
      <c r="L78" s="17">
        <v>15.514625228519193</v>
      </c>
      <c r="M78" s="17">
        <v>13.813145539906104</v>
      </c>
      <c r="N78" s="17">
        <v>14.747102212855637</v>
      </c>
      <c r="O78" s="17">
        <v>15.846153846153845</v>
      </c>
      <c r="P78" s="17">
        <v>20.151869158878505</v>
      </c>
      <c r="Q78" s="17">
        <v>23.568270481144342</v>
      </c>
      <c r="R78" s="57"/>
      <c r="S78" s="58"/>
      <c r="T78" s="58"/>
      <c r="U78" s="58"/>
    </row>
    <row r="79" spans="1:21" x14ac:dyDescent="0.2">
      <c r="B79" s="31"/>
      <c r="C79" s="31"/>
      <c r="D79" s="35"/>
      <c r="E79" s="35"/>
      <c r="F79" s="35"/>
      <c r="G79" s="52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57"/>
      <c r="S79" s="58"/>
      <c r="T79" s="58"/>
      <c r="U79" s="58"/>
    </row>
  </sheetData>
  <sortState ref="A5:T78">
    <sortCondition ref="C5:C78"/>
  </sortState>
  <pageMargins left="0.7" right="0.7" top="0.75" bottom="0.75" header="0.3" footer="0.3"/>
  <pageSetup fitToHeight="0" orientation="landscape" r:id="rId1"/>
  <headerFooter>
    <oddFooter>&amp;R&amp;A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pageSetUpPr fitToPage="1"/>
  </sheetPr>
  <dimension ref="A1:W113"/>
  <sheetViews>
    <sheetView zoomScale="70" zoomScaleNormal="70" workbookViewId="0">
      <selection activeCell="C2" sqref="C2:S2"/>
    </sheetView>
  </sheetViews>
  <sheetFormatPr defaultRowHeight="14.25" x14ac:dyDescent="0.2"/>
  <cols>
    <col min="1" max="2" width="8" customWidth="1"/>
    <col min="3" max="3" width="5.875" bestFit="1" customWidth="1"/>
    <col min="4" max="4" width="1.75" customWidth="1"/>
    <col min="5" max="5" width="34.625" customWidth="1"/>
    <col min="6" max="20" width="9" customWidth="1"/>
    <col min="21" max="23" width="8.75" customWidth="1"/>
  </cols>
  <sheetData>
    <row r="1" spans="1:23" ht="27.75" x14ac:dyDescent="0.4">
      <c r="C1" s="236" t="str">
        <f>ElectricU</f>
        <v>Louisville Gas and Electric Company</v>
      </c>
      <c r="D1" s="236"/>
      <c r="E1" s="236"/>
      <c r="F1" s="236"/>
      <c r="G1" s="236"/>
      <c r="H1" s="236"/>
      <c r="I1" s="236"/>
      <c r="J1" s="236"/>
      <c r="K1" s="236"/>
      <c r="L1" s="236"/>
      <c r="M1" s="236"/>
      <c r="N1" s="236"/>
      <c r="O1" s="236"/>
      <c r="P1" s="236"/>
      <c r="Q1" s="236"/>
      <c r="R1" s="236"/>
      <c r="S1" s="236"/>
      <c r="T1" s="95"/>
      <c r="U1" s="95"/>
      <c r="V1" s="95"/>
      <c r="W1" s="95"/>
    </row>
    <row r="2" spans="1:23" ht="27.75" x14ac:dyDescent="0.4">
      <c r="C2" s="236" t="s">
        <v>526</v>
      </c>
      <c r="D2" s="236"/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36"/>
      <c r="Q2" s="236"/>
      <c r="R2" s="236"/>
      <c r="S2" s="236"/>
      <c r="T2" s="233"/>
      <c r="U2" s="233"/>
      <c r="V2" s="233"/>
      <c r="W2" s="233"/>
    </row>
    <row r="3" spans="1:23" x14ac:dyDescent="0.2">
      <c r="C3" s="4"/>
      <c r="D3" s="5"/>
      <c r="E3" s="6"/>
      <c r="F3" s="6"/>
      <c r="G3" s="6"/>
      <c r="H3" s="6"/>
      <c r="I3" s="6"/>
      <c r="J3" s="6"/>
      <c r="K3" s="6"/>
      <c r="L3" s="6"/>
      <c r="M3" s="6"/>
      <c r="N3" s="6"/>
      <c r="O3" s="7"/>
      <c r="P3" s="7"/>
      <c r="Q3" s="7"/>
      <c r="R3" s="7"/>
      <c r="S3" s="7"/>
      <c r="T3" s="7"/>
      <c r="U3" s="7"/>
      <c r="V3" s="7"/>
    </row>
    <row r="4" spans="1:23" x14ac:dyDescent="0.2">
      <c r="C4" s="4"/>
      <c r="D4" s="5"/>
      <c r="E4" s="6"/>
      <c r="F4" s="6"/>
      <c r="G4" s="6"/>
      <c r="H4" s="6"/>
      <c r="I4" s="6"/>
      <c r="J4" s="6"/>
      <c r="K4" s="6"/>
      <c r="L4" s="6"/>
      <c r="M4" s="6"/>
      <c r="N4" s="6"/>
      <c r="O4" s="7"/>
      <c r="P4" s="7"/>
      <c r="Q4" s="7"/>
      <c r="R4" s="7"/>
      <c r="S4" s="7"/>
      <c r="T4" s="7"/>
      <c r="U4" s="7"/>
      <c r="V4" s="7"/>
    </row>
    <row r="5" spans="1:23" ht="20.25" x14ac:dyDescent="0.3">
      <c r="C5" s="237" t="s">
        <v>272</v>
      </c>
      <c r="D5" s="237"/>
      <c r="E5" s="237"/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  <c r="T5" s="96"/>
      <c r="U5" s="96"/>
      <c r="V5" s="96"/>
      <c r="W5" s="96"/>
    </row>
    <row r="6" spans="1:23" ht="18" x14ac:dyDescent="0.25">
      <c r="C6" s="238" t="s">
        <v>274</v>
      </c>
      <c r="D6" s="238"/>
      <c r="E6" s="238"/>
      <c r="F6" s="238"/>
      <c r="G6" s="238"/>
      <c r="H6" s="238"/>
      <c r="I6" s="238"/>
      <c r="J6" s="238"/>
      <c r="K6" s="238"/>
      <c r="L6" s="238"/>
      <c r="M6" s="238"/>
      <c r="N6" s="238"/>
      <c r="O6" s="238"/>
      <c r="P6" s="238"/>
      <c r="Q6" s="238"/>
      <c r="R6" s="238"/>
      <c r="S6" s="238"/>
      <c r="T6" s="97"/>
      <c r="U6" s="97"/>
      <c r="V6" s="97"/>
      <c r="W6" s="97"/>
    </row>
    <row r="7" spans="1:23" x14ac:dyDescent="0.2">
      <c r="C7" s="6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3" x14ac:dyDescent="0.2">
      <c r="C8" s="6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</row>
    <row r="9" spans="1:23" ht="17.25" x14ac:dyDescent="0.25">
      <c r="C9" s="6"/>
      <c r="D9" s="7"/>
      <c r="E9" s="7"/>
      <c r="F9" s="239" t="s">
        <v>380</v>
      </c>
      <c r="G9" s="239"/>
      <c r="H9" s="239"/>
      <c r="I9" s="239"/>
      <c r="J9" s="239"/>
      <c r="K9" s="239"/>
      <c r="L9" s="239"/>
      <c r="M9" s="239"/>
      <c r="N9" s="239"/>
      <c r="O9" s="239"/>
      <c r="P9" s="239"/>
      <c r="Q9" s="239"/>
      <c r="R9" s="239"/>
      <c r="S9" s="239"/>
      <c r="T9" s="98"/>
      <c r="U9" s="98"/>
      <c r="V9" s="98"/>
      <c r="W9" s="98"/>
    </row>
    <row r="10" spans="1:23" ht="15" x14ac:dyDescent="0.25">
      <c r="A10" s="42" t="s">
        <v>99</v>
      </c>
      <c r="B10" s="42" t="s">
        <v>241</v>
      </c>
      <c r="C10" s="6"/>
      <c r="D10" s="7"/>
      <c r="E10" s="7"/>
      <c r="F10" s="8" t="s">
        <v>429</v>
      </c>
      <c r="G10" s="116">
        <v>2018</v>
      </c>
      <c r="H10" s="8"/>
      <c r="I10" s="8"/>
      <c r="J10" s="8"/>
      <c r="K10" s="8"/>
      <c r="L10" s="8"/>
      <c r="M10" s="8"/>
      <c r="N10" s="7"/>
      <c r="O10" s="7"/>
      <c r="P10" s="7"/>
      <c r="Q10" s="7"/>
      <c r="R10" s="7"/>
      <c r="S10" s="7"/>
      <c r="T10" s="7"/>
      <c r="U10" s="7"/>
      <c r="V10" s="7"/>
    </row>
    <row r="11" spans="1:23" ht="17.25" x14ac:dyDescent="0.25">
      <c r="A11" s="42" t="s">
        <v>100</v>
      </c>
      <c r="B11" s="42" t="s">
        <v>242</v>
      </c>
      <c r="C11" s="9" t="s">
        <v>96</v>
      </c>
      <c r="D11" s="234" t="s">
        <v>97</v>
      </c>
      <c r="E11" s="234"/>
      <c r="F11" s="10" t="s">
        <v>98</v>
      </c>
      <c r="G11" s="41" t="s">
        <v>423</v>
      </c>
      <c r="H11" s="41">
        <v>2017</v>
      </c>
      <c r="I11" s="41">
        <v>2016</v>
      </c>
      <c r="J11" s="41">
        <v>2015</v>
      </c>
      <c r="K11" s="41">
        <v>2014</v>
      </c>
      <c r="L11" s="41">
        <v>2013</v>
      </c>
      <c r="M11" s="41">
        <v>2012</v>
      </c>
      <c r="N11" s="41">
        <v>2011</v>
      </c>
      <c r="O11" s="41">
        <v>2010</v>
      </c>
      <c r="P11" s="41">
        <v>2009</v>
      </c>
      <c r="Q11" s="41">
        <v>2008</v>
      </c>
      <c r="R11" s="41">
        <v>2007</v>
      </c>
      <c r="S11" s="41">
        <v>2006</v>
      </c>
      <c r="T11" s="41"/>
      <c r="U11" s="41"/>
      <c r="V11" s="41"/>
      <c r="W11" s="41"/>
    </row>
    <row r="12" spans="1:23" ht="15" x14ac:dyDescent="0.25">
      <c r="A12" s="42"/>
      <c r="B12" s="42"/>
      <c r="C12" s="9"/>
      <c r="D12" s="94"/>
      <c r="E12" s="94"/>
      <c r="F12" s="12">
        <v>-1</v>
      </c>
      <c r="G12" s="12">
        <f t="shared" ref="G12:H12" si="0">+F12-1</f>
        <v>-2</v>
      </c>
      <c r="H12" s="12">
        <f t="shared" si="0"/>
        <v>-3</v>
      </c>
      <c r="I12" s="12">
        <f t="shared" ref="I12" si="1">+H12-1</f>
        <v>-4</v>
      </c>
      <c r="J12" s="12">
        <f t="shared" ref="J12" si="2">+I12-1</f>
        <v>-5</v>
      </c>
      <c r="K12" s="12">
        <f t="shared" ref="K12" si="3">+J12-1</f>
        <v>-6</v>
      </c>
      <c r="L12" s="12">
        <f t="shared" ref="L12" si="4">+K12-1</f>
        <v>-7</v>
      </c>
      <c r="M12" s="12">
        <f t="shared" ref="M12" si="5">+L12-1</f>
        <v>-8</v>
      </c>
      <c r="N12" s="12">
        <f t="shared" ref="N12" si="6">+M12-1</f>
        <v>-9</v>
      </c>
      <c r="O12" s="12">
        <f t="shared" ref="O12" si="7">+N12-1</f>
        <v>-10</v>
      </c>
      <c r="P12" s="12">
        <f t="shared" ref="P12" si="8">+O12-1</f>
        <v>-11</v>
      </c>
      <c r="Q12" s="12">
        <f t="shared" ref="Q12" si="9">+P12-1</f>
        <v>-12</v>
      </c>
      <c r="R12" s="12">
        <f t="shared" ref="R12" si="10">+Q12-1</f>
        <v>-13</v>
      </c>
      <c r="S12" s="12">
        <f t="shared" ref="S12" si="11">+R12-1</f>
        <v>-14</v>
      </c>
      <c r="T12" s="12"/>
      <c r="U12" s="12"/>
      <c r="V12" s="12"/>
      <c r="W12" s="12"/>
    </row>
    <row r="13" spans="1:23" ht="15" x14ac:dyDescent="0.25">
      <c r="A13" s="43"/>
      <c r="B13" s="44"/>
      <c r="C13" s="9"/>
      <c r="D13" s="14" t="s">
        <v>101</v>
      </c>
      <c r="E13" s="11"/>
      <c r="F13" s="36"/>
      <c r="G13" s="36"/>
      <c r="H13" s="16" t="e">
        <f t="shared" ref="H13:S13" ca="1" si="12">MATCH(H11,OFFSET(DIV_MP_WP,-1,0,1,),0)</f>
        <v>#N/A</v>
      </c>
      <c r="I13" s="16">
        <f t="shared" ca="1" si="12"/>
        <v>6</v>
      </c>
      <c r="J13" s="16">
        <f t="shared" ca="1" si="12"/>
        <v>7</v>
      </c>
      <c r="K13" s="16">
        <f t="shared" ca="1" si="12"/>
        <v>8</v>
      </c>
      <c r="L13" s="16">
        <f t="shared" ca="1" si="12"/>
        <v>9</v>
      </c>
      <c r="M13" s="16">
        <f t="shared" ca="1" si="12"/>
        <v>10</v>
      </c>
      <c r="N13" s="16">
        <f t="shared" ca="1" si="12"/>
        <v>11</v>
      </c>
      <c r="O13" s="16">
        <f t="shared" ca="1" si="12"/>
        <v>12</v>
      </c>
      <c r="P13" s="16">
        <f t="shared" ca="1" si="12"/>
        <v>13</v>
      </c>
      <c r="Q13" s="16">
        <f t="shared" ca="1" si="12"/>
        <v>14</v>
      </c>
      <c r="R13" s="16">
        <f t="shared" ca="1" si="12"/>
        <v>15</v>
      </c>
      <c r="S13" s="16">
        <f t="shared" ca="1" si="12"/>
        <v>16</v>
      </c>
      <c r="T13" s="16"/>
      <c r="U13" s="16"/>
      <c r="V13" s="16"/>
      <c r="W13" s="16"/>
    </row>
    <row r="14" spans="1:23" x14ac:dyDescent="0.2">
      <c r="A14" s="45" t="s">
        <v>0</v>
      </c>
      <c r="B14" s="117">
        <f t="shared" ref="B14:B30" ca="1" si="13">IFERROR(MATCH(A14,OFFSET(DIV_MP_WP,0,0,,1),0),"")</f>
        <v>2</v>
      </c>
      <c r="C14" s="1">
        <f>IF(ISERROR(D14),"",IF(D14="","",MAX($C$13:C13)+1))</f>
        <v>1</v>
      </c>
      <c r="D14" t="str">
        <f t="shared" ref="D14:D59" si="14">VLOOKUP(A14,LUCurYr,2,FALSE)</f>
        <v xml:space="preserve">ALLETE                        </v>
      </c>
      <c r="E14" s="15"/>
      <c r="F14" s="80">
        <f t="shared" ref="F14:F59" ca="1" si="15">IFERROR(AVERAGE(G14:S14),"N/A")</f>
        <v>4.0254265551267071E-2</v>
      </c>
      <c r="G14" s="80">
        <f t="shared" ref="G14:G59" si="16">IFERROR(IF(VLOOKUP(A14,LUCurYr,22,FALSE)=0,"",VLOOKUP(A14,LUCurYr,22,FALSE)),"N/A")</f>
        <v>2.9986613119143246E-2</v>
      </c>
      <c r="H14" s="80">
        <f ca="1">IFERROR(IF(VLOOKUP($A14,LASTYR,'2017'!$Q$3,FALSE)=0,"N/A",VLOOKUP($A14,LASTYR,'2017'!$Q$3,FALSE)),"N/A")</f>
        <v>2.9667008622840826E-2</v>
      </c>
      <c r="I14" s="80">
        <f t="shared" ref="I14:S23" ca="1" si="17">IFERROR(IF(INDEX(DIV_MP_WP,$B14,I$13)=0,"N/A",INDEX(DIV_MP_WP,$B14,I$13)),"N/A")</f>
        <v>3.5553124572678792E-2</v>
      </c>
      <c r="J14" s="80">
        <f t="shared" ca="1" si="17"/>
        <v>3.9693456474749457E-2</v>
      </c>
      <c r="K14" s="80">
        <f ca="1">IFERROR(IF(INDEX(DIV_MP_WP,$B14,K$13)=0,"N/A",INDEX(DIV_MP_WP,$B14,K$13)),"N/A")</f>
        <v>3.9228244335921862E-2</v>
      </c>
      <c r="L14" s="80">
        <f t="shared" ca="1" si="17"/>
        <v>3.8852422141790889E-2</v>
      </c>
      <c r="M14" s="80">
        <f t="shared" ca="1" si="17"/>
        <v>4.4906526089715432E-2</v>
      </c>
      <c r="N14" s="80">
        <f t="shared" ca="1" si="17"/>
        <v>4.5811349890618976E-2</v>
      </c>
      <c r="O14" s="80">
        <f t="shared" ca="1" si="17"/>
        <v>5.0304398776688485E-2</v>
      </c>
      <c r="P14" s="80">
        <f t="shared" ca="1" si="17"/>
        <v>5.7909976309555147E-2</v>
      </c>
      <c r="Q14" s="80">
        <f t="shared" ca="1" si="17"/>
        <v>4.3730295942235327E-2</v>
      </c>
      <c r="R14" s="80">
        <f t="shared" ca="1" si="17"/>
        <v>3.6023371260378682E-2</v>
      </c>
      <c r="S14" s="80">
        <f t="shared" ca="1" si="17"/>
        <v>3.1638664630154918E-2</v>
      </c>
      <c r="T14" s="63"/>
      <c r="U14" s="63"/>
      <c r="V14" s="63"/>
      <c r="W14" s="63"/>
    </row>
    <row r="15" spans="1:23" x14ac:dyDescent="0.2">
      <c r="A15" s="45" t="s">
        <v>1</v>
      </c>
      <c r="B15" s="117">
        <f t="shared" ca="1" si="13"/>
        <v>3</v>
      </c>
      <c r="C15" s="1">
        <f>IF(ISERROR(D15),"",IF(D15="","",MAX($C$13:C14)+1))</f>
        <v>2</v>
      </c>
      <c r="D15" t="str">
        <f t="shared" si="14"/>
        <v xml:space="preserve">Alliant Energy                </v>
      </c>
      <c r="E15" s="15"/>
      <c r="F15" s="80">
        <f t="shared" ca="1" si="15"/>
        <v>3.8154697143386186E-2</v>
      </c>
      <c r="G15" s="80">
        <f t="shared" si="16"/>
        <v>3.2134292565947242E-2</v>
      </c>
      <c r="H15" s="80">
        <f ca="1">IFERROR(IF(VLOOKUP($A15,LASTYR,'2017'!$Q$3,FALSE)=0,"N/A",VLOOKUP($A15,LASTYR,'2017'!$Q$3,FALSE)),"N/A")</f>
        <v>3.0742204655248136E-2</v>
      </c>
      <c r="I15" s="80">
        <f t="shared" ca="1" si="17"/>
        <v>3.2064346077552236E-2</v>
      </c>
      <c r="J15" s="80">
        <f t="shared" ca="1" si="17"/>
        <v>3.6017157264005763E-2</v>
      </c>
      <c r="K15" s="80">
        <f t="shared" ca="1" si="17"/>
        <v>3.5306334371754934E-2</v>
      </c>
      <c r="L15" s="80">
        <f t="shared" ca="1" si="17"/>
        <v>3.7406979983286237E-2</v>
      </c>
      <c r="M15" s="80">
        <f t="shared" ca="1" si="17"/>
        <v>4.0707404224523951E-2</v>
      </c>
      <c r="N15" s="80">
        <f t="shared" ca="1" si="17"/>
        <v>4.2778057372924005E-2</v>
      </c>
      <c r="O15" s="80">
        <f t="shared" ca="1" si="17"/>
        <v>4.6064139941690965E-2</v>
      </c>
      <c r="P15" s="80">
        <f t="shared" ca="1" si="17"/>
        <v>5.7256279105275212E-2</v>
      </c>
      <c r="Q15" s="80">
        <f t="shared" ca="1" si="17"/>
        <v>4.1031652989449004E-2</v>
      </c>
      <c r="R15" s="80">
        <f t="shared" ca="1" si="17"/>
        <v>3.131318112332955E-2</v>
      </c>
      <c r="S15" s="80">
        <f t="shared" ca="1" si="17"/>
        <v>3.3189033189033185E-2</v>
      </c>
      <c r="T15" s="63"/>
      <c r="U15" s="63"/>
      <c r="V15" s="63"/>
      <c r="W15" s="63"/>
    </row>
    <row r="16" spans="1:23" x14ac:dyDescent="0.2">
      <c r="A16" s="45" t="s">
        <v>3</v>
      </c>
      <c r="B16" s="117">
        <f t="shared" ca="1" si="13"/>
        <v>6</v>
      </c>
      <c r="C16" s="1">
        <f>IF(ISERROR(D16),"",IF(D16="","",MAX($C$13:C15)+1))</f>
        <v>3</v>
      </c>
      <c r="D16" t="str">
        <f t="shared" si="14"/>
        <v xml:space="preserve">Ameren Corp.                  </v>
      </c>
      <c r="E16" s="15"/>
      <c r="F16" s="80">
        <f t="shared" ca="1" si="15"/>
        <v>4.6328005774541076E-2</v>
      </c>
      <c r="G16" s="80">
        <f t="shared" si="16"/>
        <v>3.013029315960912E-2</v>
      </c>
      <c r="H16" s="80">
        <f ca="1">IFERROR(IF(VLOOKUP($A16,LASTYR,'2017'!$Q$3,FALSE)=0,"N/A",VLOOKUP($A16,LASTYR,'2017'!$Q$3,FALSE)),"N/A")</f>
        <v>3.1165644171779142E-2</v>
      </c>
      <c r="I16" s="80">
        <f t="shared" ca="1" si="17"/>
        <v>3.498001142204455E-2</v>
      </c>
      <c r="J16" s="80">
        <f t="shared" ca="1" si="17"/>
        <v>3.9633124191771632E-2</v>
      </c>
      <c r="K16" s="80">
        <f t="shared" ca="1" si="17"/>
        <v>4.0154632747225347E-2</v>
      </c>
      <c r="L16" s="80">
        <f t="shared" ca="1" si="17"/>
        <v>4.6129450771226752E-2</v>
      </c>
      <c r="M16" s="80">
        <f t="shared" ca="1" si="17"/>
        <v>4.9724958821518478E-2</v>
      </c>
      <c r="N16" s="80">
        <f t="shared" ca="1" si="17"/>
        <v>5.275299385961936E-2</v>
      </c>
      <c r="O16" s="80">
        <f t="shared" ca="1" si="17"/>
        <v>5.7585162472422693E-2</v>
      </c>
      <c r="P16" s="80">
        <f t="shared" ca="1" si="17"/>
        <v>5.9817440279665957E-2</v>
      </c>
      <c r="Q16" s="80">
        <f t="shared" ca="1" si="17"/>
        <v>6.2085991542616896E-2</v>
      </c>
      <c r="R16" s="80">
        <f t="shared" ca="1" si="17"/>
        <v>4.8846153846153845E-2</v>
      </c>
      <c r="S16" s="80">
        <f t="shared" ca="1" si="17"/>
        <v>4.9258217783380201E-2</v>
      </c>
      <c r="T16" s="63"/>
      <c r="U16" s="63"/>
      <c r="V16" s="63"/>
      <c r="W16" s="63"/>
    </row>
    <row r="17" spans="1:23" x14ac:dyDescent="0.2">
      <c r="A17" s="45" t="s">
        <v>2</v>
      </c>
      <c r="B17" s="117">
        <f t="shared" ca="1" si="13"/>
        <v>7</v>
      </c>
      <c r="C17" s="1">
        <f>IF(ISERROR(D17),"",IF(D17="","",MAX($C$13:C16)+1))</f>
        <v>4</v>
      </c>
      <c r="D17" t="str">
        <f t="shared" si="14"/>
        <v>American Electric Power</v>
      </c>
      <c r="E17" s="15"/>
      <c r="F17" s="80">
        <f t="shared" ca="1" si="15"/>
        <v>4.1526396199592336E-2</v>
      </c>
      <c r="G17" s="80">
        <f t="shared" si="16"/>
        <v>3.5633802816901407E-2</v>
      </c>
      <c r="H17" s="80">
        <f ca="1">IFERROR(IF(VLOOKUP($A17,LASTYR,'2017'!$Q$3,FALSE)=0,"N/A",VLOOKUP($A17,LASTYR,'2017'!$Q$3,FALSE)),"N/A")</f>
        <v>3.4157007903274215E-2</v>
      </c>
      <c r="I17" s="80">
        <f t="shared" ca="1" si="17"/>
        <v>3.540457920019964E-2</v>
      </c>
      <c r="J17" s="80">
        <f t="shared" ca="1" si="17"/>
        <v>3.7978484746780658E-2</v>
      </c>
      <c r="K17" s="80">
        <f t="shared" ca="1" si="17"/>
        <v>3.8283828382838281E-2</v>
      </c>
      <c r="L17" s="80">
        <f t="shared" ca="1" si="17"/>
        <v>4.2307608860732031E-2</v>
      </c>
      <c r="M17" s="80">
        <f t="shared" ca="1" si="17"/>
        <v>4.582459903475844E-2</v>
      </c>
      <c r="N17" s="80">
        <f t="shared" ca="1" si="17"/>
        <v>4.9593866445058046E-2</v>
      </c>
      <c r="O17" s="80">
        <f t="shared" ca="1" si="17"/>
        <v>4.9022418439309677E-2</v>
      </c>
      <c r="P17" s="80">
        <f t="shared" ca="1" si="17"/>
        <v>5.5042792414834694E-2</v>
      </c>
      <c r="Q17" s="80">
        <f t="shared" ca="1" si="17"/>
        <v>4.1996363729481956E-2</v>
      </c>
      <c r="R17" s="80">
        <f t="shared" ca="1" si="17"/>
        <v>3.3959506512487643E-2</v>
      </c>
      <c r="S17" s="80">
        <f t="shared" ca="1" si="17"/>
        <v>4.0638292108043671E-2</v>
      </c>
      <c r="T17" s="63"/>
      <c r="U17" s="63"/>
      <c r="V17" s="63"/>
      <c r="W17" s="63"/>
    </row>
    <row r="18" spans="1:23" x14ac:dyDescent="0.2">
      <c r="A18" s="45" t="s">
        <v>260</v>
      </c>
      <c r="B18" s="117">
        <f t="shared" ca="1" si="13"/>
        <v>10</v>
      </c>
      <c r="C18" s="1">
        <f>IF(ISERROR(D18),"",IF(D18="","",MAX($C$13:C17)+1))</f>
        <v>5</v>
      </c>
      <c r="D18" t="str">
        <f t="shared" si="14"/>
        <v>Avangrid, Inc.</v>
      </c>
      <c r="E18" s="15"/>
      <c r="F18" s="80">
        <f t="shared" ca="1" si="15"/>
        <v>3.846906794533126E-2</v>
      </c>
      <c r="G18" s="80">
        <f t="shared" si="16"/>
        <v>3.4869739478957912E-2</v>
      </c>
      <c r="H18" s="80">
        <f ca="1">IFERROR(IF(VLOOKUP($A18,LASTYR,'2017'!$Q$3,FALSE)=0,"N/A",VLOOKUP($A18,LASTYR,'2017'!$Q$3,FALSE)),"N/A")</f>
        <v>3.7949663987350113E-2</v>
      </c>
      <c r="I18" s="80">
        <f t="shared" ca="1" si="17"/>
        <v>4.2587800369685763E-2</v>
      </c>
      <c r="J18" s="80" t="str">
        <f t="shared" ca="1" si="17"/>
        <v>N/A</v>
      </c>
      <c r="K18" s="80" t="str">
        <f t="shared" ca="1" si="17"/>
        <v>N/A</v>
      </c>
      <c r="L18" s="80" t="str">
        <f t="shared" ca="1" si="17"/>
        <v>N/A</v>
      </c>
      <c r="M18" s="80" t="str">
        <f t="shared" ca="1" si="17"/>
        <v>N/A</v>
      </c>
      <c r="N18" s="80" t="str">
        <f t="shared" ca="1" si="17"/>
        <v>N/A</v>
      </c>
      <c r="O18" s="80" t="str">
        <f t="shared" ca="1" si="17"/>
        <v>N/A</v>
      </c>
      <c r="P18" s="80" t="str">
        <f t="shared" ca="1" si="17"/>
        <v>N/A</v>
      </c>
      <c r="Q18" s="80" t="str">
        <f t="shared" ca="1" si="17"/>
        <v>N/A</v>
      </c>
      <c r="R18" s="80" t="str">
        <f t="shared" ca="1" si="17"/>
        <v>N/A</v>
      </c>
      <c r="S18" s="80" t="str">
        <f t="shared" ca="1" si="17"/>
        <v>N/A</v>
      </c>
      <c r="T18" s="63"/>
      <c r="U18" s="63"/>
      <c r="V18" s="63"/>
      <c r="W18" s="63"/>
    </row>
    <row r="19" spans="1:23" x14ac:dyDescent="0.2">
      <c r="A19" s="45" t="s">
        <v>4</v>
      </c>
      <c r="B19" s="117">
        <f t="shared" ca="1" si="13"/>
        <v>11</v>
      </c>
      <c r="C19" s="1">
        <f>IF(ISERROR(D19),"",IF(D19="","",MAX($C$13:C18)+1))</f>
        <v>6</v>
      </c>
      <c r="D19" t="str">
        <f t="shared" si="14"/>
        <v xml:space="preserve">Avista Corp.                  </v>
      </c>
      <c r="E19" s="15"/>
      <c r="F19" s="80">
        <f t="shared" ca="1" si="15"/>
        <v>3.7610114636195111E-2</v>
      </c>
      <c r="G19" s="80">
        <f t="shared" si="16"/>
        <v>2.9681274900398406E-2</v>
      </c>
      <c r="H19" s="80">
        <f ca="1">IFERROR(IF(VLOOKUP($A19,LASTYR,'2017'!$Q$3,FALSE)=0,"N/A",VLOOKUP($A19,LASTYR,'2017'!$Q$3,FALSE)),"N/A")</f>
        <v>3.137478608100399E-2</v>
      </c>
      <c r="I19" s="80">
        <f t="shared" ca="1" si="17"/>
        <v>3.3903338365215675E-2</v>
      </c>
      <c r="J19" s="80">
        <f t="shared" ca="1" si="17"/>
        <v>3.9675383228133451E-2</v>
      </c>
      <c r="K19" s="80">
        <f t="shared" ca="1" si="17"/>
        <v>3.9938362841598796E-2</v>
      </c>
      <c r="L19" s="80">
        <f t="shared" ca="1" si="17"/>
        <v>4.5061682795301761E-2</v>
      </c>
      <c r="M19" s="80">
        <f t="shared" ca="1" si="17"/>
        <v>4.5540201005025122E-2</v>
      </c>
      <c r="N19" s="80">
        <f t="shared" ca="1" si="17"/>
        <v>4.5428264640290747E-2</v>
      </c>
      <c r="O19" s="80">
        <f t="shared" ca="1" si="17"/>
        <v>4.7573739295908662E-2</v>
      </c>
      <c r="P19" s="80">
        <f t="shared" ca="1" si="17"/>
        <v>4.4907689748849594E-2</v>
      </c>
      <c r="Q19" s="80">
        <f t="shared" ca="1" si="17"/>
        <v>3.388665160593262E-2</v>
      </c>
      <c r="R19" s="80">
        <f t="shared" ca="1" si="17"/>
        <v>2.6765632028789923E-2</v>
      </c>
      <c r="S19" s="80">
        <f t="shared" ca="1" si="17"/>
        <v>2.5194483734087694E-2</v>
      </c>
      <c r="T19" s="63"/>
      <c r="U19" s="63"/>
      <c r="V19" s="63"/>
      <c r="W19" s="63"/>
    </row>
    <row r="20" spans="1:23" x14ac:dyDescent="0.2">
      <c r="A20" s="45" t="s">
        <v>5</v>
      </c>
      <c r="B20" s="117">
        <f t="shared" ca="1" si="13"/>
        <v>12</v>
      </c>
      <c r="C20" s="1">
        <f>IF(ISERROR(D20),"",IF(D20="","",MAX($C$13:C19)+1))</f>
        <v>7</v>
      </c>
      <c r="D20" t="str">
        <f t="shared" si="14"/>
        <v xml:space="preserve">Black Hills                   </v>
      </c>
      <c r="E20" s="15"/>
      <c r="F20" s="80">
        <f t="shared" ca="1" si="15"/>
        <v>3.8384515955965676E-2</v>
      </c>
      <c r="G20" s="80">
        <f t="shared" si="16"/>
        <v>3.3158813263525308E-2</v>
      </c>
      <c r="H20" s="80">
        <f ca="1">IFERROR(IF(VLOOKUP($A20,LASTYR,'2017'!$Q$3,FALSE)=0,"N/A",VLOOKUP($A20,LASTYR,'2017'!$Q$3,FALSE)),"N/A")</f>
        <v>2.7492557263503251E-2</v>
      </c>
      <c r="I20" s="80">
        <f t="shared" ca="1" si="17"/>
        <v>2.8659649601664988E-2</v>
      </c>
      <c r="J20" s="80">
        <f t="shared" ca="1" si="17"/>
        <v>3.5473416834544982E-2</v>
      </c>
      <c r="K20" s="80">
        <f t="shared" ca="1" si="17"/>
        <v>2.8366215110464589E-2</v>
      </c>
      <c r="L20" s="80">
        <f t="shared" ca="1" si="17"/>
        <v>3.1932773109243695E-2</v>
      </c>
      <c r="M20" s="80">
        <f t="shared" ca="1" si="17"/>
        <v>4.3853151204480127E-2</v>
      </c>
      <c r="N20" s="80">
        <f t="shared" ca="1" si="17"/>
        <v>4.6437659033078879E-2</v>
      </c>
      <c r="O20" s="80">
        <f t="shared" ca="1" si="17"/>
        <v>4.7936085219707054E-2</v>
      </c>
      <c r="P20" s="80">
        <f t="shared" ca="1" si="17"/>
        <v>6.1664061142956403E-2</v>
      </c>
      <c r="Q20" s="80">
        <f t="shared" ca="1" si="17"/>
        <v>4.2115396185548402E-2</v>
      </c>
      <c r="R20" s="80">
        <f t="shared" ca="1" si="17"/>
        <v>3.4027967511984301E-2</v>
      </c>
      <c r="S20" s="80">
        <f t="shared" ca="1" si="17"/>
        <v>3.7880961946851865E-2</v>
      </c>
      <c r="T20" s="63"/>
      <c r="U20" s="63"/>
      <c r="V20" s="63"/>
      <c r="W20" s="63"/>
    </row>
    <row r="21" spans="1:23" x14ac:dyDescent="0.2">
      <c r="A21" s="45" t="s">
        <v>6</v>
      </c>
      <c r="B21" s="117">
        <f t="shared" ca="1" si="13"/>
        <v>14</v>
      </c>
      <c r="C21" s="1">
        <f>IF(ISERROR(D21),"",IF(D21="","",MAX($C$13:C20)+1))</f>
        <v>8</v>
      </c>
      <c r="D21" t="str">
        <f t="shared" si="14"/>
        <v xml:space="preserve">CenterPoint Energy            </v>
      </c>
      <c r="E21" s="15"/>
      <c r="F21" s="80">
        <f t="shared" ca="1" si="15"/>
        <v>4.5705617442272493E-2</v>
      </c>
      <c r="G21" s="80">
        <f t="shared" si="16"/>
        <v>4.1187384044526903E-2</v>
      </c>
      <c r="H21" s="80">
        <f ca="1">IFERROR(IF(VLOOKUP($A21,LASTYR,'2017'!$Q$3,FALSE)=0,"N/A",VLOOKUP($A21,LASTYR,'2017'!$Q$3,FALSE)),"N/A")</f>
        <v>4.7945936332918375E-2</v>
      </c>
      <c r="I21" s="80">
        <f t="shared" ca="1" si="17"/>
        <v>4.701049748973072E-2</v>
      </c>
      <c r="J21" s="80">
        <f t="shared" ca="1" si="17"/>
        <v>5.0649749309321604E-2</v>
      </c>
      <c r="K21" s="80">
        <f t="shared" ca="1" si="17"/>
        <v>3.94469127600382E-2</v>
      </c>
      <c r="L21" s="80">
        <f t="shared" ca="1" si="17"/>
        <v>3.5705067538501251E-2</v>
      </c>
      <c r="M21" s="80">
        <f t="shared" ca="1" si="17"/>
        <v>4.0413111809609346E-2</v>
      </c>
      <c r="N21" s="80">
        <f t="shared" ca="1" si="17"/>
        <v>4.267963263101026E-2</v>
      </c>
      <c r="O21" s="80">
        <f t="shared" ca="1" si="17"/>
        <v>5.2895700528957007E-2</v>
      </c>
      <c r="P21" s="80">
        <f t="shared" ca="1" si="17"/>
        <v>6.3731656184486368E-2</v>
      </c>
      <c r="Q21" s="80">
        <f t="shared" ca="1" si="17"/>
        <v>4.9815749965879626E-2</v>
      </c>
      <c r="R21" s="80">
        <f t="shared" ca="1" si="17"/>
        <v>3.8742023701002735E-2</v>
      </c>
      <c r="S21" s="80">
        <f t="shared" ca="1" si="17"/>
        <v>4.3949604453559922E-2</v>
      </c>
      <c r="T21" s="63"/>
      <c r="U21" s="63"/>
      <c r="V21" s="63"/>
      <c r="W21" s="63"/>
    </row>
    <row r="22" spans="1:23" x14ac:dyDescent="0.2">
      <c r="A22" s="45" t="s">
        <v>9</v>
      </c>
      <c r="B22" s="117">
        <f t="shared" ca="1" si="13"/>
        <v>18</v>
      </c>
      <c r="C22" s="1">
        <f>IF(ISERROR(D22),"",IF(D22="","",MAX($C$13:C21)+1))</f>
        <v>9</v>
      </c>
      <c r="D22" t="str">
        <f t="shared" si="14"/>
        <v xml:space="preserve">CMS Energy Corp.              </v>
      </c>
      <c r="E22" s="15"/>
      <c r="F22" s="80">
        <f t="shared" ca="1" si="15"/>
        <v>3.3207694941399336E-2</v>
      </c>
      <c r="G22" s="80">
        <f t="shared" si="16"/>
        <v>3.0490405117270789E-2</v>
      </c>
      <c r="H22" s="80">
        <f ca="1">IFERROR(IF(VLOOKUP($A22,LASTYR,'2017'!$Q$3,FALSE)=0,"N/A",VLOOKUP($A22,LASTYR,'2017'!$Q$3,FALSE)),"N/A")</f>
        <v>2.8753648254242783E-2</v>
      </c>
      <c r="I22" s="80">
        <f t="shared" ca="1" si="17"/>
        <v>2.9903296597294234E-2</v>
      </c>
      <c r="J22" s="80">
        <f t="shared" ca="1" si="17"/>
        <v>3.3555105582875326E-2</v>
      </c>
      <c r="K22" s="80">
        <f t="shared" ca="1" si="17"/>
        <v>3.5880398671096346E-2</v>
      </c>
      <c r="L22" s="80">
        <f t="shared" ca="1" si="17"/>
        <v>3.7643932683790966E-2</v>
      </c>
      <c r="M22" s="80">
        <f t="shared" ca="1" si="17"/>
        <v>4.1637751561415678E-2</v>
      </c>
      <c r="N22" s="80">
        <f t="shared" ca="1" si="17"/>
        <v>4.2548880559213853E-2</v>
      </c>
      <c r="O22" s="80">
        <f t="shared" ca="1" si="17"/>
        <v>3.9838232631134181E-2</v>
      </c>
      <c r="P22" s="80">
        <f t="shared" ca="1" si="17"/>
        <v>3.9660506068057433E-2</v>
      </c>
      <c r="Q22" s="80">
        <f t="shared" ca="1" si="17"/>
        <v>2.6936026936026935E-2</v>
      </c>
      <c r="R22" s="80">
        <f t="shared" ca="1" si="17"/>
        <v>1.1644154634373547E-2</v>
      </c>
      <c r="S22" s="80" t="str">
        <f t="shared" ca="1" si="17"/>
        <v>N/A</v>
      </c>
      <c r="T22" s="63"/>
      <c r="U22" s="63"/>
      <c r="V22" s="63"/>
      <c r="W22" s="63"/>
    </row>
    <row r="23" spans="1:23" x14ac:dyDescent="0.2">
      <c r="A23" s="45" t="s">
        <v>10</v>
      </c>
      <c r="B23" s="117">
        <f t="shared" ca="1" si="13"/>
        <v>20</v>
      </c>
      <c r="C23" s="1">
        <f>IF(ISERROR(D23),"",IF(D23="","",MAX($C$13:C22)+1))</f>
        <v>10</v>
      </c>
      <c r="D23" t="str">
        <f t="shared" si="14"/>
        <v xml:space="preserve">Consol. Edison                </v>
      </c>
      <c r="E23" s="15"/>
      <c r="F23" s="80">
        <f t="shared" ca="1" si="15"/>
        <v>4.5122432521580019E-2</v>
      </c>
      <c r="G23" s="80">
        <f t="shared" si="16"/>
        <v>3.6666666666666667E-2</v>
      </c>
      <c r="H23" s="80">
        <f ca="1">IFERROR(IF(VLOOKUP($A23,LASTYR,'2017'!$Q$3,FALSE)=0,"N/A",VLOOKUP($A23,LASTYR,'2017'!$Q$3,FALSE)),"N/A")</f>
        <v>3.4042973086316201E-2</v>
      </c>
      <c r="I23" s="80">
        <f t="shared" ca="1" si="17"/>
        <v>3.6177594189986374E-2</v>
      </c>
      <c r="J23" s="80">
        <f t="shared" ca="1" si="17"/>
        <v>4.1181594994852307E-2</v>
      </c>
      <c r="K23" s="80">
        <f t="shared" ca="1" si="17"/>
        <v>4.3778121362680888E-2</v>
      </c>
      <c r="L23" s="80">
        <f t="shared" ca="1" si="17"/>
        <v>4.2515684139575884E-2</v>
      </c>
      <c r="M23" s="80">
        <f t="shared" ca="1" si="17"/>
        <v>4.0736625930040737E-2</v>
      </c>
      <c r="N23" s="80">
        <f t="shared" ca="1" si="17"/>
        <v>4.4593916646537467E-2</v>
      </c>
      <c r="O23" s="80">
        <f t="shared" ca="1" si="17"/>
        <v>5.1581023384842113E-2</v>
      </c>
      <c r="P23" s="80">
        <f t="shared" ca="1" si="17"/>
        <v>5.990912090980631E-2</v>
      </c>
      <c r="Q23" s="80">
        <f t="shared" ca="1" si="17"/>
        <v>5.6687419753385489E-2</v>
      </c>
      <c r="R23" s="80">
        <f t="shared" ca="1" si="17"/>
        <v>4.8370619018827006E-2</v>
      </c>
      <c r="S23" s="80">
        <f t="shared" ca="1" si="17"/>
        <v>5.0350262697022766E-2</v>
      </c>
      <c r="T23" s="63"/>
      <c r="U23" s="63"/>
      <c r="V23" s="63"/>
      <c r="W23" s="63"/>
    </row>
    <row r="24" spans="1:23" x14ac:dyDescent="0.2">
      <c r="A24" s="45" t="s">
        <v>11</v>
      </c>
      <c r="B24" s="117">
        <f t="shared" ca="1" si="13"/>
        <v>22</v>
      </c>
      <c r="C24" s="1">
        <f>IF(ISERROR(D24),"",IF(D24="","",MAX($C$13:C23)+1))</f>
        <v>11</v>
      </c>
      <c r="D24" t="str">
        <f t="shared" si="14"/>
        <v xml:space="preserve">Dominion Resources            </v>
      </c>
      <c r="E24" s="15"/>
      <c r="F24" s="80">
        <f t="shared" ca="1" si="15"/>
        <v>3.9787851286851424E-2</v>
      </c>
      <c r="G24" s="80">
        <f t="shared" si="16"/>
        <v>4.664804469273743E-2</v>
      </c>
      <c r="H24" s="80">
        <f ca="1">IFERROR(IF(VLOOKUP($A24,LASTYR,'2017'!$Q$3,FALSE)=0,"N/A",VLOOKUP($A24,LASTYR,'2017'!$Q$3,FALSE)),"N/A")</f>
        <v>3.8776527105239621E-2</v>
      </c>
      <c r="I24" s="80">
        <f t="shared" ref="I24:S34" ca="1" si="18">IFERROR(IF(INDEX(DIV_MP_WP,$B24,I$13)=0,"N/A",INDEX(DIV_MP_WP,$B24,I$13)),"N/A")</f>
        <v>3.8168979525068834E-2</v>
      </c>
      <c r="J24" s="80">
        <f t="shared" ca="1" si="18"/>
        <v>3.656281321908042E-2</v>
      </c>
      <c r="K24" s="80">
        <f t="shared" ca="1" si="18"/>
        <v>3.4253418205691777E-2</v>
      </c>
      <c r="L24" s="80">
        <f t="shared" ca="1" si="18"/>
        <v>3.7836747048733729E-2</v>
      </c>
      <c r="M24" s="80">
        <f t="shared" ca="1" si="18"/>
        <v>4.0570681433625591E-2</v>
      </c>
      <c r="N24" s="80">
        <f t="shared" ca="1" si="18"/>
        <v>4.132924936013091E-2</v>
      </c>
      <c r="O24" s="80">
        <f t="shared" ca="1" si="18"/>
        <v>4.413147804278101E-2</v>
      </c>
      <c r="P24" s="80">
        <f t="shared" ca="1" si="18"/>
        <v>5.2022949552602629E-2</v>
      </c>
      <c r="Q24" s="80">
        <f t="shared" ca="1" si="18"/>
        <v>3.7717832418238242E-2</v>
      </c>
      <c r="R24" s="80">
        <f t="shared" ca="1" si="18"/>
        <v>3.3232422097284497E-2</v>
      </c>
      <c r="S24" s="80">
        <f t="shared" ca="1" si="18"/>
        <v>3.5990924027853838E-2</v>
      </c>
      <c r="T24" s="63"/>
      <c r="U24" s="63"/>
      <c r="V24" s="63"/>
      <c r="W24" s="63"/>
    </row>
    <row r="25" spans="1:23" x14ac:dyDescent="0.2">
      <c r="A25" s="45" t="s">
        <v>12</v>
      </c>
      <c r="B25" s="117">
        <f t="shared" ca="1" si="13"/>
        <v>23</v>
      </c>
      <c r="C25" s="1">
        <f>IF(ISERROR(D25),"",IF(D25="","",MAX($C$13:C24)+1))</f>
        <v>12</v>
      </c>
      <c r="D25" t="str">
        <f t="shared" si="14"/>
        <v xml:space="preserve">DTE Energy                    </v>
      </c>
      <c r="E25" s="15"/>
      <c r="F25" s="80">
        <f t="shared" ca="1" si="15"/>
        <v>4.2395203518100139E-2</v>
      </c>
      <c r="G25" s="80">
        <f t="shared" si="16"/>
        <v>3.3348815606130976E-2</v>
      </c>
      <c r="H25" s="80">
        <f ca="1">IFERROR(IF(VLOOKUP($A25,LASTYR,'2017'!$Q$3,FALSE)=0,"N/A",VLOOKUP($A25,LASTYR,'2017'!$Q$3,FALSE)),"N/A")</f>
        <v>3.1538338793095352E-2</v>
      </c>
      <c r="I25" s="80">
        <f t="shared" ca="1" si="18"/>
        <v>3.3403925507062858E-2</v>
      </c>
      <c r="J25" s="80">
        <f t="shared" ca="1" si="18"/>
        <v>3.5313281026571997E-2</v>
      </c>
      <c r="K25" s="80">
        <f t="shared" ca="1" si="18"/>
        <v>3.5370070871628995E-2</v>
      </c>
      <c r="L25" s="80">
        <f t="shared" ca="1" si="18"/>
        <v>3.8449547958017243E-2</v>
      </c>
      <c r="M25" s="80">
        <f t="shared" ca="1" si="18"/>
        <v>4.1889529348635129E-2</v>
      </c>
      <c r="N25" s="80">
        <f t="shared" ca="1" si="18"/>
        <v>4.6794005526533407E-2</v>
      </c>
      <c r="O25" s="80">
        <f t="shared" ca="1" si="18"/>
        <v>4.7521471857697173E-2</v>
      </c>
      <c r="P25" s="80">
        <f t="shared" ca="1" si="18"/>
        <v>6.2855787476280831E-2</v>
      </c>
      <c r="Q25" s="80">
        <f t="shared" ca="1" si="18"/>
        <v>5.2431122322797653E-2</v>
      </c>
      <c r="R25" s="80">
        <f t="shared" ca="1" si="18"/>
        <v>4.3634866728414122E-2</v>
      </c>
      <c r="S25" s="80">
        <f t="shared" ca="1" si="18"/>
        <v>4.8586882712435907E-2</v>
      </c>
      <c r="T25" s="63"/>
      <c r="U25" s="63"/>
      <c r="V25" s="63"/>
      <c r="W25" s="63"/>
    </row>
    <row r="26" spans="1:23" x14ac:dyDescent="0.2">
      <c r="A26" s="45" t="s">
        <v>13</v>
      </c>
      <c r="B26" s="117">
        <f t="shared" ca="1" si="13"/>
        <v>24</v>
      </c>
      <c r="C26" s="1">
        <f>IF(ISERROR(D26),"",IF(D26="","",MAX($C$13:C25)+1))</f>
        <v>13</v>
      </c>
      <c r="D26" t="str">
        <f t="shared" si="14"/>
        <v xml:space="preserve">Duke Energy                   </v>
      </c>
      <c r="E26" s="15"/>
      <c r="F26" s="80">
        <f t="shared" ca="1" si="15"/>
        <v>4.7944148393318252E-2</v>
      </c>
      <c r="G26" s="80">
        <f t="shared" si="16"/>
        <v>4.6339910884786763E-2</v>
      </c>
      <c r="H26" s="80">
        <f ca="1">IFERROR(IF(VLOOKUP($A26,LASTYR,'2017'!$Q$3,FALSE)=0,"N/A",VLOOKUP($A26,LASTYR,'2017'!$Q$3,FALSE)),"N/A")</f>
        <v>4.1504632107222279E-2</v>
      </c>
      <c r="I26" s="80">
        <f t="shared" ca="1" si="18"/>
        <v>4.2616338799893454E-2</v>
      </c>
      <c r="J26" s="80">
        <f t="shared" ca="1" si="18"/>
        <v>4.3376978070527754E-2</v>
      </c>
      <c r="K26" s="80">
        <f t="shared" ca="1" si="18"/>
        <v>4.2579650982035443E-2</v>
      </c>
      <c r="L26" s="80">
        <f t="shared" ca="1" si="18"/>
        <v>4.4494362607456039E-2</v>
      </c>
      <c r="M26" s="80">
        <f t="shared" ca="1" si="18"/>
        <v>4.6766476308072229E-2</v>
      </c>
      <c r="N26" s="80">
        <f t="shared" ca="1" si="18"/>
        <v>5.2124466908861161E-2</v>
      </c>
      <c r="O26" s="80">
        <f t="shared" ca="1" si="18"/>
        <v>5.7066656207714783E-2</v>
      </c>
      <c r="P26" s="80">
        <f t="shared" ca="1" si="18"/>
        <v>6.2468156746339404E-2</v>
      </c>
      <c r="Q26" s="80">
        <f t="shared" ca="1" si="18"/>
        <v>5.155918803826838E-2</v>
      </c>
      <c r="R26" s="80">
        <f t="shared" ca="1" si="18"/>
        <v>4.4432963058641181E-2</v>
      </c>
      <c r="S26" s="80" t="str">
        <f t="shared" ca="1" si="18"/>
        <v>N/A</v>
      </c>
      <c r="T26" s="63"/>
      <c r="U26" s="63"/>
      <c r="V26" s="63"/>
      <c r="W26" s="63"/>
    </row>
    <row r="27" spans="1:23" x14ac:dyDescent="0.2">
      <c r="A27" s="45" t="s">
        <v>14</v>
      </c>
      <c r="B27" s="117">
        <f t="shared" ca="1" si="13"/>
        <v>25</v>
      </c>
      <c r="C27" s="1">
        <f>IF(ISERROR(D27),"",IF(D27="","",MAX($C$13:C26)+1))</f>
        <v>14</v>
      </c>
      <c r="D27" t="str">
        <f t="shared" si="14"/>
        <v xml:space="preserve">Edison Int'l                  </v>
      </c>
      <c r="E27" s="15"/>
      <c r="F27" s="80">
        <f t="shared" ca="1" si="15"/>
        <v>3.017966681310813E-2</v>
      </c>
      <c r="G27" s="80">
        <f t="shared" si="16"/>
        <v>3.8102643856920686E-2</v>
      </c>
      <c r="H27" s="80">
        <f ca="1">IFERROR(IF(VLOOKUP($A27,LASTYR,'2017'!$Q$3,FALSE)=0,"N/A",VLOOKUP($A27,LASTYR,'2017'!$Q$3,FALSE)),"N/A")</f>
        <v>2.8728755773412069E-2</v>
      </c>
      <c r="I27" s="80">
        <f t="shared" ca="1" si="18"/>
        <v>2.8086227409211944E-2</v>
      </c>
      <c r="J27" s="80">
        <f t="shared" ca="1" si="18"/>
        <v>2.8279103162429427E-2</v>
      </c>
      <c r="K27" s="80">
        <f t="shared" ca="1" si="18"/>
        <v>2.6245000530917072E-2</v>
      </c>
      <c r="L27" s="80">
        <f t="shared" ca="1" si="18"/>
        <v>2.8497625197900178E-2</v>
      </c>
      <c r="M27" s="80">
        <f t="shared" ca="1" si="18"/>
        <v>2.9729423751839693E-2</v>
      </c>
      <c r="N27" s="80">
        <f t="shared" ca="1" si="18"/>
        <v>3.3692545688140743E-2</v>
      </c>
      <c r="O27" s="80">
        <f t="shared" ca="1" si="18"/>
        <v>3.6593479707252158E-2</v>
      </c>
      <c r="P27" s="80">
        <f t="shared" ca="1" si="18"/>
        <v>3.9540127671737549E-2</v>
      </c>
      <c r="Q27" s="80">
        <f t="shared" ca="1" si="18"/>
        <v>2.6937877954920288E-2</v>
      </c>
      <c r="R27" s="80">
        <f t="shared" ca="1" si="18"/>
        <v>2.2080655466606532E-2</v>
      </c>
      <c r="S27" s="80">
        <f t="shared" ca="1" si="18"/>
        <v>2.5822202399117353E-2</v>
      </c>
      <c r="T27" s="63"/>
      <c r="U27" s="63"/>
      <c r="V27" s="63"/>
      <c r="W27" s="63"/>
    </row>
    <row r="28" spans="1:23" x14ac:dyDescent="0.2">
      <c r="A28" s="45" t="s">
        <v>15</v>
      </c>
      <c r="B28" s="117">
        <f t="shared" ca="1" si="13"/>
        <v>26</v>
      </c>
      <c r="C28" s="1">
        <f>IF(ISERROR(D28),"",IF(D28="","",MAX($C$13:C27)+1))</f>
        <v>15</v>
      </c>
      <c r="D28" t="str">
        <f t="shared" si="14"/>
        <v xml:space="preserve">El Paso Electric              </v>
      </c>
      <c r="E28" s="15"/>
      <c r="F28" s="80">
        <f t="shared" ca="1" si="15"/>
        <v>2.74230559343271E-2</v>
      </c>
      <c r="G28" s="80">
        <f t="shared" si="16"/>
        <v>2.5244444444444444E-2</v>
      </c>
      <c r="H28" s="80">
        <f ca="1">IFERROR(IF(VLOOKUP($A28,LASTYR,'2017'!$Q$3,FALSE)=0,"N/A",VLOOKUP($A28,LASTYR,'2017'!$Q$3,FALSE)),"N/A")</f>
        <v>2.4945461443611872E-2</v>
      </c>
      <c r="I28" s="80">
        <f t="shared" ca="1" si="18"/>
        <v>2.7472527472527472E-2</v>
      </c>
      <c r="J28" s="80">
        <f t="shared" ca="1" si="18"/>
        <v>3.1311312387453973E-2</v>
      </c>
      <c r="K28" s="80">
        <f t="shared" ca="1" si="18"/>
        <v>2.9712288249529446E-2</v>
      </c>
      <c r="L28" s="80">
        <f t="shared" ca="1" si="18"/>
        <v>2.9914407580225E-2</v>
      </c>
      <c r="M28" s="80">
        <f t="shared" ca="1" si="18"/>
        <v>2.9654539896056251E-2</v>
      </c>
      <c r="N28" s="80">
        <f t="shared" ca="1" si="18"/>
        <v>2.1129466000768343E-2</v>
      </c>
      <c r="O28" s="80" t="str">
        <f t="shared" ca="1" si="18"/>
        <v>N/A</v>
      </c>
      <c r="P28" s="80" t="str">
        <f t="shared" ca="1" si="18"/>
        <v>N/A</v>
      </c>
      <c r="Q28" s="80" t="str">
        <f t="shared" ca="1" si="18"/>
        <v>N/A</v>
      </c>
      <c r="R28" s="80" t="str">
        <f t="shared" ca="1" si="18"/>
        <v>N/A</v>
      </c>
      <c r="S28" s="80" t="str">
        <f t="shared" ca="1" si="18"/>
        <v>N/A</v>
      </c>
      <c r="T28" s="63"/>
      <c r="U28" s="63"/>
      <c r="V28" s="63"/>
      <c r="W28" s="63"/>
    </row>
    <row r="29" spans="1:23" x14ac:dyDescent="0.2">
      <c r="A29" s="45" t="s">
        <v>17</v>
      </c>
      <c r="B29" s="117">
        <f t="shared" ca="1" si="13"/>
        <v>28</v>
      </c>
      <c r="C29" s="1">
        <f>IF(ISERROR(D29),"",IF(D29="","",MAX($C$13:C28)+1))</f>
        <v>16</v>
      </c>
      <c r="D29" t="str">
        <f t="shared" si="14"/>
        <v xml:space="preserve">Entergy Corp.                 </v>
      </c>
      <c r="E29" s="15"/>
      <c r="F29" s="80">
        <f t="shared" ca="1" si="15"/>
        <v>4.1292175295101222E-2</v>
      </c>
      <c r="G29" s="80">
        <f t="shared" si="16"/>
        <v>4.4389336639801609E-2</v>
      </c>
      <c r="H29" s="80">
        <f ca="1">IFERROR(IF(VLOOKUP($A29,LASTYR,'2017'!$Q$3,FALSE)=0,"N/A",VLOOKUP($A29,LASTYR,'2017'!$Q$3,FALSE)),"N/A")</f>
        <v>4.4930550206680533E-2</v>
      </c>
      <c r="I29" s="80">
        <f t="shared" ca="1" si="18"/>
        <v>4.5513221457753883E-2</v>
      </c>
      <c r="J29" s="80">
        <f t="shared" ca="1" si="18"/>
        <v>4.5882272134075142E-2</v>
      </c>
      <c r="K29" s="80">
        <f t="shared" ca="1" si="18"/>
        <v>4.4653665097511772E-2</v>
      </c>
      <c r="L29" s="80">
        <f t="shared" ca="1" si="18"/>
        <v>5.0656087885260902E-2</v>
      </c>
      <c r="M29" s="80">
        <f t="shared" ca="1" si="18"/>
        <v>4.91356855316126E-2</v>
      </c>
      <c r="N29" s="80">
        <f t="shared" ca="1" si="18"/>
        <v>4.8525951152491337E-2</v>
      </c>
      <c r="O29" s="80">
        <f t="shared" ca="1" si="18"/>
        <v>4.2045159615883732E-2</v>
      </c>
      <c r="P29" s="80">
        <f t="shared" ca="1" si="18"/>
        <v>3.9745101416250449E-2</v>
      </c>
      <c r="Q29" s="80">
        <f t="shared" ca="1" si="18"/>
        <v>2.9225808337148926E-2</v>
      </c>
      <c r="R29" s="80">
        <f t="shared" ca="1" si="18"/>
        <v>2.3867893982145335E-2</v>
      </c>
      <c r="S29" s="80">
        <f t="shared" ca="1" si="18"/>
        <v>2.8227545379699692E-2</v>
      </c>
      <c r="T29" s="63"/>
      <c r="U29" s="63"/>
      <c r="V29" s="63"/>
      <c r="W29" s="63"/>
    </row>
    <row r="30" spans="1:23" x14ac:dyDescent="0.2">
      <c r="A30" s="45" t="s">
        <v>211</v>
      </c>
      <c r="B30" s="117">
        <f t="shared" ca="1" si="13"/>
        <v>29</v>
      </c>
      <c r="C30" s="1">
        <f>IF(ISERROR(D30),"",IF(D30="","",MAX($C$13:C29)+1))</f>
        <v>17</v>
      </c>
      <c r="D30" t="str">
        <f t="shared" si="14"/>
        <v xml:space="preserve">Eversource Energy    </v>
      </c>
      <c r="E30" s="15"/>
      <c r="F30" s="80">
        <f t="shared" ca="1" si="15"/>
        <v>3.3578641718816075E-2</v>
      </c>
      <c r="G30" s="80">
        <f t="shared" si="16"/>
        <v>3.4208298052497886E-2</v>
      </c>
      <c r="H30" s="80">
        <f ca="1">IFERROR(IF(VLOOKUP($A30,LASTYR,'2017'!$Q$3,FALSE)=0,"N/A",VLOOKUP($A30,LASTYR,'2017'!$Q$3,FALSE)),"N/A")</f>
        <v>3.1385764078167074E-2</v>
      </c>
      <c r="I30" s="80">
        <f t="shared" ca="1" si="18"/>
        <v>3.2172357077014838E-2</v>
      </c>
      <c r="J30" s="80">
        <f t="shared" ca="1" si="18"/>
        <v>3.3411359862353197E-2</v>
      </c>
      <c r="K30" s="80">
        <f t="shared" ca="1" si="18"/>
        <v>3.3958427962710619E-2</v>
      </c>
      <c r="L30" s="80">
        <f t="shared" ca="1" si="18"/>
        <v>3.4848161581679825E-2</v>
      </c>
      <c r="M30" s="80">
        <f t="shared" ca="1" si="18"/>
        <v>3.5175611575973993E-2</v>
      </c>
      <c r="N30" s="80">
        <f t="shared" ca="1" si="18"/>
        <v>3.2279836840097428E-2</v>
      </c>
      <c r="O30" s="80">
        <f t="shared" ca="1" si="18"/>
        <v>3.6361701372875942E-2</v>
      </c>
      <c r="P30" s="80">
        <f t="shared" ca="1" si="18"/>
        <v>4.1586412187007524E-2</v>
      </c>
      <c r="Q30" s="80">
        <f t="shared" ca="1" si="18"/>
        <v>3.2464977176137257E-2</v>
      </c>
      <c r="R30" s="80">
        <f t="shared" ca="1" si="18"/>
        <v>2.6001476212843051E-2</v>
      </c>
      <c r="S30" s="80">
        <f t="shared" ca="1" si="18"/>
        <v>3.2667958365250299E-2</v>
      </c>
      <c r="T30" s="63"/>
      <c r="U30" s="63"/>
      <c r="V30" s="63"/>
      <c r="W30" s="63"/>
    </row>
    <row r="31" spans="1:23" x14ac:dyDescent="0.2">
      <c r="A31" s="45" t="s">
        <v>487</v>
      </c>
      <c r="B31" s="117" t="str">
        <f t="shared" ref="B31:B32" ca="1" si="19">IFERROR(MATCH(A31,OFFSET(DIV_MP_WP,0,0,,1),0),"")</f>
        <v/>
      </c>
      <c r="C31" s="1">
        <f>IF(ISERROR(D31),"",IF(D31="","",MAX($C$13:C30)+1))</f>
        <v>18</v>
      </c>
      <c r="D31" t="s">
        <v>488</v>
      </c>
      <c r="E31" s="15"/>
      <c r="F31" s="80">
        <f t="shared" ref="F31" ca="1" si="20">IFERROR(AVERAGE(G31:S31),"N/A")</f>
        <v>3.1071428571428573E-2</v>
      </c>
      <c r="G31" s="80">
        <f t="shared" ref="G31" si="21">IFERROR(IF(VLOOKUP(A31,LUCurYr,22,FALSE)=0,"",VLOOKUP(A31,LUCurYr,22,FALSE)),"N/A")</f>
        <v>3.1071428571428573E-2</v>
      </c>
      <c r="H31" s="80" t="str">
        <f ca="1">IFERROR(IF(VLOOKUP($A31,LASTYR,'2017'!$Q$3,FALSE)=0,"N/A",VLOOKUP($A31,LASTYR,'2017'!$Q$3,FALSE)),"N/A")</f>
        <v>N/A</v>
      </c>
      <c r="I31" s="80" t="str">
        <f t="shared" ca="1" si="18"/>
        <v>N/A</v>
      </c>
      <c r="J31" s="80" t="str">
        <f t="shared" ca="1" si="18"/>
        <v>N/A</v>
      </c>
      <c r="K31" s="80" t="str">
        <f t="shared" ca="1" si="18"/>
        <v>N/A</v>
      </c>
      <c r="L31" s="80" t="str">
        <f t="shared" ca="1" si="18"/>
        <v>N/A</v>
      </c>
      <c r="M31" s="80" t="str">
        <f t="shared" ca="1" si="18"/>
        <v>N/A</v>
      </c>
      <c r="N31" s="80" t="str">
        <f t="shared" ca="1" si="18"/>
        <v>N/A</v>
      </c>
      <c r="O31" s="80" t="str">
        <f t="shared" ca="1" si="18"/>
        <v>N/A</v>
      </c>
      <c r="P31" s="80" t="str">
        <f t="shared" ca="1" si="18"/>
        <v>N/A</v>
      </c>
      <c r="Q31" s="80" t="str">
        <f t="shared" ca="1" si="18"/>
        <v>N/A</v>
      </c>
      <c r="R31" s="80" t="str">
        <f t="shared" ca="1" si="18"/>
        <v>N/A</v>
      </c>
      <c r="S31" s="80" t="str">
        <f t="shared" ca="1" si="18"/>
        <v>N/A</v>
      </c>
      <c r="T31" s="63"/>
      <c r="U31" s="63"/>
      <c r="V31" s="63"/>
      <c r="W31" s="63"/>
    </row>
    <row r="32" spans="1:23" x14ac:dyDescent="0.2">
      <c r="A32" s="45" t="s">
        <v>18</v>
      </c>
      <c r="B32" s="117">
        <f t="shared" ca="1" si="19"/>
        <v>30</v>
      </c>
      <c r="C32" s="1">
        <f>IF(ISERROR(D32),"",IF(D32="","",MAX($C$13:C31)+1))</f>
        <v>19</v>
      </c>
      <c r="D32" t="str">
        <f t="shared" si="14"/>
        <v xml:space="preserve">Exelon Corp.                  </v>
      </c>
      <c r="E32" s="15"/>
      <c r="F32" s="80">
        <f t="shared" ca="1" si="15"/>
        <v>3.917654507163823E-2</v>
      </c>
      <c r="G32" s="80">
        <f t="shared" si="16"/>
        <v>3.4200743494423785E-2</v>
      </c>
      <c r="H32" s="80">
        <f ca="1">IFERROR(IF(VLOOKUP($A32,LASTYR,'2017'!$Q$3,FALSE)=0,"N/A",VLOOKUP($A32,LASTYR,'2017'!$Q$3,FALSE)),"N/A")</f>
        <v>3.5138542421072401E-2</v>
      </c>
      <c r="I32" s="80">
        <f t="shared" ca="1" si="18"/>
        <v>3.7471004579789455E-2</v>
      </c>
      <c r="J32" s="80">
        <f t="shared" ca="1" si="18"/>
        <v>3.8819146604889956E-2</v>
      </c>
      <c r="K32" s="80">
        <f t="shared" ca="1" si="18"/>
        <v>3.6863071526250075E-2</v>
      </c>
      <c r="L32" s="80">
        <f t="shared" ca="1" si="18"/>
        <v>4.689010634869481E-2</v>
      </c>
      <c r="M32" s="80">
        <f t="shared" ca="1" si="18"/>
        <v>5.7330057330057325E-2</v>
      </c>
      <c r="N32" s="80">
        <f t="shared" ca="1" si="18"/>
        <v>4.9551675318546484E-2</v>
      </c>
      <c r="O32" s="80">
        <f t="shared" ca="1" si="18"/>
        <v>4.946646880079146E-2</v>
      </c>
      <c r="P32" s="80">
        <f t="shared" ca="1" si="18"/>
        <v>4.261017774531288E-2</v>
      </c>
      <c r="Q32" s="80">
        <f t="shared" ca="1" si="18"/>
        <v>2.7820752924571826E-2</v>
      </c>
      <c r="R32" s="80">
        <f t="shared" ca="1" si="18"/>
        <v>2.4784159925919876E-2</v>
      </c>
      <c r="S32" s="80">
        <f t="shared" ca="1" si="18"/>
        <v>2.8349178910976661E-2</v>
      </c>
      <c r="T32" s="63"/>
      <c r="U32" s="63"/>
      <c r="V32" s="63"/>
      <c r="W32" s="63"/>
    </row>
    <row r="33" spans="1:23" x14ac:dyDescent="0.2">
      <c r="A33" s="45" t="s">
        <v>19</v>
      </c>
      <c r="B33" s="117">
        <f t="shared" ref="B33:B59" ca="1" si="22">IFERROR(MATCH(A33,OFFSET(DIV_MP_WP,0,0,,1),0),"")</f>
        <v>31</v>
      </c>
      <c r="C33" s="1">
        <f>IF(ISERROR(D33),"",IF(D33="","",MAX($C$13:C32)+1))</f>
        <v>20</v>
      </c>
      <c r="D33" t="str">
        <f t="shared" si="14"/>
        <v xml:space="preserve">FirstEnergy Corp.             </v>
      </c>
      <c r="E33" s="15"/>
      <c r="F33" s="80">
        <f t="shared" ca="1" si="15"/>
        <v>4.353526442695569E-2</v>
      </c>
      <c r="G33" s="80">
        <f t="shared" si="16"/>
        <v>4.2166910688140553E-2</v>
      </c>
      <c r="H33" s="80">
        <f ca="1">IFERROR(IF(VLOOKUP($A33,LASTYR,'2017'!$Q$3,FALSE)=0,"N/A",VLOOKUP($A33,LASTYR,'2017'!$Q$3,FALSE)),"N/A")</f>
        <v>4.6233866307069924E-2</v>
      </c>
      <c r="I33" s="80">
        <f t="shared" ca="1" si="18"/>
        <v>4.3089260600257341E-2</v>
      </c>
      <c r="J33" s="80">
        <f t="shared" ca="1" si="18"/>
        <v>4.2296959906006751E-2</v>
      </c>
      <c r="K33" s="80">
        <f t="shared" ca="1" si="18"/>
        <v>4.2577097069867835E-2</v>
      </c>
      <c r="L33" s="80">
        <f t="shared" ca="1" si="18"/>
        <v>4.2556484060662335E-2</v>
      </c>
      <c r="M33" s="80">
        <f t="shared" ca="1" si="18"/>
        <v>4.8962877236713255E-2</v>
      </c>
      <c r="N33" s="80">
        <f t="shared" ca="1" si="18"/>
        <v>5.2263980614814465E-2</v>
      </c>
      <c r="O33" s="80">
        <f t="shared" ca="1" si="18"/>
        <v>5.7621791513881616E-2</v>
      </c>
      <c r="P33" s="80">
        <f t="shared" ca="1" si="18"/>
        <v>5.0878815911193344E-2</v>
      </c>
      <c r="Q33" s="80">
        <f t="shared" ca="1" si="18"/>
        <v>3.2108351090224467E-2</v>
      </c>
      <c r="R33" s="80">
        <f t="shared" ca="1" si="18"/>
        <v>3.1165909056357081E-2</v>
      </c>
      <c r="S33" s="80">
        <f t="shared" ca="1" si="18"/>
        <v>3.4036133495234946E-2</v>
      </c>
      <c r="T33" s="63"/>
      <c r="U33" s="63"/>
      <c r="V33" s="63"/>
      <c r="W33" s="63"/>
    </row>
    <row r="34" spans="1:23" x14ac:dyDescent="0.2">
      <c r="A34" s="45" t="s">
        <v>266</v>
      </c>
      <c r="B34" s="117">
        <f t="shared" ca="1" si="22"/>
        <v>32</v>
      </c>
      <c r="C34" s="1">
        <f>IF(ISERROR(D34),"",IF(D34="","",MAX($C$13:C33)+1))</f>
        <v>21</v>
      </c>
      <c r="D34" t="str">
        <f t="shared" si="14"/>
        <v>Fortis Inc.</v>
      </c>
      <c r="E34" s="15"/>
      <c r="F34" s="80">
        <f t="shared" ca="1" si="15"/>
        <v>3.6767830900289428E-2</v>
      </c>
      <c r="G34" s="80">
        <f t="shared" si="16"/>
        <v>4.0369088811995392E-2</v>
      </c>
      <c r="H34" s="80">
        <f ca="1">IFERROR(IF(VLOOKUP($A34,LASTYR,'2017'!$Q$3,FALSE)=0,"N/A",VLOOKUP($A34,LASTYR,'2017'!$Q$3,FALSE)),"N/A")</f>
        <v>3.690036900369003E-2</v>
      </c>
      <c r="I34" s="80">
        <f t="shared" ca="1" si="18"/>
        <v>3.7963212422542802E-2</v>
      </c>
      <c r="J34" s="80">
        <f t="shared" ca="1" si="18"/>
        <v>3.7646439383967355E-2</v>
      </c>
      <c r="K34" s="80">
        <f t="shared" ca="1" si="18"/>
        <v>3.8788602118454425E-2</v>
      </c>
      <c r="L34" s="80">
        <f t="shared" ca="1" si="18"/>
        <v>3.8401277994531656E-2</v>
      </c>
      <c r="M34" s="80">
        <f t="shared" ca="1" si="18"/>
        <v>3.6443587735678573E-2</v>
      </c>
      <c r="N34" s="80">
        <f t="shared" ca="1" si="18"/>
        <v>3.5780910731215025E-2</v>
      </c>
      <c r="O34" s="80">
        <f t="shared" ca="1" si="18"/>
        <v>3.7955808594279522E-2</v>
      </c>
      <c r="P34" s="80">
        <f t="shared" ca="1" si="18"/>
        <v>4.2088223391339538E-2</v>
      </c>
      <c r="Q34" s="80">
        <f t="shared" ca="1" si="18"/>
        <v>3.7632183042938319E-2</v>
      </c>
      <c r="R34" s="80">
        <f t="shared" ca="1" si="18"/>
        <v>3.0133764515654856E-2</v>
      </c>
      <c r="S34" s="80">
        <f t="shared" ca="1" si="18"/>
        <v>2.7878333957475139E-2</v>
      </c>
      <c r="T34" s="63"/>
      <c r="U34" s="63"/>
      <c r="V34" s="63"/>
      <c r="W34" s="63"/>
    </row>
    <row r="35" spans="1:23" x14ac:dyDescent="0.2">
      <c r="A35" s="45" t="s">
        <v>20</v>
      </c>
      <c r="B35" s="117">
        <f t="shared" ca="1" si="22"/>
        <v>34</v>
      </c>
      <c r="C35" s="1">
        <f>IF(ISERROR(D35),"",IF(D35="","",MAX($C$13:C34)+1))</f>
        <v>22</v>
      </c>
      <c r="D35" s="31" t="str">
        <f t="shared" si="14"/>
        <v xml:space="preserve">Great Plains Energy             </v>
      </c>
      <c r="E35" s="203"/>
      <c r="F35" s="205">
        <f t="shared" ca="1" si="15"/>
        <v>4.5193690468645888E-2</v>
      </c>
      <c r="G35" s="205" t="str">
        <f t="shared" si="16"/>
        <v>N/A</v>
      </c>
      <c r="H35" s="205">
        <f ca="1">IFERROR(IF(VLOOKUP($A35,LASTYR,'2017'!$Q$3,FALSE)=0,"N/A",VLOOKUP($A35,LASTYR,'2017'!$Q$3,FALSE)),"N/A")</f>
        <v>3.5830618892508145E-2</v>
      </c>
      <c r="I35" s="205">
        <f t="shared" ref="I35:S44" ca="1" si="23">IFERROR(IF(INDEX(DIV_MP_WP,$B35,I$13)=0,"N/A",INDEX(DIV_MP_WP,$B35,I$13)),"N/A")</f>
        <v>3.6443400462882997E-2</v>
      </c>
      <c r="J35" s="205">
        <f t="shared" ca="1" si="23"/>
        <v>3.7616373299159477E-2</v>
      </c>
      <c r="K35" s="205">
        <f t="shared" ca="1" si="23"/>
        <v>3.6159022352850186E-2</v>
      </c>
      <c r="L35" s="205">
        <f t="shared" ca="1" si="23"/>
        <v>3.8377860934644507E-2</v>
      </c>
      <c r="M35" s="205">
        <f t="shared" ca="1" si="23"/>
        <v>4.0770587954794713E-2</v>
      </c>
      <c r="N35" s="205">
        <f t="shared" ca="1" si="23"/>
        <v>4.1478317023496102E-2</v>
      </c>
      <c r="O35" s="205">
        <f t="shared" ca="1" si="23"/>
        <v>4.4852742502026477E-2</v>
      </c>
      <c r="P35" s="205">
        <f t="shared" ca="1" si="23"/>
        <v>5.0260385127770375E-2</v>
      </c>
      <c r="Q35" s="205">
        <f t="shared" ca="1" si="23"/>
        <v>6.9648401443316271E-2</v>
      </c>
      <c r="R35" s="205">
        <f t="shared" ca="1" si="23"/>
        <v>5.4888734583209337E-2</v>
      </c>
      <c r="S35" s="205">
        <f t="shared" ca="1" si="23"/>
        <v>5.5997841047092163E-2</v>
      </c>
      <c r="T35" s="63"/>
      <c r="U35" s="63"/>
      <c r="V35" s="63"/>
      <c r="W35" s="63"/>
    </row>
    <row r="36" spans="1:23" x14ac:dyDescent="0.2">
      <c r="A36" s="45" t="s">
        <v>21</v>
      </c>
      <c r="B36" s="117">
        <f t="shared" ca="1" si="22"/>
        <v>35</v>
      </c>
      <c r="C36" s="1">
        <f>IF(ISERROR(D36),"",IF(D36="","",MAX($C$13:C35)+1))</f>
        <v>23</v>
      </c>
      <c r="D36" t="str">
        <f t="shared" si="14"/>
        <v xml:space="preserve">Hawaiian Elec.                </v>
      </c>
      <c r="E36" s="15"/>
      <c r="F36" s="80">
        <f t="shared" ca="1" si="15"/>
        <v>4.7481723690327486E-2</v>
      </c>
      <c r="G36" s="80">
        <f t="shared" si="16"/>
        <v>3.6417033773861969E-2</v>
      </c>
      <c r="H36" s="80">
        <f ca="1">IFERROR(IF(VLOOKUP($A36,LASTYR,'2017'!$Q$3,FALSE)=0,"N/A",VLOOKUP($A36,LASTYR,'2017'!$Q$3,FALSE)),"N/A")</f>
        <v>3.6538291540206859E-2</v>
      </c>
      <c r="I36" s="80">
        <f t="shared" ca="1" si="23"/>
        <v>3.9943306274964563E-2</v>
      </c>
      <c r="J36" s="80">
        <f t="shared" ca="1" si="23"/>
        <v>4.0517579401385444E-2</v>
      </c>
      <c r="K36" s="80">
        <f t="shared" ca="1" si="23"/>
        <v>4.7609905932040696E-2</v>
      </c>
      <c r="L36" s="80">
        <f t="shared" ca="1" si="23"/>
        <v>4.7211117456691411E-2</v>
      </c>
      <c r="M36" s="80">
        <f t="shared" ca="1" si="23"/>
        <v>4.6955468039987881E-2</v>
      </c>
      <c r="N36" s="80">
        <f t="shared" ca="1" si="23"/>
        <v>5.0388069405502049E-2</v>
      </c>
      <c r="O36" s="80">
        <f t="shared" ca="1" si="23"/>
        <v>5.513316437686186E-2</v>
      </c>
      <c r="P36" s="80">
        <f t="shared" ca="1" si="23"/>
        <v>6.886975840044432E-2</v>
      </c>
      <c r="Q36" s="80">
        <f t="shared" ca="1" si="23"/>
        <v>5.0036316681462349E-2</v>
      </c>
      <c r="R36" s="80">
        <f t="shared" ca="1" si="23"/>
        <v>5.1781016411241491E-2</v>
      </c>
      <c r="S36" s="80">
        <f t="shared" ca="1" si="23"/>
        <v>4.5861380279606477E-2</v>
      </c>
      <c r="T36" s="63"/>
      <c r="U36" s="63"/>
      <c r="V36" s="63"/>
      <c r="W36" s="63"/>
    </row>
    <row r="37" spans="1:23" x14ac:dyDescent="0.2">
      <c r="A37" s="45" t="s">
        <v>22</v>
      </c>
      <c r="B37" s="117">
        <f t="shared" ca="1" si="22"/>
        <v>36</v>
      </c>
      <c r="C37" s="1">
        <f>IF(ISERROR(D37),"",IF(D37="","",MAX($C$13:C36)+1))</f>
        <v>24</v>
      </c>
      <c r="D37" t="str">
        <f t="shared" si="14"/>
        <v xml:space="preserve">IDACORP, Inc.                 </v>
      </c>
      <c r="E37" s="15"/>
      <c r="F37" s="80">
        <f t="shared" ca="1" si="15"/>
        <v>3.2720674948682998E-2</v>
      </c>
      <c r="G37" s="80">
        <f t="shared" si="16"/>
        <v>2.6446280991735537E-2</v>
      </c>
      <c r="H37" s="80">
        <f ca="1">IFERROR(IF(VLOOKUP($A37,LASTYR,'2017'!$Q$3,FALSE)=0,"N/A",VLOOKUP($A37,LASTYR,'2017'!$Q$3,FALSE)),"N/A")</f>
        <v>2.5827577857464059E-2</v>
      </c>
      <c r="I37" s="80">
        <f t="shared" ca="1" si="23"/>
        <v>2.7697142400596553E-2</v>
      </c>
      <c r="J37" s="80">
        <f t="shared" ca="1" si="23"/>
        <v>3.0590784526161492E-2</v>
      </c>
      <c r="K37" s="80">
        <f t="shared" ca="1" si="23"/>
        <v>3.117306363910094E-2</v>
      </c>
      <c r="L37" s="80">
        <f t="shared" ca="1" si="23"/>
        <v>3.206895847376269E-2</v>
      </c>
      <c r="M37" s="80">
        <f t="shared" ca="1" si="23"/>
        <v>3.275944524151124E-2</v>
      </c>
      <c r="N37" s="80">
        <f t="shared" ca="1" si="23"/>
        <v>3.0961349914856284E-2</v>
      </c>
      <c r="O37" s="80">
        <f t="shared" ca="1" si="23"/>
        <v>3.4393809114359415E-2</v>
      </c>
      <c r="P37" s="80">
        <f t="shared" ca="1" si="23"/>
        <v>4.4574867204041455E-2</v>
      </c>
      <c r="Q37" s="80">
        <f t="shared" ca="1" si="23"/>
        <v>3.9529597786342525E-2</v>
      </c>
      <c r="R37" s="80">
        <f t="shared" ca="1" si="23"/>
        <v>3.5460992907801414E-2</v>
      </c>
      <c r="S37" s="80">
        <f t="shared" ca="1" si="23"/>
        <v>3.3884904275145421E-2</v>
      </c>
      <c r="T37" s="63"/>
      <c r="U37" s="63"/>
      <c r="V37" s="63"/>
      <c r="W37" s="63"/>
    </row>
    <row r="38" spans="1:23" x14ac:dyDescent="0.2">
      <c r="A38" s="45" t="s">
        <v>25</v>
      </c>
      <c r="B38" s="117">
        <f t="shared" ca="1" si="22"/>
        <v>40</v>
      </c>
      <c r="C38" s="1">
        <f>IF(ISERROR(D38),"",IF(D38="","",MAX($C$13:C37)+1))</f>
        <v>25</v>
      </c>
      <c r="D38" t="str">
        <f t="shared" si="14"/>
        <v xml:space="preserve">MGE Energy                    </v>
      </c>
      <c r="E38" s="15"/>
      <c r="F38" s="80">
        <f t="shared" ca="1" si="15"/>
        <v>3.2853459016392868E-2</v>
      </c>
      <c r="G38" s="80">
        <f t="shared" si="16"/>
        <v>2.2147651006711414E-2</v>
      </c>
      <c r="H38" s="80">
        <f ca="1">IFERROR(IF(VLOOKUP($A38,LASTYR,'2017'!$Q$3,FALSE)=0,"N/A",VLOOKUP($A38,LASTYR,'2017'!$Q$3,FALSE)),"N/A")</f>
        <v>1.9508871891741244E-2</v>
      </c>
      <c r="I38" s="80">
        <f t="shared" ca="1" si="23"/>
        <v>2.2287714127832012E-2</v>
      </c>
      <c r="J38" s="80">
        <f t="shared" ca="1" si="23"/>
        <v>2.7767803710353083E-2</v>
      </c>
      <c r="K38" s="80">
        <f t="shared" ca="1" si="23"/>
        <v>2.7831406865080361E-2</v>
      </c>
      <c r="L38" s="80">
        <f t="shared" ca="1" si="23"/>
        <v>2.9114854017577758E-2</v>
      </c>
      <c r="M38" s="80">
        <f t="shared" ca="1" si="23"/>
        <v>3.2450310462104906E-2</v>
      </c>
      <c r="N38" s="80">
        <f t="shared" ca="1" si="23"/>
        <v>3.6302919314876655E-2</v>
      </c>
      <c r="O38" s="80">
        <f t="shared" ca="1" si="23"/>
        <v>3.9772499699603475E-2</v>
      </c>
      <c r="P38" s="80">
        <f t="shared" ca="1" si="23"/>
        <v>4.363228699551569E-2</v>
      </c>
      <c r="Q38" s="80">
        <f t="shared" ca="1" si="23"/>
        <v>4.2360864941510097E-2</v>
      </c>
      <c r="R38" s="80">
        <f t="shared" ca="1" si="23"/>
        <v>4.1398749229278602E-2</v>
      </c>
      <c r="S38" s="80">
        <f t="shared" ca="1" si="23"/>
        <v>4.2519034950921936E-2</v>
      </c>
      <c r="T38" s="63"/>
      <c r="U38" s="63"/>
      <c r="V38" s="63"/>
      <c r="W38" s="63"/>
    </row>
    <row r="39" spans="1:23" x14ac:dyDescent="0.2">
      <c r="A39" s="45" t="s">
        <v>141</v>
      </c>
      <c r="B39" s="117">
        <f t="shared" ca="1" si="22"/>
        <v>43</v>
      </c>
      <c r="C39" s="1">
        <f>IF(ISERROR(D39),"",IF(D39="","",MAX($C$13:C38)+1))</f>
        <v>26</v>
      </c>
      <c r="D39" t="str">
        <f t="shared" si="14"/>
        <v>NextEra Energy, Inc.</v>
      </c>
      <c r="E39" s="15"/>
      <c r="F39" s="80">
        <f t="shared" ca="1" si="15"/>
        <v>3.2223341898139524E-2</v>
      </c>
      <c r="G39" s="80">
        <f t="shared" si="16"/>
        <v>2.7586206896551727E-2</v>
      </c>
      <c r="H39" s="80">
        <f ca="1">IFERROR(IF(VLOOKUP($A39,LASTYR,'2017'!$Q$3,FALSE)=0,"N/A",VLOOKUP($A39,LASTYR,'2017'!$Q$3,FALSE)),"N/A")</f>
        <v>2.7927998351324274E-2</v>
      </c>
      <c r="I39" s="80">
        <f t="shared" ca="1" si="23"/>
        <v>2.9069767441860465E-2</v>
      </c>
      <c r="J39" s="80">
        <f t="shared" ca="1" si="23"/>
        <v>3.0084000781402619E-2</v>
      </c>
      <c r="K39" s="80">
        <f t="shared" ca="1" si="23"/>
        <v>3.0012936610608019E-2</v>
      </c>
      <c r="L39" s="80">
        <f t="shared" ca="1" si="23"/>
        <v>3.2983920338834821E-2</v>
      </c>
      <c r="M39" s="80">
        <f t="shared" ca="1" si="23"/>
        <v>3.6464743151465431E-2</v>
      </c>
      <c r="N39" s="80">
        <f t="shared" ca="1" si="23"/>
        <v>3.9566922053163561E-2</v>
      </c>
      <c r="O39" s="80">
        <f t="shared" ca="1" si="23"/>
        <v>3.8965846435599201E-2</v>
      </c>
      <c r="P39" s="80">
        <f t="shared" ca="1" si="23"/>
        <v>3.548629365377394E-2</v>
      </c>
      <c r="Q39" s="80">
        <f t="shared" ca="1" si="23"/>
        <v>3.0198666508321599E-2</v>
      </c>
      <c r="R39" s="80">
        <f t="shared" ca="1" si="23"/>
        <v>2.6540223002605473E-2</v>
      </c>
      <c r="S39" s="80">
        <f t="shared" ca="1" si="23"/>
        <v>3.4015919450302738E-2</v>
      </c>
      <c r="T39" s="63"/>
      <c r="U39" s="63"/>
      <c r="V39" s="63"/>
      <c r="W39" s="63"/>
    </row>
    <row r="40" spans="1:23" x14ac:dyDescent="0.2">
      <c r="A40" s="45" t="s">
        <v>144</v>
      </c>
      <c r="B40" s="117">
        <f t="shared" ca="1" si="22"/>
        <v>46</v>
      </c>
      <c r="C40" s="1">
        <f>IF(ISERROR(D40),"",IF(D40="","",MAX($C$13:C39)+1))</f>
        <v>27</v>
      </c>
      <c r="D40" t="str">
        <f t="shared" si="14"/>
        <v xml:space="preserve">NorthWestern Corp             </v>
      </c>
      <c r="E40" s="15"/>
      <c r="F40" s="80">
        <f t="shared" ca="1" si="15"/>
        <v>4.1471430803685379E-2</v>
      </c>
      <c r="G40" s="80">
        <f t="shared" si="16"/>
        <v>3.9215686274509803E-2</v>
      </c>
      <c r="H40" s="80">
        <f ca="1">IFERROR(IF(VLOOKUP($A40,LASTYR,'2017'!$Q$3,FALSE)=0,"N/A",VLOOKUP($A40,LASTYR,'2017'!$Q$3,FALSE)),"N/A")</f>
        <v>3.5233125849370002E-2</v>
      </c>
      <c r="I40" s="80">
        <f t="shared" ca="1" si="23"/>
        <v>3.4328281354593981E-2</v>
      </c>
      <c r="J40" s="80">
        <f t="shared" ca="1" si="23"/>
        <v>3.605701515521418E-2</v>
      </c>
      <c r="K40" s="80">
        <f t="shared" ca="1" si="23"/>
        <v>3.2959789057350038E-2</v>
      </c>
      <c r="L40" s="80">
        <f t="shared" ca="1" si="23"/>
        <v>3.6648583484026519E-2</v>
      </c>
      <c r="M40" s="80">
        <f t="shared" ca="1" si="23"/>
        <v>4.1665493651642689E-2</v>
      </c>
      <c r="N40" s="80">
        <f t="shared" ca="1" si="23"/>
        <v>4.5091592296852979E-2</v>
      </c>
      <c r="O40" s="80">
        <f t="shared" ca="1" si="23"/>
        <v>4.9282504710827658E-2</v>
      </c>
      <c r="P40" s="80">
        <f t="shared" ca="1" si="23"/>
        <v>5.749345690136011E-2</v>
      </c>
      <c r="Q40" s="80">
        <f t="shared" ca="1" si="23"/>
        <v>5.3783156093387123E-2</v>
      </c>
      <c r="R40" s="80">
        <f t="shared" ca="1" si="23"/>
        <v>4.0897181928557735E-2</v>
      </c>
      <c r="S40" s="80">
        <f t="shared" ca="1" si="23"/>
        <v>3.6472733690217071E-2</v>
      </c>
      <c r="T40" s="63"/>
      <c r="U40" s="63"/>
      <c r="V40" s="63"/>
      <c r="W40" s="63"/>
    </row>
    <row r="41" spans="1:23" x14ac:dyDescent="0.2">
      <c r="A41" s="45" t="s">
        <v>27</v>
      </c>
      <c r="B41" s="117">
        <f t="shared" ca="1" si="22"/>
        <v>47</v>
      </c>
      <c r="C41" s="1">
        <f>IF(ISERROR(D41),"",IF(D41="","",MAX($C$13:C40)+1))</f>
        <v>28</v>
      </c>
      <c r="D41" t="str">
        <f t="shared" si="14"/>
        <v xml:space="preserve">OGE Energy                    </v>
      </c>
      <c r="E41" s="15"/>
      <c r="F41" s="80">
        <f t="shared" ca="1" si="15"/>
        <v>3.6163108686677777E-2</v>
      </c>
      <c r="G41" s="80">
        <f t="shared" si="16"/>
        <v>3.9942938659058486E-2</v>
      </c>
      <c r="H41" s="80">
        <f ca="1">IFERROR(IF(VLOOKUP($A41,LASTYR,'2017'!$Q$3,FALSE)=0,"N/A",VLOOKUP($A41,LASTYR,'2017'!$Q$3,FALSE)),"N/A")</f>
        <v>3.6100056850483231E-2</v>
      </c>
      <c r="I41" s="80">
        <f t="shared" ca="1" si="23"/>
        <v>3.8654618473895584E-2</v>
      </c>
      <c r="J41" s="80">
        <f t="shared" ca="1" si="23"/>
        <v>3.5122930255895635E-2</v>
      </c>
      <c r="K41" s="80">
        <f t="shared" ca="1" si="23"/>
        <v>2.6267765304429577E-2</v>
      </c>
      <c r="L41" s="80">
        <f t="shared" ca="1" si="23"/>
        <v>2.4793147651788836E-2</v>
      </c>
      <c r="M41" s="80">
        <f t="shared" ca="1" si="23"/>
        <v>2.9415017140329538E-2</v>
      </c>
      <c r="N41" s="80">
        <f t="shared" ca="1" si="23"/>
        <v>3.0627068033249941E-2</v>
      </c>
      <c r="O41" s="80">
        <f t="shared" ca="1" si="23"/>
        <v>3.6776527331189711E-2</v>
      </c>
      <c r="P41" s="80">
        <f t="shared" ca="1" si="23"/>
        <v>4.9552363106391835E-2</v>
      </c>
      <c r="Q41" s="80">
        <f t="shared" ca="1" si="23"/>
        <v>4.52485758674262E-2</v>
      </c>
      <c r="R41" s="80">
        <f t="shared" ca="1" si="23"/>
        <v>3.768387416671258E-2</v>
      </c>
      <c r="S41" s="80">
        <f t="shared" ca="1" si="23"/>
        <v>3.9935530085959889E-2</v>
      </c>
      <c r="T41" s="63"/>
      <c r="U41" s="63"/>
      <c r="V41" s="63"/>
      <c r="W41" s="63"/>
    </row>
    <row r="42" spans="1:23" x14ac:dyDescent="0.2">
      <c r="A42" s="45" t="s">
        <v>28</v>
      </c>
      <c r="B42" s="117">
        <f t="shared" ca="1" si="22"/>
        <v>49</v>
      </c>
      <c r="C42" s="1">
        <f>IF(ISERROR(D42),"",IF(D42="","",MAX($C$13:C41)+1))</f>
        <v>29</v>
      </c>
      <c r="D42" t="str">
        <f t="shared" si="14"/>
        <v xml:space="preserve">Otter Tail Corp.              </v>
      </c>
      <c r="E42" s="15"/>
      <c r="F42" s="80">
        <f t="shared" ca="1" si="15"/>
        <v>4.2653007533151183E-2</v>
      </c>
      <c r="G42" s="80">
        <f t="shared" si="16"/>
        <v>3.0180180180180184E-2</v>
      </c>
      <c r="H42" s="80">
        <f ca="1">IFERROR(IF(VLOOKUP($A42,LASTYR,'2017'!$Q$3,FALSE)=0,"N/A",VLOOKUP($A42,LASTYR,'2017'!$Q$3,FALSE)),"N/A")</f>
        <v>3.1191363891122648E-2</v>
      </c>
      <c r="I42" s="80">
        <f t="shared" ca="1" si="23"/>
        <v>3.8688910210777187E-2</v>
      </c>
      <c r="J42" s="80">
        <f t="shared" ca="1" si="23"/>
        <v>4.3325114476928495E-2</v>
      </c>
      <c r="K42" s="80">
        <f t="shared" ca="1" si="23"/>
        <v>4.1439775334771736E-2</v>
      </c>
      <c r="L42" s="80">
        <f t="shared" ca="1" si="23"/>
        <v>4.1128084606345469E-2</v>
      </c>
      <c r="M42" s="80">
        <f t="shared" ca="1" si="23"/>
        <v>5.2108420545605813E-2</v>
      </c>
      <c r="N42" s="80">
        <f t="shared" ca="1" si="23"/>
        <v>5.569335891795759E-2</v>
      </c>
      <c r="O42" s="80">
        <f t="shared" ca="1" si="23"/>
        <v>5.6837178201270475E-2</v>
      </c>
      <c r="P42" s="80">
        <f t="shared" ca="1" si="23"/>
        <v>5.3790173122994167E-2</v>
      </c>
      <c r="Q42" s="80">
        <f t="shared" ca="1" si="23"/>
        <v>3.6323677543420523E-2</v>
      </c>
      <c r="R42" s="80">
        <f t="shared" ca="1" si="23"/>
        <v>3.4559149313247675E-2</v>
      </c>
      <c r="S42" s="80">
        <f t="shared" ca="1" si="23"/>
        <v>3.9223711586343322E-2</v>
      </c>
      <c r="T42" s="63"/>
      <c r="U42" s="63"/>
      <c r="V42" s="63"/>
      <c r="W42" s="63"/>
    </row>
    <row r="43" spans="1:23" x14ac:dyDescent="0.2">
      <c r="A43" s="45" t="s">
        <v>30</v>
      </c>
      <c r="B43" s="117">
        <f t="shared" ca="1" si="22"/>
        <v>51</v>
      </c>
      <c r="C43" s="1">
        <f>IF(ISERROR(D43),"",IF(D43="","",MAX($C$13:C42)+1))</f>
        <v>30</v>
      </c>
      <c r="D43" t="str">
        <f t="shared" si="14"/>
        <v xml:space="preserve">PG&amp;E Corp.                    </v>
      </c>
      <c r="E43" s="15"/>
      <c r="F43" s="80">
        <f t="shared" ca="1" si="15"/>
        <v>3.6992348182061263E-2</v>
      </c>
      <c r="G43" s="80" t="str">
        <f t="shared" si="16"/>
        <v>N/A</v>
      </c>
      <c r="H43" s="80">
        <f ca="1">IFERROR(IF(VLOOKUP($A43,LASTYR,'2017'!$Q$3,FALSE)=0,"N/A",VLOOKUP($A43,LASTYR,'2017'!$Q$3,FALSE)),"N/A")</f>
        <v>2.4230486641967204E-2</v>
      </c>
      <c r="I43" s="80">
        <f t="shared" ca="1" si="23"/>
        <v>3.2197096407305816E-2</v>
      </c>
      <c r="J43" s="80">
        <f t="shared" ca="1" si="23"/>
        <v>3.4471655586491658E-2</v>
      </c>
      <c r="K43" s="80">
        <f t="shared" ca="1" si="23"/>
        <v>3.964364285869873E-2</v>
      </c>
      <c r="L43" s="80">
        <f t="shared" ca="1" si="23"/>
        <v>4.2023597866494268E-2</v>
      </c>
      <c r="M43" s="80">
        <f t="shared" ca="1" si="23"/>
        <v>4.2470772174643547E-2</v>
      </c>
      <c r="N43" s="80">
        <f t="shared" ca="1" si="23"/>
        <v>4.2352174621273823E-2</v>
      </c>
      <c r="O43" s="80">
        <f t="shared" ca="1" si="23"/>
        <v>4.0839223605968811E-2</v>
      </c>
      <c r="P43" s="80">
        <f t="shared" ca="1" si="23"/>
        <v>4.2619041578934015E-2</v>
      </c>
      <c r="Q43" s="80">
        <f t="shared" ca="1" si="23"/>
        <v>4.009149083806636E-2</v>
      </c>
      <c r="R43" s="80">
        <f t="shared" ca="1" si="23"/>
        <v>3.0745580322828592E-2</v>
      </c>
      <c r="S43" s="80">
        <f t="shared" ca="1" si="23"/>
        <v>3.2223415682062301E-2</v>
      </c>
      <c r="T43" s="63"/>
      <c r="U43" s="63"/>
      <c r="V43" s="63"/>
      <c r="W43" s="63"/>
    </row>
    <row r="44" spans="1:23" x14ac:dyDescent="0.2">
      <c r="A44" s="45" t="s">
        <v>31</v>
      </c>
      <c r="B44" s="117">
        <f t="shared" ca="1" si="22"/>
        <v>52</v>
      </c>
      <c r="C44" s="1">
        <f>IF(ISERROR(D44),"",IF(D44="","",MAX($C$13:C43)+1))</f>
        <v>31</v>
      </c>
      <c r="D44" t="str">
        <f t="shared" si="14"/>
        <v xml:space="preserve">Pinnacle West Capital         </v>
      </c>
      <c r="E44" s="15"/>
      <c r="F44" s="80">
        <f t="shared" ca="1" si="15"/>
        <v>4.6204946799171344E-2</v>
      </c>
      <c r="G44" s="80">
        <f t="shared" si="16"/>
        <v>3.5974842767295595E-2</v>
      </c>
      <c r="H44" s="80">
        <f ca="1">IFERROR(IF(VLOOKUP($A44,LASTYR,'2017'!$Q$3,FALSE)=0,"N/A",VLOOKUP($A44,LASTYR,'2017'!$Q$3,FALSE)),"N/A")</f>
        <v>3.1610742969536615E-2</v>
      </c>
      <c r="I44" s="80">
        <f t="shared" ca="1" si="23"/>
        <v>3.4578240021611403E-2</v>
      </c>
      <c r="J44" s="80">
        <f t="shared" ca="1" si="23"/>
        <v>3.8816417435571113E-2</v>
      </c>
      <c r="K44" s="80">
        <f t="shared" ca="1" si="23"/>
        <v>4.088127725418484E-2</v>
      </c>
      <c r="L44" s="80">
        <f t="shared" ca="1" si="23"/>
        <v>3.9817465998568363E-2</v>
      </c>
      <c r="M44" s="80">
        <f t="shared" ca="1" si="23"/>
        <v>5.3176658036247756E-2</v>
      </c>
      <c r="N44" s="80">
        <f t="shared" ca="1" si="23"/>
        <v>4.8092337287592185E-2</v>
      </c>
      <c r="O44" s="80">
        <f t="shared" ca="1" si="23"/>
        <v>5.4264968087030678E-2</v>
      </c>
      <c r="P44" s="80">
        <f t="shared" ca="1" si="23"/>
        <v>6.7619783616692422E-2</v>
      </c>
      <c r="Q44" s="80">
        <f t="shared" ca="1" si="23"/>
        <v>6.1655901350557839E-2</v>
      </c>
      <c r="R44" s="80">
        <f t="shared" ca="1" si="23"/>
        <v>4.7515612272603862E-2</v>
      </c>
      <c r="S44" s="80">
        <f t="shared" ca="1" si="23"/>
        <v>4.6660061291734826E-2</v>
      </c>
      <c r="T44" s="63"/>
      <c r="U44" s="63"/>
      <c r="V44" s="63"/>
      <c r="W44" s="63"/>
    </row>
    <row r="45" spans="1:23" x14ac:dyDescent="0.2">
      <c r="A45" s="45" t="s">
        <v>32</v>
      </c>
      <c r="B45" s="117">
        <f t="shared" ca="1" si="22"/>
        <v>53</v>
      </c>
      <c r="C45" s="1">
        <f>IF(ISERROR(D45),"",IF(D45="","",MAX($C$13:C44)+1))</f>
        <v>32</v>
      </c>
      <c r="D45" t="str">
        <f t="shared" si="14"/>
        <v xml:space="preserve">PNM Resources                 </v>
      </c>
      <c r="E45" s="15"/>
      <c r="F45" s="80">
        <f t="shared" ca="1" si="15"/>
        <v>3.3236421814910461E-2</v>
      </c>
      <c r="G45" s="80">
        <f t="shared" si="16"/>
        <v>2.8915662650602417E-2</v>
      </c>
      <c r="H45" s="80">
        <f ca="1">IFERROR(IF(VLOOKUP($A45,LASTYR,'2017'!$Q$3,FALSE)=0,"N/A",VLOOKUP($A45,LASTYR,'2017'!$Q$3,FALSE)),"N/A")</f>
        <v>2.5320651758166102E-2</v>
      </c>
      <c r="I45" s="80">
        <f t="shared" ref="I45:S59" ca="1" si="24">IFERROR(IF(INDEX(DIV_MP_WP,$B45,I$13)=0,"N/A",INDEX(DIV_MP_WP,$B45,I$13)),"N/A")</f>
        <v>2.6893221685716031E-2</v>
      </c>
      <c r="J45" s="80">
        <f t="shared" ca="1" si="24"/>
        <v>2.8955083426834123E-2</v>
      </c>
      <c r="K45" s="80">
        <f t="shared" ca="1" si="24"/>
        <v>2.7880354505169867E-2</v>
      </c>
      <c r="L45" s="80">
        <f t="shared" ca="1" si="24"/>
        <v>2.9896680589140471E-2</v>
      </c>
      <c r="M45" s="80">
        <f t="shared" ca="1" si="24"/>
        <v>2.9573730369161739E-2</v>
      </c>
      <c r="N45" s="80">
        <f t="shared" ca="1" si="24"/>
        <v>3.1857279388340237E-2</v>
      </c>
      <c r="O45" s="80">
        <f t="shared" ca="1" si="24"/>
        <v>4.0919878877158526E-2</v>
      </c>
      <c r="P45" s="80">
        <f t="shared" ca="1" si="24"/>
        <v>4.7646274061368399E-2</v>
      </c>
      <c r="Q45" s="80">
        <f t="shared" ca="1" si="24"/>
        <v>4.8520330419440212E-2</v>
      </c>
      <c r="R45" s="80">
        <f t="shared" ca="1" si="24"/>
        <v>3.3588011663529323E-2</v>
      </c>
      <c r="S45" s="80">
        <f t="shared" ca="1" si="24"/>
        <v>3.2106324199208537E-2</v>
      </c>
      <c r="T45" s="63"/>
      <c r="U45" s="63"/>
      <c r="V45" s="63"/>
      <c r="W45" s="63"/>
    </row>
    <row r="46" spans="1:23" x14ac:dyDescent="0.2">
      <c r="A46" s="45" t="s">
        <v>33</v>
      </c>
      <c r="B46" s="117">
        <f t="shared" ca="1" si="22"/>
        <v>54</v>
      </c>
      <c r="C46" s="1">
        <f>IF(ISERROR(D46),"",IF(D46="","",MAX($C$13:C45)+1))</f>
        <v>33</v>
      </c>
      <c r="D46" t="str">
        <f t="shared" si="14"/>
        <v xml:space="preserve">Portland General              </v>
      </c>
      <c r="E46" s="15"/>
      <c r="F46" s="80">
        <f t="shared" ca="1" si="15"/>
        <v>3.7502074182186561E-2</v>
      </c>
      <c r="G46" s="80">
        <f t="shared" si="16"/>
        <v>3.3025404157043879E-2</v>
      </c>
      <c r="H46" s="80">
        <f ca="1">IFERROR(IF(VLOOKUP($A46,LASTYR,'2017'!$Q$3,FALSE)=0,"N/A",VLOOKUP($A46,LASTYR,'2017'!$Q$3,FALSE)),"N/A")</f>
        <v>2.9211719567492155E-2</v>
      </c>
      <c r="I46" s="80">
        <f t="shared" ca="1" si="24"/>
        <v>3.0608526660998423E-2</v>
      </c>
      <c r="J46" s="80">
        <f t="shared" ca="1" si="24"/>
        <v>3.2653513019896503E-2</v>
      </c>
      <c r="K46" s="80">
        <f t="shared" ca="1" si="24"/>
        <v>3.3390231485640701E-2</v>
      </c>
      <c r="L46" s="80">
        <f t="shared" ca="1" si="24"/>
        <v>3.6650266090972987E-2</v>
      </c>
      <c r="M46" s="80">
        <f t="shared" ca="1" si="24"/>
        <v>4.1124713083397088E-2</v>
      </c>
      <c r="N46" s="80">
        <f t="shared" ca="1" si="24"/>
        <v>4.3737821815015961E-2</v>
      </c>
      <c r="O46" s="80">
        <f t="shared" ca="1" si="24"/>
        <v>5.1957831325301199E-2</v>
      </c>
      <c r="P46" s="80">
        <f t="shared" ca="1" si="24"/>
        <v>5.3561011825847167E-2</v>
      </c>
      <c r="Q46" s="80">
        <f t="shared" ca="1" si="24"/>
        <v>4.282371639221226E-2</v>
      </c>
      <c r="R46" s="80">
        <f t="shared" ca="1" si="24"/>
        <v>3.3424381828637148E-2</v>
      </c>
      <c r="S46" s="80">
        <f t="shared" ca="1" si="24"/>
        <v>2.5357827115969799E-2</v>
      </c>
      <c r="T46" s="63"/>
      <c r="U46" s="63"/>
      <c r="V46" s="63"/>
      <c r="W46" s="63"/>
    </row>
    <row r="47" spans="1:23" x14ac:dyDescent="0.2">
      <c r="A47" s="45" t="s">
        <v>34</v>
      </c>
      <c r="B47" s="117">
        <f t="shared" ca="1" si="22"/>
        <v>55</v>
      </c>
      <c r="C47" s="1">
        <f>IF(ISERROR(D47),"",IF(D47="","",MAX($C$13:C46)+1))</f>
        <v>34</v>
      </c>
      <c r="D47" t="str">
        <f t="shared" si="14"/>
        <v xml:space="preserve">PPL Corp.                     </v>
      </c>
      <c r="E47" s="15"/>
      <c r="F47" s="80">
        <f t="shared" ca="1" si="15"/>
        <v>4.3833702578075145E-2</v>
      </c>
      <c r="G47" s="80">
        <f t="shared" si="16"/>
        <v>5.6845753899480066E-2</v>
      </c>
      <c r="H47" s="80">
        <f ca="1">IFERROR(IF(VLOOKUP($A47,LASTYR,'2017'!$Q$3,FALSE)=0,"N/A",VLOOKUP($A47,LASTYR,'2017'!$Q$3,FALSE)),"N/A")</f>
        <v>4.2426358046239364E-2</v>
      </c>
      <c r="I47" s="80">
        <f t="shared" ca="1" si="24"/>
        <v>4.2465217634240382E-2</v>
      </c>
      <c r="J47" s="80">
        <f t="shared" ca="1" si="24"/>
        <v>4.5483489493313926E-2</v>
      </c>
      <c r="K47" s="80">
        <f t="shared" ca="1" si="24"/>
        <v>4.4474956719001847E-2</v>
      </c>
      <c r="L47" s="80">
        <f t="shared" ca="1" si="24"/>
        <v>4.8089505365087673E-2</v>
      </c>
      <c r="M47" s="80">
        <f t="shared" ca="1" si="24"/>
        <v>5.070244005492764E-2</v>
      </c>
      <c r="N47" s="80">
        <f t="shared" ca="1" si="24"/>
        <v>5.1009254536180132E-2</v>
      </c>
      <c r="O47" s="80">
        <f t="shared" ca="1" si="24"/>
        <v>5.124638529960833E-2</v>
      </c>
      <c r="P47" s="80">
        <f t="shared" ca="1" si="24"/>
        <v>4.5146726862302478E-2</v>
      </c>
      <c r="Q47" s="80">
        <f t="shared" ca="1" si="24"/>
        <v>3.100846947748415E-2</v>
      </c>
      <c r="R47" s="80">
        <f t="shared" ca="1" si="24"/>
        <v>2.6872246696035242E-2</v>
      </c>
      <c r="S47" s="80">
        <f t="shared" ca="1" si="24"/>
        <v>3.4067329431075599E-2</v>
      </c>
      <c r="T47" s="63"/>
      <c r="U47" s="63"/>
      <c r="V47" s="63"/>
      <c r="W47" s="63"/>
    </row>
    <row r="48" spans="1:23" x14ac:dyDescent="0.2">
      <c r="A48" s="45" t="s">
        <v>35</v>
      </c>
      <c r="B48" s="117">
        <f t="shared" ca="1" si="22"/>
        <v>56</v>
      </c>
      <c r="C48" s="1">
        <f>IF(ISERROR(D48),"",IF(D48="","",MAX($C$13:C47)+1))</f>
        <v>35</v>
      </c>
      <c r="D48" t="str">
        <f t="shared" si="14"/>
        <v xml:space="preserve">Public Serv. Enterprise       </v>
      </c>
      <c r="E48" s="15"/>
      <c r="F48" s="80">
        <f t="shared" ca="1" si="15"/>
        <v>3.8427742314957034E-2</v>
      </c>
      <c r="G48" s="80">
        <f t="shared" si="16"/>
        <v>3.4985422740524783E-2</v>
      </c>
      <c r="H48" s="80">
        <f ca="1">IFERROR(IF(VLOOKUP($A48,LASTYR,'2017'!$Q$3,FALSE)=0,"N/A",VLOOKUP($A48,LASTYR,'2017'!$Q$3,FALSE)),"N/A")</f>
        <v>3.7408382087474719E-2</v>
      </c>
      <c r="I48" s="80">
        <f t="shared" ca="1" si="24"/>
        <v>3.7759307439044043E-2</v>
      </c>
      <c r="J48" s="80">
        <f t="shared" ca="1" si="24"/>
        <v>3.80859375E-2</v>
      </c>
      <c r="K48" s="80">
        <f t="shared" ca="1" si="24"/>
        <v>3.9241681028768391E-2</v>
      </c>
      <c r="L48" s="80">
        <f t="shared" ca="1" si="24"/>
        <v>4.3537414965986392E-2</v>
      </c>
      <c r="M48" s="80">
        <f t="shared" ca="1" si="24"/>
        <v>4.5508444700830049E-2</v>
      </c>
      <c r="N48" s="80">
        <f t="shared" ca="1" si="24"/>
        <v>4.2379435147090673E-2</v>
      </c>
      <c r="O48" s="80">
        <f t="shared" ca="1" si="24"/>
        <v>4.3038451872329735E-2</v>
      </c>
      <c r="P48" s="80">
        <f t="shared" ca="1" si="24"/>
        <v>4.301423027166882E-2</v>
      </c>
      <c r="Q48" s="80">
        <f t="shared" ca="1" si="24"/>
        <v>3.259798347358047E-2</v>
      </c>
      <c r="R48" s="80">
        <f t="shared" ca="1" si="24"/>
        <v>2.7307099845959949E-2</v>
      </c>
      <c r="S48" s="80">
        <f t="shared" ca="1" si="24"/>
        <v>3.4696859021183343E-2</v>
      </c>
      <c r="T48" s="63"/>
      <c r="U48" s="63"/>
      <c r="V48" s="63"/>
      <c r="W48" s="63"/>
    </row>
    <row r="49" spans="1:23" x14ac:dyDescent="0.2">
      <c r="A49" s="45" t="s">
        <v>36</v>
      </c>
      <c r="B49" s="117">
        <f t="shared" ca="1" si="22"/>
        <v>57</v>
      </c>
      <c r="C49" s="1">
        <f>IF(ISERROR(D49),"",IF(D49="","",MAX($C$13:C48)+1))</f>
        <v>36</v>
      </c>
      <c r="D49" t="str">
        <f t="shared" si="14"/>
        <v xml:space="preserve">SCANA Corp.                   </v>
      </c>
      <c r="E49" s="15"/>
      <c r="F49" s="80">
        <f t="shared" ca="1" si="15"/>
        <v>4.2188621853418921E-2</v>
      </c>
      <c r="G49" s="80">
        <f t="shared" si="16"/>
        <v>2.3614457831325302E-2</v>
      </c>
      <c r="H49" s="80">
        <f ca="1">IFERROR(IF(VLOOKUP($A49,LASTYR,'2017'!$Q$3,FALSE)=0,"N/A",VLOOKUP($A49,LASTYR,'2017'!$Q$3,FALSE)),"N/A")</f>
        <v>4.0342499588341844E-2</v>
      </c>
      <c r="I49" s="80">
        <f t="shared" ca="1" si="24"/>
        <v>3.2917805670449829E-2</v>
      </c>
      <c r="J49" s="80">
        <f t="shared" ca="1" si="24"/>
        <v>3.901565995525727E-2</v>
      </c>
      <c r="K49" s="80">
        <f t="shared" ca="1" si="24"/>
        <v>4.0513948373654358E-2</v>
      </c>
      <c r="L49" s="80">
        <f t="shared" ca="1" si="24"/>
        <v>4.1508199402936242E-2</v>
      </c>
      <c r="M49" s="80">
        <f t="shared" ca="1" si="24"/>
        <v>4.2473775661239464E-2</v>
      </c>
      <c r="N49" s="80">
        <f t="shared" ca="1" si="24"/>
        <v>4.7780897492734349E-2</v>
      </c>
      <c r="O49" s="80">
        <f t="shared" ca="1" si="24"/>
        <v>4.9295591936278957E-2</v>
      </c>
      <c r="P49" s="80">
        <f t="shared" ca="1" si="24"/>
        <v>5.6737588652482268E-2</v>
      </c>
      <c r="Q49" s="80">
        <f t="shared" ca="1" si="24"/>
        <v>4.9238673767026148E-2</v>
      </c>
      <c r="R49" s="80">
        <f t="shared" ca="1" si="24"/>
        <v>4.2946731412117807E-2</v>
      </c>
      <c r="S49" s="80">
        <f t="shared" ca="1" si="24"/>
        <v>4.2066254350602197E-2</v>
      </c>
      <c r="T49" s="63"/>
      <c r="U49" s="63"/>
      <c r="V49" s="63"/>
      <c r="W49" s="63"/>
    </row>
    <row r="50" spans="1:23" x14ac:dyDescent="0.2">
      <c r="A50" s="45" t="s">
        <v>37</v>
      </c>
      <c r="B50" s="117">
        <f t="shared" ca="1" si="22"/>
        <v>58</v>
      </c>
      <c r="C50" s="1">
        <f>IF(ISERROR(D50),"",IF(D50="","",MAX($C$13:C49)+1))</f>
        <v>37</v>
      </c>
      <c r="D50" t="str">
        <f t="shared" si="14"/>
        <v xml:space="preserve">Sempra Energy                 </v>
      </c>
      <c r="E50" s="15"/>
      <c r="F50" s="80">
        <f t="shared" ca="1" si="15"/>
        <v>2.9367898737589999E-2</v>
      </c>
      <c r="G50" s="80">
        <f t="shared" si="16"/>
        <v>3.1444883618796667E-2</v>
      </c>
      <c r="H50" s="80">
        <f ca="1">IFERROR(IF(VLOOKUP($A50,LASTYR,'2017'!$Q$3,FALSE)=0,"N/A",VLOOKUP($A50,LASTYR,'2017'!$Q$3,FALSE)),"N/A")</f>
        <v>2.9202652204400811E-2</v>
      </c>
      <c r="I50" s="80">
        <f t="shared" ca="1" si="24"/>
        <v>2.9223921037352427E-2</v>
      </c>
      <c r="J50" s="80">
        <f t="shared" ca="1" si="24"/>
        <v>2.7140724657348351E-2</v>
      </c>
      <c r="K50" s="80">
        <f t="shared" ca="1" si="24"/>
        <v>2.6070211820471041E-2</v>
      </c>
      <c r="L50" s="80">
        <f t="shared" ca="1" si="24"/>
        <v>3.0337687353277555E-2</v>
      </c>
      <c r="M50" s="80">
        <f t="shared" ca="1" si="24"/>
        <v>3.7058196809906886E-2</v>
      </c>
      <c r="N50" s="80">
        <f t="shared" ca="1" si="24"/>
        <v>3.6490801277178041E-2</v>
      </c>
      <c r="O50" s="80">
        <f t="shared" ca="1" si="24"/>
        <v>3.0810554589982622E-2</v>
      </c>
      <c r="P50" s="80">
        <f t="shared" ca="1" si="24"/>
        <v>3.2345684131953809E-2</v>
      </c>
      <c r="Q50" s="80">
        <f t="shared" ca="1" si="24"/>
        <v>2.6209060299969392E-2</v>
      </c>
      <c r="R50" s="80">
        <f t="shared" ca="1" si="24"/>
        <v>2.078131022809164E-2</v>
      </c>
      <c r="S50" s="80">
        <f t="shared" ca="1" si="24"/>
        <v>2.4666995559940796E-2</v>
      </c>
      <c r="T50" s="63"/>
      <c r="U50" s="63"/>
      <c r="V50" s="63"/>
      <c r="W50" s="63"/>
    </row>
    <row r="51" spans="1:23" x14ac:dyDescent="0.2">
      <c r="A51" s="45" t="s">
        <v>38</v>
      </c>
      <c r="B51" s="117">
        <f t="shared" ca="1" si="22"/>
        <v>62</v>
      </c>
      <c r="C51" s="1">
        <f>IF(ISERROR(D51),"",IF(D51="","",MAX($C$13:C50)+1))</f>
        <v>38</v>
      </c>
      <c r="D51" t="str">
        <f t="shared" si="14"/>
        <v xml:space="preserve">Southern Co.                  </v>
      </c>
      <c r="E51" s="15"/>
      <c r="F51" s="80">
        <f t="shared" ca="1" si="15"/>
        <v>4.7210177187005035E-2</v>
      </c>
      <c r="G51" s="80">
        <f t="shared" si="16"/>
        <v>5.185185185185185E-2</v>
      </c>
      <c r="H51" s="80">
        <f ca="1">IFERROR(IF(VLOOKUP($A51,LASTYR,'2017'!$Q$3,FALSE)=0,"N/A",VLOOKUP($A51,LASTYR,'2017'!$Q$3,FALSE)),"N/A")</f>
        <v>4.6273941735071621E-2</v>
      </c>
      <c r="I51" s="80">
        <f t="shared" ca="1" si="24"/>
        <v>4.4233524355300854E-2</v>
      </c>
      <c r="J51" s="80">
        <f t="shared" ca="1" si="24"/>
        <v>4.7833814707842703E-2</v>
      </c>
      <c r="K51" s="80">
        <f t="shared" ca="1" si="24"/>
        <v>4.6870077854281988E-2</v>
      </c>
      <c r="L51" s="80">
        <f t="shared" ca="1" si="24"/>
        <v>4.606196512745412E-2</v>
      </c>
      <c r="M51" s="80">
        <f t="shared" ca="1" si="24"/>
        <v>4.2888045205721349E-2</v>
      </c>
      <c r="N51" s="80">
        <f t="shared" ca="1" si="24"/>
        <v>4.6349913387775304E-2</v>
      </c>
      <c r="O51" s="80">
        <f t="shared" ca="1" si="24"/>
        <v>5.128423926956225E-2</v>
      </c>
      <c r="P51" s="80">
        <f t="shared" ca="1" si="24"/>
        <v>5.5247385870951293E-2</v>
      </c>
      <c r="Q51" s="80">
        <f t="shared" ca="1" si="24"/>
        <v>4.5830347792537064E-2</v>
      </c>
      <c r="R51" s="80">
        <f t="shared" ca="1" si="24"/>
        <v>4.3854825405554028E-2</v>
      </c>
      <c r="S51" s="80">
        <f t="shared" ca="1" si="24"/>
        <v>4.515237086716084E-2</v>
      </c>
      <c r="T51" s="63"/>
      <c r="U51" s="63"/>
      <c r="V51" s="63"/>
      <c r="W51" s="63"/>
    </row>
    <row r="52" spans="1:23" x14ac:dyDescent="0.2">
      <c r="A52" s="45" t="s">
        <v>42</v>
      </c>
      <c r="B52" s="117">
        <f t="shared" ca="1" si="22"/>
        <v>70</v>
      </c>
      <c r="C52" s="1">
        <f>IF(ISERROR(D52),"",IF(D52="","",MAX($C$13:C51)+1))</f>
        <v>39</v>
      </c>
      <c r="D52" t="str">
        <f t="shared" si="14"/>
        <v xml:space="preserve">Vectren Corp.                 </v>
      </c>
      <c r="E52" s="15"/>
      <c r="F52" s="80">
        <f t="shared" ca="1" si="15"/>
        <v>4.2600099990154558E-2</v>
      </c>
      <c r="G52" s="80">
        <f t="shared" si="16"/>
        <v>2.8153846153846154E-2</v>
      </c>
      <c r="H52" s="80">
        <f ca="1">IFERROR(IF(VLOOKUP($A52,LASTYR,'2017'!$Q$3,FALSE)=0,"N/A",VLOOKUP($A52,LASTYR,'2017'!$Q$3,FALSE)),"N/A")</f>
        <v>2.7943916070202961E-2</v>
      </c>
      <c r="I52" s="80">
        <f t="shared" ca="1" si="24"/>
        <v>3.3126124652380171E-2</v>
      </c>
      <c r="J52" s="80">
        <f t="shared" ca="1" si="24"/>
        <v>3.5952747817154594E-2</v>
      </c>
      <c r="K52" s="80">
        <f t="shared" ca="1" si="24"/>
        <v>3.616994921342747E-2</v>
      </c>
      <c r="L52" s="80">
        <f t="shared" ca="1" si="24"/>
        <v>4.1541556132116728E-2</v>
      </c>
      <c r="M52" s="80">
        <f t="shared" ca="1" si="24"/>
        <v>4.8223785824609573E-2</v>
      </c>
      <c r="N52" s="80">
        <f t="shared" ca="1" si="24"/>
        <v>5.058621571277256E-2</v>
      </c>
      <c r="O52" s="80">
        <f t="shared" ca="1" si="24"/>
        <v>5.5313307493540055E-2</v>
      </c>
      <c r="P52" s="80">
        <f t="shared" ca="1" si="24"/>
        <v>5.8507410938718904E-2</v>
      </c>
      <c r="Q52" s="80">
        <f t="shared" ca="1" si="24"/>
        <v>4.7871368536451679E-2</v>
      </c>
      <c r="R52" s="80">
        <f t="shared" ca="1" si="24"/>
        <v>4.5258543886532908E-2</v>
      </c>
      <c r="S52" s="80">
        <f t="shared" ca="1" si="24"/>
        <v>4.5152527440255497E-2</v>
      </c>
      <c r="T52" s="63"/>
      <c r="U52" s="63"/>
      <c r="V52" s="63"/>
      <c r="W52" s="63"/>
    </row>
    <row r="53" spans="1:23" x14ac:dyDescent="0.2">
      <c r="A53" s="45" t="s">
        <v>44</v>
      </c>
      <c r="B53" s="117">
        <f t="shared" ca="1" si="22"/>
        <v>71</v>
      </c>
      <c r="C53" s="1">
        <f>IF(ISERROR(D53),"",IF(D53="","",MAX($C$13:C52)+1))</f>
        <v>40</v>
      </c>
      <c r="D53" t="str">
        <f t="shared" si="14"/>
        <v>WEC Energy Group</v>
      </c>
      <c r="E53" s="15"/>
      <c r="F53" s="80">
        <f t="shared" ca="1" si="15"/>
        <v>3.0635528980409048E-2</v>
      </c>
      <c r="G53" s="80">
        <f t="shared" si="16"/>
        <v>3.3308214016578748E-2</v>
      </c>
      <c r="H53" s="80">
        <f ca="1">IFERROR(IF(VLOOKUP($A53,LASTYR,'2017'!$Q$3,FALSE)=0,"N/A",VLOOKUP($A53,LASTYR,'2017'!$Q$3,FALSE)),"N/A")</f>
        <v>3.3100463088209554E-2</v>
      </c>
      <c r="I53" s="80">
        <f t="shared" ca="1" si="24"/>
        <v>3.3535449341146981E-2</v>
      </c>
      <c r="J53" s="80">
        <f t="shared" ca="1" si="24"/>
        <v>3.4855071012199278E-2</v>
      </c>
      <c r="K53" s="80">
        <f t="shared" ca="1" si="24"/>
        <v>3.4009897752294578E-2</v>
      </c>
      <c r="L53" s="80">
        <f t="shared" ca="1" si="24"/>
        <v>3.4881475401921498E-2</v>
      </c>
      <c r="M53" s="80">
        <f t="shared" ca="1" si="24"/>
        <v>3.2407907529437181E-2</v>
      </c>
      <c r="N53" s="80">
        <f t="shared" ca="1" si="24"/>
        <v>3.3481424248277637E-2</v>
      </c>
      <c r="O53" s="80">
        <f t="shared" ca="1" si="24"/>
        <v>2.9739776951672865E-2</v>
      </c>
      <c r="P53" s="80">
        <f t="shared" ca="1" si="24"/>
        <v>3.1610002809778028E-2</v>
      </c>
      <c r="Q53" s="80">
        <f t="shared" ca="1" si="24"/>
        <v>2.4129764511372269E-2</v>
      </c>
      <c r="R53" s="80">
        <f t="shared" ca="1" si="24"/>
        <v>2.1376656690893545E-2</v>
      </c>
      <c r="S53" s="80">
        <f t="shared" ca="1" si="24"/>
        <v>2.1825773391535398E-2</v>
      </c>
      <c r="T53" s="63"/>
      <c r="U53" s="63"/>
      <c r="V53" s="63"/>
      <c r="W53" s="63"/>
    </row>
    <row r="54" spans="1:23" x14ac:dyDescent="0.2">
      <c r="A54" s="45" t="s">
        <v>43</v>
      </c>
      <c r="B54" s="117">
        <f t="shared" ca="1" si="22"/>
        <v>72</v>
      </c>
      <c r="C54" s="1">
        <f>IF(ISERROR(D54),"",IF(D54="","",MAX($C$13:C53)+1))</f>
        <v>41</v>
      </c>
      <c r="D54" s="31" t="str">
        <f t="shared" si="14"/>
        <v xml:space="preserve">Westar Energy                 </v>
      </c>
      <c r="E54" s="203"/>
      <c r="F54" s="205">
        <f t="shared" ca="1" si="15"/>
        <v>4.370468711843644E-2</v>
      </c>
      <c r="G54" s="205" t="str">
        <f t="shared" si="16"/>
        <v>N/A</v>
      </c>
      <c r="H54" s="205">
        <f ca="1">IFERROR(IF(VLOOKUP($A54,LASTYR,'2017'!$Q$3,FALSE)=0,"N/A",VLOOKUP($A54,LASTYR,'2017'!$Q$3,FALSE)),"N/A")</f>
        <v>3.0046948356807514E-2</v>
      </c>
      <c r="I54" s="205">
        <f t="shared" ca="1" si="24"/>
        <v>2.8977770999351813E-2</v>
      </c>
      <c r="J54" s="205">
        <f t="shared" ca="1" si="24"/>
        <v>3.7335684098628426E-2</v>
      </c>
      <c r="K54" s="205">
        <f t="shared" ca="1" si="24"/>
        <v>3.8790834280014404E-2</v>
      </c>
      <c r="L54" s="205">
        <f t="shared" ca="1" si="24"/>
        <v>4.2681395932714035E-2</v>
      </c>
      <c r="M54" s="205">
        <f t="shared" ca="1" si="24"/>
        <v>4.5715868947842353E-2</v>
      </c>
      <c r="N54" s="205">
        <f t="shared" ca="1" si="24"/>
        <v>4.8387706498317772E-2</v>
      </c>
      <c r="O54" s="205">
        <f t="shared" ca="1" si="24"/>
        <v>5.3168681931223739E-2</v>
      </c>
      <c r="P54" s="205">
        <f t="shared" ca="1" si="24"/>
        <v>6.2722140915743255E-2</v>
      </c>
      <c r="Q54" s="205">
        <f t="shared" ca="1" si="24"/>
        <v>5.220287115791368E-2</v>
      </c>
      <c r="R54" s="205">
        <f t="shared" ca="1" si="24"/>
        <v>4.1618497109826597E-2</v>
      </c>
      <c r="S54" s="205">
        <f t="shared" ca="1" si="24"/>
        <v>4.2807845192853709E-2</v>
      </c>
      <c r="T54" s="63"/>
      <c r="U54" s="63"/>
      <c r="V54" s="63"/>
      <c r="W54" s="63"/>
    </row>
    <row r="55" spans="1:23" x14ac:dyDescent="0.2">
      <c r="A55" s="45" t="s">
        <v>45</v>
      </c>
      <c r="B55" s="117">
        <f t="shared" ca="1" si="22"/>
        <v>74</v>
      </c>
      <c r="C55" s="1">
        <f>IF(ISERROR(D55),"",IF(D55="","",MAX($C$13:C54)+1))</f>
        <v>42</v>
      </c>
      <c r="D55" t="str">
        <f t="shared" si="14"/>
        <v xml:space="preserve">Xcel Energy Inc.              </v>
      </c>
      <c r="E55" s="15"/>
      <c r="F55" s="80">
        <f t="shared" ca="1" si="15"/>
        <v>4.0063670842972382E-2</v>
      </c>
      <c r="G55" s="80">
        <f t="shared" si="16"/>
        <v>3.3333333333333333E-2</v>
      </c>
      <c r="H55" s="80">
        <f ca="1">IFERROR(IF(VLOOKUP($A55,LASTYR,'2017'!$Q$3,FALSE)=0,"N/A",VLOOKUP($A55,LASTYR,'2017'!$Q$3,FALSE)),"N/A")</f>
        <v>3.0999074333196992E-2</v>
      </c>
      <c r="I55" s="80">
        <f t="shared" ca="1" si="24"/>
        <v>3.3309657351392394E-2</v>
      </c>
      <c r="J55" s="80">
        <f t="shared" ca="1" si="24"/>
        <v>3.6856805551556335E-2</v>
      </c>
      <c r="K55" s="80">
        <f t="shared" ca="1" si="24"/>
        <v>3.8284839203675342E-2</v>
      </c>
      <c r="L55" s="80">
        <f t="shared" ca="1" si="24"/>
        <v>3.8642297650130553E-2</v>
      </c>
      <c r="M55" s="80">
        <f t="shared" ca="1" si="24"/>
        <v>3.9022611232676876E-2</v>
      </c>
      <c r="N55" s="80">
        <f t="shared" ca="1" si="24"/>
        <v>4.2045964812017798E-2</v>
      </c>
      <c r="O55" s="80">
        <f t="shared" ca="1" si="24"/>
        <v>4.5369992287101313E-2</v>
      </c>
      <c r="P55" s="80">
        <f t="shared" ca="1" si="24"/>
        <v>5.1404345521992578E-2</v>
      </c>
      <c r="Q55" s="80">
        <f t="shared" ca="1" si="24"/>
        <v>4.7042338104293861E-2</v>
      </c>
      <c r="R55" s="80">
        <f t="shared" ca="1" si="24"/>
        <v>4.047682590516858E-2</v>
      </c>
      <c r="S55" s="80">
        <f t="shared" ca="1" si="24"/>
        <v>4.4039635672104893E-2</v>
      </c>
      <c r="T55" s="63"/>
      <c r="U55" s="63"/>
      <c r="V55" s="63"/>
      <c r="W55" s="63"/>
    </row>
    <row r="56" spans="1:23" hidden="1" x14ac:dyDescent="0.2">
      <c r="A56" s="45"/>
      <c r="B56" s="117" t="str">
        <f t="shared" ca="1" si="22"/>
        <v/>
      </c>
      <c r="C56" s="1" t="str">
        <f>IF(ISERROR(D56),"",IF(D56="","",MAX($C$13:C55)+1))</f>
        <v/>
      </c>
      <c r="D56" t="e">
        <f t="shared" si="14"/>
        <v>#N/A</v>
      </c>
      <c r="E56" s="15"/>
      <c r="F56" s="80" t="str">
        <f t="shared" ca="1" si="15"/>
        <v>N/A</v>
      </c>
      <c r="G56" s="80" t="str">
        <f t="shared" si="16"/>
        <v>N/A</v>
      </c>
      <c r="H56" s="80" t="str">
        <f ca="1">IFERROR(IF(VLOOKUP($A56,LASTYR,'2017'!$Q$3,FALSE)=0,"N/A",VLOOKUP($A56,LASTYR,'2017'!$Q$3,FALSE)),"N/A")</f>
        <v>N/A</v>
      </c>
      <c r="I56" s="80" t="str">
        <f t="shared" ca="1" si="24"/>
        <v>N/A</v>
      </c>
      <c r="J56" s="80" t="str">
        <f t="shared" ca="1" si="24"/>
        <v>N/A</v>
      </c>
      <c r="K56" s="80" t="str">
        <f t="shared" ca="1" si="24"/>
        <v>N/A</v>
      </c>
      <c r="L56" s="80" t="str">
        <f t="shared" ca="1" si="24"/>
        <v>N/A</v>
      </c>
      <c r="M56" s="80" t="str">
        <f t="shared" ca="1" si="24"/>
        <v>N/A</v>
      </c>
      <c r="N56" s="80" t="str">
        <f t="shared" ca="1" si="24"/>
        <v>N/A</v>
      </c>
      <c r="O56" s="80" t="str">
        <f t="shared" ca="1" si="24"/>
        <v>N/A</v>
      </c>
      <c r="P56" s="80" t="str">
        <f t="shared" ca="1" si="24"/>
        <v>N/A</v>
      </c>
      <c r="Q56" s="80" t="str">
        <f t="shared" ca="1" si="24"/>
        <v>N/A</v>
      </c>
      <c r="R56" s="80" t="str">
        <f t="shared" ca="1" si="24"/>
        <v>N/A</v>
      </c>
      <c r="S56" s="80" t="str">
        <f t="shared" ca="1" si="24"/>
        <v>N/A</v>
      </c>
      <c r="T56" s="63"/>
      <c r="U56" s="63"/>
      <c r="V56" s="63"/>
      <c r="W56" s="63"/>
    </row>
    <row r="57" spans="1:23" hidden="1" x14ac:dyDescent="0.2">
      <c r="A57" s="51"/>
      <c r="B57" s="117" t="str">
        <f t="shared" ca="1" si="22"/>
        <v/>
      </c>
      <c r="C57" s="1" t="str">
        <f>IF(ISERROR(D57),"",IF(D57="","",MAX($C$13:C56)+1))</f>
        <v/>
      </c>
      <c r="D57" t="e">
        <f t="shared" si="14"/>
        <v>#N/A</v>
      </c>
      <c r="F57" s="80" t="str">
        <f t="shared" ca="1" si="15"/>
        <v>N/A</v>
      </c>
      <c r="G57" s="80" t="str">
        <f t="shared" si="16"/>
        <v>N/A</v>
      </c>
      <c r="H57" s="80" t="str">
        <f ca="1">IFERROR(IF(VLOOKUP($A57,LASTYR,'2017'!$Q$3,FALSE)=0,"N/A",VLOOKUP($A57,LASTYR,'2017'!$Q$3,FALSE)),"N/A")</f>
        <v>N/A</v>
      </c>
      <c r="I57" s="80" t="str">
        <f t="shared" ca="1" si="24"/>
        <v>N/A</v>
      </c>
      <c r="J57" s="80" t="str">
        <f t="shared" ca="1" si="24"/>
        <v>N/A</v>
      </c>
      <c r="K57" s="80" t="str">
        <f t="shared" ca="1" si="24"/>
        <v>N/A</v>
      </c>
      <c r="L57" s="80" t="str">
        <f t="shared" ca="1" si="24"/>
        <v>N/A</v>
      </c>
      <c r="M57" s="80" t="str">
        <f t="shared" ca="1" si="24"/>
        <v>N/A</v>
      </c>
      <c r="N57" s="80" t="str">
        <f t="shared" ca="1" si="24"/>
        <v>N/A</v>
      </c>
      <c r="O57" s="80" t="str">
        <f t="shared" ca="1" si="24"/>
        <v>N/A</v>
      </c>
      <c r="P57" s="80" t="str">
        <f t="shared" ca="1" si="24"/>
        <v>N/A</v>
      </c>
      <c r="Q57" s="80" t="str">
        <f t="shared" ca="1" si="24"/>
        <v>N/A</v>
      </c>
      <c r="R57" s="80" t="str">
        <f t="shared" ca="1" si="24"/>
        <v>N/A</v>
      </c>
      <c r="S57" s="80" t="str">
        <f t="shared" ca="1" si="24"/>
        <v>N/A</v>
      </c>
      <c r="T57" s="63"/>
      <c r="U57" s="63"/>
      <c r="V57" s="63"/>
      <c r="W57" s="63"/>
    </row>
    <row r="58" spans="1:23" hidden="1" x14ac:dyDescent="0.2">
      <c r="A58" s="51"/>
      <c r="B58" s="117" t="str">
        <f t="shared" ca="1" si="22"/>
        <v/>
      </c>
      <c r="C58" s="1" t="str">
        <f>IF(ISERROR(D58),"",IF(D58="","",MAX($C$13:C57)+1))</f>
        <v/>
      </c>
      <c r="D58" t="e">
        <f t="shared" si="14"/>
        <v>#N/A</v>
      </c>
      <c r="F58" s="80" t="str">
        <f t="shared" ca="1" si="15"/>
        <v>N/A</v>
      </c>
      <c r="G58" s="80" t="str">
        <f t="shared" si="16"/>
        <v>N/A</v>
      </c>
      <c r="H58" s="80" t="str">
        <f ca="1">IFERROR(IF(VLOOKUP($A58,LASTYR,'2017'!$Q$3,FALSE)=0,"N/A",VLOOKUP($A58,LASTYR,'2017'!$Q$3,FALSE)),"N/A")</f>
        <v>N/A</v>
      </c>
      <c r="I58" s="80" t="str">
        <f t="shared" ca="1" si="24"/>
        <v>N/A</v>
      </c>
      <c r="J58" s="80" t="str">
        <f t="shared" ca="1" si="24"/>
        <v>N/A</v>
      </c>
      <c r="K58" s="80" t="str">
        <f t="shared" ca="1" si="24"/>
        <v>N/A</v>
      </c>
      <c r="L58" s="80" t="str">
        <f t="shared" ca="1" si="24"/>
        <v>N/A</v>
      </c>
      <c r="M58" s="80" t="str">
        <f t="shared" ca="1" si="24"/>
        <v>N/A</v>
      </c>
      <c r="N58" s="80" t="str">
        <f t="shared" ca="1" si="24"/>
        <v>N/A</v>
      </c>
      <c r="O58" s="80" t="str">
        <f t="shared" ca="1" si="24"/>
        <v>N/A</v>
      </c>
      <c r="P58" s="80" t="str">
        <f t="shared" ca="1" si="24"/>
        <v>N/A</v>
      </c>
      <c r="Q58" s="80" t="str">
        <f t="shared" ca="1" si="24"/>
        <v>N/A</v>
      </c>
      <c r="R58" s="80" t="str">
        <f t="shared" ca="1" si="24"/>
        <v>N/A</v>
      </c>
      <c r="S58" s="80" t="str">
        <f t="shared" ca="1" si="24"/>
        <v>N/A</v>
      </c>
      <c r="T58" s="63"/>
      <c r="U58" s="63"/>
      <c r="V58" s="63"/>
      <c r="W58" s="63"/>
    </row>
    <row r="59" spans="1:23" hidden="1" x14ac:dyDescent="0.2">
      <c r="A59" s="51"/>
      <c r="B59" s="117" t="str">
        <f t="shared" ca="1" si="22"/>
        <v/>
      </c>
      <c r="C59" s="1" t="str">
        <f>IF(ISERROR(D59),"",IF(D59="","",MAX($C$13:C58)+1))</f>
        <v/>
      </c>
      <c r="D59" t="e">
        <f t="shared" si="14"/>
        <v>#N/A</v>
      </c>
      <c r="F59" s="80" t="str">
        <f t="shared" ca="1" si="15"/>
        <v>N/A</v>
      </c>
      <c r="G59" s="80" t="str">
        <f t="shared" si="16"/>
        <v>N/A</v>
      </c>
      <c r="H59" s="80" t="str">
        <f ca="1">IFERROR(IF(VLOOKUP($A59,LASTYR,'2017'!$Q$3,FALSE)=0,"N/A",VLOOKUP($A59,LASTYR,'2017'!$Q$3,FALSE)),"N/A")</f>
        <v>N/A</v>
      </c>
      <c r="I59" s="80" t="str">
        <f t="shared" ca="1" si="24"/>
        <v>N/A</v>
      </c>
      <c r="J59" s="80" t="str">
        <f t="shared" ca="1" si="24"/>
        <v>N/A</v>
      </c>
      <c r="K59" s="80" t="str">
        <f t="shared" ca="1" si="24"/>
        <v>N/A</v>
      </c>
      <c r="L59" s="80" t="str">
        <f t="shared" ca="1" si="24"/>
        <v>N/A</v>
      </c>
      <c r="M59" s="80" t="str">
        <f t="shared" ca="1" si="24"/>
        <v>N/A</v>
      </c>
      <c r="N59" s="80" t="str">
        <f t="shared" ca="1" si="24"/>
        <v>N/A</v>
      </c>
      <c r="O59" s="80" t="str">
        <f t="shared" ca="1" si="24"/>
        <v>N/A</v>
      </c>
      <c r="P59" s="80" t="str">
        <f t="shared" ca="1" si="24"/>
        <v>N/A</v>
      </c>
      <c r="Q59" s="80" t="str">
        <f t="shared" ca="1" si="24"/>
        <v>N/A</v>
      </c>
      <c r="R59" s="80" t="str">
        <f t="shared" ca="1" si="24"/>
        <v>N/A</v>
      </c>
      <c r="S59" s="80" t="str">
        <f t="shared" ca="1" si="24"/>
        <v>N/A</v>
      </c>
      <c r="T59" s="63"/>
      <c r="U59" s="63"/>
      <c r="V59" s="63"/>
      <c r="W59" s="63"/>
    </row>
    <row r="60" spans="1:23" x14ac:dyDescent="0.2">
      <c r="A60" s="31"/>
      <c r="B60" s="31"/>
      <c r="C60" s="1" t="str">
        <f>IF(ISERROR(D60),"",IF(D60="","",MAX($C$13:C59)+1))</f>
        <v/>
      </c>
      <c r="F60" s="80"/>
      <c r="G60" s="80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63"/>
      <c r="U60" s="63"/>
      <c r="V60" s="63"/>
      <c r="W60" s="63"/>
    </row>
    <row r="61" spans="1:23" ht="15" x14ac:dyDescent="0.25">
      <c r="A61" s="31"/>
      <c r="B61" s="31"/>
      <c r="C61" s="1">
        <f>IF(ISERROR(D61),"",IF(D61="","",MAX($C$13:C60)+1))</f>
        <v>43</v>
      </c>
      <c r="D61" s="111" t="s">
        <v>98</v>
      </c>
      <c r="E61" s="111"/>
      <c r="F61" s="115">
        <f ca="1">AVERAGE(G61:S61)</f>
        <v>3.9382704881497879E-2</v>
      </c>
      <c r="G61" s="115">
        <f t="shared" ref="G61:S61" si="25">AVERAGE(G14:G60)</f>
        <v>3.4959451325116499E-2</v>
      </c>
      <c r="H61" s="115">
        <f t="shared" ca="1" si="25"/>
        <v>3.3406097052904045E-2</v>
      </c>
      <c r="I61" s="115">
        <f t="shared" ref="I61" ca="1" si="26">AVERAGE(I14:I60)</f>
        <v>3.4857080408313895E-2</v>
      </c>
      <c r="J61" s="115">
        <f t="shared" ca="1" si="25"/>
        <v>3.7132383606324655E-2</v>
      </c>
      <c r="K61" s="115">
        <f t="shared" ca="1" si="25"/>
        <v>3.6626497766093294E-2</v>
      </c>
      <c r="L61" s="115">
        <f t="shared" ca="1" si="25"/>
        <v>3.87024111281771E-2</v>
      </c>
      <c r="M61" s="115">
        <f t="shared" ca="1" si="25"/>
        <v>4.1798480891185888E-2</v>
      </c>
      <c r="N61" s="115">
        <f t="shared" ca="1" si="25"/>
        <v>4.3018938310111818E-2</v>
      </c>
      <c r="O61" s="115">
        <f t="shared" ca="1" si="25"/>
        <v>4.6277642879546561E-2</v>
      </c>
      <c r="P61" s="115">
        <f t="shared" ca="1" si="25"/>
        <v>5.0911191944417351E-2</v>
      </c>
      <c r="Q61" s="115">
        <f t="shared" ca="1" si="25"/>
        <v>4.211628756261266E-2</v>
      </c>
      <c r="R61" s="115">
        <f t="shared" ca="1" si="25"/>
        <v>3.5076999115169927E-2</v>
      </c>
      <c r="S61" s="115">
        <f t="shared" ca="1" si="25"/>
        <v>3.7091701469498785E-2</v>
      </c>
      <c r="T61" s="63"/>
      <c r="U61" s="63"/>
      <c r="V61" s="63"/>
      <c r="W61" s="63"/>
    </row>
    <row r="62" spans="1:23" x14ac:dyDescent="0.2">
      <c r="A62" s="31"/>
      <c r="B62" s="31"/>
      <c r="C62" s="1">
        <f>IF(ISERROR(D62),"",IF(D62="","",MAX($C$13:C61)+1))</f>
        <v>44</v>
      </c>
      <c r="D62" t="s">
        <v>257</v>
      </c>
      <c r="F62" s="80">
        <f ca="1">AVERAGE(G62:S62)</f>
        <v>3.9191292816287235E-2</v>
      </c>
      <c r="G62" s="80">
        <f t="shared" ref="G62:S62" si="27">MEDIAN(G14:G60)</f>
        <v>3.3348815606130976E-2</v>
      </c>
      <c r="H62" s="80">
        <f t="shared" ca="1" si="27"/>
        <v>3.1538338793095352E-2</v>
      </c>
      <c r="I62" s="80">
        <f t="shared" ref="I62" ca="1" si="28">MEDIAN(I14:I60)</f>
        <v>3.4328281354593981E-2</v>
      </c>
      <c r="J62" s="80">
        <f t="shared" ca="1" si="27"/>
        <v>3.7096244825092384E-2</v>
      </c>
      <c r="K62" s="80">
        <f t="shared" ca="1" si="27"/>
        <v>3.7573449954544175E-2</v>
      </c>
      <c r="L62" s="80">
        <f t="shared" ca="1" si="27"/>
        <v>3.8545922804073901E-2</v>
      </c>
      <c r="M62" s="80">
        <f t="shared" ca="1" si="27"/>
        <v>4.1777511500138906E-2</v>
      </c>
      <c r="N62" s="80">
        <f t="shared" ca="1" si="27"/>
        <v>4.4165869230776714E-2</v>
      </c>
      <c r="O62" s="80">
        <f t="shared" ca="1" si="27"/>
        <v>4.7573739295908662E-2</v>
      </c>
      <c r="P62" s="80">
        <f t="shared" ca="1" si="27"/>
        <v>5.1404345521992578E-2</v>
      </c>
      <c r="Q62" s="80">
        <f t="shared" ca="1" si="27"/>
        <v>4.2115396185548402E-2</v>
      </c>
      <c r="R62" s="80">
        <f t="shared" ca="1" si="27"/>
        <v>3.4027967511984301E-2</v>
      </c>
      <c r="S62" s="80">
        <f t="shared" ca="1" si="27"/>
        <v>3.5990924027853838E-2</v>
      </c>
      <c r="T62" s="63"/>
      <c r="U62" s="63"/>
      <c r="V62" s="63"/>
      <c r="W62" s="63"/>
    </row>
    <row r="63" spans="1:23" x14ac:dyDescent="0.2">
      <c r="A63" s="31"/>
      <c r="B63" s="31"/>
      <c r="C63" s="1" t="str">
        <f>IF(ISERROR(D63),"",IF(D63="","",MAX($C$13:C62)+1))</f>
        <v/>
      </c>
      <c r="F63" s="80"/>
      <c r="G63" s="80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63"/>
      <c r="U63" s="63"/>
      <c r="V63" s="63"/>
      <c r="W63" s="63"/>
    </row>
    <row r="64" spans="1:23" ht="16.5" x14ac:dyDescent="0.2">
      <c r="A64" s="31"/>
      <c r="B64" s="31"/>
      <c r="C64" s="1">
        <f>IF(ISERROR(D64),"",IF(D64="","",MAX($C$13:C63)+1))</f>
        <v>45</v>
      </c>
      <c r="D64" t="s">
        <v>491</v>
      </c>
      <c r="F64" s="80">
        <f t="shared" ref="F64:F65" si="29">AVERAGE(G64:S64)</f>
        <v>3.4773193473193471E-2</v>
      </c>
      <c r="G64" s="80">
        <f>VLOOKUP(2018,'Implied Inflation'!$B$13:$F$27,3,0)</f>
        <v>3.0218181818181821E-2</v>
      </c>
      <c r="H64" s="80">
        <f>VLOOKUP(H11,'Implied Inflation'!$B$13:$F$27,3,0)</f>
        <v>2.6525000000000003E-2</v>
      </c>
      <c r="I64" s="80">
        <f>VLOOKUP(I11,'Implied Inflation'!$B$13:$F$27,3,0)</f>
        <v>2.2250000000000002E-2</v>
      </c>
      <c r="J64" s="80">
        <f>VLOOKUP(J11,'Implied Inflation'!$B$13:$F$27,3,0)</f>
        <v>2.5466666666666669E-2</v>
      </c>
      <c r="K64" s="80">
        <f>VLOOKUP(K11,'Implied Inflation'!$B$13:$F$27,3,0)</f>
        <v>3.0741666666666667E-2</v>
      </c>
      <c r="L64" s="80">
        <f>VLOOKUP(L11,'Implied Inflation'!$B$13:$F$27,3,0)</f>
        <v>3.1191666666666666E-2</v>
      </c>
      <c r="M64" s="80">
        <f>VLOOKUP(M11,'Implied Inflation'!$B$13:$F$27,3,0)</f>
        <v>2.5441666666666661E-2</v>
      </c>
      <c r="N64" s="80">
        <f>VLOOKUP(N11,'Implied Inflation'!$B$13:$F$27,3,0)</f>
        <v>3.6208333333333328E-2</v>
      </c>
      <c r="O64" s="80">
        <f>VLOOKUP(O11,'Implied Inflation'!$B$13:$F$27,3,0)</f>
        <v>4.0300000000000002E-2</v>
      </c>
      <c r="P64" s="80">
        <f>VLOOKUP(P11,'Implied Inflation'!$B$13:$F$27,3,0)</f>
        <v>4.1075000000000007E-2</v>
      </c>
      <c r="Q64" s="80">
        <f>VLOOKUP(Q11,'Implied Inflation'!$B$13:$F$27,3,0)</f>
        <v>4.3624999999999997E-2</v>
      </c>
      <c r="R64" s="80">
        <f>VLOOKUP(R11,'Implied Inflation'!$B$13:$F$27,3,0)</f>
        <v>4.9083333333333333E-2</v>
      </c>
      <c r="S64" s="80">
        <f>VLOOKUP(S11,'Implied Inflation'!$B$13:$F$27,3,0)</f>
        <v>4.9924999999999997E-2</v>
      </c>
      <c r="T64" s="63"/>
      <c r="U64" s="63"/>
      <c r="V64" s="63"/>
      <c r="W64" s="63"/>
    </row>
    <row r="65" spans="1:23" ht="16.5" x14ac:dyDescent="0.2">
      <c r="A65" s="31"/>
      <c r="B65" s="31"/>
      <c r="C65" s="1">
        <f>IF(ISERROR(D65),"",IF(D65="","",MAX($C$13:C64)+1))</f>
        <v>46</v>
      </c>
      <c r="D65" t="s">
        <v>492</v>
      </c>
      <c r="F65" s="80">
        <f t="shared" si="29"/>
        <v>1.3015967365967367E-2</v>
      </c>
      <c r="G65" s="80">
        <f>VLOOKUP(2018,'Implied Inflation'!$B$13:$F$27,4,0)</f>
        <v>9.1909090909090899E-3</v>
      </c>
      <c r="H65" s="80">
        <f>VLOOKUP(H11,'Implied Inflation'!$B$13:$F$27,4,0)</f>
        <v>7.4583333333333324E-3</v>
      </c>
      <c r="I65" s="80">
        <f>VLOOKUP(I11,'Implied Inflation'!$B$13:$F$27,4,0)</f>
        <v>6.5750000000000001E-3</v>
      </c>
      <c r="J65" s="80">
        <f>VLOOKUP(J11,'Implied Inflation'!$B$13:$F$27,4,0)</f>
        <v>7.8333333333333328E-3</v>
      </c>
      <c r="K65" s="80">
        <f>VLOOKUP(K11,'Implied Inflation'!$B$13:$F$27,4,0)</f>
        <v>8.6583333333333339E-3</v>
      </c>
      <c r="L65" s="80">
        <f>VLOOKUP(L11,'Implied Inflation'!$B$13:$F$27,4,0)</f>
        <v>7.5166666666666663E-3</v>
      </c>
      <c r="M65" s="80">
        <f>VLOOKUP(M11,'Implied Inflation'!$B$13:$F$27,4,0)</f>
        <v>2.1333333333333339E-3</v>
      </c>
      <c r="N65" s="80">
        <f>VLOOKUP(N11,'Implied Inflation'!$B$13:$F$27,4,0)</f>
        <v>1.1916666666666666E-2</v>
      </c>
      <c r="O65" s="80">
        <f>VLOOKUP(O11,'Implied Inflation'!$B$13:$F$27,4,0)</f>
        <v>1.7316666666666668E-2</v>
      </c>
      <c r="P65" s="80">
        <f>VLOOKUP(P11,'Implied Inflation'!$B$13:$F$27,4,0)</f>
        <v>2.2133333333333324E-2</v>
      </c>
      <c r="Q65" s="80">
        <f>VLOOKUP(Q11,'Implied Inflation'!$B$13:$F$27,4,0)</f>
        <v>2.1850000000000001E-2</v>
      </c>
      <c r="R65" s="80">
        <f>VLOOKUP(R11,'Implied Inflation'!$B$13:$F$27,4,0)</f>
        <v>2.3550000000000001E-2</v>
      </c>
      <c r="S65" s="80">
        <f>VLOOKUP(S11,'Implied Inflation'!$B$13:$F$27,4,0)</f>
        <v>2.3074999999999998E-2</v>
      </c>
      <c r="T65" s="63"/>
      <c r="U65" s="63"/>
      <c r="V65" s="63"/>
      <c r="W65" s="63"/>
    </row>
    <row r="66" spans="1:23" ht="16.5" x14ac:dyDescent="0.2">
      <c r="A66" s="31"/>
      <c r="B66" s="31"/>
      <c r="C66" s="1">
        <f>IF(ISERROR(D66),"",IF(D66="","",MAX($C$13:C65)+1))</f>
        <v>47</v>
      </c>
      <c r="D66" t="s">
        <v>413</v>
      </c>
      <c r="F66" s="80">
        <f>AVERAGE(G66:S66)</f>
        <v>2.1469992737658792E-2</v>
      </c>
      <c r="G66" s="80">
        <f>(1+G64)/(1+G65)-1</f>
        <v>2.0835773031501637E-2</v>
      </c>
      <c r="H66" s="80">
        <f>(1+H64)/(1+H65)-1</f>
        <v>1.8925513875677202E-2</v>
      </c>
      <c r="I66" s="80">
        <f t="shared" ref="I66:S66" si="30">(1+I64)/(1+I65)-1</f>
        <v>1.557261008866706E-2</v>
      </c>
      <c r="J66" s="80">
        <f t="shared" si="30"/>
        <v>1.749627914668439E-2</v>
      </c>
      <c r="K66" s="80">
        <f t="shared" si="30"/>
        <v>2.1893769776683447E-2</v>
      </c>
      <c r="L66" s="80">
        <f t="shared" si="30"/>
        <v>2.3498370581132022E-2</v>
      </c>
      <c r="M66" s="80">
        <f t="shared" si="30"/>
        <v>2.3258714741883901E-2</v>
      </c>
      <c r="N66" s="80">
        <f t="shared" si="30"/>
        <v>2.400559993411866E-2</v>
      </c>
      <c r="O66" s="80">
        <f t="shared" si="30"/>
        <v>2.2592113239076728E-2</v>
      </c>
      <c r="P66" s="80">
        <f t="shared" si="30"/>
        <v>1.8531502739368655E-2</v>
      </c>
      <c r="Q66" s="80">
        <f t="shared" si="30"/>
        <v>2.1309389832167236E-2</v>
      </c>
      <c r="R66" s="80">
        <f t="shared" si="30"/>
        <v>2.4945858368749407E-2</v>
      </c>
      <c r="S66" s="80">
        <f t="shared" si="30"/>
        <v>2.6244410233853932E-2</v>
      </c>
      <c r="T66" s="63"/>
      <c r="U66" s="63"/>
      <c r="V66" s="63"/>
      <c r="W66" s="63"/>
    </row>
    <row r="67" spans="1:23" x14ac:dyDescent="0.2">
      <c r="A67" s="31"/>
      <c r="B67" s="31"/>
      <c r="C67" s="1"/>
      <c r="F67" s="80"/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63"/>
      <c r="U67" s="63"/>
      <c r="V67" s="63"/>
      <c r="W67" s="63"/>
    </row>
    <row r="68" spans="1:23" ht="15" x14ac:dyDescent="0.25">
      <c r="A68" s="31"/>
      <c r="B68" s="31"/>
      <c r="C68" s="1">
        <f>IF(ISERROR(D68),"",IF(D68="","",MAX($C$13:C66)+1))</f>
        <v>48</v>
      </c>
      <c r="D68" s="111" t="s">
        <v>414</v>
      </c>
      <c r="F68" s="115">
        <f ca="1">(1+F61)/(1+F66)-1</f>
        <v>1.7536209845803619E-2</v>
      </c>
      <c r="G68" s="115">
        <f t="shared" ref="G68:S68" si="31">(1+G61)/(1+G66)-1</f>
        <v>1.3835406895736924E-2</v>
      </c>
      <c r="H68" s="115">
        <f t="shared" ca="1" si="31"/>
        <v>1.421162094778361E-2</v>
      </c>
      <c r="I68" s="115">
        <f t="shared" ca="1" si="31"/>
        <v>1.8988765675713948E-2</v>
      </c>
      <c r="J68" s="115">
        <f t="shared" ca="1" si="31"/>
        <v>1.9298453333026266E-2</v>
      </c>
      <c r="K68" s="115">
        <f t="shared" ca="1" si="31"/>
        <v>1.4417083678501585E-2</v>
      </c>
      <c r="L68" s="115">
        <f t="shared" ca="1" si="31"/>
        <v>1.4854972889123852E-2</v>
      </c>
      <c r="M68" s="115">
        <f t="shared" ca="1" si="31"/>
        <v>1.8118356464697838E-2</v>
      </c>
      <c r="N68" s="115">
        <f t="shared" ca="1" si="31"/>
        <v>1.8567611717373866E-2</v>
      </c>
      <c r="O68" s="115">
        <f t="shared" ca="1" si="31"/>
        <v>2.3162245565776507E-2</v>
      </c>
      <c r="P68" s="115">
        <f t="shared" ca="1" si="31"/>
        <v>3.1790562312469239E-2</v>
      </c>
      <c r="Q68" s="115">
        <f t="shared" ca="1" si="31"/>
        <v>2.0372766506988382E-2</v>
      </c>
      <c r="R68" s="115">
        <f t="shared" ca="1" si="31"/>
        <v>9.8845618660723389E-3</v>
      </c>
      <c r="S68" s="115">
        <f t="shared" ca="1" si="31"/>
        <v>1.0569890688294281E-2</v>
      </c>
      <c r="T68" s="63"/>
      <c r="U68" s="63"/>
      <c r="V68" s="63"/>
      <c r="W68" s="63"/>
    </row>
    <row r="69" spans="1:23" ht="15" x14ac:dyDescent="0.25">
      <c r="A69" s="31"/>
      <c r="B69" s="31"/>
      <c r="C69" s="1" t="str">
        <f>IF(ISERROR(D69),"",IF(D69="","",MAX($C$13:C67)+1))</f>
        <v/>
      </c>
      <c r="D69" s="111"/>
      <c r="F69" s="115"/>
      <c r="G69" s="115"/>
      <c r="H69" s="115"/>
      <c r="I69" s="115"/>
      <c r="J69" s="115"/>
      <c r="K69" s="115"/>
      <c r="L69" s="115"/>
      <c r="M69" s="115"/>
      <c r="N69" s="115"/>
      <c r="O69" s="115"/>
      <c r="P69" s="115"/>
      <c r="Q69" s="115"/>
      <c r="R69" s="115"/>
      <c r="S69" s="115"/>
      <c r="T69" s="63"/>
      <c r="U69" s="63"/>
      <c r="V69" s="63"/>
      <c r="W69" s="63"/>
    </row>
    <row r="70" spans="1:23" ht="15" x14ac:dyDescent="0.25">
      <c r="A70" s="31"/>
      <c r="B70" s="31"/>
      <c r="C70" s="1"/>
      <c r="D70" s="240" t="s">
        <v>510</v>
      </c>
      <c r="E70" s="240"/>
    </row>
    <row r="71" spans="1:23" s="102" customFormat="1" ht="15" x14ac:dyDescent="0.25">
      <c r="C71" s="1">
        <f>IF(ISERROR(D71),"",IF(D71="","",MAX($C$13:C69)+1))</f>
        <v>49</v>
      </c>
      <c r="D71" s="111" t="s">
        <v>523</v>
      </c>
      <c r="E71" s="111"/>
      <c r="F71" s="113">
        <f>AVERAGE(G71:S71)</f>
        <v>4.9536525629956814E-2</v>
      </c>
      <c r="G71" s="113">
        <f>VLOOKUP(2018,'Annual Yields (WP)'!$B$6:$C$44,2,FALSE)</f>
        <v>4.254454527705958E-2</v>
      </c>
      <c r="H71" s="113">
        <f>VLOOKUP(H11,'Annual Yields (WP)'!$B$6:$C$43,2,FALSE)</f>
        <v>3.9988761663160968E-2</v>
      </c>
      <c r="I71" s="113">
        <f>VLOOKUP(I11,'Annual Yields (WP)'!$B$6:$C$43,2,FALSE)</f>
        <v>3.930199127182251E-2</v>
      </c>
      <c r="J71" s="113">
        <f>VLOOKUP(J11,'Annual Yields (WP)'!$B$6:$C$43,2,FALSE)</f>
        <v>4.1153967589428117E-2</v>
      </c>
      <c r="K71" s="113">
        <f>VLOOKUP(K11,'Annual Yields (WP)'!$B$6:$C$43,2,FALSE)</f>
        <v>4.2774094021446961E-2</v>
      </c>
      <c r="L71" s="113">
        <f>VLOOKUP(L11,'Annual Yields (WP)'!$B$6:$C$43,2,FALSE)</f>
        <v>4.4759707479483019E-2</v>
      </c>
      <c r="M71" s="113">
        <f>VLOOKUP(M11,'Annual Yields (WP)'!$B$6:$C$43,2,FALSE)</f>
        <v>4.1308564221010043E-2</v>
      </c>
      <c r="N71" s="113">
        <f>VLOOKUP(N11,'Annual Yields (WP)'!$B$6:$C$43,2,FALSE)</f>
        <v>5.0407157265811221E-2</v>
      </c>
      <c r="O71" s="113">
        <f>VLOOKUP(O11,'Annual Yields (WP)'!$B$6:$C$43,2,FALSE)</f>
        <v>5.4644377733549555E-2</v>
      </c>
      <c r="P71" s="113">
        <f>VLOOKUP(P11,'Annual Yields (WP)'!$B$6:$C$43,2,FALSE)</f>
        <v>6.0391666666666656E-2</v>
      </c>
      <c r="Q71" s="113">
        <f>VLOOKUP(Q11,'Annual Yields (WP)'!$B$6:$C$43,2,FALSE)</f>
        <v>6.5283333333333332E-2</v>
      </c>
      <c r="R71" s="113">
        <f>VLOOKUP(R11,'Annual Yields (WP)'!$B$6:$C$43,2,FALSE)</f>
        <v>6.0733333333333334E-2</v>
      </c>
      <c r="S71" s="113">
        <f>VLOOKUP(S11,'Annual Yields (WP)'!$B$6:$C$43,2,FALSE)</f>
        <v>6.0683333333333332E-2</v>
      </c>
      <c r="T71" s="112"/>
      <c r="U71" s="112"/>
      <c r="V71" s="112"/>
      <c r="W71" s="112"/>
    </row>
    <row r="72" spans="1:23" s="102" customFormat="1" ht="15" x14ac:dyDescent="0.25">
      <c r="C72" s="1">
        <f>IF(ISERROR(D72),"",IF(D72="","",MAX($C$13:C71)+1))</f>
        <v>50</v>
      </c>
      <c r="D72" s="111" t="s">
        <v>524</v>
      </c>
      <c r="E72" s="111"/>
      <c r="F72" s="113">
        <f>AVERAGE(G72:S72)</f>
        <v>2.747355867298076E-2</v>
      </c>
      <c r="G72" s="113">
        <f>(1+G71)/(1+G66)-1</f>
        <v>2.1265685254241218E-2</v>
      </c>
      <c r="H72" s="113">
        <f>(1+H71)/(1+H66)-1</f>
        <v>2.0672019201252168E-2</v>
      </c>
      <c r="I72" s="113">
        <f t="shared" ref="I72:S72" si="32">(1+I71)/(1+I66)-1</f>
        <v>2.3365519065233098E-2</v>
      </c>
      <c r="J72" s="113">
        <f t="shared" si="32"/>
        <v>2.3250884477517886E-2</v>
      </c>
      <c r="K72" s="113">
        <f t="shared" si="32"/>
        <v>2.0432969514362131E-2</v>
      </c>
      <c r="L72" s="113">
        <f t="shared" si="32"/>
        <v>2.0773200534045744E-2</v>
      </c>
      <c r="M72" s="113">
        <f t="shared" si="32"/>
        <v>1.763957562157592E-2</v>
      </c>
      <c r="N72" s="113">
        <f t="shared" si="32"/>
        <v>2.5782629834632864E-2</v>
      </c>
      <c r="O72" s="113">
        <f t="shared" si="32"/>
        <v>3.1344134263804113E-2</v>
      </c>
      <c r="P72" s="113">
        <f t="shared" si="32"/>
        <v>4.1098546107522393E-2</v>
      </c>
      <c r="Q72" s="113">
        <f t="shared" si="32"/>
        <v>4.3056437098255129E-2</v>
      </c>
      <c r="R72" s="113">
        <f t="shared" si="32"/>
        <v>3.4916454047183798E-2</v>
      </c>
      <c r="S72" s="113">
        <f t="shared" si="32"/>
        <v>3.3558207729123435E-2</v>
      </c>
      <c r="T72" s="112"/>
      <c r="U72" s="112"/>
      <c r="V72" s="112"/>
      <c r="W72" s="112"/>
    </row>
    <row r="73" spans="1:23" s="102" customFormat="1" ht="15" x14ac:dyDescent="0.25">
      <c r="C73" s="114"/>
      <c r="D73" s="111"/>
      <c r="E73" s="111"/>
      <c r="F73" s="113"/>
      <c r="G73" s="113"/>
      <c r="H73" s="113"/>
      <c r="I73" s="113"/>
      <c r="J73" s="113"/>
      <c r="K73" s="113"/>
      <c r="L73" s="113"/>
      <c r="M73" s="113"/>
      <c r="N73" s="113"/>
      <c r="O73" s="113"/>
      <c r="P73" s="113"/>
      <c r="Q73" s="113"/>
      <c r="R73" s="113"/>
      <c r="S73" s="113"/>
      <c r="T73" s="112"/>
      <c r="U73" s="112"/>
      <c r="V73" s="112"/>
      <c r="W73" s="112"/>
    </row>
    <row r="74" spans="1:23" s="102" customFormat="1" ht="15" x14ac:dyDescent="0.25">
      <c r="C74" s="114"/>
      <c r="D74" s="240" t="s">
        <v>509</v>
      </c>
      <c r="E74" s="240"/>
      <c r="F74" s="8"/>
      <c r="G74" s="8"/>
      <c r="H74" s="8"/>
      <c r="I74" s="8"/>
      <c r="J74" s="8"/>
      <c r="K74" s="8"/>
      <c r="L74" s="8"/>
      <c r="M74" s="8"/>
      <c r="N74" s="8"/>
      <c r="O74" s="8"/>
      <c r="P74" s="108"/>
      <c r="Q74" s="108"/>
      <c r="R74" s="108"/>
      <c r="S74" s="108"/>
      <c r="T74" s="108"/>
      <c r="U74" s="108"/>
      <c r="V74" s="108"/>
    </row>
    <row r="75" spans="1:23" s="102" customFormat="1" ht="17.25" x14ac:dyDescent="0.25">
      <c r="C75" s="114">
        <f>IF(ISERROR(D75),"",IF(D75="","",MAX($C$13:C74)+1))</f>
        <v>51</v>
      </c>
      <c r="D75" s="111" t="s">
        <v>417</v>
      </c>
      <c r="E75"/>
      <c r="F75" s="110">
        <f t="shared" ref="F75:S75" ca="1" si="33">F71-F61</f>
        <v>1.0153820748458935E-2</v>
      </c>
      <c r="G75" s="110">
        <f t="shared" si="33"/>
        <v>7.585093951943081E-3</v>
      </c>
      <c r="H75" s="110">
        <f t="shared" ca="1" si="33"/>
        <v>6.5826646102569233E-3</v>
      </c>
      <c r="I75" s="110">
        <f t="shared" ref="I75" ca="1" si="34">I71-I61</f>
        <v>4.4449108635086151E-3</v>
      </c>
      <c r="J75" s="110">
        <f t="shared" ca="1" si="33"/>
        <v>4.0215839831034619E-3</v>
      </c>
      <c r="K75" s="110">
        <f t="shared" ca="1" si="33"/>
        <v>6.147596255353667E-3</v>
      </c>
      <c r="L75" s="110">
        <f t="shared" ca="1" si="33"/>
        <v>6.0572963513059186E-3</v>
      </c>
      <c r="M75" s="110">
        <f t="shared" ca="1" si="33"/>
        <v>-4.8991667017584534E-4</v>
      </c>
      <c r="N75" s="110">
        <f t="shared" ca="1" si="33"/>
        <v>7.3882189556994035E-3</v>
      </c>
      <c r="O75" s="110">
        <f t="shared" ca="1" si="33"/>
        <v>8.366734854002994E-3</v>
      </c>
      <c r="P75" s="110">
        <f t="shared" ca="1" si="33"/>
        <v>9.4804747222493047E-3</v>
      </c>
      <c r="Q75" s="110">
        <f t="shared" ca="1" si="33"/>
        <v>2.3167045770720672E-2</v>
      </c>
      <c r="R75" s="110">
        <f t="shared" ca="1" si="33"/>
        <v>2.5656334218163407E-2</v>
      </c>
      <c r="S75" s="110">
        <f t="shared" ca="1" si="33"/>
        <v>2.3591631863834547E-2</v>
      </c>
      <c r="T75" s="41"/>
      <c r="U75" s="41"/>
      <c r="V75" s="41"/>
      <c r="W75" s="41"/>
    </row>
    <row r="76" spans="1:23" s="102" customFormat="1" ht="17.25" x14ac:dyDescent="0.25">
      <c r="C76" s="114">
        <f>IF(ISERROR(D76),"",IF(D76="","",MAX($C$13:C75)+1))</f>
        <v>52</v>
      </c>
      <c r="D76" s="111" t="s">
        <v>415</v>
      </c>
      <c r="E76"/>
      <c r="F76" s="110">
        <f ca="1">F72-F68</f>
        <v>9.9373488271771414E-3</v>
      </c>
      <c r="G76" s="110">
        <f>G72-G68</f>
        <v>7.4302783585042942E-3</v>
      </c>
      <c r="H76" s="110">
        <f ca="1">H72-H68</f>
        <v>6.4603982534685578E-3</v>
      </c>
      <c r="I76" s="110">
        <f t="shared" ref="I76" ca="1" si="35">I72-I68</f>
        <v>4.3767533895191502E-3</v>
      </c>
      <c r="J76" s="110">
        <f t="shared" ref="J76:S76" ca="1" si="36">J72-J68</f>
        <v>3.9524311444916194E-3</v>
      </c>
      <c r="K76" s="110">
        <f t="shared" ca="1" si="36"/>
        <v>6.015885835860546E-3</v>
      </c>
      <c r="L76" s="110">
        <f t="shared" ca="1" si="36"/>
        <v>5.9182276449218918E-3</v>
      </c>
      <c r="M76" s="110">
        <f t="shared" ca="1" si="36"/>
        <v>-4.787808431219176E-4</v>
      </c>
      <c r="N76" s="110">
        <f t="shared" ca="1" si="36"/>
        <v>7.2150181172589978E-3</v>
      </c>
      <c r="O76" s="110">
        <f t="shared" ca="1" si="36"/>
        <v>8.1818886980276062E-3</v>
      </c>
      <c r="P76" s="110">
        <f t="shared" ca="1" si="36"/>
        <v>9.3079837950531541E-3</v>
      </c>
      <c r="Q76" s="110">
        <f t="shared" ca="1" si="36"/>
        <v>2.2683670591266747E-2</v>
      </c>
      <c r="R76" s="110">
        <f t="shared" ca="1" si="36"/>
        <v>2.5031892181111459E-2</v>
      </c>
      <c r="S76" s="110">
        <f t="shared" ca="1" si="36"/>
        <v>2.2988317040829154E-2</v>
      </c>
      <c r="T76" s="41"/>
      <c r="U76" s="41"/>
      <c r="V76" s="41"/>
      <c r="W76" s="41"/>
    </row>
    <row r="77" spans="1:23" s="102" customFormat="1" ht="15" x14ac:dyDescent="0.25">
      <c r="C77" s="114" t="str">
        <f>IF(ISERROR(D77),"",IF(D77="","",MAX($C$13:C76)+1))</f>
        <v/>
      </c>
      <c r="D77" s="111"/>
      <c r="E77"/>
      <c r="F77" s="110"/>
      <c r="G77" s="110"/>
      <c r="H77" s="110"/>
      <c r="I77" s="110"/>
      <c r="J77" s="110"/>
      <c r="K77" s="110"/>
      <c r="L77" s="110"/>
      <c r="M77" s="110"/>
      <c r="N77" s="110"/>
      <c r="O77" s="110"/>
      <c r="P77" s="110"/>
      <c r="Q77" s="110"/>
      <c r="R77" s="110"/>
      <c r="S77" s="110"/>
      <c r="T77" s="41"/>
      <c r="U77" s="41"/>
      <c r="V77" s="41"/>
      <c r="W77" s="41"/>
    </row>
    <row r="78" spans="1:23" s="102" customFormat="1" ht="15" x14ac:dyDescent="0.25">
      <c r="C78" s="114"/>
      <c r="D78" s="239" t="s">
        <v>508</v>
      </c>
      <c r="E78" s="239"/>
      <c r="F78" s="110"/>
      <c r="G78" s="110"/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41"/>
      <c r="U78" s="41"/>
      <c r="V78" s="41"/>
      <c r="W78" s="41"/>
    </row>
    <row r="79" spans="1:23" s="102" customFormat="1" ht="17.25" x14ac:dyDescent="0.25">
      <c r="C79" s="114">
        <f>IF(ISERROR(D79),"",IF(D79="","",MAX($C$13:C78)+1))</f>
        <v>53</v>
      </c>
      <c r="D79" s="111" t="s">
        <v>501</v>
      </c>
      <c r="E79"/>
      <c r="F79" s="110">
        <f ca="1">F64-F61</f>
        <v>-4.6095114083044078E-3</v>
      </c>
      <c r="G79" s="110">
        <f>G64-G61</f>
        <v>-4.7412695069346776E-3</v>
      </c>
      <c r="H79" s="110">
        <f ca="1">H64-H61</f>
        <v>-6.8810970529040415E-3</v>
      </c>
      <c r="I79" s="110">
        <f t="shared" ref="I79:S79" ca="1" si="37">I64-I61</f>
        <v>-1.2607080408313893E-2</v>
      </c>
      <c r="J79" s="110">
        <f t="shared" ca="1" si="37"/>
        <v>-1.1665716939657986E-2</v>
      </c>
      <c r="K79" s="110">
        <f t="shared" ca="1" si="37"/>
        <v>-5.8848310994266267E-3</v>
      </c>
      <c r="L79" s="110">
        <f t="shared" ca="1" si="37"/>
        <v>-7.5107444615104338E-3</v>
      </c>
      <c r="M79" s="110">
        <f t="shared" ca="1" si="37"/>
        <v>-1.6356814224519227E-2</v>
      </c>
      <c r="N79" s="110">
        <f t="shared" ca="1" si="37"/>
        <v>-6.8106049767784893E-3</v>
      </c>
      <c r="O79" s="110">
        <f t="shared" ca="1" si="37"/>
        <v>-5.9776428795465589E-3</v>
      </c>
      <c r="P79" s="110">
        <f t="shared" ca="1" si="37"/>
        <v>-9.836191944417344E-3</v>
      </c>
      <c r="Q79" s="110">
        <f t="shared" ca="1" si="37"/>
        <v>1.508712437387337E-3</v>
      </c>
      <c r="R79" s="110">
        <f t="shared" ca="1" si="37"/>
        <v>1.4006334218163406E-2</v>
      </c>
      <c r="S79" s="110">
        <f t="shared" ca="1" si="37"/>
        <v>1.2833298530501212E-2</v>
      </c>
      <c r="T79" s="41"/>
      <c r="U79" s="41"/>
      <c r="V79" s="41"/>
      <c r="W79" s="41"/>
    </row>
    <row r="80" spans="1:23" s="102" customFormat="1" ht="17.25" x14ac:dyDescent="0.25">
      <c r="C80" s="114">
        <f>IF(ISERROR(D80),"",IF(D80="","",MAX($C$13:C79)+1))</f>
        <v>54</v>
      </c>
      <c r="D80" s="111" t="s">
        <v>502</v>
      </c>
      <c r="E80" s="10"/>
      <c r="F80" s="110">
        <f ca="1">F65-F68</f>
        <v>-4.5202424798362513E-3</v>
      </c>
      <c r="G80" s="110">
        <f>G65-G68</f>
        <v>-4.6444978048278338E-3</v>
      </c>
      <c r="H80" s="110">
        <f t="shared" ref="H80:S80" ca="1" si="38">H65-H68</f>
        <v>-6.7532876144502773E-3</v>
      </c>
      <c r="I80" s="110">
        <f t="shared" ca="1" si="38"/>
        <v>-1.2413765675713947E-2</v>
      </c>
      <c r="J80" s="110">
        <f t="shared" ca="1" si="38"/>
        <v>-1.1465119999692934E-2</v>
      </c>
      <c r="K80" s="110">
        <f t="shared" ca="1" si="38"/>
        <v>-5.7587503451682516E-3</v>
      </c>
      <c r="L80" s="110">
        <f t="shared" ca="1" si="38"/>
        <v>-7.3383062224571857E-3</v>
      </c>
      <c r="M80" s="110">
        <f t="shared" ca="1" si="38"/>
        <v>-1.5985023131364504E-2</v>
      </c>
      <c r="N80" s="110">
        <f t="shared" ca="1" si="38"/>
        <v>-6.6509450507072007E-3</v>
      </c>
      <c r="O80" s="110">
        <f t="shared" ca="1" si="38"/>
        <v>-5.8455788991098392E-3</v>
      </c>
      <c r="P80" s="110">
        <f t="shared" ca="1" si="38"/>
        <v>-9.657228979135915E-3</v>
      </c>
      <c r="Q80" s="110">
        <f t="shared" ca="1" si="38"/>
        <v>1.477233493011619E-3</v>
      </c>
      <c r="R80" s="110">
        <f t="shared" ca="1" si="38"/>
        <v>1.3665438133927663E-2</v>
      </c>
      <c r="S80" s="110">
        <f t="shared" ca="1" si="38"/>
        <v>1.2505109311705717E-2</v>
      </c>
      <c r="T80" s="41"/>
      <c r="U80" s="41"/>
      <c r="V80" s="41"/>
      <c r="W80" s="41"/>
    </row>
    <row r="81" spans="2:23" s="102" customFormat="1" ht="15" x14ac:dyDescent="0.25">
      <c r="C81" s="1"/>
      <c r="D81" s="111"/>
      <c r="E81"/>
      <c r="F81" s="110"/>
      <c r="G81" s="110"/>
      <c r="H81" s="110"/>
      <c r="I81" s="110"/>
      <c r="J81" s="110"/>
      <c r="K81" s="110"/>
      <c r="L81" s="110"/>
      <c r="M81" s="110"/>
      <c r="N81" s="110"/>
      <c r="O81" s="110"/>
      <c r="P81" s="110"/>
      <c r="Q81" s="110"/>
      <c r="R81" s="110"/>
      <c r="S81" s="110"/>
      <c r="T81" s="41"/>
      <c r="U81" s="41"/>
      <c r="V81" s="41"/>
      <c r="W81" s="41"/>
    </row>
    <row r="82" spans="2:23" s="102" customFormat="1" ht="15" x14ac:dyDescent="0.25">
      <c r="C82" s="10"/>
      <c r="D82" s="10"/>
      <c r="E82" s="10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</row>
    <row r="83" spans="2:23" s="102" customFormat="1" x14ac:dyDescent="0.2">
      <c r="B83" s="105"/>
      <c r="C83" s="106"/>
      <c r="E83" s="20"/>
      <c r="F83" s="104"/>
      <c r="G83" s="104"/>
      <c r="H83" s="104"/>
      <c r="I83" s="104"/>
      <c r="J83" s="104"/>
      <c r="K83" s="104"/>
      <c r="L83" s="104"/>
      <c r="M83" s="104"/>
      <c r="N83" s="104"/>
      <c r="O83" s="104"/>
      <c r="P83" s="104"/>
      <c r="Q83" s="104"/>
      <c r="R83" s="104"/>
      <c r="S83" s="104"/>
      <c r="T83" s="104"/>
      <c r="U83" s="104"/>
      <c r="V83" s="104"/>
      <c r="W83" s="104"/>
    </row>
    <row r="84" spans="2:23" s="102" customFormat="1" x14ac:dyDescent="0.2">
      <c r="B84" s="105"/>
      <c r="C84" s="106"/>
      <c r="E84" s="20"/>
      <c r="F84" s="104"/>
      <c r="G84" s="104"/>
      <c r="H84" s="104"/>
      <c r="I84" s="104"/>
      <c r="J84" s="104"/>
      <c r="K84" s="104"/>
      <c r="L84" s="104"/>
      <c r="M84" s="104"/>
      <c r="N84" s="104"/>
      <c r="O84" s="104"/>
      <c r="P84" s="104"/>
      <c r="Q84" s="104"/>
      <c r="R84" s="104"/>
      <c r="S84" s="104"/>
      <c r="T84" s="104"/>
      <c r="U84" s="104"/>
      <c r="V84" s="104"/>
      <c r="W84" s="104"/>
    </row>
    <row r="85" spans="2:23" s="102" customFormat="1" x14ac:dyDescent="0.2">
      <c r="B85" s="105"/>
      <c r="C85" s="106"/>
      <c r="E85" s="20"/>
      <c r="F85" s="104"/>
      <c r="G85" s="104"/>
      <c r="H85" s="104"/>
      <c r="I85" s="104"/>
      <c r="J85" s="104"/>
      <c r="K85" s="104"/>
      <c r="L85" s="104"/>
      <c r="M85" s="104"/>
      <c r="N85" s="104"/>
      <c r="O85" s="104"/>
      <c r="P85" s="104"/>
      <c r="Q85" s="104"/>
      <c r="R85" s="104"/>
      <c r="S85" s="104"/>
      <c r="T85" s="104"/>
      <c r="U85" s="104"/>
      <c r="V85" s="104"/>
      <c r="W85" s="104"/>
    </row>
    <row r="86" spans="2:23" s="102" customFormat="1" x14ac:dyDescent="0.2">
      <c r="B86" s="105"/>
      <c r="C86" s="106"/>
      <c r="E86" s="20"/>
      <c r="F86" s="104"/>
      <c r="G86" s="104"/>
      <c r="H86" s="104"/>
      <c r="I86" s="104"/>
      <c r="J86" s="104"/>
      <c r="K86" s="104"/>
      <c r="L86" s="104"/>
      <c r="M86" s="104"/>
      <c r="N86" s="104"/>
      <c r="O86" s="104"/>
      <c r="P86" s="104"/>
      <c r="Q86" s="104"/>
      <c r="R86" s="104"/>
      <c r="S86" s="104"/>
      <c r="T86" s="104"/>
      <c r="U86" s="104"/>
      <c r="V86" s="104"/>
      <c r="W86" s="104"/>
    </row>
    <row r="87" spans="2:23" s="102" customFormat="1" x14ac:dyDescent="0.2">
      <c r="B87" s="105"/>
      <c r="C87" s="106"/>
      <c r="E87" s="20"/>
      <c r="F87" s="104"/>
      <c r="G87" s="104"/>
      <c r="H87" s="104"/>
      <c r="I87" s="104"/>
      <c r="J87" s="104"/>
      <c r="K87" s="104"/>
      <c r="L87" s="104"/>
      <c r="M87" s="104"/>
      <c r="N87" s="104"/>
      <c r="O87" s="104"/>
      <c r="P87" s="104"/>
      <c r="Q87" s="104"/>
      <c r="R87" s="104"/>
      <c r="S87" s="104"/>
      <c r="T87" s="104"/>
      <c r="U87" s="104"/>
      <c r="V87" s="104"/>
      <c r="W87" s="104"/>
    </row>
    <row r="88" spans="2:23" s="102" customFormat="1" x14ac:dyDescent="0.2">
      <c r="B88" s="105"/>
      <c r="C88" s="106"/>
      <c r="E88" s="20"/>
      <c r="F88" s="104"/>
      <c r="G88" s="104"/>
      <c r="H88" s="104"/>
      <c r="I88" s="104"/>
      <c r="J88" s="104"/>
      <c r="K88" s="104"/>
      <c r="L88" s="104"/>
      <c r="M88" s="104"/>
      <c r="N88" s="104"/>
      <c r="O88" s="104"/>
      <c r="P88" s="104"/>
      <c r="Q88" s="104"/>
      <c r="R88" s="104"/>
      <c r="S88" s="104"/>
      <c r="T88" s="104"/>
      <c r="U88" s="104"/>
      <c r="V88" s="104"/>
      <c r="W88" s="104"/>
    </row>
    <row r="89" spans="2:23" s="102" customFormat="1" x14ac:dyDescent="0.2">
      <c r="B89" s="105"/>
      <c r="C89" s="106"/>
      <c r="E89" s="20"/>
      <c r="F89" s="104"/>
      <c r="G89" s="104"/>
      <c r="H89" s="104"/>
      <c r="I89" s="104"/>
      <c r="J89" s="104"/>
      <c r="K89" s="104"/>
      <c r="L89" s="104"/>
      <c r="M89" s="104"/>
      <c r="N89" s="104"/>
      <c r="O89" s="104"/>
      <c r="P89" s="104"/>
      <c r="Q89" s="104"/>
      <c r="R89" s="104"/>
      <c r="S89" s="104"/>
      <c r="T89" s="104"/>
      <c r="U89" s="104"/>
      <c r="V89" s="104"/>
      <c r="W89" s="104"/>
    </row>
    <row r="90" spans="2:23" s="102" customFormat="1" x14ac:dyDescent="0.2">
      <c r="B90" s="105"/>
      <c r="C90" s="106"/>
      <c r="E90" s="20"/>
      <c r="F90" s="104"/>
      <c r="G90" s="104"/>
      <c r="H90" s="104"/>
      <c r="I90" s="104"/>
      <c r="J90" s="104"/>
      <c r="K90" s="104"/>
      <c r="L90" s="104"/>
      <c r="M90" s="104"/>
      <c r="N90" s="104"/>
      <c r="O90" s="104"/>
      <c r="P90" s="104"/>
      <c r="Q90" s="104"/>
      <c r="R90" s="104"/>
      <c r="S90" s="104"/>
      <c r="T90" s="104"/>
      <c r="U90" s="104"/>
      <c r="V90" s="104"/>
      <c r="W90" s="104"/>
    </row>
    <row r="91" spans="2:23" s="102" customFormat="1" x14ac:dyDescent="0.2">
      <c r="B91" s="105"/>
      <c r="C91" s="106"/>
      <c r="E91" s="20"/>
      <c r="F91" s="104"/>
      <c r="G91" s="104"/>
      <c r="H91" s="104"/>
      <c r="I91" s="104"/>
      <c r="J91" s="104"/>
      <c r="K91" s="104"/>
      <c r="L91" s="104"/>
      <c r="M91" s="104"/>
      <c r="N91" s="104"/>
      <c r="O91" s="104"/>
      <c r="P91" s="104"/>
      <c r="Q91" s="104"/>
      <c r="R91" s="104"/>
      <c r="S91" s="104"/>
      <c r="T91" s="104"/>
      <c r="U91" s="104"/>
      <c r="V91" s="104"/>
      <c r="W91" s="104"/>
    </row>
    <row r="92" spans="2:23" s="102" customFormat="1" x14ac:dyDescent="0.2">
      <c r="B92" s="105"/>
      <c r="C92" s="106"/>
      <c r="E92" s="20"/>
      <c r="F92" s="104"/>
      <c r="G92" s="104"/>
      <c r="H92" s="104"/>
      <c r="I92" s="104"/>
      <c r="J92" s="104"/>
      <c r="K92" s="104"/>
      <c r="L92" s="104"/>
      <c r="M92" s="104"/>
      <c r="N92" s="104"/>
      <c r="O92" s="104"/>
      <c r="P92" s="104"/>
      <c r="Q92" s="104"/>
      <c r="R92" s="104"/>
      <c r="S92" s="104"/>
      <c r="T92" s="104"/>
      <c r="U92" s="104"/>
      <c r="V92" s="104"/>
      <c r="W92" s="104"/>
    </row>
    <row r="93" spans="2:23" s="102" customFormat="1" x14ac:dyDescent="0.2">
      <c r="B93" s="105"/>
      <c r="C93" s="106"/>
      <c r="E93" s="20"/>
      <c r="F93" s="104"/>
      <c r="G93" s="104"/>
      <c r="H93" s="104"/>
      <c r="I93" s="104"/>
      <c r="J93" s="104"/>
      <c r="K93" s="104"/>
      <c r="L93" s="104"/>
      <c r="M93" s="104"/>
      <c r="N93" s="104"/>
      <c r="O93" s="104"/>
      <c r="P93" s="104"/>
      <c r="Q93" s="104"/>
      <c r="R93" s="104"/>
      <c r="S93" s="104"/>
      <c r="T93" s="104"/>
      <c r="U93" s="104"/>
      <c r="V93" s="104"/>
      <c r="W93" s="104"/>
    </row>
    <row r="94" spans="2:23" s="102" customFormat="1" x14ac:dyDescent="0.2">
      <c r="B94" s="105"/>
      <c r="C94" s="106"/>
      <c r="E94" s="20"/>
      <c r="F94" s="104"/>
      <c r="G94" s="104"/>
      <c r="H94" s="104"/>
      <c r="I94" s="104"/>
      <c r="J94" s="104"/>
      <c r="K94" s="104"/>
      <c r="L94" s="104"/>
      <c r="M94" s="104"/>
      <c r="N94" s="104"/>
      <c r="O94" s="104"/>
      <c r="P94" s="104"/>
      <c r="Q94" s="104"/>
      <c r="R94" s="104"/>
      <c r="S94" s="104"/>
      <c r="T94" s="104"/>
      <c r="U94" s="104"/>
      <c r="V94" s="104"/>
      <c r="W94" s="104"/>
    </row>
    <row r="95" spans="2:23" s="102" customFormat="1" x14ac:dyDescent="0.2">
      <c r="B95" s="105"/>
      <c r="C95" s="106"/>
      <c r="E95" s="20"/>
      <c r="F95" s="104"/>
      <c r="G95" s="104"/>
      <c r="H95" s="104"/>
      <c r="I95" s="104"/>
      <c r="J95" s="104"/>
      <c r="K95" s="104"/>
      <c r="L95" s="104"/>
      <c r="M95" s="104"/>
      <c r="N95" s="104"/>
      <c r="O95" s="104"/>
      <c r="P95" s="104"/>
      <c r="Q95" s="104"/>
      <c r="R95" s="104"/>
      <c r="S95" s="104"/>
      <c r="T95" s="104"/>
      <c r="U95" s="104"/>
      <c r="V95" s="104"/>
      <c r="W95" s="104"/>
    </row>
    <row r="96" spans="2:23" s="102" customFormat="1" x14ac:dyDescent="0.2">
      <c r="B96" s="105"/>
      <c r="C96" s="106"/>
      <c r="E96" s="20"/>
      <c r="F96" s="104"/>
      <c r="G96" s="104"/>
      <c r="H96" s="104"/>
      <c r="I96" s="104"/>
      <c r="J96" s="104"/>
      <c r="K96" s="104"/>
      <c r="L96" s="104"/>
      <c r="M96" s="104"/>
      <c r="N96" s="104"/>
      <c r="O96" s="104"/>
      <c r="P96" s="104"/>
      <c r="Q96" s="104"/>
      <c r="R96" s="104"/>
      <c r="S96" s="104"/>
      <c r="T96" s="104"/>
      <c r="U96" s="104"/>
      <c r="V96" s="104"/>
      <c r="W96" s="104"/>
    </row>
    <row r="97" spans="1:23" s="102" customFormat="1" x14ac:dyDescent="0.2">
      <c r="B97" s="105"/>
      <c r="C97" s="106"/>
      <c r="E97" s="20"/>
      <c r="F97" s="104"/>
      <c r="G97" s="104"/>
      <c r="H97" s="104"/>
      <c r="I97" s="104"/>
      <c r="J97" s="104"/>
      <c r="K97" s="104"/>
      <c r="L97" s="104"/>
      <c r="M97" s="104"/>
      <c r="N97" s="104"/>
      <c r="O97" s="104"/>
      <c r="P97" s="104"/>
      <c r="Q97" s="104"/>
      <c r="R97" s="104"/>
      <c r="S97" s="104"/>
      <c r="T97" s="104"/>
      <c r="U97" s="104"/>
      <c r="V97" s="104"/>
      <c r="W97" s="104"/>
    </row>
    <row r="98" spans="1:23" s="102" customFormat="1" x14ac:dyDescent="0.2">
      <c r="B98" s="105"/>
      <c r="C98" s="106"/>
      <c r="E98" s="20"/>
      <c r="F98" s="104"/>
      <c r="G98" s="104"/>
      <c r="H98" s="104"/>
      <c r="I98" s="104"/>
      <c r="J98" s="104"/>
      <c r="K98" s="104"/>
      <c r="L98" s="104"/>
      <c r="M98" s="104"/>
      <c r="N98" s="104"/>
      <c r="O98" s="104"/>
      <c r="P98" s="104"/>
      <c r="Q98" s="104"/>
      <c r="R98" s="104"/>
      <c r="S98" s="104"/>
      <c r="T98" s="104"/>
      <c r="U98" s="104"/>
      <c r="V98" s="104"/>
      <c r="W98" s="104"/>
    </row>
    <row r="99" spans="1:23" s="102" customFormat="1" x14ac:dyDescent="0.2">
      <c r="B99" s="105"/>
      <c r="C99" s="106"/>
      <c r="E99" s="20"/>
      <c r="F99" s="104"/>
      <c r="G99" s="104"/>
      <c r="H99" s="104"/>
      <c r="I99" s="104"/>
      <c r="J99" s="104"/>
      <c r="K99" s="104"/>
      <c r="L99" s="104"/>
      <c r="M99" s="104"/>
      <c r="N99" s="104"/>
      <c r="O99" s="104"/>
      <c r="P99" s="104"/>
      <c r="Q99" s="104"/>
      <c r="R99" s="104"/>
      <c r="S99" s="104"/>
      <c r="T99" s="104"/>
      <c r="U99" s="104"/>
      <c r="V99" s="104"/>
      <c r="W99" s="104"/>
    </row>
    <row r="100" spans="1:23" s="102" customFormat="1" x14ac:dyDescent="0.2">
      <c r="B100" s="105"/>
      <c r="C100" s="106"/>
      <c r="E100" s="20"/>
      <c r="F100" s="104"/>
      <c r="G100" s="104"/>
      <c r="H100" s="104"/>
      <c r="I100" s="104"/>
      <c r="J100" s="104"/>
      <c r="K100" s="104"/>
      <c r="L100" s="104"/>
      <c r="M100" s="104"/>
      <c r="N100" s="104"/>
      <c r="O100" s="104"/>
      <c r="P100" s="104"/>
      <c r="Q100" s="104"/>
      <c r="R100" s="104"/>
      <c r="S100" s="104"/>
      <c r="T100" s="104"/>
      <c r="U100" s="104"/>
      <c r="V100" s="104"/>
      <c r="W100" s="104"/>
    </row>
    <row r="101" spans="1:23" s="102" customFormat="1" x14ac:dyDescent="0.2">
      <c r="B101" s="105"/>
      <c r="C101" s="106"/>
      <c r="E101" s="20"/>
      <c r="F101" s="104"/>
      <c r="G101" s="104"/>
      <c r="H101" s="104"/>
      <c r="I101" s="104"/>
      <c r="J101" s="104"/>
      <c r="K101" s="104"/>
      <c r="L101" s="104"/>
      <c r="M101" s="104"/>
      <c r="N101" s="104"/>
      <c r="O101" s="104"/>
      <c r="P101" s="104"/>
      <c r="Q101" s="104"/>
      <c r="R101" s="104"/>
      <c r="S101" s="104"/>
      <c r="T101" s="104"/>
      <c r="U101" s="104"/>
      <c r="V101" s="104"/>
      <c r="W101" s="104"/>
    </row>
    <row r="102" spans="1:23" s="102" customFormat="1" x14ac:dyDescent="0.2">
      <c r="B102" s="105"/>
      <c r="C102" s="106"/>
      <c r="E102" s="20"/>
      <c r="F102" s="104"/>
      <c r="G102" s="104"/>
      <c r="H102" s="104"/>
      <c r="I102" s="104"/>
      <c r="J102" s="104"/>
      <c r="K102" s="104"/>
      <c r="L102" s="104"/>
      <c r="M102" s="104"/>
      <c r="N102" s="104"/>
      <c r="O102" s="104"/>
      <c r="P102" s="104"/>
      <c r="Q102" s="104"/>
      <c r="R102" s="104"/>
      <c r="S102" s="104"/>
      <c r="T102" s="104"/>
      <c r="U102" s="104"/>
      <c r="V102" s="104"/>
      <c r="W102" s="104"/>
    </row>
    <row r="103" spans="1:23" s="102" customFormat="1" x14ac:dyDescent="0.2">
      <c r="B103" s="105"/>
      <c r="C103" s="106"/>
      <c r="D103" s="18"/>
      <c r="E103" s="91"/>
      <c r="F103"/>
      <c r="G103"/>
      <c r="H103"/>
      <c r="I103"/>
      <c r="J103" s="104"/>
      <c r="K103" s="104"/>
      <c r="L103" s="104"/>
      <c r="M103" s="104"/>
      <c r="N103" s="104"/>
      <c r="O103" s="104"/>
      <c r="P103" s="104"/>
      <c r="Q103" s="104"/>
      <c r="R103" s="104"/>
      <c r="S103" s="104"/>
      <c r="T103" s="104"/>
      <c r="U103" s="103"/>
      <c r="V103" s="103"/>
      <c r="W103" s="103"/>
    </row>
    <row r="104" spans="1:23" s="102" customFormat="1" x14ac:dyDescent="0.2">
      <c r="B104" s="105"/>
      <c r="C104" s="1"/>
      <c r="D104" s="20" t="s">
        <v>107</v>
      </c>
      <c r="E104"/>
      <c r="F104"/>
      <c r="G104"/>
      <c r="H104"/>
      <c r="I104"/>
      <c r="J104" s="104"/>
      <c r="K104" s="104"/>
      <c r="L104" s="104"/>
      <c r="M104" s="104"/>
      <c r="N104" s="104"/>
      <c r="O104" s="104"/>
      <c r="P104" s="104"/>
      <c r="Q104" s="104"/>
      <c r="R104" s="104"/>
      <c r="S104" s="104"/>
      <c r="T104" s="104"/>
      <c r="U104" s="103"/>
      <c r="V104" s="103"/>
      <c r="W104" s="103"/>
    </row>
    <row r="105" spans="1:23" s="102" customFormat="1" ht="16.5" x14ac:dyDescent="0.2">
      <c r="B105" s="105"/>
      <c r="C105"/>
      <c r="D105" s="79">
        <v>1</v>
      </c>
      <c r="E105" s="21" t="str">
        <f>"The Value Line Investment Survey Investment Analyzer Software, downloaded on "&amp;TEXT('2017'!$A$1,"mmmm d, yyyy.")</f>
        <v>The Value Line Investment Survey Investment Analyzer Software, downloaded on June 21, 2018.</v>
      </c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 s="104"/>
      <c r="U105" s="103"/>
      <c r="V105" s="103"/>
      <c r="W105" s="103"/>
    </row>
    <row r="106" spans="1:23" ht="16.5" x14ac:dyDescent="0.2">
      <c r="A106" s="31"/>
      <c r="B106" s="31"/>
      <c r="D106" s="79">
        <v>2</v>
      </c>
      <c r="E106" s="21" t="str">
        <f>"The Value Line Investment Survey, "&amp;'2018 Data (WP)'!$D$1</f>
        <v>The Value Line Investment Survey, October 26, November 16, and December 14, 2018.</v>
      </c>
    </row>
    <row r="107" spans="1:23" ht="16.5" x14ac:dyDescent="0.2">
      <c r="A107" s="31"/>
      <c r="B107" s="31"/>
      <c r="D107" s="79">
        <v>3</v>
      </c>
      <c r="E107" s="22" t="s">
        <v>416</v>
      </c>
    </row>
    <row r="108" spans="1:23" ht="16.5" x14ac:dyDescent="0.2">
      <c r="A108" s="31"/>
      <c r="B108" s="31"/>
      <c r="D108" s="79">
        <v>4</v>
      </c>
      <c r="E108" t="str">
        <f>"www.moodys.com, Bond Yields and Key Indicators, through "&amp;'Annual Yields (WP)'!$E$1&amp;"."</f>
        <v>www.moodys.com, Bond Yields and Key Indicators, through December 14, 2018.</v>
      </c>
    </row>
    <row r="109" spans="1:23" x14ac:dyDescent="0.2">
      <c r="A109" s="31"/>
      <c r="B109" s="31"/>
      <c r="D109" s="20" t="s">
        <v>329</v>
      </c>
    </row>
    <row r="110" spans="1:23" ht="16.5" x14ac:dyDescent="0.2">
      <c r="A110" s="31"/>
      <c r="B110" s="31"/>
      <c r="D110" s="79" t="s">
        <v>355</v>
      </c>
      <c r="E110" s="21" t="str">
        <f>"Based on the average of the high and low price for 2017 and the projected 2017 Dividends Declared per share, published in the "</f>
        <v xml:space="preserve">Based on the average of the high and low price for 2017 and the projected 2017 Dividends Declared per share, published in the </v>
      </c>
    </row>
    <row r="111" spans="1:23" x14ac:dyDescent="0.2">
      <c r="A111" s="31"/>
      <c r="B111" s="31"/>
      <c r="E111" t="str">
        <f>"Value Line Investment Survey, "&amp;'2018 Data (WP)'!$D$1</f>
        <v>Value Line Investment Survey, October 26, November 16, and December 14, 2018.</v>
      </c>
    </row>
    <row r="112" spans="1:23" ht="16.5" x14ac:dyDescent="0.2">
      <c r="D112" s="79" t="s">
        <v>356</v>
      </c>
      <c r="E112" t="s">
        <v>419</v>
      </c>
    </row>
    <row r="113" spans="4:5" ht="16.5" x14ac:dyDescent="0.2">
      <c r="D113" s="79" t="s">
        <v>357</v>
      </c>
      <c r="E113" t="s">
        <v>418</v>
      </c>
    </row>
  </sheetData>
  <mergeCells count="9">
    <mergeCell ref="D74:E74"/>
    <mergeCell ref="D78:E78"/>
    <mergeCell ref="C1:S1"/>
    <mergeCell ref="C5:S5"/>
    <mergeCell ref="C6:S6"/>
    <mergeCell ref="F9:S9"/>
    <mergeCell ref="D11:E11"/>
    <mergeCell ref="D70:E70"/>
    <mergeCell ref="C2:S2"/>
  </mergeCells>
  <printOptions horizontalCentered="1"/>
  <pageMargins left="0.7" right="0.7" top="1" bottom="0.75" header="0.55000000000000004" footer="0.51"/>
  <pageSetup scale="39" orientation="portrait" useFirstPageNumber="1" r:id="rId1"/>
  <headerFooter>
    <oddHeader>&amp;R&amp;19Exhibit CCW-1
Page 4 of 7</oddHead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U79"/>
  <sheetViews>
    <sheetView zoomScale="70" zoomScaleNormal="70" workbookViewId="0">
      <selection activeCell="G7" sqref="G7"/>
    </sheetView>
  </sheetViews>
  <sheetFormatPr defaultRowHeight="14.25" x14ac:dyDescent="0.2"/>
  <cols>
    <col min="1" max="1" width="12.75" customWidth="1"/>
    <col min="2" max="2" width="7.5" bestFit="1" customWidth="1"/>
    <col min="3" max="3" width="22.25" customWidth="1"/>
    <col min="4" max="4" width="3.25" bestFit="1" customWidth="1"/>
    <col min="5" max="5" width="2.875" bestFit="1" customWidth="1"/>
    <col min="6" max="6" width="0.875" customWidth="1"/>
    <col min="7" max="9" width="6.25" bestFit="1" customWidth="1"/>
    <col min="10" max="11" width="5" bestFit="1" customWidth="1"/>
    <col min="12" max="12" width="4.875" bestFit="1" customWidth="1"/>
    <col min="13" max="13" width="5" bestFit="1" customWidth="1"/>
    <col min="14" max="18" width="5.25" bestFit="1" customWidth="1"/>
    <col min="19" max="21" width="9.25" style="31" customWidth="1"/>
  </cols>
  <sheetData>
    <row r="1" spans="1:21" x14ac:dyDescent="0.2">
      <c r="A1" t="s">
        <v>258</v>
      </c>
    </row>
    <row r="2" spans="1:21" x14ac:dyDescent="0.2">
      <c r="E2" s="35"/>
      <c r="F2" s="35"/>
      <c r="G2" s="35">
        <f t="shared" ref="G2:Q2" ca="1" si="0">MATCH(G3,OFFSET(BookValue,-2,0,1,),0)</f>
        <v>2</v>
      </c>
      <c r="H2" s="35">
        <f t="shared" ca="1" si="0"/>
        <v>3</v>
      </c>
      <c r="I2" s="35">
        <f t="shared" ca="1" si="0"/>
        <v>4</v>
      </c>
      <c r="J2" s="35">
        <f t="shared" ca="1" si="0"/>
        <v>5</v>
      </c>
      <c r="K2" s="35">
        <f t="shared" ca="1" si="0"/>
        <v>6</v>
      </c>
      <c r="L2" s="35">
        <f t="shared" ca="1" si="0"/>
        <v>7</v>
      </c>
      <c r="M2" s="35">
        <f t="shared" ca="1" si="0"/>
        <v>8</v>
      </c>
      <c r="N2" s="35">
        <f t="shared" ca="1" si="0"/>
        <v>9</v>
      </c>
      <c r="O2" s="35">
        <f t="shared" ca="1" si="0"/>
        <v>10</v>
      </c>
      <c r="P2" s="35">
        <f t="shared" ca="1" si="0"/>
        <v>11</v>
      </c>
      <c r="Q2" s="35">
        <f t="shared" ca="1" si="0"/>
        <v>12</v>
      </c>
      <c r="R2" s="35"/>
      <c r="S2" s="55"/>
      <c r="T2" s="55"/>
      <c r="U2" s="55"/>
    </row>
    <row r="3" spans="1:21" ht="15.75" thickBot="1" x14ac:dyDescent="0.3">
      <c r="D3" s="35" t="s">
        <v>213</v>
      </c>
      <c r="E3" s="35" t="s">
        <v>256</v>
      </c>
      <c r="F3" s="35"/>
      <c r="G3" s="49">
        <v>2016</v>
      </c>
      <c r="H3" s="49">
        <v>2015</v>
      </c>
      <c r="I3" s="49">
        <v>2014</v>
      </c>
      <c r="J3" s="49">
        <v>2013</v>
      </c>
      <c r="K3" s="49">
        <v>2012</v>
      </c>
      <c r="L3" s="49">
        <v>2011</v>
      </c>
      <c r="M3" s="49">
        <v>2010</v>
      </c>
      <c r="N3" s="49">
        <v>2009</v>
      </c>
      <c r="O3" s="49">
        <v>2008</v>
      </c>
      <c r="P3" s="49">
        <v>2007</v>
      </c>
      <c r="Q3" s="49">
        <v>2006</v>
      </c>
      <c r="R3" s="49">
        <v>2005</v>
      </c>
      <c r="S3" s="56"/>
      <c r="T3" s="56"/>
      <c r="U3" s="56"/>
    </row>
    <row r="4" spans="1:21" x14ac:dyDescent="0.2">
      <c r="D4" s="35"/>
      <c r="E4" s="35"/>
      <c r="F4" s="35"/>
      <c r="G4" s="35"/>
      <c r="H4" s="35"/>
      <c r="R4" s="37"/>
    </row>
    <row r="5" spans="1:21" x14ac:dyDescent="0.2">
      <c r="A5" t="str">
        <f>IFERROR(INDEX('2018 Data (WP)'!$C$9:$C$73,MATCH($B5,'2018 Data (WP)'!$D$9:$D$73,0)),"")</f>
        <v>Electric Util. (Central)</v>
      </c>
      <c r="B5" t="s">
        <v>0</v>
      </c>
      <c r="C5" t="s">
        <v>91</v>
      </c>
      <c r="D5" s="35">
        <f t="shared" ref="D5:D36" ca="1" si="1">MATCH(B5,OFFSET(MarketPrice,0,0,,1),0)</f>
        <v>3</v>
      </c>
      <c r="E5" s="35">
        <f t="shared" ref="E5:E36" ca="1" si="2">MATCH(B5,OFFSET(BookValue,0,0,,1),0)</f>
        <v>3</v>
      </c>
      <c r="F5" s="35"/>
      <c r="G5" s="17">
        <f t="shared" ref="G5:G36" ca="1" si="3">IFERROR(INDEX(MarketPrice,$D5,G$2)/INDEX(BookValue,$E5,G$2),"N/A")</f>
        <v>1.5329228350582995</v>
      </c>
      <c r="H5" s="17">
        <v>1.3727711688381754</v>
      </c>
      <c r="I5" s="17">
        <v>1.4249778969283859</v>
      </c>
      <c r="J5" s="17">
        <v>1.5076301754169621</v>
      </c>
      <c r="K5" s="17">
        <v>1.3442031362771472</v>
      </c>
      <c r="L5" s="17">
        <v>1.3500225843438378</v>
      </c>
      <c r="M5" s="17">
        <v>1.2833143821296262</v>
      </c>
      <c r="N5" s="17">
        <v>1.1509505415435886</v>
      </c>
      <c r="O5" s="17">
        <v>1.5502739348074575</v>
      </c>
      <c r="P5" s="17">
        <v>1.8882621318954793</v>
      </c>
      <c r="Q5" s="17">
        <v>2.092598511483494</v>
      </c>
      <c r="R5" s="37">
        <v>2.2173066360413438</v>
      </c>
      <c r="S5" s="57"/>
      <c r="T5" s="58"/>
      <c r="U5" s="58"/>
    </row>
    <row r="6" spans="1:21" x14ac:dyDescent="0.2">
      <c r="A6" t="str">
        <f>IFERROR(INDEX('2018 Data (WP)'!$C$9:$C$73,MATCH($B6,'2018 Data (WP)'!$D$9:$D$73,0)),"")</f>
        <v>Electric Util. (Central)</v>
      </c>
      <c r="B6" t="s">
        <v>1</v>
      </c>
      <c r="C6" t="s">
        <v>84</v>
      </c>
      <c r="D6" s="35">
        <f t="shared" ca="1" si="1"/>
        <v>4</v>
      </c>
      <c r="E6" s="35">
        <f t="shared" ca="1" si="2"/>
        <v>4</v>
      </c>
      <c r="F6" s="35"/>
      <c r="G6" s="17">
        <f t="shared" ca="1" si="3"/>
        <v>2.1694865295053942</v>
      </c>
      <c r="H6" s="17">
        <v>1.8608944674628323</v>
      </c>
      <c r="I6" s="17">
        <v>1.8585949562532167</v>
      </c>
      <c r="J6" s="17">
        <v>1.6991683007640814</v>
      </c>
      <c r="K6" s="17">
        <v>1.5654605961906112</v>
      </c>
      <c r="L6" s="17">
        <v>1.4642593957258658</v>
      </c>
      <c r="M6" s="17">
        <v>1.3144784241588103</v>
      </c>
      <c r="N6" s="17">
        <v>1.0448273111589694</v>
      </c>
      <c r="O6" s="17">
        <v>1.3346894069785635</v>
      </c>
      <c r="P6" s="17">
        <v>1.6693282844912742</v>
      </c>
      <c r="Q6" s="17">
        <v>1.5176068675543097</v>
      </c>
      <c r="R6" s="37">
        <v>1.3341645885286784</v>
      </c>
      <c r="S6" s="57"/>
      <c r="T6" s="57"/>
      <c r="U6" s="57"/>
    </row>
    <row r="7" spans="1:21" x14ac:dyDescent="0.2">
      <c r="A7" t="str">
        <f>IFERROR(INDEX('2018 Data (WP)'!$C$9:$C$73,MATCH($B7,'2018 Data (WP)'!$D$9:$D$73,0)),"")</f>
        <v>Water Utility</v>
      </c>
      <c r="B7" s="31" t="s">
        <v>165</v>
      </c>
      <c r="C7" s="31" t="s">
        <v>164</v>
      </c>
      <c r="D7" s="35">
        <f t="shared" ca="1" si="1"/>
        <v>6</v>
      </c>
      <c r="E7" s="35">
        <f t="shared" ca="1" si="2"/>
        <v>6</v>
      </c>
      <c r="F7" s="35"/>
      <c r="G7" s="17">
        <f t="shared" ca="1" si="3"/>
        <v>3.067549570878958</v>
      </c>
      <c r="H7" s="17">
        <v>3.0994907951429687</v>
      </c>
      <c r="I7" s="17">
        <v>2.3833950290851402</v>
      </c>
      <c r="J7" s="17">
        <v>2.1733113155618464</v>
      </c>
      <c r="K7" s="17">
        <v>1.7089583863039242</v>
      </c>
      <c r="L7" s="17">
        <v>1.586569504658242</v>
      </c>
      <c r="M7" s="17">
        <v>1.7234504540071063</v>
      </c>
      <c r="N7" s="17">
        <v>1.770547592038775</v>
      </c>
      <c r="O7" s="17">
        <v>1.950412302206374</v>
      </c>
      <c r="P7" s="17">
        <v>2.2177483745865181</v>
      </c>
      <c r="Q7" s="17">
        <v>2.2160797981011902</v>
      </c>
      <c r="S7" s="57"/>
      <c r="T7" s="57"/>
      <c r="U7" s="57"/>
    </row>
    <row r="8" spans="1:21" x14ac:dyDescent="0.2">
      <c r="A8" t="str">
        <f>IFERROR(INDEX('2018 Data (WP)'!$C$9:$C$73,MATCH($B8,'2018 Data (WP)'!$D$9:$D$73,0)),"")</f>
        <v>Water Utility</v>
      </c>
      <c r="B8" s="31" t="s">
        <v>167</v>
      </c>
      <c r="C8" s="31" t="s">
        <v>166</v>
      </c>
      <c r="D8" s="35">
        <f t="shared" ca="1" si="1"/>
        <v>7</v>
      </c>
      <c r="E8" s="35">
        <f t="shared" ca="1" si="2"/>
        <v>7</v>
      </c>
      <c r="F8" s="35"/>
      <c r="G8" s="17">
        <f t="shared" ca="1" si="3"/>
        <v>2.4827822042882057</v>
      </c>
      <c r="H8" s="17">
        <v>1.9162920751778572</v>
      </c>
      <c r="I8" s="17">
        <v>1.7465955970939362</v>
      </c>
      <c r="J8" s="17">
        <v>1.5456567636857186</v>
      </c>
      <c r="K8" s="17">
        <v>1.4041824337781319</v>
      </c>
      <c r="L8" s="17">
        <v>1.1982333181271514</v>
      </c>
      <c r="M8" s="17">
        <v>0.94785484144480248</v>
      </c>
      <c r="N8" s="17">
        <v>0.85307725883893493</v>
      </c>
      <c r="O8" s="17">
        <v>0.81164677431936971</v>
      </c>
      <c r="P8" s="17" t="s">
        <v>106</v>
      </c>
      <c r="Q8" s="17" t="s">
        <v>106</v>
      </c>
      <c r="S8" s="57"/>
      <c r="T8" s="57"/>
      <c r="U8" s="57"/>
    </row>
    <row r="9" spans="1:21" x14ac:dyDescent="0.2">
      <c r="A9" t="str">
        <f>IFERROR(INDEX('2018 Data (WP)'!$C$9:$C$73,MATCH($B9,'2018 Data (WP)'!$D$9:$D$73,0)),"")</f>
        <v>Electric Util. (Central)</v>
      </c>
      <c r="B9" t="s">
        <v>3</v>
      </c>
      <c r="C9" t="s">
        <v>80</v>
      </c>
      <c r="D9" s="35">
        <f t="shared" ca="1" si="1"/>
        <v>8</v>
      </c>
      <c r="E9" s="35">
        <f t="shared" ca="1" si="2"/>
        <v>8</v>
      </c>
      <c r="F9" s="35"/>
      <c r="G9" s="17">
        <f t="shared" ca="1" si="3"/>
        <v>1.6747967479674797</v>
      </c>
      <c r="H9" s="17">
        <v>1.4586928424214904</v>
      </c>
      <c r="I9" s="17">
        <v>1.4491994072360572</v>
      </c>
      <c r="J9" s="17">
        <v>1.2860109005969376</v>
      </c>
      <c r="K9" s="17">
        <v>1.180071148274471</v>
      </c>
      <c r="L9" s="17">
        <v>0.90303902947123327</v>
      </c>
      <c r="M9" s="17">
        <v>0.83169025034986777</v>
      </c>
      <c r="N9" s="17">
        <v>0.77828834003446301</v>
      </c>
      <c r="O9" s="17">
        <v>1.2473626440636625</v>
      </c>
      <c r="P9" s="17">
        <v>1.6041955884621317</v>
      </c>
      <c r="Q9" s="17">
        <v>1.61828395681647</v>
      </c>
      <c r="R9" s="37">
        <v>1.6829746855801089</v>
      </c>
      <c r="S9" s="57"/>
      <c r="T9" s="57"/>
      <c r="U9" s="57"/>
    </row>
    <row r="10" spans="1:21" x14ac:dyDescent="0.2">
      <c r="A10" t="str">
        <f>IFERROR(INDEX('2018 Data (WP)'!$C$9:$C$73,MATCH($B10,'2018 Data (WP)'!$D$9:$D$73,0)),"")</f>
        <v>Electric Util. (Central)</v>
      </c>
      <c r="B10" t="s">
        <v>2</v>
      </c>
      <c r="C10" t="s">
        <v>103</v>
      </c>
      <c r="D10" s="35">
        <f t="shared" ca="1" si="1"/>
        <v>5</v>
      </c>
      <c r="E10" s="35">
        <f t="shared" ca="1" si="2"/>
        <v>5</v>
      </c>
      <c r="F10" s="35"/>
      <c r="G10" s="17">
        <f t="shared" ca="1" si="3"/>
        <v>1.8122102882984736</v>
      </c>
      <c r="H10" s="17">
        <v>1.5537532592287633</v>
      </c>
      <c r="I10" s="17">
        <v>1.5428596368715082</v>
      </c>
      <c r="J10" s="17">
        <v>1.3977134885977682</v>
      </c>
      <c r="K10" s="17">
        <v>1.3076849520288147</v>
      </c>
      <c r="L10" s="17">
        <v>1.2297422034680556</v>
      </c>
      <c r="M10" s="17">
        <v>1.2311873499929407</v>
      </c>
      <c r="N10" s="17">
        <v>1.0840064032598413</v>
      </c>
      <c r="O10" s="17">
        <v>1.4829681388372007</v>
      </c>
      <c r="P10" s="17">
        <v>1.8483969647610348</v>
      </c>
      <c r="Q10" s="17">
        <v>1.5556538964049396</v>
      </c>
      <c r="R10" s="37">
        <v>1.5664153886145047</v>
      </c>
      <c r="S10" s="57"/>
      <c r="T10" s="57"/>
      <c r="U10" s="57"/>
    </row>
    <row r="11" spans="1:21" x14ac:dyDescent="0.2">
      <c r="A11" t="str">
        <f>IFERROR(INDEX('2018 Data (WP)'!$C$9:$C$73,MATCH($B11,'2018 Data (WP)'!$D$9:$D$73,0)),"")</f>
        <v>Water Utility</v>
      </c>
      <c r="B11" s="31" t="s">
        <v>171</v>
      </c>
      <c r="C11" s="31" t="s">
        <v>170</v>
      </c>
      <c r="D11" s="35">
        <f t="shared" ca="1" si="1"/>
        <v>10</v>
      </c>
      <c r="E11" s="35">
        <f t="shared" ca="1" si="2"/>
        <v>10</v>
      </c>
      <c r="F11" s="35"/>
      <c r="G11" s="17">
        <f t="shared" ca="1" si="3"/>
        <v>3.0203279317288327</v>
      </c>
      <c r="H11" s="17">
        <v>2.7414075286415711</v>
      </c>
      <c r="I11" s="17">
        <v>2.6877764591649584</v>
      </c>
      <c r="J11" s="17">
        <v>2.8479193230555229</v>
      </c>
      <c r="K11" s="17">
        <v>2.4216989492340804</v>
      </c>
      <c r="L11" s="17">
        <v>2.4536625971143176</v>
      </c>
      <c r="M11" s="17">
        <v>2.228814803935967</v>
      </c>
      <c r="N11" s="17">
        <v>2.1886153846153849</v>
      </c>
      <c r="O11" s="17">
        <v>2.3274180655475618</v>
      </c>
      <c r="P11" s="17">
        <v>3.1012809564474808</v>
      </c>
      <c r="Q11" s="17">
        <v>3.4877961234745154</v>
      </c>
      <c r="S11" s="57"/>
      <c r="T11" s="57"/>
      <c r="U11" s="57"/>
    </row>
    <row r="12" spans="1:21" x14ac:dyDescent="0.2">
      <c r="A12" t="str">
        <f>IFERROR(INDEX('2018 Data (WP)'!$C$9:$C$73,MATCH($B12,'2018 Data (WP)'!$D$9:$D$73,0)),"")</f>
        <v>Natural Gas Utility</v>
      </c>
      <c r="B12" s="31" t="s">
        <v>175</v>
      </c>
      <c r="C12" s="31" t="s">
        <v>174</v>
      </c>
      <c r="D12" s="35">
        <f t="shared" ca="1" si="1"/>
        <v>12</v>
      </c>
      <c r="E12" s="35">
        <f t="shared" ca="1" si="2"/>
        <v>12</v>
      </c>
      <c r="F12" s="35"/>
      <c r="G12" s="17">
        <f t="shared" ca="1" si="3"/>
        <v>2.1099306743495099</v>
      </c>
      <c r="H12" s="17">
        <v>1.7177752366431611</v>
      </c>
      <c r="I12" s="17">
        <v>1.5493933578375567</v>
      </c>
      <c r="J12" s="17">
        <v>1.3939021391689206</v>
      </c>
      <c r="K12" s="17">
        <v>1.2795287637698898</v>
      </c>
      <c r="L12" s="17">
        <v>1.2988229642085034</v>
      </c>
      <c r="M12" s="17">
        <v>1.1810016556291392</v>
      </c>
      <c r="N12" s="17">
        <v>1.0502147200136061</v>
      </c>
      <c r="O12" s="17">
        <v>1.2021149506658999</v>
      </c>
      <c r="P12" s="17">
        <v>1.3987094428792148</v>
      </c>
      <c r="Q12" s="17">
        <v>1.3414670435947031</v>
      </c>
      <c r="S12" s="57"/>
      <c r="T12" s="57"/>
      <c r="U12" s="57"/>
    </row>
    <row r="13" spans="1:21" x14ac:dyDescent="0.2">
      <c r="A13" t="str">
        <f>IFERROR(INDEX('2018 Data (WP)'!$C$9:$C$73,MATCH($B13,'2018 Data (WP)'!$D$9:$D$73,0)),"")</f>
        <v>Electric Utility (East)</v>
      </c>
      <c r="B13" t="s">
        <v>260</v>
      </c>
      <c r="C13" t="s">
        <v>261</v>
      </c>
      <c r="D13" s="35">
        <f t="shared" ca="1" si="1"/>
        <v>13</v>
      </c>
      <c r="E13" s="35">
        <f t="shared" ca="1" si="2"/>
        <v>13</v>
      </c>
      <c r="F13" s="35"/>
      <c r="G13" s="17">
        <f t="shared" ca="1" si="3"/>
        <v>0.82978853940856478</v>
      </c>
      <c r="H13" s="17">
        <v>0.72234647187968071</v>
      </c>
      <c r="I13" s="17" t="s">
        <v>106</v>
      </c>
      <c r="J13" s="17" t="s">
        <v>106</v>
      </c>
      <c r="K13" s="17" t="s">
        <v>106</v>
      </c>
      <c r="L13" s="17" t="s">
        <v>106</v>
      </c>
      <c r="M13" s="17" t="s">
        <v>106</v>
      </c>
      <c r="N13" s="17" t="s">
        <v>106</v>
      </c>
      <c r="O13" s="17" t="s">
        <v>106</v>
      </c>
      <c r="P13" s="17" t="s">
        <v>106</v>
      </c>
      <c r="Q13" s="17" t="s">
        <v>106</v>
      </c>
      <c r="R13" s="37" t="s">
        <v>106</v>
      </c>
      <c r="S13" s="57"/>
      <c r="T13" s="57"/>
      <c r="U13" s="57"/>
    </row>
    <row r="14" spans="1:21" x14ac:dyDescent="0.2">
      <c r="A14" t="str">
        <f>IFERROR(INDEX('2018 Data (WP)'!$C$9:$C$73,MATCH($B14,'2018 Data (WP)'!$D$9:$D$73,0)),"")</f>
        <v>Electric Utility (West)</v>
      </c>
      <c r="B14" t="s">
        <v>4</v>
      </c>
      <c r="C14" t="s">
        <v>86</v>
      </c>
      <c r="D14" s="35">
        <f t="shared" ca="1" si="1"/>
        <v>14</v>
      </c>
      <c r="E14" s="35">
        <f t="shared" ca="1" si="2"/>
        <v>14</v>
      </c>
      <c r="F14" s="35"/>
      <c r="G14" s="17">
        <f t="shared" ca="1" si="3"/>
        <v>1.5731916218951958</v>
      </c>
      <c r="H14" s="17">
        <v>1.3561878362954509</v>
      </c>
      <c r="I14" s="17">
        <v>1.3340185426018374</v>
      </c>
      <c r="J14" s="17">
        <v>1.2528459046737623</v>
      </c>
      <c r="K14" s="17">
        <v>1.2096689936838108</v>
      </c>
      <c r="L14" s="17">
        <v>1.1931017491993101</v>
      </c>
      <c r="M14" s="17">
        <v>1.0665178344918564</v>
      </c>
      <c r="N14" s="17">
        <v>0.94084815606906258</v>
      </c>
      <c r="O14" s="17">
        <v>1.1129208570179274</v>
      </c>
      <c r="P14" s="17">
        <v>1.2869051754081278</v>
      </c>
      <c r="Q14" s="17">
        <v>1.2958359585314163</v>
      </c>
      <c r="R14" s="37">
        <v>1.1274182368139138</v>
      </c>
      <c r="S14" s="57"/>
      <c r="T14" s="57"/>
      <c r="U14" s="57"/>
    </row>
    <row r="15" spans="1:21" x14ac:dyDescent="0.2">
      <c r="A15" t="str">
        <f>IFERROR(INDEX('2018 Data (WP)'!$C$9:$C$73,MATCH($B15,'2018 Data (WP)'!$D$9:$D$73,0)),"")</f>
        <v>Electric Utility (West)</v>
      </c>
      <c r="B15" t="s">
        <v>5</v>
      </c>
      <c r="C15" t="s">
        <v>46</v>
      </c>
      <c r="D15" s="35">
        <f t="shared" ca="1" si="1"/>
        <v>15</v>
      </c>
      <c r="E15" s="35">
        <f t="shared" ca="1" si="2"/>
        <v>15</v>
      </c>
      <c r="F15" s="35"/>
      <c r="G15" s="17">
        <f t="shared" ca="1" si="3"/>
        <v>1.9380103811948293</v>
      </c>
      <c r="H15" s="17">
        <v>1.5948314999126942</v>
      </c>
      <c r="I15" s="17">
        <v>1.7853780475927667</v>
      </c>
      <c r="J15" s="17">
        <v>1.6197087246495168</v>
      </c>
      <c r="K15" s="17">
        <v>1.2104659086833327</v>
      </c>
      <c r="L15" s="17">
        <v>1.1419439198024117</v>
      </c>
      <c r="M15" s="17">
        <v>1.0721296263249938</v>
      </c>
      <c r="N15" s="17">
        <v>0.82718488451452998</v>
      </c>
      <c r="O15" s="17">
        <v>1.2225368688168878</v>
      </c>
      <c r="P15" s="17">
        <v>1.5690179267342168</v>
      </c>
      <c r="Q15" s="17">
        <v>1.4717857746240919</v>
      </c>
      <c r="R15" s="37">
        <v>1.6347318824321293</v>
      </c>
      <c r="S15" s="57"/>
      <c r="T15" s="57"/>
      <c r="U15" s="57"/>
    </row>
    <row r="16" spans="1:21" x14ac:dyDescent="0.2">
      <c r="A16" t="str">
        <f>IFERROR(INDEX('2018 Data (WP)'!$C$9:$C$73,MATCH($B16,'2018 Data (WP)'!$D$9:$D$73,0)),"")</f>
        <v>Water Utility</v>
      </c>
      <c r="B16" s="31" t="s">
        <v>177</v>
      </c>
      <c r="C16" s="31" t="s">
        <v>176</v>
      </c>
      <c r="D16" s="35">
        <f t="shared" ca="1" si="1"/>
        <v>16</v>
      </c>
      <c r="E16" s="35">
        <f t="shared" ca="1" si="2"/>
        <v>16</v>
      </c>
      <c r="F16" s="35"/>
      <c r="G16" s="17">
        <f t="shared" ca="1" si="3"/>
        <v>2.1780493126772855</v>
      </c>
      <c r="H16" s="17">
        <v>1.7361514948184595</v>
      </c>
      <c r="I16" s="17">
        <v>1.7876106194690264</v>
      </c>
      <c r="J16" s="17">
        <v>1.6367405517461329</v>
      </c>
      <c r="K16" s="17">
        <v>1.6160935838355193</v>
      </c>
      <c r="L16" s="17">
        <v>1.7010318862136282</v>
      </c>
      <c r="M16" s="17">
        <v>1.7571032239548456</v>
      </c>
      <c r="N16" s="17">
        <v>1.8951421800947865</v>
      </c>
      <c r="O16" s="17">
        <v>1.931495577041761</v>
      </c>
      <c r="P16" s="17">
        <v>2.1132136678200695</v>
      </c>
      <c r="Q16" s="17">
        <v>2.1591535324589439</v>
      </c>
      <c r="S16" s="57"/>
      <c r="T16" s="57"/>
      <c r="U16" s="57"/>
    </row>
    <row r="17" spans="1:21" x14ac:dyDescent="0.2">
      <c r="A17" t="str">
        <f>IFERROR(INDEX('2018 Data (WP)'!$C$9:$C$73,MATCH($B17,'2018 Data (WP)'!$D$9:$D$73,0)),"")</f>
        <v>Electric Util. (Central)</v>
      </c>
      <c r="B17" t="s">
        <v>6</v>
      </c>
      <c r="C17" t="s">
        <v>90</v>
      </c>
      <c r="D17" s="35">
        <f t="shared" ca="1" si="1"/>
        <v>17</v>
      </c>
      <c r="E17" s="35">
        <f t="shared" ca="1" si="2"/>
        <v>17</v>
      </c>
      <c r="F17" s="35"/>
      <c r="G17" s="17">
        <f t="shared" ca="1" si="3"/>
        <v>2.7271595718197656</v>
      </c>
      <c r="H17" s="17">
        <v>2.4283761958007206</v>
      </c>
      <c r="I17" s="17">
        <v>2.2717668144514667</v>
      </c>
      <c r="J17" s="17">
        <v>2.3036369041720346</v>
      </c>
      <c r="K17" s="17">
        <v>1.9919499105545617</v>
      </c>
      <c r="L17" s="17">
        <v>1.8678102926337035</v>
      </c>
      <c r="M17" s="17">
        <v>1.9583001328021248</v>
      </c>
      <c r="N17" s="17">
        <v>1.7703384798099764</v>
      </c>
      <c r="O17" s="17">
        <v>2.4896364254162417</v>
      </c>
      <c r="P17" s="17">
        <v>3.1292565519700482</v>
      </c>
      <c r="Q17" s="17">
        <v>2.7518645434388227</v>
      </c>
      <c r="R17" s="37">
        <v>3.0572318007662833</v>
      </c>
      <c r="S17" s="57"/>
      <c r="T17" s="57"/>
      <c r="U17" s="57"/>
    </row>
    <row r="18" spans="1:21" x14ac:dyDescent="0.2">
      <c r="A18" t="str">
        <f>IFERROR(INDEX('2018 Data (WP)'!$C$9:$C$73,MATCH($B18,'2018 Data (WP)'!$D$9:$D$73,0)),"")</f>
        <v/>
      </c>
      <c r="B18" t="s">
        <v>7</v>
      </c>
      <c r="C18" t="s">
        <v>48</v>
      </c>
      <c r="D18" s="35" t="e">
        <f t="shared" ca="1" si="1"/>
        <v>#N/A</v>
      </c>
      <c r="E18" s="35" t="e">
        <f t="shared" ca="1" si="2"/>
        <v>#N/A</v>
      </c>
      <c r="F18" s="35"/>
      <c r="G18" s="17" t="str">
        <f t="shared" ca="1" si="3"/>
        <v>N/A</v>
      </c>
      <c r="H18" s="17" t="s">
        <v>106</v>
      </c>
      <c r="I18" s="17" t="s">
        <v>106</v>
      </c>
      <c r="J18" s="17" t="s">
        <v>106</v>
      </c>
      <c r="K18" s="17" t="s">
        <v>106</v>
      </c>
      <c r="L18" s="17" t="s">
        <v>106</v>
      </c>
      <c r="M18" s="17" t="s">
        <v>106</v>
      </c>
      <c r="N18" s="17" t="s">
        <v>106</v>
      </c>
      <c r="O18" s="17" t="s">
        <v>106</v>
      </c>
      <c r="P18" s="17" t="s">
        <v>106</v>
      </c>
      <c r="Q18" s="17" t="s">
        <v>106</v>
      </c>
      <c r="R18" s="37" t="s">
        <v>106</v>
      </c>
      <c r="S18" s="57"/>
      <c r="T18" s="57"/>
      <c r="U18" s="57"/>
    </row>
    <row r="19" spans="1:21" x14ac:dyDescent="0.2">
      <c r="A19" t="str">
        <f>IFERROR(INDEX('2018 Data (WP)'!$C$9:$C$73,MATCH($B19,'2018 Data (WP)'!$D$9:$D$73,0)),"")</f>
        <v>Natural Gas Utility</v>
      </c>
      <c r="B19" s="31" t="s">
        <v>178</v>
      </c>
      <c r="C19" s="31" t="s">
        <v>215</v>
      </c>
      <c r="D19" s="35">
        <f t="shared" ca="1" si="1"/>
        <v>18</v>
      </c>
      <c r="E19" s="35">
        <f t="shared" ca="1" si="2"/>
        <v>18</v>
      </c>
      <c r="F19" s="35"/>
      <c r="G19" s="17">
        <f t="shared" ca="1" si="3"/>
        <v>2.2760498519790944</v>
      </c>
      <c r="H19" s="17">
        <v>2.1877371764806206</v>
      </c>
      <c r="I19" s="17">
        <v>2.1239191683668515</v>
      </c>
      <c r="J19" s="17">
        <v>1.831034125090758</v>
      </c>
      <c r="K19" s="17">
        <v>1.6558011669658885</v>
      </c>
      <c r="L19" s="17">
        <v>1.6144951722493743</v>
      </c>
      <c r="M19" s="17">
        <v>1.403700429401364</v>
      </c>
      <c r="N19" s="17">
        <v>1.3671659837442065</v>
      </c>
      <c r="O19" s="17">
        <v>1.6393742719254452</v>
      </c>
      <c r="P19" s="17">
        <v>1.8378677095732019</v>
      </c>
      <c r="Q19" s="17">
        <v>1.8481949458483755</v>
      </c>
      <c r="S19" s="58"/>
      <c r="T19" s="58"/>
      <c r="U19" s="58"/>
    </row>
    <row r="20" spans="1:21" x14ac:dyDescent="0.2">
      <c r="A20" t="str">
        <f>IFERROR(INDEX('2018 Data (WP)'!$C$9:$C$73,MATCH($B20,'2018 Data (WP)'!$D$9:$D$73,0)),"")</f>
        <v/>
      </c>
      <c r="B20" t="s">
        <v>8</v>
      </c>
      <c r="C20" t="s">
        <v>49</v>
      </c>
      <c r="D20" s="35" t="e">
        <f t="shared" ca="1" si="1"/>
        <v>#N/A</v>
      </c>
      <c r="E20" s="35" t="e">
        <f t="shared" ca="1" si="2"/>
        <v>#N/A</v>
      </c>
      <c r="F20" s="35"/>
      <c r="G20" s="17" t="str">
        <f t="shared" ca="1" si="3"/>
        <v>N/A</v>
      </c>
      <c r="H20" s="17" t="s">
        <v>106</v>
      </c>
      <c r="I20" s="17" t="s">
        <v>106</v>
      </c>
      <c r="J20" s="17" t="s">
        <v>106</v>
      </c>
      <c r="K20" s="17" t="s">
        <v>106</v>
      </c>
      <c r="L20" s="17" t="s">
        <v>106</v>
      </c>
      <c r="M20" s="17" t="s">
        <v>106</v>
      </c>
      <c r="N20" s="17" t="s">
        <v>106</v>
      </c>
      <c r="O20" s="17" t="s">
        <v>106</v>
      </c>
      <c r="P20" s="17" t="s">
        <v>106</v>
      </c>
      <c r="Q20" s="17" t="s">
        <v>106</v>
      </c>
      <c r="R20" s="37" t="s">
        <v>106</v>
      </c>
      <c r="S20" s="57"/>
      <c r="T20" s="57"/>
      <c r="U20" s="57"/>
    </row>
    <row r="21" spans="1:21" x14ac:dyDescent="0.2">
      <c r="A21" t="str">
        <f>IFERROR(INDEX('2018 Data (WP)'!$C$9:$C$73,MATCH($B21,'2018 Data (WP)'!$D$9:$D$73,0)),"")</f>
        <v>Electric Util. (Central)</v>
      </c>
      <c r="B21" t="s">
        <v>9</v>
      </c>
      <c r="C21" t="s">
        <v>47</v>
      </c>
      <c r="D21" s="35">
        <f t="shared" ca="1" si="1"/>
        <v>19</v>
      </c>
      <c r="E21" s="35">
        <f t="shared" ca="1" si="2"/>
        <v>19</v>
      </c>
      <c r="F21" s="35"/>
      <c r="G21" s="17">
        <f t="shared" ca="1" si="3"/>
        <v>2.7223608193277311</v>
      </c>
      <c r="H21" s="17">
        <v>2.4331362612612613</v>
      </c>
      <c r="I21" s="17">
        <v>2.2570485902819435</v>
      </c>
      <c r="J21" s="17">
        <v>2.0875192604006161</v>
      </c>
      <c r="K21" s="17">
        <v>1.9063998677029934</v>
      </c>
      <c r="L21" s="17">
        <v>1.656624989510783</v>
      </c>
      <c r="M21" s="17">
        <v>1.4805183199285077</v>
      </c>
      <c r="N21" s="17">
        <v>1.1041338237870031</v>
      </c>
      <c r="O21" s="17">
        <v>1.2286265857694429</v>
      </c>
      <c r="P21" s="17">
        <v>1.8154529119543386</v>
      </c>
      <c r="Q21" s="17">
        <v>1.4156362185879536</v>
      </c>
      <c r="R21" s="37">
        <v>1.3162092868673441</v>
      </c>
      <c r="S21" s="57"/>
      <c r="T21" s="57"/>
      <c r="U21" s="57"/>
    </row>
    <row r="22" spans="1:21" x14ac:dyDescent="0.2">
      <c r="A22" t="str">
        <f>IFERROR(INDEX('2018 Data (WP)'!$C$9:$C$73,MATCH($B22,'2018 Data (WP)'!$D$9:$D$73,0)),"")</f>
        <v>Water Utility</v>
      </c>
      <c r="B22" s="31" t="s">
        <v>180</v>
      </c>
      <c r="C22" s="31" t="s">
        <v>179</v>
      </c>
      <c r="D22" s="35">
        <f t="shared" ca="1" si="1"/>
        <v>20</v>
      </c>
      <c r="E22" s="35">
        <f t="shared" ca="1" si="2"/>
        <v>20</v>
      </c>
      <c r="F22" s="35"/>
      <c r="G22" s="17">
        <f t="shared" ca="1" si="3"/>
        <v>2.3082018777105273</v>
      </c>
      <c r="H22" s="17">
        <v>1.7919540229885056</v>
      </c>
      <c r="I22" s="17">
        <v>1.786658877263795</v>
      </c>
      <c r="J22" s="17">
        <v>1.7018699413898968</v>
      </c>
      <c r="K22" s="17">
        <v>1.4159744103886183</v>
      </c>
      <c r="L22" s="17">
        <v>1.9252426465140402</v>
      </c>
      <c r="M22" s="17">
        <v>1.7904177845917977</v>
      </c>
      <c r="N22" s="17">
        <v>1.7286503551696923</v>
      </c>
      <c r="O22" s="17">
        <v>2.0114444535273441</v>
      </c>
      <c r="P22" s="17">
        <v>2.0210041841004185</v>
      </c>
      <c r="Q22" s="17">
        <v>2.0237109846525261</v>
      </c>
      <c r="S22" s="57"/>
      <c r="T22" s="57"/>
      <c r="U22" s="57"/>
    </row>
    <row r="23" spans="1:21" x14ac:dyDescent="0.2">
      <c r="A23" t="str">
        <f>IFERROR(INDEX('2018 Data (WP)'!$C$9:$C$73,MATCH($B23,'2018 Data (WP)'!$D$9:$D$73,0)),"")</f>
        <v>Electric Utility (East)</v>
      </c>
      <c r="B23" t="s">
        <v>10</v>
      </c>
      <c r="C23" t="s">
        <v>50</v>
      </c>
      <c r="D23" s="35">
        <f t="shared" ca="1" si="1"/>
        <v>21</v>
      </c>
      <c r="E23" s="35">
        <f t="shared" ca="1" si="2"/>
        <v>21</v>
      </c>
      <c r="F23" s="35"/>
      <c r="G23" s="17">
        <f t="shared" ca="1" si="3"/>
        <v>1.5802171548027901</v>
      </c>
      <c r="H23" s="17">
        <v>1.4172989718493243</v>
      </c>
      <c r="I23" s="17">
        <v>1.3405449464368888</v>
      </c>
      <c r="J23" s="17">
        <v>1.3839033723989476</v>
      </c>
      <c r="K23" s="17">
        <v>1.4658737600552729</v>
      </c>
      <c r="L23" s="17">
        <v>1.3783486144547459</v>
      </c>
      <c r="M23" s="17">
        <v>1.2164777221196941</v>
      </c>
      <c r="N23" s="17">
        <v>1.0805332309295883</v>
      </c>
      <c r="O23" s="17">
        <v>1.1650860852384985</v>
      </c>
      <c r="P23" s="17">
        <v>1.4720704683567614</v>
      </c>
      <c r="Q23" s="17">
        <v>1.4693299880986845</v>
      </c>
      <c r="R23" s="37">
        <v>1.5179182605194284</v>
      </c>
      <c r="S23" s="57"/>
      <c r="T23" s="57"/>
      <c r="U23" s="57"/>
    </row>
    <row r="24" spans="1:21" x14ac:dyDescent="0.2">
      <c r="A24" t="str">
        <f>IFERROR(INDEX('2018 Data (WP)'!$C$9:$C$73,MATCH($B24,'2018 Data (WP)'!$D$9:$D$73,0)),"")</f>
        <v>Water Utility</v>
      </c>
      <c r="B24" s="31" t="s">
        <v>182</v>
      </c>
      <c r="C24" s="31" t="s">
        <v>181</v>
      </c>
      <c r="D24" s="35">
        <f t="shared" ca="1" si="1"/>
        <v>22</v>
      </c>
      <c r="E24" s="35">
        <f t="shared" ca="1" si="2"/>
        <v>22</v>
      </c>
      <c r="F24" s="35"/>
      <c r="G24" s="17">
        <f t="shared" ca="1" si="3"/>
        <v>1.2358770048013077</v>
      </c>
      <c r="H24" s="17">
        <v>1.1795943328916523</v>
      </c>
      <c r="I24" s="17">
        <v>1.2405763809126031</v>
      </c>
      <c r="J24" s="17">
        <v>1.2297998517420312</v>
      </c>
      <c r="K24" s="17">
        <v>0.86405655247417079</v>
      </c>
      <c r="L24" s="17">
        <v>1.0645161290322578</v>
      </c>
      <c r="M24" s="17">
        <v>1.3299182686773341</v>
      </c>
      <c r="N24" s="17">
        <v>1.6504160318762453</v>
      </c>
      <c r="O24" s="17">
        <v>2.2590865614538496</v>
      </c>
      <c r="P24" s="17">
        <v>3.4032866707242846</v>
      </c>
      <c r="Q24" s="17">
        <v>3.3919604700854702</v>
      </c>
      <c r="S24" s="57"/>
      <c r="T24" s="57"/>
      <c r="U24" s="57"/>
    </row>
    <row r="25" spans="1:21" x14ac:dyDescent="0.2">
      <c r="A25" t="str">
        <f>IFERROR(INDEX('2018 Data (WP)'!$C$9:$C$73,MATCH($B25,'2018 Data (WP)'!$D$9:$D$73,0)),"")</f>
        <v>Electric Utility (East)</v>
      </c>
      <c r="B25" t="s">
        <v>11</v>
      </c>
      <c r="C25" t="s">
        <v>52</v>
      </c>
      <c r="D25" s="35">
        <f t="shared" ca="1" si="1"/>
        <v>24</v>
      </c>
      <c r="E25" s="35">
        <f t="shared" ca="1" si="2"/>
        <v>24</v>
      </c>
      <c r="F25" s="35"/>
      <c r="G25" s="17">
        <f t="shared" ca="1" si="3"/>
        <v>3.1532840440165066</v>
      </c>
      <c r="H25" s="17">
        <v>3.3353893963650063</v>
      </c>
      <c r="I25" s="17">
        <v>3.5490831729308074</v>
      </c>
      <c r="J25" s="17">
        <v>2.9701813096248939</v>
      </c>
      <c r="K25" s="17">
        <v>2.8351504579153946</v>
      </c>
      <c r="L25" s="17">
        <v>2.3725051017868695</v>
      </c>
      <c r="M25" s="17">
        <v>2.0075038729666925</v>
      </c>
      <c r="N25" s="17">
        <v>1.8027331189710611</v>
      </c>
      <c r="O25" s="17">
        <v>2.4243301116962788</v>
      </c>
      <c r="P25" s="17">
        <v>2.6941190899613665</v>
      </c>
      <c r="Q25" s="17">
        <v>2.0725945945945949</v>
      </c>
      <c r="R25" s="37">
        <v>2.4960561497326204</v>
      </c>
      <c r="S25" s="57"/>
      <c r="T25" s="57"/>
      <c r="U25" s="57"/>
    </row>
    <row r="26" spans="1:21" x14ac:dyDescent="0.2">
      <c r="A26" t="str">
        <f>IFERROR(INDEX('2018 Data (WP)'!$C$9:$C$73,MATCH($B26,'2018 Data (WP)'!$D$9:$D$73,0)),"")</f>
        <v>Electric Util. (Central)</v>
      </c>
      <c r="B26" t="s">
        <v>12</v>
      </c>
      <c r="C26" t="s">
        <v>51</v>
      </c>
      <c r="D26" s="35">
        <f t="shared" ca="1" si="1"/>
        <v>25</v>
      </c>
      <c r="E26" s="35">
        <f t="shared" ca="1" si="2"/>
        <v>25</v>
      </c>
      <c r="F26" s="35"/>
      <c r="G26" s="17">
        <f t="shared" ca="1" si="3"/>
        <v>1.8241303092455046</v>
      </c>
      <c r="H26" s="17">
        <v>1.6454160443562411</v>
      </c>
      <c r="I26" s="17">
        <v>1.6164980445502464</v>
      </c>
      <c r="J26" s="17">
        <v>1.5059804601041831</v>
      </c>
      <c r="K26" s="17">
        <v>1.3504523247387736</v>
      </c>
      <c r="L26" s="17">
        <v>1.1971844589863088</v>
      </c>
      <c r="M26" s="17">
        <v>1.1562444864524262</v>
      </c>
      <c r="N26" s="17">
        <v>0.88860786173464013</v>
      </c>
      <c r="O26" s="17">
        <v>1.0994969408565602</v>
      </c>
      <c r="P26" s="17">
        <v>1.3549655576317037</v>
      </c>
      <c r="Q26" s="17">
        <v>1.2934068263726946</v>
      </c>
      <c r="R26" s="37">
        <v>1.3905498705461719</v>
      </c>
      <c r="S26" s="57"/>
      <c r="T26" s="57"/>
      <c r="U26" s="57"/>
    </row>
    <row r="27" spans="1:21" x14ac:dyDescent="0.2">
      <c r="A27" t="str">
        <f>IFERROR(INDEX('2018 Data (WP)'!$C$9:$C$73,MATCH($B27,'2018 Data (WP)'!$D$9:$D$73,0)),"")</f>
        <v>Electric Utility (East)</v>
      </c>
      <c r="B27" t="s">
        <v>13</v>
      </c>
      <c r="C27" t="s">
        <v>93</v>
      </c>
      <c r="D27" s="35">
        <f t="shared" ca="1" si="1"/>
        <v>26</v>
      </c>
      <c r="E27" s="35">
        <f t="shared" ca="1" si="2"/>
        <v>26</v>
      </c>
      <c r="F27" s="35"/>
      <c r="G27" s="17">
        <f t="shared" ca="1" si="3"/>
        <v>1.3450075913952815</v>
      </c>
      <c r="H27" s="17">
        <v>1.2935593924804738</v>
      </c>
      <c r="I27" s="17">
        <v>1.2795814235060106</v>
      </c>
      <c r="J27" s="17">
        <v>1.1862967834509148</v>
      </c>
      <c r="K27" s="17">
        <v>1.1162221762800635</v>
      </c>
      <c r="L27" s="17">
        <v>1.1141767696519358</v>
      </c>
      <c r="M27" s="17">
        <v>1.0029108073556889</v>
      </c>
      <c r="N27" s="17">
        <v>0.90554039958276511</v>
      </c>
      <c r="O27" s="17">
        <v>1.0578123421876577</v>
      </c>
      <c r="P27" s="17">
        <v>1.1521061925831861</v>
      </c>
      <c r="Q27" s="17" t="s">
        <v>106</v>
      </c>
      <c r="R27" s="37" t="s">
        <v>106</v>
      </c>
      <c r="S27" s="57"/>
      <c r="T27" s="57"/>
      <c r="U27" s="57"/>
    </row>
    <row r="28" spans="1:21" x14ac:dyDescent="0.2">
      <c r="A28" t="str">
        <f>IFERROR(INDEX('2018 Data (WP)'!$C$9:$C$73,MATCH($B28,'2018 Data (WP)'!$D$9:$D$73,0)),"")</f>
        <v>Electric Utility (West)</v>
      </c>
      <c r="B28" t="s">
        <v>14</v>
      </c>
      <c r="C28" t="s">
        <v>53</v>
      </c>
      <c r="D28" s="35">
        <f t="shared" ca="1" si="1"/>
        <v>27</v>
      </c>
      <c r="E28" s="35">
        <f t="shared" ca="1" si="2"/>
        <v>27</v>
      </c>
      <c r="F28" s="35"/>
      <c r="G28" s="17">
        <f t="shared" ca="1" si="3"/>
        <v>1.9175968929085525</v>
      </c>
      <c r="H28" s="17">
        <v>1.756384167836978</v>
      </c>
      <c r="I28" s="17">
        <v>1.6797764499539225</v>
      </c>
      <c r="J28" s="17">
        <v>1.5737984394465936</v>
      </c>
      <c r="K28" s="17">
        <v>1.5256140108466612</v>
      </c>
      <c r="L28" s="17">
        <v>1.2358316321570915</v>
      </c>
      <c r="M28" s="17">
        <v>1.065563158868134</v>
      </c>
      <c r="N28" s="17">
        <v>1.0424433040887271</v>
      </c>
      <c r="O28" s="17">
        <v>1.5568298527901403</v>
      </c>
      <c r="P28" s="17">
        <v>2.0532469035768028</v>
      </c>
      <c r="Q28" s="17">
        <v>1.8003888254934277</v>
      </c>
      <c r="R28" s="37">
        <v>1.9313401960301435</v>
      </c>
      <c r="S28" s="57"/>
      <c r="T28" s="57"/>
      <c r="U28" s="57"/>
    </row>
    <row r="29" spans="1:21" x14ac:dyDescent="0.2">
      <c r="A29" t="str">
        <f>IFERROR(INDEX('2018 Data (WP)'!$C$9:$C$73,MATCH($B29,'2018 Data (WP)'!$D$9:$D$73,0)),"")</f>
        <v>Electric Utility (West)</v>
      </c>
      <c r="B29" t="s">
        <v>15</v>
      </c>
      <c r="C29" t="s">
        <v>88</v>
      </c>
      <c r="D29" s="35">
        <f t="shared" ca="1" si="1"/>
        <v>28</v>
      </c>
      <c r="E29" s="35">
        <f t="shared" ca="1" si="2"/>
        <v>28</v>
      </c>
      <c r="F29" s="35"/>
      <c r="G29" s="17">
        <f t="shared" ca="1" si="3"/>
        <v>1.6815627710525325</v>
      </c>
      <c r="H29" s="17">
        <v>1.4802864531529738</v>
      </c>
      <c r="I29" s="17">
        <v>1.5248677682561811</v>
      </c>
      <c r="J29" s="17">
        <v>1.490315699658703</v>
      </c>
      <c r="K29" s="17">
        <v>1.590411824767832</v>
      </c>
      <c r="L29" s="17">
        <v>1.641753390097761</v>
      </c>
      <c r="M29" s="17">
        <v>1.165686068501786</v>
      </c>
      <c r="N29" s="17">
        <v>0.9839552692354443</v>
      </c>
      <c r="O29" s="17">
        <v>1.330380810758389</v>
      </c>
      <c r="P29" s="17">
        <v>1.6851161845403428</v>
      </c>
      <c r="Q29" s="17">
        <v>1.7050702213758631</v>
      </c>
      <c r="R29" s="37">
        <v>1.7572244332929572</v>
      </c>
      <c r="S29" s="57"/>
      <c r="T29" s="57"/>
      <c r="U29" s="57"/>
    </row>
    <row r="30" spans="1:21" x14ac:dyDescent="0.2">
      <c r="A30" t="str">
        <f>IFERROR(INDEX('2018 Data (WP)'!$C$9:$C$73,MATCH($B30,'2018 Data (WP)'!$D$9:$D$73,0)),"")</f>
        <v/>
      </c>
      <c r="B30" t="s">
        <v>16</v>
      </c>
      <c r="C30" t="s">
        <v>102</v>
      </c>
      <c r="D30" s="35">
        <f t="shared" ca="1" si="1"/>
        <v>29</v>
      </c>
      <c r="E30" s="35">
        <f t="shared" ca="1" si="2"/>
        <v>29</v>
      </c>
      <c r="F30" s="35"/>
      <c r="G30" s="17" t="str">
        <f t="shared" ca="1" si="3"/>
        <v>N/A</v>
      </c>
      <c r="H30" s="17">
        <v>1.3175391669850975</v>
      </c>
      <c r="I30" s="17">
        <v>1.3948931446017208</v>
      </c>
      <c r="J30" s="17">
        <v>1.2735984392035349</v>
      </c>
      <c r="K30" s="17">
        <v>1.2311197916666665</v>
      </c>
      <c r="L30" s="17">
        <v>1.2490321800145174</v>
      </c>
      <c r="M30" s="17">
        <v>1.2391730416640325</v>
      </c>
      <c r="N30" s="17">
        <v>1.0744268749603099</v>
      </c>
      <c r="O30" s="17">
        <v>1.2971792070937478</v>
      </c>
      <c r="P30" s="17">
        <v>1.4743829468960359</v>
      </c>
      <c r="Q30" s="17">
        <v>1.4487121554450972</v>
      </c>
      <c r="R30" s="37">
        <v>1.4943641426866463</v>
      </c>
      <c r="S30" s="57"/>
      <c r="T30" s="57"/>
      <c r="U30" s="57"/>
    </row>
    <row r="31" spans="1:21" x14ac:dyDescent="0.2">
      <c r="A31" t="str">
        <f>IFERROR(INDEX('2018 Data (WP)'!$C$9:$C$73,MATCH($B31,'2018 Data (WP)'!$D$9:$D$73,0)),"")</f>
        <v>Electric Util. (Central)</v>
      </c>
      <c r="B31" t="s">
        <v>17</v>
      </c>
      <c r="C31" t="s">
        <v>55</v>
      </c>
      <c r="D31" s="35">
        <f t="shared" ca="1" si="1"/>
        <v>30</v>
      </c>
      <c r="E31" s="35">
        <f t="shared" ca="1" si="2"/>
        <v>30</v>
      </c>
      <c r="F31" s="35"/>
      <c r="G31" s="17">
        <f t="shared" ca="1" si="3"/>
        <v>1.6655141077642575</v>
      </c>
      <c r="H31" s="17">
        <v>1.4028444238885356</v>
      </c>
      <c r="I31" s="17">
        <v>1.3316258910341368</v>
      </c>
      <c r="J31" s="17">
        <v>1.2136587533795045</v>
      </c>
      <c r="K31" s="17">
        <v>1.3062928951184145</v>
      </c>
      <c r="L31" s="17">
        <v>1.3464202778761758</v>
      </c>
      <c r="M31" s="17">
        <v>1.6211894894073591</v>
      </c>
      <c r="N31" s="17">
        <v>1.6572840048303874</v>
      </c>
      <c r="O31" s="17">
        <v>2.4398992179886383</v>
      </c>
      <c r="P31" s="17">
        <v>2.6549835437441667</v>
      </c>
      <c r="Q31" s="17">
        <v>1.8917428924598267</v>
      </c>
      <c r="R31" s="37">
        <v>2.0062729283934018</v>
      </c>
      <c r="S31" s="57"/>
      <c r="T31" s="57"/>
      <c r="U31" s="57"/>
    </row>
    <row r="32" spans="1:21" x14ac:dyDescent="0.2">
      <c r="A32" t="str">
        <f>IFERROR(INDEX('2018 Data (WP)'!$C$9:$C$73,MATCH($B32,'2018 Data (WP)'!$D$9:$D$73,0)),"")</f>
        <v>Electric Utility (East)</v>
      </c>
      <c r="B32" t="s">
        <v>211</v>
      </c>
      <c r="C32" t="s">
        <v>212</v>
      </c>
      <c r="D32" s="35">
        <f t="shared" ca="1" si="1"/>
        <v>31</v>
      </c>
      <c r="E32" s="35">
        <f t="shared" ca="1" si="2"/>
        <v>31</v>
      </c>
      <c r="F32" s="35"/>
      <c r="G32" s="17">
        <f t="shared" ca="1" si="3"/>
        <v>1.6367482176138213</v>
      </c>
      <c r="H32" s="17">
        <v>1.5314826730398012</v>
      </c>
      <c r="I32" s="17">
        <v>1.4689267331765901</v>
      </c>
      <c r="J32" s="17">
        <v>1.3836843141113953</v>
      </c>
      <c r="K32" s="17">
        <v>1.275873793009656</v>
      </c>
      <c r="L32" s="17">
        <v>1.5045033112582782</v>
      </c>
      <c r="M32" s="17">
        <v>1.3051067179036067</v>
      </c>
      <c r="N32" s="17">
        <v>1.1212879791881412</v>
      </c>
      <c r="O32" s="17">
        <v>1.3111134041894539</v>
      </c>
      <c r="P32" s="17">
        <v>1.5980055758095646</v>
      </c>
      <c r="Q32" s="17">
        <v>1.2232265887670175</v>
      </c>
      <c r="R32" s="37">
        <v>1.0488055901630464</v>
      </c>
      <c r="S32" s="57"/>
      <c r="T32" s="57"/>
      <c r="U32" s="57"/>
    </row>
    <row r="33" spans="1:21" x14ac:dyDescent="0.2">
      <c r="A33" t="str">
        <f>IFERROR(INDEX('2018 Data (WP)'!$C$9:$C$73,MATCH($B33,'2018 Data (WP)'!$D$9:$D$73,0)),"")</f>
        <v>Electric Utility (East)</v>
      </c>
      <c r="B33" t="s">
        <v>18</v>
      </c>
      <c r="C33" t="s">
        <v>69</v>
      </c>
      <c r="D33" s="35">
        <f t="shared" ca="1" si="1"/>
        <v>32</v>
      </c>
      <c r="E33" s="35">
        <f t="shared" ca="1" si="2"/>
        <v>32</v>
      </c>
      <c r="F33" s="35"/>
      <c r="G33" s="17">
        <f t="shared" ca="1" si="3"/>
        <v>1.2026036264797395</v>
      </c>
      <c r="H33" s="17">
        <v>1.1392752692774093</v>
      </c>
      <c r="I33" s="17">
        <v>1.2793519187616476</v>
      </c>
      <c r="J33" s="17">
        <v>1.1702368381354655</v>
      </c>
      <c r="K33" s="17">
        <v>1.460992342054882</v>
      </c>
      <c r="L33" s="17">
        <v>1.9543463223426334</v>
      </c>
      <c r="M33" s="17">
        <v>2.0720909800859042</v>
      </c>
      <c r="N33" s="17">
        <v>2.5723680776658489</v>
      </c>
      <c r="O33" s="17">
        <v>4.389991063449509</v>
      </c>
      <c r="P33" s="17">
        <v>4.7874046548014864</v>
      </c>
      <c r="Q33" s="17">
        <v>3.8856797420741538</v>
      </c>
      <c r="R33" s="37">
        <v>3.6030378267854535</v>
      </c>
      <c r="S33" s="57"/>
      <c r="T33" s="57"/>
      <c r="U33" s="57"/>
    </row>
    <row r="34" spans="1:21" x14ac:dyDescent="0.2">
      <c r="A34" t="str">
        <f>IFERROR(INDEX('2018 Data (WP)'!$C$9:$C$73,MATCH($B34,'2018 Data (WP)'!$D$9:$D$73,0)),"")</f>
        <v>Electric Utility (East)</v>
      </c>
      <c r="B34" t="s">
        <v>19</v>
      </c>
      <c r="C34" t="s">
        <v>66</v>
      </c>
      <c r="D34" s="35">
        <f t="shared" ca="1" si="1"/>
        <v>33</v>
      </c>
      <c r="E34" s="35">
        <f t="shared" ca="1" si="2"/>
        <v>33</v>
      </c>
      <c r="F34" s="35"/>
      <c r="G34" s="17">
        <f t="shared" ca="1" si="3"/>
        <v>2.3686299525125802</v>
      </c>
      <c r="H34" s="17">
        <v>1.1609548167092925</v>
      </c>
      <c r="I34" s="17">
        <v>1.1467078049772834</v>
      </c>
      <c r="J34" s="17">
        <v>1.2788442509400355</v>
      </c>
      <c r="K34" s="17">
        <v>1.4362154387086463</v>
      </c>
      <c r="L34" s="17">
        <v>1.3256282673049065</v>
      </c>
      <c r="M34" s="17">
        <v>1.3620148401826484</v>
      </c>
      <c r="N34" s="17">
        <v>1.5400505752039035</v>
      </c>
      <c r="O34" s="17">
        <v>2.5216399234506111</v>
      </c>
      <c r="P34" s="17">
        <v>2.2335902747122143</v>
      </c>
      <c r="Q34" s="17">
        <v>1.9202967673555909</v>
      </c>
      <c r="R34" s="37">
        <v>1.6378518093049972</v>
      </c>
      <c r="S34" s="57"/>
      <c r="T34" s="57"/>
      <c r="U34" s="57"/>
    </row>
    <row r="35" spans="1:21" x14ac:dyDescent="0.2">
      <c r="A35" t="str">
        <f>IFERROR(INDEX('2018 Data (WP)'!$C$9:$C$73,MATCH($B35,'2018 Data (WP)'!$D$9:$D$73,0)),"")</f>
        <v>Electric Util. (Central)</v>
      </c>
      <c r="B35" t="s">
        <v>266</v>
      </c>
      <c r="C35" t="s">
        <v>265</v>
      </c>
      <c r="D35" s="35">
        <f t="shared" ca="1" si="1"/>
        <v>34</v>
      </c>
      <c r="E35" s="35">
        <f t="shared" ca="1" si="2"/>
        <v>34</v>
      </c>
      <c r="F35" s="35"/>
      <c r="G35" s="17">
        <f t="shared" ca="1" si="3"/>
        <v>1.2634689772551448</v>
      </c>
      <c r="H35" s="17">
        <v>1.3269405435617969</v>
      </c>
      <c r="I35" s="17">
        <v>1.3462542679252862</v>
      </c>
      <c r="J35" s="17">
        <v>1.4540784418833201</v>
      </c>
      <c r="K35" s="17">
        <v>1.5932626325639425</v>
      </c>
      <c r="L35" s="17">
        <v>1.5925871809857781</v>
      </c>
      <c r="M35" s="17">
        <v>1.5570682285895203</v>
      </c>
      <c r="N35" s="17">
        <v>1.3307124777855568</v>
      </c>
      <c r="O35" s="17">
        <v>1.4760317724823642</v>
      </c>
      <c r="P35" s="17">
        <v>1.627122697919158</v>
      </c>
      <c r="Q35" s="17">
        <v>1.9610771113831089</v>
      </c>
      <c r="R35" s="37" t="s">
        <v>106</v>
      </c>
      <c r="S35" s="57"/>
      <c r="T35" s="57"/>
      <c r="U35" s="57"/>
    </row>
    <row r="36" spans="1:21" x14ac:dyDescent="0.2">
      <c r="A36" t="str">
        <f>IFERROR(INDEX('2018 Data (WP)'!$C$9:$C$73,MATCH($B36,'2018 Data (WP)'!$D$9:$D$73,0)),"")</f>
        <v/>
      </c>
      <c r="B36" t="s">
        <v>57</v>
      </c>
      <c r="C36" t="s">
        <v>56</v>
      </c>
      <c r="D36" s="35" t="e">
        <f t="shared" ca="1" si="1"/>
        <v>#N/A</v>
      </c>
      <c r="E36" s="35" t="e">
        <f t="shared" ca="1" si="2"/>
        <v>#N/A</v>
      </c>
      <c r="F36" s="35"/>
      <c r="G36" s="17" t="str">
        <f t="shared" ca="1" si="3"/>
        <v>N/A</v>
      </c>
      <c r="H36" s="17" t="s">
        <v>106</v>
      </c>
      <c r="I36" s="17" t="s">
        <v>106</v>
      </c>
      <c r="J36" s="17" t="s">
        <v>106</v>
      </c>
      <c r="K36" s="17" t="s">
        <v>106</v>
      </c>
      <c r="L36" s="17" t="s">
        <v>106</v>
      </c>
      <c r="M36" s="17" t="s">
        <v>106</v>
      </c>
      <c r="N36" s="17" t="s">
        <v>106</v>
      </c>
      <c r="O36" s="17" t="s">
        <v>106</v>
      </c>
      <c r="P36" s="17" t="s">
        <v>106</v>
      </c>
      <c r="Q36" s="17" t="s">
        <v>106</v>
      </c>
      <c r="R36" s="37" t="s">
        <v>106</v>
      </c>
      <c r="S36" s="57"/>
      <c r="T36" s="57"/>
      <c r="U36" s="57"/>
    </row>
    <row r="37" spans="1:21" x14ac:dyDescent="0.2">
      <c r="A37" t="str">
        <f>IFERROR(INDEX('2018 Data (WP)'!$C$9:$C$73,MATCH($B37,'2018 Data (WP)'!$D$9:$D$73,0)),"")</f>
        <v>Electric Util. (Central)</v>
      </c>
      <c r="B37" t="s">
        <v>20</v>
      </c>
      <c r="C37" t="s">
        <v>104</v>
      </c>
      <c r="D37" s="35">
        <f t="shared" ref="D37:D46" ca="1" si="4">MATCH(B37,OFFSET(MarketPrice,0,0,,1),0)</f>
        <v>36</v>
      </c>
      <c r="E37" s="35">
        <f t="shared" ref="E37:E46" ca="1" si="5">MATCH(B37,OFFSET(BookValue,0,0,,1),0)</f>
        <v>36</v>
      </c>
      <c r="F37" s="35"/>
      <c r="G37" s="17">
        <f t="shared" ref="G37:Q68" ca="1" si="6">IFERROR(INDEX(MarketPrice,$D37,G$2)/INDEX(BookValue,$E37,G$2),"N/A")</f>
        <v>1.170555173668675</v>
      </c>
      <c r="H37" s="17">
        <v>1.120349647396647</v>
      </c>
      <c r="I37" s="17">
        <v>1.1115983148482504</v>
      </c>
      <c r="J37" s="17">
        <v>1.0177582923696913</v>
      </c>
      <c r="K37" s="17">
        <v>0.96396230751551371</v>
      </c>
      <c r="L37" s="17">
        <v>0.9259463686122994</v>
      </c>
      <c r="M37" s="17">
        <v>0.87020926404890664</v>
      </c>
      <c r="N37" s="17">
        <v>0.80083410115901266</v>
      </c>
      <c r="O37" s="17">
        <v>1.1143631943145689</v>
      </c>
      <c r="P37" s="17">
        <v>1.6633483665163349</v>
      </c>
      <c r="Q37" s="17">
        <v>1.7749835339201243</v>
      </c>
      <c r="R37" s="37">
        <v>1.8594294092491905</v>
      </c>
      <c r="S37" s="57"/>
      <c r="T37" s="58"/>
      <c r="U37" s="58"/>
    </row>
    <row r="38" spans="1:21" x14ac:dyDescent="0.2">
      <c r="A38" t="str">
        <f>IFERROR(INDEX('2018 Data (WP)'!$C$9:$C$73,MATCH($B38,'2018 Data (WP)'!$D$9:$D$73,0)),"")</f>
        <v>Electric Utility (West)</v>
      </c>
      <c r="B38" t="s">
        <v>21</v>
      </c>
      <c r="C38" t="s">
        <v>58</v>
      </c>
      <c r="D38" s="35">
        <f t="shared" ca="1" si="4"/>
        <v>37</v>
      </c>
      <c r="E38" s="35">
        <f t="shared" ca="1" si="5"/>
        <v>37</v>
      </c>
      <c r="F38" s="35"/>
      <c r="G38" s="17">
        <f t="shared" ca="1" si="6"/>
        <v>1.6309761479457814</v>
      </c>
      <c r="H38" s="17">
        <v>1.7060987847028655</v>
      </c>
      <c r="I38" s="17">
        <v>1.4911828695751745</v>
      </c>
      <c r="J38" s="17">
        <v>1.5399272983114447</v>
      </c>
      <c r="K38" s="17">
        <v>1.6225116736298846</v>
      </c>
      <c r="L38" s="17">
        <v>1.5427872860635699</v>
      </c>
      <c r="M38" s="17">
        <v>1.4354735767168751</v>
      </c>
      <c r="N38" s="17">
        <v>1.1554999358233859</v>
      </c>
      <c r="O38" s="17">
        <v>1.6144625407166124</v>
      </c>
      <c r="P38" s="17">
        <v>1.5664944070124942</v>
      </c>
      <c r="Q38" s="17">
        <v>2.0110078095946449</v>
      </c>
      <c r="R38" s="37">
        <v>1.7758769886174532</v>
      </c>
      <c r="S38" s="57"/>
      <c r="T38" s="57"/>
      <c r="U38" s="57"/>
    </row>
    <row r="39" spans="1:21" x14ac:dyDescent="0.2">
      <c r="A39" t="str">
        <f>IFERROR(INDEX('2018 Data (WP)'!$C$9:$C$73,MATCH($B39,'2018 Data (WP)'!$D$9:$D$73,0)),"")</f>
        <v>Electric Utility (West)</v>
      </c>
      <c r="B39" t="s">
        <v>22</v>
      </c>
      <c r="C39" t="s">
        <v>59</v>
      </c>
      <c r="D39" s="35">
        <f t="shared" ca="1" si="4"/>
        <v>38</v>
      </c>
      <c r="E39" s="35">
        <f t="shared" ca="1" si="5"/>
        <v>38</v>
      </c>
      <c r="F39" s="35"/>
      <c r="G39" s="17">
        <f t="shared" ca="1" si="6"/>
        <v>1.7571304897166524</v>
      </c>
      <c r="H39" s="17">
        <v>1.535360454022848</v>
      </c>
      <c r="I39" s="17">
        <v>1.4531065012611315</v>
      </c>
      <c r="J39" s="17">
        <v>1.3288366538190111</v>
      </c>
      <c r="K39" s="17">
        <v>1.1926422358477116</v>
      </c>
      <c r="L39" s="17">
        <v>1.1679373210788007</v>
      </c>
      <c r="M39" s="17">
        <v>1.1250846473831866</v>
      </c>
      <c r="N39" s="17">
        <v>0.92277370261191471</v>
      </c>
      <c r="O39" s="17">
        <v>1.093591267696963</v>
      </c>
      <c r="P39" s="17">
        <v>1.2630636010749479</v>
      </c>
      <c r="Q39" s="17">
        <v>1.3744469455872081</v>
      </c>
      <c r="R39" s="37">
        <v>1.2158934886623673</v>
      </c>
      <c r="S39" s="57"/>
      <c r="T39" s="57"/>
      <c r="U39" s="57"/>
    </row>
    <row r="40" spans="1:21" x14ac:dyDescent="0.2">
      <c r="A40" t="str">
        <f>IFERROR(INDEX('2018 Data (WP)'!$C$9:$C$73,MATCH($B40,'2018 Data (WP)'!$D$9:$D$73,0)),"")</f>
        <v/>
      </c>
      <c r="B40" t="s">
        <v>23</v>
      </c>
      <c r="C40" t="s">
        <v>85</v>
      </c>
      <c r="D40" s="35" t="e">
        <f t="shared" ca="1" si="4"/>
        <v>#N/A</v>
      </c>
      <c r="E40" s="35" t="e">
        <f t="shared" ca="1" si="5"/>
        <v>#N/A</v>
      </c>
      <c r="F40" s="35"/>
      <c r="G40" s="17" t="str">
        <f t="shared" ca="1" si="6"/>
        <v>N/A</v>
      </c>
      <c r="H40" s="17" t="s">
        <v>106</v>
      </c>
      <c r="I40" s="17" t="s">
        <v>106</v>
      </c>
      <c r="J40" s="17" t="s">
        <v>106</v>
      </c>
      <c r="K40" s="17" t="s">
        <v>106</v>
      </c>
      <c r="L40" s="17" t="s">
        <v>106</v>
      </c>
      <c r="M40" s="17" t="s">
        <v>106</v>
      </c>
      <c r="N40" s="17" t="s">
        <v>106</v>
      </c>
      <c r="O40" s="17" t="s">
        <v>106</v>
      </c>
      <c r="P40" s="17" t="s">
        <v>106</v>
      </c>
      <c r="Q40" s="17" t="s">
        <v>106</v>
      </c>
      <c r="R40" s="37" t="s">
        <v>106</v>
      </c>
      <c r="S40" s="57"/>
      <c r="T40" s="57"/>
      <c r="U40" s="57"/>
    </row>
    <row r="41" spans="1:21" x14ac:dyDescent="0.2">
      <c r="A41" t="str">
        <f>IFERROR(INDEX('2018 Data (WP)'!$C$9:$C$73,MATCH($B41,'2018 Data (WP)'!$D$9:$D$73,0)),"")</f>
        <v/>
      </c>
      <c r="B41" t="s">
        <v>161</v>
      </c>
      <c r="C41" t="s">
        <v>160</v>
      </c>
      <c r="D41" s="35" t="e">
        <f t="shared" ca="1" si="4"/>
        <v>#N/A</v>
      </c>
      <c r="E41" s="35" t="e">
        <f t="shared" ca="1" si="5"/>
        <v>#N/A</v>
      </c>
      <c r="F41" s="35"/>
      <c r="G41" s="17" t="str">
        <f t="shared" ca="1" si="6"/>
        <v>N/A</v>
      </c>
      <c r="H41" s="17" t="s">
        <v>106</v>
      </c>
      <c r="I41" s="17" t="s">
        <v>106</v>
      </c>
      <c r="J41" s="17" t="s">
        <v>106</v>
      </c>
      <c r="K41" s="17" t="s">
        <v>106</v>
      </c>
      <c r="L41" s="17" t="s">
        <v>106</v>
      </c>
      <c r="M41" s="17" t="s">
        <v>106</v>
      </c>
      <c r="N41" s="17" t="s">
        <v>106</v>
      </c>
      <c r="O41" s="17" t="s">
        <v>106</v>
      </c>
      <c r="P41" s="17" t="s">
        <v>106</v>
      </c>
      <c r="Q41" s="17" t="s">
        <v>106</v>
      </c>
      <c r="R41" s="37">
        <v>3.5244225672093905</v>
      </c>
      <c r="S41" s="57"/>
      <c r="T41" s="57"/>
      <c r="U41" s="57"/>
    </row>
    <row r="42" spans="1:21" x14ac:dyDescent="0.2">
      <c r="A42" t="str">
        <f>IFERROR(INDEX('2018 Data (WP)'!$C$9:$C$73,MATCH($B42,'2018 Data (WP)'!$D$9:$D$73,0)),"")</f>
        <v/>
      </c>
      <c r="B42" t="s">
        <v>24</v>
      </c>
      <c r="C42" t="s">
        <v>60</v>
      </c>
      <c r="D42" s="35" t="e">
        <f t="shared" ca="1" si="4"/>
        <v>#N/A</v>
      </c>
      <c r="E42" s="35" t="e">
        <f t="shared" ca="1" si="5"/>
        <v>#N/A</v>
      </c>
      <c r="F42" s="35"/>
      <c r="G42" s="17" t="str">
        <f t="shared" ca="1" si="6"/>
        <v>N/A</v>
      </c>
      <c r="H42" s="17" t="s">
        <v>106</v>
      </c>
      <c r="I42" s="17" t="s">
        <v>106</v>
      </c>
      <c r="J42" s="17" t="s">
        <v>106</v>
      </c>
      <c r="K42" s="17" t="s">
        <v>106</v>
      </c>
      <c r="L42" s="17" t="s">
        <v>106</v>
      </c>
      <c r="M42" s="17" t="s">
        <v>106</v>
      </c>
      <c r="N42" s="17" t="s">
        <v>106</v>
      </c>
      <c r="O42" s="17" t="s">
        <v>106</v>
      </c>
      <c r="P42" s="17" t="s">
        <v>106</v>
      </c>
      <c r="Q42" s="17" t="s">
        <v>106</v>
      </c>
      <c r="R42" s="37">
        <v>1.9059804485336402</v>
      </c>
      <c r="S42" s="57"/>
      <c r="T42" s="57"/>
      <c r="U42" s="57"/>
    </row>
    <row r="43" spans="1:21" x14ac:dyDescent="0.2">
      <c r="A43" t="str">
        <f>IFERROR(INDEX('2018 Data (WP)'!$C$9:$C$73,MATCH($B43,'2018 Data (WP)'!$D$9:$D$73,0)),"")</f>
        <v>Electric Util. (Central)</v>
      </c>
      <c r="B43" t="s">
        <v>25</v>
      </c>
      <c r="C43" t="s">
        <v>61</v>
      </c>
      <c r="D43" s="35">
        <f t="shared" ca="1" si="4"/>
        <v>39</v>
      </c>
      <c r="E43" s="35">
        <f t="shared" ca="1" si="5"/>
        <v>39</v>
      </c>
      <c r="F43" s="35"/>
      <c r="G43" s="17">
        <f t="shared" ca="1" si="6"/>
        <v>2.5993488461170164</v>
      </c>
      <c r="H43" s="17">
        <v>2.0975597509540069</v>
      </c>
      <c r="I43" s="17">
        <v>2.0968980021030497</v>
      </c>
      <c r="J43" s="17">
        <v>2.0632719514933751</v>
      </c>
      <c r="K43" s="17">
        <v>1.9177237912876974</v>
      </c>
      <c r="L43" s="17">
        <v>1.7526117054751416</v>
      </c>
      <c r="M43" s="17">
        <v>1.6486397253037506</v>
      </c>
      <c r="N43" s="17">
        <v>1.5408001105506806</v>
      </c>
      <c r="O43" s="17">
        <v>1.621497341572065</v>
      </c>
      <c r="P43" s="17">
        <v>1.7479599692070824</v>
      </c>
      <c r="Q43" s="17">
        <v>1.8276469108894291</v>
      </c>
      <c r="R43" s="37">
        <v>2.09242572932465</v>
      </c>
      <c r="S43" s="57"/>
      <c r="T43" s="57"/>
      <c r="U43" s="57"/>
    </row>
    <row r="44" spans="1:21" x14ac:dyDescent="0.2">
      <c r="A44" t="str">
        <f>IFERROR(INDEX('2018 Data (WP)'!$C$9:$C$73,MATCH($B44,'2018 Data (WP)'!$D$9:$D$73,0)),"")</f>
        <v>Water Utility</v>
      </c>
      <c r="B44" s="31" t="s">
        <v>188</v>
      </c>
      <c r="C44" s="31" t="s">
        <v>187</v>
      </c>
      <c r="D44" s="35">
        <f t="shared" ca="1" si="4"/>
        <v>40</v>
      </c>
      <c r="E44" s="35">
        <f t="shared" ca="1" si="5"/>
        <v>40</v>
      </c>
      <c r="F44" s="35"/>
      <c r="G44" s="17">
        <f t="shared" ca="1" si="6"/>
        <v>2.6402566398090124</v>
      </c>
      <c r="H44" s="17">
        <v>1.8301279535285344</v>
      </c>
      <c r="I44" s="17">
        <v>1.7072572736188296</v>
      </c>
      <c r="J44" s="17">
        <v>1.7164242219215158</v>
      </c>
      <c r="K44" s="17">
        <v>1.6323580633925461</v>
      </c>
      <c r="L44" s="17">
        <v>1.6193433895297249</v>
      </c>
      <c r="M44" s="17">
        <v>1.5358426158821417</v>
      </c>
      <c r="N44" s="17">
        <v>1.4650014522218995</v>
      </c>
      <c r="O44" s="17">
        <v>1.7570046864094127</v>
      </c>
      <c r="P44" s="17">
        <v>1.8681121941515815</v>
      </c>
      <c r="Q44" s="17">
        <v>1.9564167191766437</v>
      </c>
      <c r="S44" s="58"/>
      <c r="T44" s="58"/>
      <c r="U44" s="58"/>
    </row>
    <row r="45" spans="1:21" x14ac:dyDescent="0.2">
      <c r="A45" t="str">
        <f>IFERROR(INDEX('2018 Data (WP)'!$C$9:$C$73,MATCH($B45,'2018 Data (WP)'!$D$9:$D$73,0)),"")</f>
        <v>Natural Gas Utility</v>
      </c>
      <c r="B45" s="31" t="s">
        <v>190</v>
      </c>
      <c r="C45" s="31" t="s">
        <v>189</v>
      </c>
      <c r="D45" s="35">
        <f t="shared" ca="1" si="4"/>
        <v>41</v>
      </c>
      <c r="E45" s="35">
        <f t="shared" ca="1" si="5"/>
        <v>41</v>
      </c>
      <c r="F45" s="35"/>
      <c r="G45" s="17">
        <f t="shared" ca="1" si="6"/>
        <v>2.5188102775528236</v>
      </c>
      <c r="H45" s="17">
        <v>2.2755675259715278</v>
      </c>
      <c r="I45" s="17">
        <v>2.1266230936819173</v>
      </c>
      <c r="J45" s="17">
        <v>2.0483522673927332</v>
      </c>
      <c r="K45" s="17">
        <v>2.3270741912440047</v>
      </c>
      <c r="L45" s="17">
        <v>2.3079551521623065</v>
      </c>
      <c r="M45" s="17">
        <v>2.0919409761634506</v>
      </c>
      <c r="N45" s="17">
        <v>2.159652719160738</v>
      </c>
      <c r="O45" s="17">
        <v>1.9173802360564685</v>
      </c>
      <c r="P45" s="17">
        <v>2.1672689726381003</v>
      </c>
      <c r="Q45" s="17">
        <v>2.0057325689908012</v>
      </c>
      <c r="S45" s="57"/>
      <c r="T45" s="57"/>
      <c r="U45" s="57"/>
    </row>
    <row r="46" spans="1:21" x14ac:dyDescent="0.2">
      <c r="A46" t="str">
        <f>IFERROR(INDEX('2018 Data (WP)'!$C$9:$C$73,MATCH($B46,'2018 Data (WP)'!$D$9:$D$73,0)),"")</f>
        <v>Electric Utility (East)</v>
      </c>
      <c r="B46" t="s">
        <v>141</v>
      </c>
      <c r="C46" t="s">
        <v>209</v>
      </c>
      <c r="D46" s="35">
        <f t="shared" ca="1" si="4"/>
        <v>42</v>
      </c>
      <c r="E46" s="35">
        <f t="shared" ca="1" si="5"/>
        <v>42</v>
      </c>
      <c r="F46" s="35"/>
      <c r="G46" s="17">
        <f t="shared" ca="1" si="6"/>
        <v>2.3016669550671973</v>
      </c>
      <c r="H46" s="17">
        <v>2.0907958420977391</v>
      </c>
      <c r="I46" s="17">
        <v>2.1492759748203838</v>
      </c>
      <c r="J46" s="17">
        <v>1.9299992766029275</v>
      </c>
      <c r="K46" s="17">
        <v>1.7367796073464217</v>
      </c>
      <c r="L46" s="17">
        <v>1.5478967734751259</v>
      </c>
      <c r="M46" s="17">
        <v>1.4938009313154832</v>
      </c>
      <c r="N46" s="17">
        <v>1.6988835725677829</v>
      </c>
      <c r="O46" s="17">
        <v>2.0633970454386334</v>
      </c>
      <c r="P46" s="17">
        <v>2.3447294528344842</v>
      </c>
      <c r="Q46" s="17">
        <v>1.8003184453335512</v>
      </c>
      <c r="R46" s="37">
        <v>1.9276621445827913</v>
      </c>
      <c r="S46" s="57"/>
      <c r="T46" s="57"/>
      <c r="U46" s="57"/>
    </row>
    <row r="47" spans="1:21" x14ac:dyDescent="0.2">
      <c r="A47" t="str">
        <f>IFERROR(INDEX('2018 Data (WP)'!$C$9:$C$73,MATCH($B47,'2018 Data (WP)'!$D$9:$D$73,0)),"")</f>
        <v>Natural Gas Utility</v>
      </c>
      <c r="B47" t="s">
        <v>26</v>
      </c>
      <c r="C47" t="s">
        <v>62</v>
      </c>
      <c r="D47" s="35">
        <f t="shared" ref="D47:D78" ca="1" si="7">MATCH(B47,OFFSET(MarketPrice,0,0,,1),0)</f>
        <v>43</v>
      </c>
      <c r="E47" s="35">
        <f t="shared" ref="E47:E78" ca="1" si="8">MATCH(B47,OFFSET(BookValue,0,0,,1),0)</f>
        <v>43</v>
      </c>
      <c r="F47" s="35"/>
      <c r="G47" s="17">
        <f t="shared" ca="1" si="6"/>
        <v>1.840212732179711</v>
      </c>
      <c r="H47" s="17">
        <v>1.9531717037529059</v>
      </c>
      <c r="I47" s="17">
        <v>1.943654042988741</v>
      </c>
      <c r="J47" s="17">
        <v>1.5801673149677626</v>
      </c>
      <c r="K47" s="17">
        <v>1.3676330931232892</v>
      </c>
      <c r="L47" s="17">
        <v>1.1479954827780914</v>
      </c>
      <c r="M47" s="17">
        <v>0.92171101151642376</v>
      </c>
      <c r="N47" s="17">
        <v>0.68660546273592982</v>
      </c>
      <c r="O47" s="17">
        <v>0.93765224451919738</v>
      </c>
      <c r="P47" s="17">
        <v>1.1584575502268308</v>
      </c>
      <c r="Q47" s="17">
        <v>1.1921838327602203</v>
      </c>
      <c r="R47" s="37">
        <v>1.278861563967947</v>
      </c>
      <c r="S47" s="57"/>
      <c r="T47" s="57"/>
      <c r="U47" s="57"/>
    </row>
    <row r="48" spans="1:21" x14ac:dyDescent="0.2">
      <c r="A48" t="str">
        <f>IFERROR(INDEX('2018 Data (WP)'!$C$9:$C$73,MATCH($B48,'2018 Data (WP)'!$D$9:$D$73,0)),"")</f>
        <v>Natural Gas Utility</v>
      </c>
      <c r="B48" s="31" t="s">
        <v>192</v>
      </c>
      <c r="C48" s="31" t="s">
        <v>191</v>
      </c>
      <c r="D48" s="35">
        <f t="shared" ca="1" si="7"/>
        <v>44</v>
      </c>
      <c r="E48" s="35">
        <f t="shared" ca="1" si="8"/>
        <v>44</v>
      </c>
      <c r="F48" s="35"/>
      <c r="G48" s="17">
        <f t="shared" ca="1" si="6"/>
        <v>1.921362687672524</v>
      </c>
      <c r="H48" s="17">
        <v>1.6307638279192274</v>
      </c>
      <c r="I48" s="17">
        <v>1.5891263378729155</v>
      </c>
      <c r="J48" s="17">
        <v>1.5631976953546993</v>
      </c>
      <c r="K48" s="17">
        <v>1.7180993647413065</v>
      </c>
      <c r="L48" s="17">
        <v>1.7021420011983224</v>
      </c>
      <c r="M48" s="17">
        <v>1.7765337423312886</v>
      </c>
      <c r="N48" s="17">
        <v>1.7259536154990152</v>
      </c>
      <c r="O48" s="17">
        <v>1.9591328919067101</v>
      </c>
      <c r="P48" s="17">
        <v>2.0512387887398988</v>
      </c>
      <c r="Q48" s="17">
        <v>1.6922447866975603</v>
      </c>
      <c r="S48" s="57"/>
      <c r="T48" s="57"/>
      <c r="U48" s="57"/>
    </row>
    <row r="49" spans="1:21" x14ac:dyDescent="0.2">
      <c r="A49" t="str">
        <f>IFERROR(INDEX('2018 Data (WP)'!$C$9:$C$73,MATCH($B49,'2018 Data (WP)'!$D$9:$D$73,0)),"")</f>
        <v>Electric Utility (West)</v>
      </c>
      <c r="B49" t="str">
        <f>"NWE"</f>
        <v>NWE</v>
      </c>
      <c r="C49" t="s">
        <v>94</v>
      </c>
      <c r="D49" s="35">
        <f t="shared" ca="1" si="7"/>
        <v>45</v>
      </c>
      <c r="E49" s="35">
        <f t="shared" ca="1" si="8"/>
        <v>45</v>
      </c>
      <c r="F49" s="35"/>
      <c r="G49" s="17">
        <f t="shared" ca="1" si="6"/>
        <v>1.6798627530130903</v>
      </c>
      <c r="H49" s="17">
        <v>1.6030164368715756</v>
      </c>
      <c r="I49" s="17">
        <v>1.5411282897869774</v>
      </c>
      <c r="J49" s="17">
        <v>1.5591519115822714</v>
      </c>
      <c r="K49" s="17">
        <v>1.4155176536223799</v>
      </c>
      <c r="L49" s="17">
        <v>1.3485494700392719</v>
      </c>
      <c r="M49" s="17">
        <v>1.218743099412622</v>
      </c>
      <c r="N49" s="17">
        <v>1.0661939615736504</v>
      </c>
      <c r="O49" s="17">
        <v>1.1549103571596631</v>
      </c>
      <c r="P49" s="17">
        <v>1.4819830484397936</v>
      </c>
      <c r="Q49" s="17">
        <v>1.6463125272383903</v>
      </c>
      <c r="R49" s="37">
        <v>1.418462434478742</v>
      </c>
      <c r="S49" s="57"/>
      <c r="T49" s="57"/>
      <c r="U49" s="57"/>
    </row>
    <row r="50" spans="1:21" x14ac:dyDescent="0.2">
      <c r="A50" t="str">
        <f>IFERROR(INDEX('2018 Data (WP)'!$C$9:$C$73,MATCH($B50,'2018 Data (WP)'!$D$9:$D$73,0)),"")</f>
        <v>Electric Util. (Central)</v>
      </c>
      <c r="B50" t="s">
        <v>27</v>
      </c>
      <c r="C50" t="s">
        <v>67</v>
      </c>
      <c r="D50" s="35">
        <f t="shared" ca="1" si="7"/>
        <v>46</v>
      </c>
      <c r="E50" s="35">
        <f t="shared" ca="1" si="8"/>
        <v>46</v>
      </c>
      <c r="F50" s="35"/>
      <c r="G50" s="17">
        <f t="shared" ca="1" si="6"/>
        <v>1.7326761380110176</v>
      </c>
      <c r="H50" s="17">
        <v>1.7949564695286699</v>
      </c>
      <c r="I50" s="17">
        <v>2.2227275520865342</v>
      </c>
      <c r="J50" s="17">
        <v>2.2433986928104575</v>
      </c>
      <c r="K50" s="17">
        <v>1.9372322193658955</v>
      </c>
      <c r="L50" s="17">
        <v>1.8968235744355149</v>
      </c>
      <c r="M50" s="17">
        <v>1.6968456947996589</v>
      </c>
      <c r="N50" s="17">
        <v>1.3696768060836504</v>
      </c>
      <c r="O50" s="17">
        <v>1.523020802523908</v>
      </c>
      <c r="P50" s="17">
        <v>1.9826324412889134</v>
      </c>
      <c r="Q50" s="17">
        <v>1.9051518253155919</v>
      </c>
      <c r="R50" s="37">
        <v>1.8015277229026736</v>
      </c>
      <c r="S50" s="57"/>
      <c r="T50" s="57"/>
      <c r="U50" s="57"/>
    </row>
    <row r="51" spans="1:21" x14ac:dyDescent="0.2">
      <c r="A51" t="str">
        <f>IFERROR(INDEX('2018 Data (WP)'!$C$9:$C$73,MATCH($B51,'2018 Data (WP)'!$D$9:$D$73,0)),"")</f>
        <v>Natural Gas Utility</v>
      </c>
      <c r="B51" t="s">
        <v>346</v>
      </c>
      <c r="C51" t="s">
        <v>349</v>
      </c>
      <c r="D51" s="35">
        <f t="shared" ca="1" si="7"/>
        <v>47</v>
      </c>
      <c r="E51" s="35">
        <f t="shared" ca="1" si="8"/>
        <v>47</v>
      </c>
      <c r="F51" s="35"/>
      <c r="G51" s="17">
        <f t="shared" ca="1" si="6"/>
        <v>1.6683833097987097</v>
      </c>
      <c r="H51" s="17">
        <f t="shared" ca="1" si="6"/>
        <v>1.2579812139958568</v>
      </c>
      <c r="I51" s="17">
        <f t="shared" ca="1" si="6"/>
        <v>1.0713311075627812</v>
      </c>
      <c r="J51" s="17" t="str">
        <f t="shared" ca="1" si="6"/>
        <v>N/A</v>
      </c>
      <c r="K51" s="17" t="str">
        <f t="shared" ca="1" si="6"/>
        <v>N/A</v>
      </c>
      <c r="L51" s="17" t="str">
        <f t="shared" ca="1" si="6"/>
        <v>N/A</v>
      </c>
      <c r="M51" s="17" t="str">
        <f t="shared" ca="1" si="6"/>
        <v>N/A</v>
      </c>
      <c r="N51" s="17" t="str">
        <f t="shared" ca="1" si="6"/>
        <v>N/A</v>
      </c>
      <c r="O51" s="17" t="str">
        <f t="shared" ca="1" si="6"/>
        <v>N/A</v>
      </c>
      <c r="P51" s="17" t="str">
        <f t="shared" ca="1" si="6"/>
        <v>N/A</v>
      </c>
      <c r="Q51" s="17" t="str">
        <f t="shared" ca="1" si="6"/>
        <v>N/A</v>
      </c>
      <c r="R51" s="37"/>
      <c r="S51" s="57"/>
      <c r="T51" s="57"/>
      <c r="U51" s="57"/>
    </row>
    <row r="52" spans="1:21" x14ac:dyDescent="0.2">
      <c r="A52" t="str">
        <f>IFERROR(INDEX('2018 Data (WP)'!$C$9:$C$73,MATCH($B52,'2018 Data (WP)'!$D$9:$D$73,0)),"")</f>
        <v>Electric Util. (Central)</v>
      </c>
      <c r="B52" t="s">
        <v>28</v>
      </c>
      <c r="C52" t="s">
        <v>68</v>
      </c>
      <c r="D52" s="35">
        <f t="shared" ca="1" si="7"/>
        <v>48</v>
      </c>
      <c r="E52" s="35">
        <f t="shared" ca="1" si="8"/>
        <v>48</v>
      </c>
      <c r="F52" s="35"/>
      <c r="G52" s="17">
        <f t="shared" ca="1" si="6"/>
        <v>1.8971814445096886</v>
      </c>
      <c r="H52" s="17">
        <v>1.77637342009761</v>
      </c>
      <c r="I52" s="17">
        <v>1.8973942426408474</v>
      </c>
      <c r="J52" s="17">
        <v>1.9622923024754155</v>
      </c>
      <c r="K52" s="17">
        <v>1.5823863636363635</v>
      </c>
      <c r="L52" s="17">
        <v>1.349864173352707</v>
      </c>
      <c r="M52" s="17">
        <v>1.1919726729291205</v>
      </c>
      <c r="N52" s="17">
        <v>1.1776949693904712</v>
      </c>
      <c r="O52" s="17">
        <v>1.7117404253095776</v>
      </c>
      <c r="P52" s="17">
        <v>1.9289499173836249</v>
      </c>
      <c r="Q52" s="17">
        <v>1.7591048179036417</v>
      </c>
      <c r="R52" s="37">
        <v>1.7353760445682451</v>
      </c>
      <c r="S52" s="57"/>
      <c r="T52" s="57"/>
      <c r="U52" s="57"/>
    </row>
    <row r="53" spans="1:21" x14ac:dyDescent="0.2">
      <c r="A53" t="str">
        <f>IFERROR(INDEX('2018 Data (WP)'!$C$9:$C$73,MATCH($B53,'2018 Data (WP)'!$D$9:$D$73,0)),"")</f>
        <v/>
      </c>
      <c r="B53" t="s">
        <v>29</v>
      </c>
      <c r="C53" t="s">
        <v>73</v>
      </c>
      <c r="D53" s="35" t="e">
        <f t="shared" ca="1" si="7"/>
        <v>#N/A</v>
      </c>
      <c r="E53" s="35" t="e">
        <f t="shared" ca="1" si="8"/>
        <v>#N/A</v>
      </c>
      <c r="F53" s="35"/>
      <c r="G53" s="17" t="str">
        <f t="shared" ca="1" si="6"/>
        <v>N/A</v>
      </c>
      <c r="H53" s="17" t="s">
        <v>106</v>
      </c>
      <c r="I53" s="17" t="s">
        <v>106</v>
      </c>
      <c r="J53" s="17" t="s">
        <v>106</v>
      </c>
      <c r="K53" s="17" t="s">
        <v>106</v>
      </c>
      <c r="L53" s="17" t="s">
        <v>106</v>
      </c>
      <c r="M53" s="17" t="s">
        <v>106</v>
      </c>
      <c r="N53" s="17" t="s">
        <v>106</v>
      </c>
      <c r="O53" s="17" t="s">
        <v>106</v>
      </c>
      <c r="P53" s="17" t="s">
        <v>106</v>
      </c>
      <c r="Q53" s="17" t="s">
        <v>106</v>
      </c>
      <c r="R53" s="37" t="s">
        <v>106</v>
      </c>
      <c r="S53" s="57"/>
      <c r="T53" s="57"/>
      <c r="U53" s="57"/>
    </row>
    <row r="54" spans="1:21" x14ac:dyDescent="0.2">
      <c r="A54" t="str">
        <f>IFERROR(INDEX('2018 Data (WP)'!$C$9:$C$73,MATCH($B54,'2018 Data (WP)'!$D$9:$D$73,0)),"")</f>
        <v>Electric Utility (West)</v>
      </c>
      <c r="B54" t="s">
        <v>30</v>
      </c>
      <c r="C54" t="s">
        <v>71</v>
      </c>
      <c r="D54" s="35">
        <f t="shared" ca="1" si="7"/>
        <v>49</v>
      </c>
      <c r="E54" s="35">
        <f t="shared" ca="1" si="8"/>
        <v>49</v>
      </c>
      <c r="F54" s="35"/>
      <c r="G54" s="17">
        <f t="shared" ca="1" si="6"/>
        <v>1.6893083182640143</v>
      </c>
      <c r="H54" s="17">
        <v>1.5671881029416128</v>
      </c>
      <c r="I54" s="17">
        <v>1.3873980054397097</v>
      </c>
      <c r="J54" s="17">
        <v>1.3790040119722347</v>
      </c>
      <c r="K54" s="17">
        <v>1.4117743954668249</v>
      </c>
      <c r="L54" s="17">
        <v>1.4640070861581438</v>
      </c>
      <c r="M54" s="17">
        <v>1.5611644363483499</v>
      </c>
      <c r="N54" s="17">
        <v>1.4137794993185566</v>
      </c>
      <c r="O54" s="17">
        <v>1.4982480458973471</v>
      </c>
      <c r="P54" s="17">
        <v>1.9369727047146401</v>
      </c>
      <c r="Q54" s="17">
        <v>1.8257342782011854</v>
      </c>
      <c r="R54" s="37">
        <v>1.84234693877551</v>
      </c>
      <c r="S54" s="57"/>
      <c r="T54" s="57"/>
      <c r="U54" s="57"/>
    </row>
    <row r="55" spans="1:21" x14ac:dyDescent="0.2">
      <c r="A55" t="str">
        <f>IFERROR(INDEX('2018 Data (WP)'!$C$9:$C$73,MATCH($B55,'2018 Data (WP)'!$D$9:$D$73,0)),"")</f>
        <v>Electric Utility (West)</v>
      </c>
      <c r="B55" t="s">
        <v>31</v>
      </c>
      <c r="C55" t="s">
        <v>72</v>
      </c>
      <c r="D55" s="35">
        <f t="shared" ca="1" si="7"/>
        <v>50</v>
      </c>
      <c r="E55" s="35">
        <f t="shared" ca="1" si="8"/>
        <v>50</v>
      </c>
      <c r="F55" s="35"/>
      <c r="G55" s="17">
        <f t="shared" ca="1" si="6"/>
        <v>1.7159578166647349</v>
      </c>
      <c r="H55" s="17">
        <v>1.5218865000968429</v>
      </c>
      <c r="I55" s="17">
        <v>1.4398339198460719</v>
      </c>
      <c r="J55" s="17">
        <v>1.4678609892563503</v>
      </c>
      <c r="K55" s="17">
        <v>1.3869782602690532</v>
      </c>
      <c r="L55" s="17">
        <v>1.2481705922707522</v>
      </c>
      <c r="M55" s="17">
        <v>1.142776990314198</v>
      </c>
      <c r="N55" s="17">
        <v>0.94995717606753949</v>
      </c>
      <c r="O55" s="17">
        <v>0.99718936643635092</v>
      </c>
      <c r="P55" s="17">
        <v>1.2575330772513869</v>
      </c>
      <c r="Q55" s="17">
        <v>1.2588542422044959</v>
      </c>
      <c r="R55" s="37">
        <v>1.2464346668980879</v>
      </c>
      <c r="S55" s="57"/>
      <c r="T55" s="57"/>
      <c r="U55" s="57"/>
    </row>
    <row r="56" spans="1:21" x14ac:dyDescent="0.2">
      <c r="A56" t="str">
        <f>IFERROR(INDEX('2018 Data (WP)'!$C$9:$C$73,MATCH($B56,'2018 Data (WP)'!$D$9:$D$73,0)),"")</f>
        <v>Electric Utility (West)</v>
      </c>
      <c r="B56" t="s">
        <v>32</v>
      </c>
      <c r="C56" t="s">
        <v>74</v>
      </c>
      <c r="D56" s="35">
        <f t="shared" ca="1" si="7"/>
        <v>51</v>
      </c>
      <c r="E56" s="35">
        <f t="shared" ca="1" si="8"/>
        <v>51</v>
      </c>
      <c r="F56" s="35"/>
      <c r="G56" s="17">
        <f t="shared" ca="1" si="6"/>
        <v>1.5552281368821295</v>
      </c>
      <c r="H56" s="17">
        <v>1.3299157641395911</v>
      </c>
      <c r="I56" s="17">
        <v>1.2094144968960743</v>
      </c>
      <c r="J56" s="17">
        <v>1.0900508003450591</v>
      </c>
      <c r="K56" s="17">
        <v>0.97839860314292826</v>
      </c>
      <c r="L56" s="17">
        <v>0.80011215334420882</v>
      </c>
      <c r="M56" s="17">
        <v>0.69437972381655955</v>
      </c>
      <c r="N56" s="17">
        <v>0.55520871911539071</v>
      </c>
      <c r="O56" s="17">
        <v>0.65997988673053509</v>
      </c>
      <c r="P56" s="17">
        <v>1.2297113289760349</v>
      </c>
      <c r="Q56" s="17">
        <v>1.2124751041100852</v>
      </c>
      <c r="R56" s="37">
        <v>1.4496845257191742</v>
      </c>
      <c r="S56" s="57"/>
      <c r="T56" s="57"/>
      <c r="U56" s="57"/>
    </row>
    <row r="57" spans="1:21" x14ac:dyDescent="0.2">
      <c r="A57" t="str">
        <f>IFERROR(INDEX('2018 Data (WP)'!$C$9:$C$73,MATCH($B57,'2018 Data (WP)'!$D$9:$D$73,0)),"")</f>
        <v>Electric Utility (West)</v>
      </c>
      <c r="B57" t="s">
        <v>33</v>
      </c>
      <c r="C57" t="s">
        <v>92</v>
      </c>
      <c r="D57" s="35">
        <f t="shared" ca="1" si="7"/>
        <v>52</v>
      </c>
      <c r="E57" s="35">
        <f t="shared" ca="1" si="8"/>
        <v>52</v>
      </c>
      <c r="F57" s="35"/>
      <c r="G57" s="17">
        <f t="shared" ca="1" si="6"/>
        <v>1.5620612453990057</v>
      </c>
      <c r="H57" s="17">
        <v>1.4210381439244986</v>
      </c>
      <c r="I57" s="17">
        <v>1.3669968888161126</v>
      </c>
      <c r="J57" s="17">
        <v>1.2825499034127494</v>
      </c>
      <c r="K57" s="17">
        <v>1.1429820725841713</v>
      </c>
      <c r="L57" s="17">
        <v>1.0930801649521911</v>
      </c>
      <c r="M57" s="17">
        <v>0.94242323887022761</v>
      </c>
      <c r="N57" s="17">
        <v>0.91976392547068575</v>
      </c>
      <c r="O57" s="17">
        <v>1.0468157870413162</v>
      </c>
      <c r="P57" s="17">
        <v>1.3220564477810512</v>
      </c>
      <c r="Q57" s="17">
        <v>1.3592912219782465</v>
      </c>
      <c r="R57" s="37" t="s">
        <v>106</v>
      </c>
      <c r="S57" s="57"/>
      <c r="T57" s="57"/>
      <c r="U57" s="57"/>
    </row>
    <row r="58" spans="1:21" x14ac:dyDescent="0.2">
      <c r="A58" t="str">
        <f>IFERROR(INDEX('2018 Data (WP)'!$C$9:$C$73,MATCH($B58,'2018 Data (WP)'!$D$9:$D$73,0)),"")</f>
        <v>Electric Utility (East)</v>
      </c>
      <c r="B58" t="s">
        <v>34</v>
      </c>
      <c r="C58" t="s">
        <v>70</v>
      </c>
      <c r="D58" s="35">
        <f t="shared" ca="1" si="7"/>
        <v>53</v>
      </c>
      <c r="E58" s="35">
        <f t="shared" ca="1" si="8"/>
        <v>53</v>
      </c>
      <c r="F58" s="35"/>
      <c r="G58" s="17">
        <f t="shared" ca="1" si="6"/>
        <v>2.457872691066401</v>
      </c>
      <c r="H58" s="17">
        <v>2.2404211956521736</v>
      </c>
      <c r="I58" s="17">
        <v>1.6368788781941663</v>
      </c>
      <c r="J58" s="17">
        <v>1.5456338170602215</v>
      </c>
      <c r="K58" s="17">
        <v>1.5770448109278694</v>
      </c>
      <c r="L58" s="17">
        <v>1.4661324786324788</v>
      </c>
      <c r="M58" s="17">
        <v>1.6085138954309937</v>
      </c>
      <c r="N58" s="17">
        <v>2.097796994029236</v>
      </c>
      <c r="O58" s="17">
        <v>3.1882839014313116</v>
      </c>
      <c r="P58" s="17">
        <v>3.0500503862949278</v>
      </c>
      <c r="Q58" s="17">
        <v>2.4271968728858151</v>
      </c>
      <c r="R58" s="37">
        <v>2.4972466012734471</v>
      </c>
      <c r="S58" s="57"/>
      <c r="T58" s="57"/>
      <c r="U58" s="57"/>
    </row>
    <row r="59" spans="1:21" x14ac:dyDescent="0.2">
      <c r="A59" t="str">
        <f>IFERROR(INDEX('2018 Data (WP)'!$C$9:$C$73,MATCH($B59,'2018 Data (WP)'!$D$9:$D$73,0)),"")</f>
        <v>Electric Utility (East)</v>
      </c>
      <c r="B59" t="s">
        <v>35</v>
      </c>
      <c r="C59" t="s">
        <v>75</v>
      </c>
      <c r="D59" s="35">
        <f t="shared" ca="1" si="7"/>
        <v>54</v>
      </c>
      <c r="E59" s="35">
        <f t="shared" ca="1" si="8"/>
        <v>54</v>
      </c>
      <c r="F59" s="35"/>
      <c r="G59" s="17">
        <f t="shared" ca="1" si="6"/>
        <v>1.6700503710539469</v>
      </c>
      <c r="H59" s="17">
        <v>1.5839746316562897</v>
      </c>
      <c r="I59" s="17">
        <v>1.5656523724521567</v>
      </c>
      <c r="J59" s="17">
        <v>1.4413648842986013</v>
      </c>
      <c r="K59" s="17">
        <v>1.4643108545684922</v>
      </c>
      <c r="L59" s="17">
        <v>1.5925415045076112</v>
      </c>
      <c r="M59" s="17">
        <v>1.6719365512894584</v>
      </c>
      <c r="N59" s="17">
        <v>1.7802855826807924</v>
      </c>
      <c r="O59" s="17">
        <v>2.5768704825161164</v>
      </c>
      <c r="P59" s="17">
        <v>2.9851598968856683</v>
      </c>
      <c r="Q59" s="17">
        <v>2.4605706582790385</v>
      </c>
      <c r="R59" s="37">
        <v>2.4504504504504507</v>
      </c>
      <c r="S59" s="57"/>
      <c r="T59" s="57"/>
      <c r="U59" s="57"/>
    </row>
    <row r="60" spans="1:21" x14ac:dyDescent="0.2">
      <c r="A60" t="str">
        <f>IFERROR(INDEX('2018 Data (WP)'!$C$9:$C$73,MATCH($B60,'2018 Data (WP)'!$D$9:$D$73,0)),"")</f>
        <v>Electric Utility (East)</v>
      </c>
      <c r="B60" t="s">
        <v>36</v>
      </c>
      <c r="C60" t="s">
        <v>76</v>
      </c>
      <c r="D60" s="35">
        <f t="shared" ca="1" si="7"/>
        <v>56</v>
      </c>
      <c r="E60" s="35">
        <f t="shared" ca="1" si="8"/>
        <v>56</v>
      </c>
      <c r="F60" s="35"/>
      <c r="G60" s="17">
        <f t="shared" ca="1" si="6"/>
        <v>1.7440281556548434</v>
      </c>
      <c r="H60" s="17">
        <v>1.4669204515620897</v>
      </c>
      <c r="I60" s="17">
        <v>1.4832174435573868</v>
      </c>
      <c r="J60" s="17">
        <v>1.4785053509885724</v>
      </c>
      <c r="K60" s="17">
        <v>1.4814567642291925</v>
      </c>
      <c r="L60" s="17">
        <v>1.3559763550746415</v>
      </c>
      <c r="M60" s="17">
        <v>1.3268727623244285</v>
      </c>
      <c r="N60" s="17">
        <v>1.1991965545944772</v>
      </c>
      <c r="O60" s="17">
        <v>1.4454415348315475</v>
      </c>
      <c r="P60" s="17">
        <v>1.6152057386094909</v>
      </c>
      <c r="Q60" s="17">
        <v>1.6370977659356425</v>
      </c>
      <c r="R60" s="37">
        <v>1.7199828657100023</v>
      </c>
      <c r="S60" s="57"/>
      <c r="T60" s="57"/>
      <c r="U60" s="57"/>
    </row>
    <row r="61" spans="1:21" x14ac:dyDescent="0.2">
      <c r="A61" t="str">
        <f>IFERROR(INDEX('2018 Data (WP)'!$C$9:$C$73,MATCH($B61,'2018 Data (WP)'!$D$9:$D$73,0)),"")</f>
        <v>Electric Utility (West)</v>
      </c>
      <c r="B61" t="s">
        <v>37</v>
      </c>
      <c r="C61" t="s">
        <v>54</v>
      </c>
      <c r="D61" s="35">
        <f t="shared" ca="1" si="7"/>
        <v>57</v>
      </c>
      <c r="E61" s="35">
        <f t="shared" ca="1" si="8"/>
        <v>57</v>
      </c>
      <c r="F61" s="35"/>
      <c r="G61" s="17">
        <f t="shared" ca="1" si="6"/>
        <v>1.9960596461407711</v>
      </c>
      <c r="H61" s="17">
        <v>2.1691757779646759</v>
      </c>
      <c r="I61" s="17">
        <v>2.2024184954000741</v>
      </c>
      <c r="J61" s="17">
        <v>1.8446591161447923</v>
      </c>
      <c r="K61" s="17">
        <v>1.5266011361761309</v>
      </c>
      <c r="L61" s="17">
        <v>1.2832231787917958</v>
      </c>
      <c r="M61" s="17">
        <v>1.3486402258743306</v>
      </c>
      <c r="N61" s="17">
        <v>1.3199682522305547</v>
      </c>
      <c r="O61" s="17">
        <v>1.596042868920033</v>
      </c>
      <c r="P61" s="17">
        <v>1.8722623156573579</v>
      </c>
      <c r="Q61" s="17">
        <v>1.6976549413735345</v>
      </c>
      <c r="R61" s="37">
        <v>1.7333723017828064</v>
      </c>
    </row>
    <row r="62" spans="1:21" x14ac:dyDescent="0.2">
      <c r="A62" t="str">
        <f>IFERROR(INDEX('2018 Data (WP)'!$C$9:$C$73,MATCH($B62,'2018 Data (WP)'!$D$9:$D$73,0)),"")</f>
        <v/>
      </c>
      <c r="B62" t="s">
        <v>64</v>
      </c>
      <c r="C62" t="s">
        <v>63</v>
      </c>
      <c r="D62" s="35" t="e">
        <f t="shared" ca="1" si="7"/>
        <v>#N/A</v>
      </c>
      <c r="E62" s="35" t="e">
        <f t="shared" ca="1" si="8"/>
        <v>#N/A</v>
      </c>
      <c r="F62" s="35"/>
      <c r="G62" s="17" t="str">
        <f t="shared" ca="1" si="6"/>
        <v>N/A</v>
      </c>
      <c r="H62" s="17" t="s">
        <v>106</v>
      </c>
      <c r="I62" s="17" t="s">
        <v>106</v>
      </c>
      <c r="J62" s="17" t="s">
        <v>106</v>
      </c>
      <c r="K62" s="17" t="s">
        <v>106</v>
      </c>
      <c r="L62" s="17" t="s">
        <v>106</v>
      </c>
      <c r="M62" s="17" t="s">
        <v>106</v>
      </c>
      <c r="N62" s="17" t="s">
        <v>106</v>
      </c>
      <c r="O62" s="17" t="s">
        <v>106</v>
      </c>
      <c r="P62" s="17" t="s">
        <v>106</v>
      </c>
      <c r="Q62" s="17" t="s">
        <v>106</v>
      </c>
      <c r="R62" s="37" t="s">
        <v>106</v>
      </c>
    </row>
    <row r="63" spans="1:21" x14ac:dyDescent="0.2">
      <c r="A63" t="str">
        <f>IFERROR(INDEX('2018 Data (WP)'!$C$9:$C$73,MATCH($B63,'2018 Data (WP)'!$D$9:$D$73,0)),"")</f>
        <v>Water Utility</v>
      </c>
      <c r="B63" s="31" t="s">
        <v>196</v>
      </c>
      <c r="C63" s="31" t="s">
        <v>195</v>
      </c>
      <c r="D63" s="35">
        <f t="shared" ca="1" si="7"/>
        <v>58</v>
      </c>
      <c r="E63" s="35">
        <f t="shared" ca="1" si="8"/>
        <v>58</v>
      </c>
      <c r="F63" s="35"/>
      <c r="G63" s="17">
        <f t="shared" ca="1" si="6"/>
        <v>1.9545410440520086</v>
      </c>
      <c r="H63" s="17">
        <v>1.635050451407329</v>
      </c>
      <c r="I63" s="17">
        <v>1.6007435363037232</v>
      </c>
      <c r="J63" s="17">
        <v>1.7117558402411455</v>
      </c>
      <c r="K63" s="17">
        <v>1.6339407125373946</v>
      </c>
      <c r="L63" s="17">
        <v>1.6552574124938375</v>
      </c>
      <c r="M63" s="17">
        <v>1.7795155306612354</v>
      </c>
      <c r="N63" s="17">
        <v>1.6996047430830037</v>
      </c>
      <c r="O63" s="17">
        <v>2.0325877224326447</v>
      </c>
      <c r="P63" s="17">
        <v>2.6940483570985743</v>
      </c>
      <c r="Q63" s="17">
        <v>2.2414069385465911</v>
      </c>
    </row>
    <row r="64" spans="1:21" x14ac:dyDescent="0.2">
      <c r="A64" t="str">
        <f>IFERROR(INDEX('2018 Data (WP)'!$C$9:$C$73,MATCH($B64,'2018 Data (WP)'!$D$9:$D$73,0)),"")</f>
        <v>Natural Gas Utility</v>
      </c>
      <c r="B64" s="31" t="s">
        <v>198</v>
      </c>
      <c r="C64" s="31" t="s">
        <v>197</v>
      </c>
      <c r="D64" s="35">
        <f t="shared" ca="1" si="7"/>
        <v>59</v>
      </c>
      <c r="E64" s="35">
        <f t="shared" ca="1" si="8"/>
        <v>59</v>
      </c>
      <c r="F64" s="35"/>
      <c r="G64" s="17">
        <f t="shared" ca="1" si="6"/>
        <v>1.7937858331792123</v>
      </c>
      <c r="H64" s="17">
        <v>1.7678522571819426</v>
      </c>
      <c r="I64" s="17">
        <v>2.0683766947599853</v>
      </c>
      <c r="J64" s="17">
        <v>2.2658438167576551</v>
      </c>
      <c r="K64" s="17">
        <v>2.2062086163900592</v>
      </c>
      <c r="L64" s="17">
        <v>2.5855358698809177</v>
      </c>
      <c r="M64" s="17">
        <v>2.3779081953468877</v>
      </c>
      <c r="N64" s="17">
        <v>1.9509975882481914</v>
      </c>
      <c r="O64" s="17">
        <v>2.0820447726748208</v>
      </c>
      <c r="P64" s="17">
        <v>2.2099950763170852</v>
      </c>
      <c r="Q64" s="17">
        <v>1.9307651575324332</v>
      </c>
    </row>
    <row r="65" spans="1:18" x14ac:dyDescent="0.2">
      <c r="A65" t="str">
        <f>IFERROR(INDEX('2018 Data (WP)'!$C$9:$C$73,MATCH($B65,'2018 Data (WP)'!$D$9:$D$73,0)),"")</f>
        <v>Electric Utility (East)</v>
      </c>
      <c r="B65" t="s">
        <v>38</v>
      </c>
      <c r="C65" t="s">
        <v>77</v>
      </c>
      <c r="D65" s="35">
        <f t="shared" ca="1" si="7"/>
        <v>60</v>
      </c>
      <c r="E65" s="35">
        <f t="shared" ca="1" si="8"/>
        <v>60</v>
      </c>
      <c r="F65" s="35"/>
      <c r="G65" s="17">
        <f t="shared" ca="1" si="6"/>
        <v>2.0104008320665652</v>
      </c>
      <c r="H65" s="17">
        <v>1.9928274152129639</v>
      </c>
      <c r="I65" s="17">
        <v>2.0222970513287222</v>
      </c>
      <c r="J65" s="17">
        <v>2.03957623559061</v>
      </c>
      <c r="K65" s="17">
        <v>2.148636471425184</v>
      </c>
      <c r="L65" s="17">
        <v>1.9888768579584601</v>
      </c>
      <c r="M65" s="17">
        <v>1.8299500312304808</v>
      </c>
      <c r="N65" s="17">
        <v>1.7280740414279416</v>
      </c>
      <c r="O65" s="17">
        <v>2.1242243297037819</v>
      </c>
      <c r="P65" s="17">
        <v>2.2409118915588415</v>
      </c>
      <c r="Q65" s="17">
        <v>2.2311478637527076</v>
      </c>
      <c r="R65" s="37">
        <v>2.3518312985571588</v>
      </c>
    </row>
    <row r="66" spans="1:18" x14ac:dyDescent="0.2">
      <c r="A66" t="str">
        <f>IFERROR(INDEX('2018 Data (WP)'!$C$9:$C$73,MATCH($B66,'2018 Data (WP)'!$D$9:$D$73,0)),"")</f>
        <v>Natural Gas Utility</v>
      </c>
      <c r="B66" s="31" t="s">
        <v>200</v>
      </c>
      <c r="C66" s="31" t="s">
        <v>199</v>
      </c>
      <c r="D66" s="35">
        <f t="shared" ca="1" si="7"/>
        <v>61</v>
      </c>
      <c r="E66" s="35">
        <f t="shared" ca="1" si="8"/>
        <v>61</v>
      </c>
      <c r="F66" s="35"/>
      <c r="G66" s="17">
        <f t="shared" ca="1" si="6"/>
        <v>1.9644916366957812</v>
      </c>
      <c r="H66" s="17">
        <v>1.6815436341456156</v>
      </c>
      <c r="I66" s="17">
        <v>1.6827558143174635</v>
      </c>
      <c r="J66" s="17">
        <v>1.6084088223710122</v>
      </c>
      <c r="K66" s="17">
        <v>1.5132075471698112</v>
      </c>
      <c r="L66" s="17">
        <v>1.4300558952620326</v>
      </c>
      <c r="M66" s="17">
        <v>1.2379465157134493</v>
      </c>
      <c r="N66" s="17">
        <v>0.9682909864571827</v>
      </c>
      <c r="O66" s="17">
        <v>1.1996593570364062</v>
      </c>
      <c r="P66" s="17">
        <v>1.4646649260226283</v>
      </c>
      <c r="Q66" s="17">
        <v>1.4622121310411937</v>
      </c>
    </row>
    <row r="67" spans="1:18" x14ac:dyDescent="0.2">
      <c r="A67" t="str">
        <f>IFERROR(INDEX('2018 Data (WP)'!$C$9:$C$73,MATCH($B67,'2018 Data (WP)'!$D$9:$D$73,0)),"")</f>
        <v>Natural Gas Utility</v>
      </c>
      <c r="B67" s="31" t="s">
        <v>244</v>
      </c>
      <c r="C67" s="31" t="s">
        <v>243</v>
      </c>
      <c r="D67" s="35">
        <f t="shared" ca="1" si="7"/>
        <v>62</v>
      </c>
      <c r="E67" s="35">
        <f t="shared" ca="1" si="8"/>
        <v>62</v>
      </c>
      <c r="F67" s="35"/>
      <c r="G67" s="17">
        <f t="shared" ca="1" si="6"/>
        <v>1.6407197996540419</v>
      </c>
      <c r="H67" s="17">
        <v>1.4353647784879877</v>
      </c>
      <c r="I67" s="17">
        <v>1.3319496135127398</v>
      </c>
      <c r="J67" s="17">
        <v>1.3416669270914716</v>
      </c>
      <c r="K67" s="17">
        <v>1.5124840668816075</v>
      </c>
      <c r="L67" s="17">
        <v>1.4598200312989047</v>
      </c>
      <c r="M67" s="17">
        <v>1.3895941727367325</v>
      </c>
      <c r="N67" s="17">
        <v>1.6762852120224669</v>
      </c>
      <c r="O67" s="17">
        <v>1.7083954970839548</v>
      </c>
      <c r="P67" s="17">
        <v>1.6559025672124521</v>
      </c>
      <c r="Q67" s="17">
        <v>1.7099580879622263</v>
      </c>
    </row>
    <row r="68" spans="1:18" x14ac:dyDescent="0.2">
      <c r="A68" t="str">
        <f>IFERROR(INDEX('2018 Data (WP)'!$C$9:$C$73,MATCH($B68,'2018 Data (WP)'!$D$9:$D$73,0)),"")</f>
        <v/>
      </c>
      <c r="B68" t="s">
        <v>39</v>
      </c>
      <c r="C68" t="s">
        <v>78</v>
      </c>
      <c r="D68" s="35" t="e">
        <f t="shared" ca="1" si="7"/>
        <v>#N/A</v>
      </c>
      <c r="E68" s="35" t="e">
        <f t="shared" ca="1" si="8"/>
        <v>#N/A</v>
      </c>
      <c r="F68" s="35"/>
      <c r="G68" s="17" t="str">
        <f t="shared" ca="1" si="6"/>
        <v>N/A</v>
      </c>
      <c r="H68" s="17" t="s">
        <v>106</v>
      </c>
      <c r="I68" s="17" t="s">
        <v>106</v>
      </c>
      <c r="J68" s="17" t="s">
        <v>106</v>
      </c>
      <c r="K68" s="17" t="s">
        <v>106</v>
      </c>
      <c r="L68" s="17" t="s">
        <v>106</v>
      </c>
      <c r="M68" s="17" t="s">
        <v>106</v>
      </c>
      <c r="N68" s="17" t="s">
        <v>106</v>
      </c>
      <c r="O68" s="17" t="s">
        <v>106</v>
      </c>
      <c r="P68" s="17" t="s">
        <v>106</v>
      </c>
      <c r="Q68" s="17" t="s">
        <v>106</v>
      </c>
      <c r="R68" s="37">
        <v>2.2347939829954222</v>
      </c>
    </row>
    <row r="69" spans="1:18" x14ac:dyDescent="0.2">
      <c r="A69" t="str">
        <f>IFERROR(INDEX('2018 Data (WP)'!$C$9:$C$73,MATCH($B69,'2018 Data (WP)'!$D$9:$D$73,0)),"")</f>
        <v>Natural Gas Utility</v>
      </c>
      <c r="B69" s="31" t="s">
        <v>204</v>
      </c>
      <c r="C69" s="31" t="s">
        <v>203</v>
      </c>
      <c r="D69" s="35">
        <f t="shared" ca="1" si="7"/>
        <v>64</v>
      </c>
      <c r="E69" s="35">
        <f t="shared" ca="1" si="8"/>
        <v>64</v>
      </c>
      <c r="F69" s="35"/>
      <c r="G69" s="17">
        <f t="shared" ref="G69:G78" ca="1" si="9">IFERROR(INDEX(MarketPrice,$D69,G$2)/INDEX(BookValue,$E69,G$2),"N/A")</f>
        <v>2.4064986334649254</v>
      </c>
      <c r="H69" s="17">
        <v>2.2897106109324756</v>
      </c>
      <c r="I69" s="17">
        <v>1.9712875146160842</v>
      </c>
      <c r="J69" s="17">
        <v>1.6857260386672153</v>
      </c>
      <c r="K69" s="17">
        <v>1.4543871602695131</v>
      </c>
      <c r="L69" s="17">
        <v>1.7501908558826025</v>
      </c>
      <c r="M69" s="17">
        <v>1.5532029912604739</v>
      </c>
      <c r="N69" s="17">
        <v>1.6565057283142388</v>
      </c>
      <c r="O69" s="17">
        <v>2.0057954545454542</v>
      </c>
      <c r="P69" s="17">
        <v>2.1626527895437495</v>
      </c>
      <c r="Q69" s="17">
        <v>2.2097238204833141</v>
      </c>
    </row>
    <row r="70" spans="1:18" x14ac:dyDescent="0.2">
      <c r="A70" t="str">
        <f>IFERROR(INDEX('2018 Data (WP)'!$C$9:$C$73,MATCH($B70,'2018 Data (WP)'!$D$9:$D$73,0)),"")</f>
        <v/>
      </c>
      <c r="B70" t="s">
        <v>40</v>
      </c>
      <c r="C70" t="s">
        <v>81</v>
      </c>
      <c r="D70" s="35" t="e">
        <f t="shared" ca="1" si="7"/>
        <v>#N/A</v>
      </c>
      <c r="E70" s="35" t="e">
        <f t="shared" ca="1" si="8"/>
        <v>#N/A</v>
      </c>
      <c r="F70" s="35"/>
      <c r="G70" s="17" t="str">
        <f t="shared" ca="1" si="9"/>
        <v>N/A</v>
      </c>
      <c r="H70" s="17" t="s">
        <v>106</v>
      </c>
      <c r="I70" s="17" t="s">
        <v>106</v>
      </c>
      <c r="J70" s="17" t="s">
        <v>106</v>
      </c>
      <c r="K70" s="17" t="s">
        <v>106</v>
      </c>
      <c r="L70" s="17" t="s">
        <v>106</v>
      </c>
      <c r="M70" s="17" t="s">
        <v>106</v>
      </c>
      <c r="N70" s="17" t="s">
        <v>106</v>
      </c>
      <c r="O70" s="17" t="s">
        <v>106</v>
      </c>
      <c r="P70" s="17" t="s">
        <v>106</v>
      </c>
      <c r="Q70" s="17" t="s">
        <v>106</v>
      </c>
      <c r="R70" s="37" t="s">
        <v>106</v>
      </c>
    </row>
    <row r="71" spans="1:18" x14ac:dyDescent="0.2">
      <c r="A71" t="str">
        <f>IFERROR(INDEX('2018 Data (WP)'!$C$9:$C$73,MATCH($B71,'2018 Data (WP)'!$D$9:$D$73,0)),"")</f>
        <v/>
      </c>
      <c r="B71" t="s">
        <v>41</v>
      </c>
      <c r="C71" t="s">
        <v>79</v>
      </c>
      <c r="D71" s="35" t="e">
        <f t="shared" ca="1" si="7"/>
        <v>#N/A</v>
      </c>
      <c r="E71" s="35" t="e">
        <f t="shared" ca="1" si="8"/>
        <v>#N/A</v>
      </c>
      <c r="F71" s="35"/>
      <c r="G71" s="17" t="str">
        <f t="shared" ca="1" si="9"/>
        <v>N/A</v>
      </c>
      <c r="H71" s="17" t="s">
        <v>106</v>
      </c>
      <c r="I71" s="17" t="s">
        <v>106</v>
      </c>
      <c r="J71" s="17" t="s">
        <v>106</v>
      </c>
      <c r="K71" s="17" t="s">
        <v>106</v>
      </c>
      <c r="L71" s="17" t="s">
        <v>106</v>
      </c>
      <c r="M71" s="17" t="s">
        <v>106</v>
      </c>
      <c r="N71" s="17" t="s">
        <v>106</v>
      </c>
      <c r="O71" s="17" t="s">
        <v>106</v>
      </c>
      <c r="P71" s="17" t="s">
        <v>106</v>
      </c>
      <c r="Q71" s="17" t="s">
        <v>106</v>
      </c>
      <c r="R71" s="37" t="s">
        <v>106</v>
      </c>
    </row>
    <row r="72" spans="1:18" x14ac:dyDescent="0.2">
      <c r="A72" t="str">
        <f>IFERROR(INDEX('2018 Data (WP)'!$C$9:$C$73,MATCH($B72,'2018 Data (WP)'!$D$9:$D$73,0)),"")</f>
        <v/>
      </c>
      <c r="B72" t="s">
        <v>83</v>
      </c>
      <c r="C72" t="s">
        <v>82</v>
      </c>
      <c r="D72" s="35">
        <f t="shared" ca="1" si="7"/>
        <v>65</v>
      </c>
      <c r="E72" s="35">
        <f t="shared" ca="1" si="8"/>
        <v>65</v>
      </c>
      <c r="F72" s="35"/>
      <c r="G72" s="17">
        <f t="shared" ca="1" si="9"/>
        <v>1.9529411764705884</v>
      </c>
      <c r="H72" s="17">
        <v>1.7338482103074409</v>
      </c>
      <c r="I72" s="17">
        <v>1.6775031847133757</v>
      </c>
      <c r="J72" s="17">
        <v>1.516688430399582</v>
      </c>
      <c r="K72" s="17">
        <v>1.4140558848433529</v>
      </c>
      <c r="L72" s="17">
        <v>1.4386857142857143</v>
      </c>
      <c r="M72" s="17">
        <v>1.2729472774416593</v>
      </c>
      <c r="N72" s="17">
        <v>1.1739716033447445</v>
      </c>
      <c r="O72" s="17">
        <v>1.4577189454870421</v>
      </c>
      <c r="P72" s="17">
        <v>1.5968783946029388</v>
      </c>
      <c r="Q72" s="17">
        <v>1.4355388616006934</v>
      </c>
      <c r="R72" s="37">
        <v>1.559888417504504</v>
      </c>
    </row>
    <row r="73" spans="1:18" x14ac:dyDescent="0.2">
      <c r="A73" t="str">
        <f>IFERROR(INDEX('2018 Data (WP)'!$C$9:$C$73,MATCH($B73,'2018 Data (WP)'!$D$9:$D$73,0)),"")</f>
        <v>Electric Util. (Central)</v>
      </c>
      <c r="B73" t="s">
        <v>42</v>
      </c>
      <c r="C73" t="s">
        <v>89</v>
      </c>
      <c r="D73" s="35">
        <f t="shared" ca="1" si="7"/>
        <v>66</v>
      </c>
      <c r="E73" s="35">
        <f t="shared" ca="1" si="8"/>
        <v>66</v>
      </c>
      <c r="F73" s="35"/>
      <c r="G73" s="17">
        <f t="shared" ca="1" si="9"/>
        <v>2.2929482370592651</v>
      </c>
      <c r="H73" s="17">
        <v>2.1063139260424864</v>
      </c>
      <c r="I73" s="17">
        <v>2.0753213367609256</v>
      </c>
      <c r="J73" s="17">
        <v>1.8185336372793297</v>
      </c>
      <c r="K73" s="17">
        <v>1.5692664009479695</v>
      </c>
      <c r="L73" s="17">
        <v>1.5300659438918076</v>
      </c>
      <c r="M73" s="17">
        <v>1.4063138769021124</v>
      </c>
      <c r="N73" s="17">
        <v>1.3393313211051776</v>
      </c>
      <c r="O73" s="17">
        <v>1.6404891793057967</v>
      </c>
      <c r="P73" s="17">
        <v>1.7367704400569413</v>
      </c>
      <c r="Q73" s="17">
        <v>1.7654569021386908</v>
      </c>
      <c r="R73" s="37">
        <v>1.8218831212101021</v>
      </c>
    </row>
    <row r="74" spans="1:18" x14ac:dyDescent="0.2">
      <c r="A74" t="str">
        <f>IFERROR(INDEX('2018 Data (WP)'!$C$9:$C$73,MATCH($B74,'2018 Data (WP)'!$D$9:$D$73,0)),"")</f>
        <v>Electric Util. (Central)</v>
      </c>
      <c r="B74" t="s">
        <v>44</v>
      </c>
      <c r="C74" t="s">
        <v>217</v>
      </c>
      <c r="D74" s="35">
        <f t="shared" ca="1" si="7"/>
        <v>67</v>
      </c>
      <c r="E74" s="35">
        <f t="shared" ca="1" si="8"/>
        <v>67</v>
      </c>
      <c r="F74" s="35"/>
      <c r="G74" s="17">
        <f t="shared" ca="1" si="9"/>
        <v>2.0868059237267169</v>
      </c>
      <c r="H74" s="17">
        <v>1.8208710242194339</v>
      </c>
      <c r="I74" s="17">
        <v>2.3404939279518318</v>
      </c>
      <c r="J74" s="17">
        <v>2.2113916617733413</v>
      </c>
      <c r="K74" s="17">
        <v>2.0509582364019057</v>
      </c>
      <c r="L74" s="17">
        <v>1.8064553649316661</v>
      </c>
      <c r="M74" s="17">
        <v>1.6539596655189375</v>
      </c>
      <c r="N74" s="17">
        <v>1.3998033431661749</v>
      </c>
      <c r="O74" s="17">
        <v>1.5682550805886477</v>
      </c>
      <c r="P74" s="17">
        <v>1.7651498000150934</v>
      </c>
      <c r="Q74" s="17">
        <v>1.7066968985342943</v>
      </c>
      <c r="R74" s="37">
        <v>1.6161501527717155</v>
      </c>
    </row>
    <row r="75" spans="1:18" x14ac:dyDescent="0.2">
      <c r="A75" t="str">
        <f>IFERROR(INDEX('2018 Data (WP)'!$C$9:$C$73,MATCH($B75,'2018 Data (WP)'!$D$9:$D$73,0)),"")</f>
        <v>Electric Util. (Central)</v>
      </c>
      <c r="B75" t="s">
        <v>43</v>
      </c>
      <c r="C75" t="s">
        <v>87</v>
      </c>
      <c r="D75" s="35">
        <f t="shared" ca="1" si="7"/>
        <v>68</v>
      </c>
      <c r="E75" s="35">
        <f t="shared" ca="1" si="8"/>
        <v>68</v>
      </c>
      <c r="F75" s="35"/>
      <c r="G75" s="17">
        <f t="shared" ca="1" si="9"/>
        <v>1.9542490965314256</v>
      </c>
      <c r="H75" s="17">
        <v>1.4909350960609224</v>
      </c>
      <c r="I75" s="17">
        <v>1.4424860111910471</v>
      </c>
      <c r="J75" s="17">
        <v>1.3343942376146405</v>
      </c>
      <c r="K75" s="17">
        <v>1.2612038088582163</v>
      </c>
      <c r="L75" s="17">
        <v>1.200717171258681</v>
      </c>
      <c r="M75" s="17">
        <v>1.0974542374476495</v>
      </c>
      <c r="N75" s="17">
        <v>0.92936947440007789</v>
      </c>
      <c r="O75" s="17">
        <v>1.1009215219976218</v>
      </c>
      <c r="P75" s="17">
        <v>1.3558702126547886</v>
      </c>
      <c r="Q75" s="17">
        <v>1.2996309963099633</v>
      </c>
      <c r="R75" s="37">
        <v>1.4052860734653831</v>
      </c>
    </row>
    <row r="76" spans="1:18" x14ac:dyDescent="0.2">
      <c r="A76" t="str">
        <f>IFERROR(INDEX('2018 Data (WP)'!$C$9:$C$73,MATCH($B76,'2018 Data (WP)'!$D$9:$D$73,0)),"")</f>
        <v>Natural Gas Utility</v>
      </c>
      <c r="B76" s="31" t="s">
        <v>206</v>
      </c>
      <c r="C76" s="31" t="s">
        <v>205</v>
      </c>
      <c r="D76" s="35">
        <f t="shared" ca="1" si="7"/>
        <v>69</v>
      </c>
      <c r="E76" s="35">
        <f t="shared" ca="1" si="8"/>
        <v>69</v>
      </c>
      <c r="F76" s="35"/>
      <c r="G76" s="17">
        <f t="shared" ca="1" si="9"/>
        <v>2.448203749346479</v>
      </c>
      <c r="H76" s="17">
        <v>2.1502022183958678</v>
      </c>
      <c r="I76" s="17">
        <v>1.6859740906826108</v>
      </c>
      <c r="J76" s="17">
        <v>1.7094589113328467</v>
      </c>
      <c r="K76" s="17">
        <v>1.6606063065622336</v>
      </c>
      <c r="L76" s="17">
        <v>1.6255054697143831</v>
      </c>
      <c r="M76" s="17">
        <v>1.5030233984751555</v>
      </c>
      <c r="N76" s="17">
        <v>1.4543876478918278</v>
      </c>
      <c r="O76" s="17">
        <v>1.5883446106928427</v>
      </c>
      <c r="P76" s="17">
        <v>1.6442472521932037</v>
      </c>
      <c r="Q76" s="17">
        <v>1.5905812473483241</v>
      </c>
    </row>
    <row r="77" spans="1:18" x14ac:dyDescent="0.2">
      <c r="A77" t="str">
        <f>IFERROR(INDEX('2018 Data (WP)'!$C$9:$C$73,MATCH($B77,'2018 Data (WP)'!$D$9:$D$73,0)),"")</f>
        <v>Electric Utility (West)</v>
      </c>
      <c r="B77" t="s">
        <v>45</v>
      </c>
      <c r="C77" t="s">
        <v>65</v>
      </c>
      <c r="D77" s="35">
        <f t="shared" ca="1" si="7"/>
        <v>70</v>
      </c>
      <c r="E77" s="35">
        <f t="shared" ca="1" si="8"/>
        <v>70</v>
      </c>
      <c r="F77" s="35"/>
      <c r="G77" s="17">
        <f t="shared" ca="1" si="9"/>
        <v>1.8790960972017672</v>
      </c>
      <c r="H77" s="17">
        <v>1.6627088619715611</v>
      </c>
      <c r="I77" s="17">
        <v>1.5519136505421598</v>
      </c>
      <c r="J77" s="17">
        <v>1.4953149401353463</v>
      </c>
      <c r="K77" s="17">
        <v>1.5077532167601453</v>
      </c>
      <c r="L77" s="17">
        <v>1.4050473186119874</v>
      </c>
      <c r="M77" s="17">
        <v>1.3151739363923862</v>
      </c>
      <c r="N77" s="17">
        <v>1.1853759658269991</v>
      </c>
      <c r="O77" s="17">
        <v>1.3020982666492897</v>
      </c>
      <c r="P77" s="17">
        <v>1.529908132017693</v>
      </c>
      <c r="Q77" s="17">
        <v>1.3991037669794146</v>
      </c>
      <c r="R77" s="37">
        <v>1.3783177570093457</v>
      </c>
    </row>
    <row r="78" spans="1:18" x14ac:dyDescent="0.2">
      <c r="A78" t="str">
        <f>IFERROR(INDEX('2018 Data (WP)'!$C$9:$C$73,MATCH($B78,'2018 Data (WP)'!$D$9:$D$73,0)),"")</f>
        <v>Water Utility</v>
      </c>
      <c r="B78" s="31" t="s">
        <v>208</v>
      </c>
      <c r="C78" s="31" t="s">
        <v>207</v>
      </c>
      <c r="D78" s="35">
        <f t="shared" ca="1" si="7"/>
        <v>71</v>
      </c>
      <c r="E78" s="35">
        <f t="shared" ca="1" si="8"/>
        <v>71</v>
      </c>
      <c r="F78" s="35"/>
      <c r="G78" s="17" t="str">
        <f t="shared" ca="1" si="9"/>
        <v>N/A</v>
      </c>
      <c r="H78" s="17">
        <v>2.6802537295900386</v>
      </c>
      <c r="I78" s="17">
        <v>2.5188957055214725</v>
      </c>
      <c r="J78" s="17">
        <v>2.469843260188088</v>
      </c>
      <c r="K78" s="17">
        <v>2.2777274492040895</v>
      </c>
      <c r="L78" s="17">
        <v>2.27917282127031</v>
      </c>
      <c r="M78" s="17">
        <v>2.0460361613351878</v>
      </c>
      <c r="N78" s="17">
        <v>2.0221066319895966</v>
      </c>
      <c r="O78" s="17">
        <v>2.2825484764542936</v>
      </c>
      <c r="P78" s="17">
        <v>2.8884795713328866</v>
      </c>
      <c r="Q78" s="17">
        <v>3.1060839760068548</v>
      </c>
    </row>
    <row r="79" spans="1:18" x14ac:dyDescent="0.2">
      <c r="B79" s="31"/>
      <c r="C79" s="31"/>
      <c r="D79" s="35"/>
      <c r="E79" s="35"/>
      <c r="F79" s="35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</row>
  </sheetData>
  <autoFilter ref="A4:U78"/>
  <sortState ref="A5:Q78">
    <sortCondition ref="C5:C78"/>
  </sortState>
  <pageMargins left="0.7" right="0.7" top="0.75" bottom="0.75" header="0.3" footer="0.3"/>
  <pageSetup fitToHeight="0" orientation="landscape" r:id="rId1"/>
  <headerFooter>
    <oddFooter>&amp;R&amp;A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1:T79"/>
  <sheetViews>
    <sheetView zoomScale="70" zoomScaleNormal="70" workbookViewId="0">
      <selection activeCell="G7" sqref="G7"/>
    </sheetView>
  </sheetViews>
  <sheetFormatPr defaultRowHeight="14.25" x14ac:dyDescent="0.2"/>
  <cols>
    <col min="1" max="1" width="15.25" customWidth="1"/>
    <col min="2" max="2" width="7.5" bestFit="1" customWidth="1"/>
    <col min="3" max="3" width="22.25" customWidth="1"/>
    <col min="4" max="4" width="6.125" bestFit="1" customWidth="1"/>
    <col min="5" max="5" width="2.875" bestFit="1" customWidth="1"/>
    <col min="6" max="6" width="1.5" customWidth="1"/>
    <col min="7" max="11" width="6" bestFit="1" customWidth="1"/>
    <col min="12" max="12" width="5" bestFit="1" customWidth="1"/>
    <col min="13" max="17" width="6" bestFit="1" customWidth="1"/>
    <col min="18" max="20" width="9.25" style="31" customWidth="1"/>
  </cols>
  <sheetData>
    <row r="1" spans="1:20" x14ac:dyDescent="0.2">
      <c r="A1" t="s">
        <v>358</v>
      </c>
    </row>
    <row r="2" spans="1:20" x14ac:dyDescent="0.2">
      <c r="E2" s="35"/>
      <c r="F2" s="35"/>
      <c r="G2" s="35">
        <f t="shared" ref="G2:Q2" ca="1" si="0">MATCH(G3,OFFSET(BookValue,-2,0,1,),0)</f>
        <v>2</v>
      </c>
      <c r="H2" s="35">
        <f t="shared" ca="1" si="0"/>
        <v>3</v>
      </c>
      <c r="I2" s="35">
        <f t="shared" ca="1" si="0"/>
        <v>4</v>
      </c>
      <c r="J2" s="35">
        <f t="shared" ca="1" si="0"/>
        <v>5</v>
      </c>
      <c r="K2" s="35">
        <f t="shared" ca="1" si="0"/>
        <v>6</v>
      </c>
      <c r="L2" s="35">
        <f t="shared" ca="1" si="0"/>
        <v>7</v>
      </c>
      <c r="M2" s="35">
        <f t="shared" ca="1" si="0"/>
        <v>8</v>
      </c>
      <c r="N2" s="35">
        <f t="shared" ca="1" si="0"/>
        <v>9</v>
      </c>
      <c r="O2" s="35">
        <f t="shared" ca="1" si="0"/>
        <v>10</v>
      </c>
      <c r="P2" s="35">
        <f t="shared" ca="1" si="0"/>
        <v>11</v>
      </c>
      <c r="Q2" s="35">
        <f t="shared" ca="1" si="0"/>
        <v>12</v>
      </c>
      <c r="R2" s="55"/>
      <c r="S2" s="55"/>
      <c r="T2" s="55"/>
    </row>
    <row r="3" spans="1:20" ht="15.75" thickBot="1" x14ac:dyDescent="0.3">
      <c r="D3" s="35" t="s">
        <v>318</v>
      </c>
      <c r="E3" s="35" t="s">
        <v>213</v>
      </c>
      <c r="F3" s="35"/>
      <c r="G3" s="49">
        <v>2016</v>
      </c>
      <c r="H3" s="49">
        <v>2015</v>
      </c>
      <c r="I3" s="49">
        <v>2014</v>
      </c>
      <c r="J3" s="49">
        <v>2013</v>
      </c>
      <c r="K3" s="49">
        <v>2012</v>
      </c>
      <c r="L3" s="49">
        <v>2011</v>
      </c>
      <c r="M3" s="49">
        <v>2010</v>
      </c>
      <c r="N3" s="49">
        <v>2009</v>
      </c>
      <c r="O3" s="49">
        <v>2008</v>
      </c>
      <c r="P3" s="49">
        <v>2007</v>
      </c>
      <c r="Q3" s="49">
        <v>2006</v>
      </c>
      <c r="R3" s="56"/>
      <c r="S3" s="56"/>
      <c r="T3" s="56"/>
    </row>
    <row r="4" spans="1:20" x14ac:dyDescent="0.2">
      <c r="D4" s="35"/>
      <c r="E4" s="35"/>
      <c r="F4" s="35"/>
      <c r="G4" s="35"/>
      <c r="H4" s="35"/>
    </row>
    <row r="5" spans="1:20" x14ac:dyDescent="0.2">
      <c r="A5" t="str">
        <f>IFERROR(INDEX('[2]2017 Data (WP)'!$C$9:$C$72,MATCH($B5,'[2]2017 Data (WP)'!$D$9:$D$72,0)),"")</f>
        <v>Electric Util. (Central)</v>
      </c>
      <c r="B5" t="s">
        <v>0</v>
      </c>
      <c r="C5" t="s">
        <v>91</v>
      </c>
      <c r="D5" s="35">
        <f t="shared" ref="D5:D36" ca="1" si="1">MATCH(B5,OFFSET(Dividends,0,0,,1),0)</f>
        <v>3</v>
      </c>
      <c r="E5" s="35">
        <f t="shared" ref="E5:E36" ca="1" si="2">MATCH(B5,OFFSET(MarketPrice,0,0,,1),0)</f>
        <v>3</v>
      </c>
      <c r="F5" s="35"/>
      <c r="G5" s="99">
        <f t="shared" ref="G5:Q14" ca="1" si="3">IFERROR(INDEX(Dividends,$D5,G$2)/INDEX(MarketPrice,$E5,G$2),"N/A")</f>
        <v>3.5553124572678792E-2</v>
      </c>
      <c r="H5" s="99">
        <f t="shared" ca="1" si="3"/>
        <v>3.9693456474749457E-2</v>
      </c>
      <c r="I5" s="99">
        <f t="shared" ca="1" si="3"/>
        <v>3.9228244335921862E-2</v>
      </c>
      <c r="J5" s="99">
        <f t="shared" ca="1" si="3"/>
        <v>3.8852422141790889E-2</v>
      </c>
      <c r="K5" s="99">
        <f t="shared" ca="1" si="3"/>
        <v>4.4906526089715432E-2</v>
      </c>
      <c r="L5" s="99">
        <f t="shared" ca="1" si="3"/>
        <v>4.5811349890618976E-2</v>
      </c>
      <c r="M5" s="99">
        <f t="shared" ca="1" si="3"/>
        <v>5.0304398776688485E-2</v>
      </c>
      <c r="N5" s="99">
        <f t="shared" ca="1" si="3"/>
        <v>5.7909976309555147E-2</v>
      </c>
      <c r="O5" s="99">
        <f t="shared" ca="1" si="3"/>
        <v>4.3730295942235327E-2</v>
      </c>
      <c r="P5" s="99">
        <f t="shared" ca="1" si="3"/>
        <v>3.6023371260378682E-2</v>
      </c>
      <c r="Q5" s="99">
        <f t="shared" ca="1" si="3"/>
        <v>3.1638664630154918E-2</v>
      </c>
      <c r="R5" s="57"/>
      <c r="S5" s="58"/>
      <c r="T5" s="58"/>
    </row>
    <row r="6" spans="1:20" x14ac:dyDescent="0.2">
      <c r="A6" t="str">
        <f>IFERROR(INDEX('[2]2017 Data (WP)'!$C$9:$C$72,MATCH($B6,'[2]2017 Data (WP)'!$D$9:$D$72,0)),"")</f>
        <v>Electric Util. (Central)</v>
      </c>
      <c r="B6" t="s">
        <v>1</v>
      </c>
      <c r="C6" t="s">
        <v>84</v>
      </c>
      <c r="D6" s="35">
        <f t="shared" ca="1" si="1"/>
        <v>4</v>
      </c>
      <c r="E6" s="35">
        <f t="shared" ca="1" si="2"/>
        <v>4</v>
      </c>
      <c r="F6" s="35"/>
      <c r="G6" s="99">
        <f t="shared" ca="1" si="3"/>
        <v>3.2064346077552236E-2</v>
      </c>
      <c r="H6" s="99">
        <f t="shared" ca="1" si="3"/>
        <v>3.6017157264005763E-2</v>
      </c>
      <c r="I6" s="99">
        <f t="shared" ca="1" si="3"/>
        <v>3.5306334371754934E-2</v>
      </c>
      <c r="J6" s="99">
        <f t="shared" ca="1" si="3"/>
        <v>3.7406979983286237E-2</v>
      </c>
      <c r="K6" s="99">
        <f t="shared" ca="1" si="3"/>
        <v>4.0707404224523951E-2</v>
      </c>
      <c r="L6" s="99">
        <f t="shared" ca="1" si="3"/>
        <v>4.2778057372924005E-2</v>
      </c>
      <c r="M6" s="99">
        <f t="shared" ca="1" si="3"/>
        <v>4.6064139941690965E-2</v>
      </c>
      <c r="N6" s="99">
        <f t="shared" ca="1" si="3"/>
        <v>5.7256279105275212E-2</v>
      </c>
      <c r="O6" s="99">
        <f t="shared" ca="1" si="3"/>
        <v>4.1031652989449004E-2</v>
      </c>
      <c r="P6" s="99">
        <f t="shared" ca="1" si="3"/>
        <v>3.131318112332955E-2</v>
      </c>
      <c r="Q6" s="99">
        <f t="shared" ca="1" si="3"/>
        <v>3.3189033189033185E-2</v>
      </c>
      <c r="R6" s="57"/>
      <c r="S6" s="57"/>
      <c r="T6" s="57"/>
    </row>
    <row r="7" spans="1:20" x14ac:dyDescent="0.2">
      <c r="A7" t="str">
        <f>IFERROR(INDEX('[2]2017 Data (WP)'!$C$9:$C$72,MATCH($B7,'[2]2017 Data (WP)'!$D$9:$D$72,0)),"")</f>
        <v>Water Utility</v>
      </c>
      <c r="B7" s="31" t="s">
        <v>165</v>
      </c>
      <c r="C7" s="31" t="s">
        <v>164</v>
      </c>
      <c r="D7" s="35">
        <f t="shared" ca="1" si="1"/>
        <v>6</v>
      </c>
      <c r="E7" s="35">
        <f t="shared" ca="1" si="2"/>
        <v>6</v>
      </c>
      <c r="F7" s="35"/>
      <c r="G7" s="99">
        <f t="shared" ca="1" si="3"/>
        <v>2.204481319794506E-2</v>
      </c>
      <c r="H7" s="99">
        <f t="shared" ca="1" si="3"/>
        <v>2.2090231265006952E-2</v>
      </c>
      <c r="I7" s="99">
        <f t="shared" ca="1" si="3"/>
        <v>2.633997908016102E-2</v>
      </c>
      <c r="J7" s="99">
        <f t="shared" ca="1" si="3"/>
        <v>2.7498371806932483E-2</v>
      </c>
      <c r="K7" s="99">
        <f t="shared" ca="1" si="3"/>
        <v>3.1491767506447131E-2</v>
      </c>
      <c r="L7" s="99">
        <f t="shared" ca="1" si="3"/>
        <v>3.1976744186046513E-2</v>
      </c>
      <c r="M7" s="99">
        <f t="shared" ca="1" si="3"/>
        <v>2.9778948574046501E-2</v>
      </c>
      <c r="N7" s="99">
        <f t="shared" ca="1" si="3"/>
        <v>2.9413477779719262E-2</v>
      </c>
      <c r="O7" s="99">
        <f t="shared" ca="1" si="3"/>
        <v>2.8566531451751129E-2</v>
      </c>
      <c r="P7" s="99">
        <f t="shared" ca="1" si="3"/>
        <v>2.4584683433626495E-2</v>
      </c>
      <c r="Q7" s="99">
        <f t="shared" ca="1" si="3"/>
        <v>2.467462039045553E-2</v>
      </c>
      <c r="R7" s="57"/>
      <c r="S7" s="57"/>
      <c r="T7" s="57"/>
    </row>
    <row r="8" spans="1:20" x14ac:dyDescent="0.2">
      <c r="A8" t="str">
        <f>IFERROR(INDEX('[2]2017 Data (WP)'!$C$9:$C$72,MATCH($B8,'[2]2017 Data (WP)'!$D$9:$D$72,0)),"")</f>
        <v>Water Utility</v>
      </c>
      <c r="B8" s="31" t="s">
        <v>167</v>
      </c>
      <c r="C8" s="31" t="s">
        <v>166</v>
      </c>
      <c r="D8" s="35">
        <f t="shared" ca="1" si="1"/>
        <v>7</v>
      </c>
      <c r="E8" s="35">
        <f t="shared" ca="1" si="2"/>
        <v>7</v>
      </c>
      <c r="F8" s="35"/>
      <c r="G8" s="99">
        <f t="shared" ca="1" si="3"/>
        <v>2.0246818357115309E-2</v>
      </c>
      <c r="H8" s="99">
        <f t="shared" ca="1" si="3"/>
        <v>2.4565486415101312E-2</v>
      </c>
      <c r="I8" s="99">
        <f t="shared" ca="1" si="3"/>
        <v>2.5292113459166821E-2</v>
      </c>
      <c r="J8" s="99">
        <f t="shared" ca="1" si="3"/>
        <v>2.0489304095421615E-2</v>
      </c>
      <c r="K8" s="99">
        <f t="shared" ca="1" si="3"/>
        <v>3.4324293657097465E-2</v>
      </c>
      <c r="L8" s="99">
        <f t="shared" ca="1" si="3"/>
        <v>3.1149413352715191E-2</v>
      </c>
      <c r="M8" s="99">
        <f t="shared" ca="1" si="3"/>
        <v>3.846497897844172E-2</v>
      </c>
      <c r="N8" s="99">
        <f t="shared" ca="1" si="3"/>
        <v>4.1956610724519033E-2</v>
      </c>
      <c r="O8" s="99">
        <f t="shared" ca="1" si="3"/>
        <v>1.9222451823730117E-2</v>
      </c>
      <c r="P8" s="99" t="str">
        <f t="shared" ca="1" si="3"/>
        <v>N/A</v>
      </c>
      <c r="Q8" s="99" t="str">
        <f t="shared" ca="1" si="3"/>
        <v>N/A</v>
      </c>
      <c r="R8" s="57"/>
      <c r="S8" s="57"/>
      <c r="T8" s="57"/>
    </row>
    <row r="9" spans="1:20" x14ac:dyDescent="0.2">
      <c r="A9" t="str">
        <f>IFERROR(INDEX('[2]2017 Data (WP)'!$C$9:$C$72,MATCH($B9,'[2]2017 Data (WP)'!$D$9:$D$72,0)),"")</f>
        <v>Electric Util. (Central)</v>
      </c>
      <c r="B9" t="s">
        <v>3</v>
      </c>
      <c r="C9" t="s">
        <v>80</v>
      </c>
      <c r="D9" s="35">
        <f t="shared" ca="1" si="1"/>
        <v>8</v>
      </c>
      <c r="E9" s="35">
        <f t="shared" ca="1" si="2"/>
        <v>8</v>
      </c>
      <c r="F9" s="35"/>
      <c r="G9" s="99">
        <f t="shared" ca="1" si="3"/>
        <v>3.498001142204455E-2</v>
      </c>
      <c r="H9" s="99">
        <f t="shared" ca="1" si="3"/>
        <v>3.9633124191771632E-2</v>
      </c>
      <c r="I9" s="99">
        <f t="shared" ca="1" si="3"/>
        <v>4.0154632747225347E-2</v>
      </c>
      <c r="J9" s="99">
        <f t="shared" ca="1" si="3"/>
        <v>4.6129450771226752E-2</v>
      </c>
      <c r="K9" s="99">
        <f t="shared" ca="1" si="3"/>
        <v>4.9724958821518478E-2</v>
      </c>
      <c r="L9" s="99">
        <f t="shared" ca="1" si="3"/>
        <v>5.275299385961936E-2</v>
      </c>
      <c r="M9" s="99">
        <f t="shared" ca="1" si="3"/>
        <v>5.7585162472422693E-2</v>
      </c>
      <c r="N9" s="99">
        <f t="shared" ca="1" si="3"/>
        <v>5.9817440279665957E-2</v>
      </c>
      <c r="O9" s="99">
        <f t="shared" ca="1" si="3"/>
        <v>6.2085991542616896E-2</v>
      </c>
      <c r="P9" s="99">
        <f t="shared" ca="1" si="3"/>
        <v>4.8846153846153845E-2</v>
      </c>
      <c r="Q9" s="99">
        <f t="shared" ca="1" si="3"/>
        <v>4.9258217783380201E-2</v>
      </c>
      <c r="R9" s="57"/>
      <c r="S9" s="57"/>
      <c r="T9" s="57"/>
    </row>
    <row r="10" spans="1:20" x14ac:dyDescent="0.2">
      <c r="A10" t="str">
        <f>IFERROR(INDEX('[2]2017 Data (WP)'!$C$9:$C$72,MATCH($B10,'[2]2017 Data (WP)'!$D$9:$D$72,0)),"")</f>
        <v>Electric Util. (Central)</v>
      </c>
      <c r="B10" t="s">
        <v>2</v>
      </c>
      <c r="C10" t="s">
        <v>103</v>
      </c>
      <c r="D10" s="35">
        <f t="shared" ca="1" si="1"/>
        <v>5</v>
      </c>
      <c r="E10" s="35">
        <f t="shared" ca="1" si="2"/>
        <v>5</v>
      </c>
      <c r="F10" s="35"/>
      <c r="G10" s="99">
        <f t="shared" ca="1" si="3"/>
        <v>3.540457920019964E-2</v>
      </c>
      <c r="H10" s="99">
        <f t="shared" ca="1" si="3"/>
        <v>3.7978484746780658E-2</v>
      </c>
      <c r="I10" s="99">
        <f t="shared" ca="1" si="3"/>
        <v>3.8283828382838281E-2</v>
      </c>
      <c r="J10" s="99">
        <f t="shared" ca="1" si="3"/>
        <v>4.2307608860732031E-2</v>
      </c>
      <c r="K10" s="99">
        <f t="shared" ca="1" si="3"/>
        <v>4.582459903475844E-2</v>
      </c>
      <c r="L10" s="99">
        <f t="shared" ca="1" si="3"/>
        <v>4.9593866445058046E-2</v>
      </c>
      <c r="M10" s="99">
        <f t="shared" ca="1" si="3"/>
        <v>4.9022418439309677E-2</v>
      </c>
      <c r="N10" s="99">
        <f t="shared" ca="1" si="3"/>
        <v>5.5042792414834694E-2</v>
      </c>
      <c r="O10" s="99">
        <f t="shared" ca="1" si="3"/>
        <v>4.1996363729481956E-2</v>
      </c>
      <c r="P10" s="99">
        <f t="shared" ca="1" si="3"/>
        <v>3.3959506512487643E-2</v>
      </c>
      <c r="Q10" s="99">
        <f t="shared" ca="1" si="3"/>
        <v>4.0638292108043671E-2</v>
      </c>
      <c r="R10" s="57"/>
      <c r="S10" s="57"/>
      <c r="T10" s="57"/>
    </row>
    <row r="11" spans="1:20" x14ac:dyDescent="0.2">
      <c r="A11" t="str">
        <f>IFERROR(INDEX('[2]2017 Data (WP)'!$C$9:$C$72,MATCH($B11,'[2]2017 Data (WP)'!$D$9:$D$72,0)),"")</f>
        <v>Water Utility</v>
      </c>
      <c r="B11" s="31" t="s">
        <v>171</v>
      </c>
      <c r="C11" s="31" t="s">
        <v>170</v>
      </c>
      <c r="D11" s="35">
        <f t="shared" ca="1" si="1"/>
        <v>10</v>
      </c>
      <c r="E11" s="35">
        <f t="shared" ca="1" si="2"/>
        <v>10</v>
      </c>
      <c r="F11" s="35"/>
      <c r="G11" s="99">
        <f t="shared" ca="1" si="3"/>
        <v>2.3492809295533192E-2</v>
      </c>
      <c r="H11" s="99">
        <f t="shared" ca="1" si="3"/>
        <v>2.5746268656716417E-2</v>
      </c>
      <c r="I11" s="99">
        <f t="shared" ca="1" si="3"/>
        <v>2.5288002247822423E-2</v>
      </c>
      <c r="J11" s="99">
        <f t="shared" ca="1" si="3"/>
        <v>2.3606984411249948E-2</v>
      </c>
      <c r="K11" s="99">
        <f t="shared" ca="1" si="3"/>
        <v>2.8020283339432274E-2</v>
      </c>
      <c r="L11" s="99">
        <f t="shared" ca="1" si="3"/>
        <v>2.8497116363225151E-2</v>
      </c>
      <c r="M11" s="99">
        <f t="shared" ca="1" si="3"/>
        <v>3.1101739588824458E-2</v>
      </c>
      <c r="N11" s="99">
        <f t="shared" ca="1" si="3"/>
        <v>3.0929284408828903E-2</v>
      </c>
      <c r="O11" s="99">
        <f t="shared" ca="1" si="3"/>
        <v>2.8025827723588404E-2</v>
      </c>
      <c r="P11" s="99">
        <f t="shared" ca="1" si="3"/>
        <v>2.1147703491573962E-2</v>
      </c>
      <c r="Q11" s="99">
        <f t="shared" ca="1" si="3"/>
        <v>1.811258618915303E-2</v>
      </c>
      <c r="R11" s="57"/>
      <c r="S11" s="57"/>
      <c r="T11" s="57"/>
    </row>
    <row r="12" spans="1:20" x14ac:dyDescent="0.2">
      <c r="A12" t="str">
        <f>IFERROR(INDEX('[2]2017 Data (WP)'!$C$9:$C$72,MATCH($B12,'[2]2017 Data (WP)'!$D$9:$D$72,0)),"")</f>
        <v>Natural Gas Utility</v>
      </c>
      <c r="B12" s="31" t="s">
        <v>175</v>
      </c>
      <c r="C12" s="31" t="s">
        <v>174</v>
      </c>
      <c r="D12" s="35">
        <f t="shared" ca="1" si="1"/>
        <v>12</v>
      </c>
      <c r="E12" s="35">
        <f t="shared" ca="1" si="2"/>
        <v>12</v>
      </c>
      <c r="F12" s="35"/>
      <c r="G12" s="99">
        <f t="shared" ca="1" si="3"/>
        <v>2.389588222743759E-2</v>
      </c>
      <c r="H12" s="99">
        <f t="shared" ca="1" si="3"/>
        <v>2.8846687253832357E-2</v>
      </c>
      <c r="I12" s="99">
        <f t="shared" ca="1" si="3"/>
        <v>3.1070896227405369E-2</v>
      </c>
      <c r="J12" s="99">
        <f t="shared" ca="1" si="3"/>
        <v>3.527959075674722E-2</v>
      </c>
      <c r="K12" s="99">
        <f t="shared" ca="1" si="3"/>
        <v>4.1253138825780224E-2</v>
      </c>
      <c r="L12" s="99">
        <f t="shared" ca="1" si="3"/>
        <v>4.1920966648172124E-2</v>
      </c>
      <c r="M12" s="99">
        <f t="shared" ca="1" si="3"/>
        <v>4.6963165457540396E-2</v>
      </c>
      <c r="N12" s="99">
        <f t="shared" ca="1" si="3"/>
        <v>5.3441295546558708E-2</v>
      </c>
      <c r="O12" s="99">
        <f t="shared" ca="1" si="3"/>
        <v>4.7848651036107331E-2</v>
      </c>
      <c r="P12" s="99">
        <f t="shared" ca="1" si="3"/>
        <v>4.1585445094217022E-2</v>
      </c>
      <c r="Q12" s="99">
        <f t="shared" ca="1" si="3"/>
        <v>4.6583850931677023E-2</v>
      </c>
      <c r="R12" s="57"/>
      <c r="S12" s="57"/>
      <c r="T12" s="57"/>
    </row>
    <row r="13" spans="1:20" x14ac:dyDescent="0.2">
      <c r="A13" t="str">
        <f>IFERROR(INDEX('[2]2017 Data (WP)'!$C$9:$C$72,MATCH($B13,'[2]2017 Data (WP)'!$D$9:$D$72,0)),"")</f>
        <v>Electric Utility (East)</v>
      </c>
      <c r="B13" t="s">
        <v>260</v>
      </c>
      <c r="C13" t="s">
        <v>261</v>
      </c>
      <c r="D13" s="35">
        <f t="shared" ca="1" si="1"/>
        <v>13</v>
      </c>
      <c r="E13" s="35">
        <f t="shared" ca="1" si="2"/>
        <v>13</v>
      </c>
      <c r="F13" s="35"/>
      <c r="G13" s="99">
        <f t="shared" ca="1" si="3"/>
        <v>4.2587800369685763E-2</v>
      </c>
      <c r="H13" s="99">
        <f t="shared" ca="1" si="3"/>
        <v>0</v>
      </c>
      <c r="I13" s="99" t="str">
        <f t="shared" ca="1" si="3"/>
        <v>N/A</v>
      </c>
      <c r="J13" s="99" t="str">
        <f t="shared" ca="1" si="3"/>
        <v>N/A</v>
      </c>
      <c r="K13" s="99" t="str">
        <f t="shared" ca="1" si="3"/>
        <v>N/A</v>
      </c>
      <c r="L13" s="99" t="str">
        <f t="shared" ca="1" si="3"/>
        <v>N/A</v>
      </c>
      <c r="M13" s="99" t="str">
        <f t="shared" ca="1" si="3"/>
        <v>N/A</v>
      </c>
      <c r="N13" s="99" t="str">
        <f t="shared" ca="1" si="3"/>
        <v>N/A</v>
      </c>
      <c r="O13" s="99" t="str">
        <f t="shared" ca="1" si="3"/>
        <v>N/A</v>
      </c>
      <c r="P13" s="99" t="str">
        <f t="shared" ca="1" si="3"/>
        <v>N/A</v>
      </c>
      <c r="Q13" s="99" t="str">
        <f t="shared" ca="1" si="3"/>
        <v>N/A</v>
      </c>
      <c r="R13" s="57"/>
      <c r="S13" s="57"/>
      <c r="T13" s="57"/>
    </row>
    <row r="14" spans="1:20" x14ac:dyDescent="0.2">
      <c r="A14" t="str">
        <f>IFERROR(INDEX('[2]2017 Data (WP)'!$C$9:$C$72,MATCH($B14,'[2]2017 Data (WP)'!$D$9:$D$72,0)),"")</f>
        <v>Electric Utility (West)</v>
      </c>
      <c r="B14" t="s">
        <v>4</v>
      </c>
      <c r="C14" t="s">
        <v>86</v>
      </c>
      <c r="D14" s="35">
        <f t="shared" ca="1" si="1"/>
        <v>14</v>
      </c>
      <c r="E14" s="35">
        <f t="shared" ca="1" si="2"/>
        <v>14</v>
      </c>
      <c r="F14" s="35"/>
      <c r="G14" s="99">
        <f t="shared" ca="1" si="3"/>
        <v>3.3903338365215675E-2</v>
      </c>
      <c r="H14" s="99">
        <f t="shared" ca="1" si="3"/>
        <v>3.9675383228133451E-2</v>
      </c>
      <c r="I14" s="99">
        <f t="shared" ca="1" si="3"/>
        <v>3.9938362841598796E-2</v>
      </c>
      <c r="J14" s="99">
        <f t="shared" ca="1" si="3"/>
        <v>4.5061682795301761E-2</v>
      </c>
      <c r="K14" s="99">
        <f t="shared" ca="1" si="3"/>
        <v>4.5540201005025122E-2</v>
      </c>
      <c r="L14" s="99">
        <f t="shared" ca="1" si="3"/>
        <v>4.5428264640290747E-2</v>
      </c>
      <c r="M14" s="99">
        <f t="shared" ca="1" si="3"/>
        <v>4.7573739295908662E-2</v>
      </c>
      <c r="N14" s="99">
        <f t="shared" ca="1" si="3"/>
        <v>4.4907689748849594E-2</v>
      </c>
      <c r="O14" s="99">
        <f t="shared" ca="1" si="3"/>
        <v>3.388665160593262E-2</v>
      </c>
      <c r="P14" s="99">
        <f t="shared" ca="1" si="3"/>
        <v>2.6765632028789923E-2</v>
      </c>
      <c r="Q14" s="99">
        <f t="shared" ca="1" si="3"/>
        <v>2.5194483734087694E-2</v>
      </c>
      <c r="R14" s="57"/>
      <c r="S14" s="57"/>
      <c r="T14" s="57"/>
    </row>
    <row r="15" spans="1:20" x14ac:dyDescent="0.2">
      <c r="A15" t="str">
        <f>IFERROR(INDEX('[2]2017 Data (WP)'!$C$9:$C$72,MATCH($B15,'[2]2017 Data (WP)'!$D$9:$D$72,0)),"")</f>
        <v>Electric Utility (West)</v>
      </c>
      <c r="B15" t="s">
        <v>5</v>
      </c>
      <c r="C15" t="s">
        <v>46</v>
      </c>
      <c r="D15" s="35">
        <f t="shared" ca="1" si="1"/>
        <v>15</v>
      </c>
      <c r="E15" s="35">
        <f t="shared" ca="1" si="2"/>
        <v>15</v>
      </c>
      <c r="F15" s="35"/>
      <c r="G15" s="99">
        <f t="shared" ref="G15:Q24" ca="1" si="4">IFERROR(INDEX(Dividends,$D15,G$2)/INDEX(MarketPrice,$E15,G$2),"N/A")</f>
        <v>2.8659649601664988E-2</v>
      </c>
      <c r="H15" s="99">
        <f t="shared" ca="1" si="4"/>
        <v>3.5473416834544982E-2</v>
      </c>
      <c r="I15" s="99">
        <f t="shared" ca="1" si="4"/>
        <v>2.8366215110464589E-2</v>
      </c>
      <c r="J15" s="99">
        <f t="shared" ca="1" si="4"/>
        <v>3.1932773109243695E-2</v>
      </c>
      <c r="K15" s="99">
        <f t="shared" ca="1" si="4"/>
        <v>4.3853151204480127E-2</v>
      </c>
      <c r="L15" s="99">
        <f t="shared" ca="1" si="4"/>
        <v>4.6437659033078879E-2</v>
      </c>
      <c r="M15" s="99">
        <f t="shared" ca="1" si="4"/>
        <v>4.7936085219707054E-2</v>
      </c>
      <c r="N15" s="99">
        <f t="shared" ca="1" si="4"/>
        <v>6.1664061142956403E-2</v>
      </c>
      <c r="O15" s="99">
        <f t="shared" ca="1" si="4"/>
        <v>4.2115396185548402E-2</v>
      </c>
      <c r="P15" s="99">
        <f t="shared" ca="1" si="4"/>
        <v>3.4027967511984301E-2</v>
      </c>
      <c r="Q15" s="99">
        <f t="shared" ca="1" si="4"/>
        <v>3.7880961946851865E-2</v>
      </c>
      <c r="R15" s="57"/>
      <c r="S15" s="57"/>
      <c r="T15" s="57"/>
    </row>
    <row r="16" spans="1:20" x14ac:dyDescent="0.2">
      <c r="A16" t="str">
        <f>IFERROR(INDEX('[2]2017 Data (WP)'!$C$9:$C$72,MATCH($B16,'[2]2017 Data (WP)'!$D$9:$D$72,0)),"")</f>
        <v>Water Utility</v>
      </c>
      <c r="B16" s="31" t="s">
        <v>177</v>
      </c>
      <c r="C16" s="31" t="s">
        <v>176</v>
      </c>
      <c r="D16" s="35">
        <f t="shared" ca="1" si="1"/>
        <v>16</v>
      </c>
      <c r="E16" s="35">
        <f t="shared" ca="1" si="2"/>
        <v>16</v>
      </c>
      <c r="F16" s="35"/>
      <c r="G16" s="99">
        <f t="shared" ca="1" si="4"/>
        <v>2.3041474654377878E-2</v>
      </c>
      <c r="H16" s="99">
        <f t="shared" ca="1" si="4"/>
        <v>2.8771417529093488E-2</v>
      </c>
      <c r="I16" s="99">
        <f t="shared" ca="1" si="4"/>
        <v>2.7739842949812226E-2</v>
      </c>
      <c r="J16" s="99">
        <f t="shared" ca="1" si="4"/>
        <v>3.1176929072486363E-2</v>
      </c>
      <c r="K16" s="99">
        <f t="shared" ca="1" si="4"/>
        <v>3.4547049791620967E-2</v>
      </c>
      <c r="L16" s="99">
        <f t="shared" ca="1" si="4"/>
        <v>3.3610230626297956E-2</v>
      </c>
      <c r="M16" s="99">
        <f t="shared" ca="1" si="4"/>
        <v>3.2395056351064405E-2</v>
      </c>
      <c r="N16" s="99">
        <f t="shared" ca="1" si="4"/>
        <v>3.0738772533083256E-2</v>
      </c>
      <c r="O16" s="99">
        <f t="shared" ca="1" si="4"/>
        <v>3.1153477473639366E-2</v>
      </c>
      <c r="P16" s="99">
        <f t="shared" ca="1" si="4"/>
        <v>2.9678145627590441E-2</v>
      </c>
      <c r="Q16" s="99">
        <f t="shared" ca="1" si="4"/>
        <v>2.9351710056151094E-2</v>
      </c>
      <c r="R16" s="57"/>
      <c r="S16" s="57"/>
      <c r="T16" s="57"/>
    </row>
    <row r="17" spans="1:20" x14ac:dyDescent="0.2">
      <c r="A17" t="str">
        <f>IFERROR(INDEX('[2]2017 Data (WP)'!$C$9:$C$72,MATCH($B17,'[2]2017 Data (WP)'!$D$9:$D$72,0)),"")</f>
        <v>Electric Util. (Central)</v>
      </c>
      <c r="B17" t="s">
        <v>6</v>
      </c>
      <c r="C17" t="s">
        <v>90</v>
      </c>
      <c r="D17" s="35">
        <f t="shared" ca="1" si="1"/>
        <v>17</v>
      </c>
      <c r="E17" s="35">
        <f t="shared" ca="1" si="2"/>
        <v>17</v>
      </c>
      <c r="F17" s="35"/>
      <c r="G17" s="99">
        <f t="shared" ca="1" si="4"/>
        <v>4.701049748973072E-2</v>
      </c>
      <c r="H17" s="99">
        <f t="shared" ca="1" si="4"/>
        <v>5.0649749309321604E-2</v>
      </c>
      <c r="I17" s="99">
        <f t="shared" ca="1" si="4"/>
        <v>3.94469127600382E-2</v>
      </c>
      <c r="J17" s="99">
        <f t="shared" ca="1" si="4"/>
        <v>3.5705067538501251E-2</v>
      </c>
      <c r="K17" s="99">
        <f t="shared" ca="1" si="4"/>
        <v>4.0413111809609346E-2</v>
      </c>
      <c r="L17" s="99">
        <f t="shared" ca="1" si="4"/>
        <v>4.267963263101026E-2</v>
      </c>
      <c r="M17" s="99">
        <f t="shared" ca="1" si="4"/>
        <v>5.2895700528957007E-2</v>
      </c>
      <c r="N17" s="99">
        <f t="shared" ca="1" si="4"/>
        <v>6.3731656184486368E-2</v>
      </c>
      <c r="O17" s="99">
        <f t="shared" ca="1" si="4"/>
        <v>4.9815749965879626E-2</v>
      </c>
      <c r="P17" s="99">
        <f t="shared" ca="1" si="4"/>
        <v>3.8742023701002735E-2</v>
      </c>
      <c r="Q17" s="99">
        <f t="shared" ca="1" si="4"/>
        <v>4.3949604453559922E-2</v>
      </c>
      <c r="R17" s="57"/>
      <c r="S17" s="57"/>
      <c r="T17" s="57"/>
    </row>
    <row r="18" spans="1:20" x14ac:dyDescent="0.2">
      <c r="A18" t="str">
        <f>IFERROR(INDEX('[2]2017 Data (WP)'!$C$9:$C$72,MATCH($B18,'[2]2017 Data (WP)'!$D$9:$D$72,0)),"")</f>
        <v/>
      </c>
      <c r="B18" t="s">
        <v>7</v>
      </c>
      <c r="C18" t="s">
        <v>48</v>
      </c>
      <c r="D18" s="35" t="e">
        <f t="shared" ca="1" si="1"/>
        <v>#N/A</v>
      </c>
      <c r="E18" s="35" t="e">
        <f t="shared" ca="1" si="2"/>
        <v>#N/A</v>
      </c>
      <c r="F18" s="35"/>
      <c r="G18" s="99" t="str">
        <f t="shared" ca="1" si="4"/>
        <v>N/A</v>
      </c>
      <c r="H18" s="99" t="str">
        <f t="shared" ca="1" si="4"/>
        <v>N/A</v>
      </c>
      <c r="I18" s="99" t="str">
        <f t="shared" ca="1" si="4"/>
        <v>N/A</v>
      </c>
      <c r="J18" s="99" t="str">
        <f t="shared" ca="1" si="4"/>
        <v>N/A</v>
      </c>
      <c r="K18" s="99" t="str">
        <f t="shared" ca="1" si="4"/>
        <v>N/A</v>
      </c>
      <c r="L18" s="99" t="str">
        <f t="shared" ca="1" si="4"/>
        <v>N/A</v>
      </c>
      <c r="M18" s="99" t="str">
        <f t="shared" ca="1" si="4"/>
        <v>N/A</v>
      </c>
      <c r="N18" s="99" t="str">
        <f t="shared" ca="1" si="4"/>
        <v>N/A</v>
      </c>
      <c r="O18" s="99" t="str">
        <f t="shared" ca="1" si="4"/>
        <v>N/A</v>
      </c>
      <c r="P18" s="99" t="str">
        <f t="shared" ca="1" si="4"/>
        <v>N/A</v>
      </c>
      <c r="Q18" s="99" t="str">
        <f t="shared" ca="1" si="4"/>
        <v>N/A</v>
      </c>
      <c r="R18" s="57"/>
      <c r="S18" s="57"/>
      <c r="T18" s="57"/>
    </row>
    <row r="19" spans="1:20" x14ac:dyDescent="0.2">
      <c r="A19" t="str">
        <f>IFERROR(INDEX('[2]2017 Data (WP)'!$C$9:$C$72,MATCH($B19,'[2]2017 Data (WP)'!$D$9:$D$72,0)),"")</f>
        <v>Natural Gas Utility</v>
      </c>
      <c r="B19" s="31" t="s">
        <v>178</v>
      </c>
      <c r="C19" s="31" t="s">
        <v>215</v>
      </c>
      <c r="D19" s="35">
        <f t="shared" ca="1" si="1"/>
        <v>18</v>
      </c>
      <c r="E19" s="35">
        <f t="shared" ca="1" si="2"/>
        <v>18</v>
      </c>
      <c r="F19" s="35"/>
      <c r="G19" s="99">
        <f t="shared" ca="1" si="4"/>
        <v>1.9108791649939783E-2</v>
      </c>
      <c r="H19" s="99">
        <f t="shared" ca="1" si="4"/>
        <v>2.1828529107953774E-2</v>
      </c>
      <c r="I19" s="99">
        <f t="shared" ca="1" si="4"/>
        <v>2.4403631955721244E-2</v>
      </c>
      <c r="J19" s="99">
        <f t="shared" ca="1" si="4"/>
        <v>2.8692007024301816E-2</v>
      </c>
      <c r="K19" s="99">
        <f t="shared" ca="1" si="4"/>
        <v>3.2528038491512215E-2</v>
      </c>
      <c r="L19" s="99">
        <f t="shared" ca="1" si="4"/>
        <v>3.3594211458948614E-2</v>
      </c>
      <c r="M19" s="99">
        <f t="shared" ca="1" si="4"/>
        <v>3.9138062890818302E-2</v>
      </c>
      <c r="N19" s="99">
        <f t="shared" ca="1" si="4"/>
        <v>4.0927627376799482E-2</v>
      </c>
      <c r="O19" s="99">
        <f t="shared" ca="1" si="4"/>
        <v>4.0960308598111866E-2</v>
      </c>
      <c r="P19" s="99">
        <f t="shared" ca="1" si="4"/>
        <v>3.6221492343988526E-2</v>
      </c>
      <c r="Q19" s="99">
        <f t="shared" ca="1" si="4"/>
        <v>3.7601328254712373E-2</v>
      </c>
      <c r="R19" s="58"/>
      <c r="S19" s="58"/>
      <c r="T19" s="58"/>
    </row>
    <row r="20" spans="1:20" x14ac:dyDescent="0.2">
      <c r="A20" t="str">
        <f>IFERROR(INDEX('[2]2017 Data (WP)'!$C$9:$C$72,MATCH($B20,'[2]2017 Data (WP)'!$D$9:$D$72,0)),"")</f>
        <v/>
      </c>
      <c r="B20" t="s">
        <v>8</v>
      </c>
      <c r="C20" t="s">
        <v>49</v>
      </c>
      <c r="D20" s="35" t="e">
        <f t="shared" ca="1" si="1"/>
        <v>#N/A</v>
      </c>
      <c r="E20" s="35" t="e">
        <f t="shared" ca="1" si="2"/>
        <v>#N/A</v>
      </c>
      <c r="F20" s="35"/>
      <c r="G20" s="99" t="str">
        <f t="shared" ca="1" si="4"/>
        <v>N/A</v>
      </c>
      <c r="H20" s="99" t="str">
        <f t="shared" ca="1" si="4"/>
        <v>N/A</v>
      </c>
      <c r="I20" s="99" t="str">
        <f t="shared" ca="1" si="4"/>
        <v>N/A</v>
      </c>
      <c r="J20" s="99" t="str">
        <f t="shared" ca="1" si="4"/>
        <v>N/A</v>
      </c>
      <c r="K20" s="99" t="str">
        <f t="shared" ca="1" si="4"/>
        <v>N/A</v>
      </c>
      <c r="L20" s="99" t="str">
        <f t="shared" ca="1" si="4"/>
        <v>N/A</v>
      </c>
      <c r="M20" s="99" t="str">
        <f t="shared" ca="1" si="4"/>
        <v>N/A</v>
      </c>
      <c r="N20" s="99" t="str">
        <f t="shared" ca="1" si="4"/>
        <v>N/A</v>
      </c>
      <c r="O20" s="99" t="str">
        <f t="shared" ca="1" si="4"/>
        <v>N/A</v>
      </c>
      <c r="P20" s="99" t="str">
        <f t="shared" ca="1" si="4"/>
        <v>N/A</v>
      </c>
      <c r="Q20" s="99" t="str">
        <f t="shared" ca="1" si="4"/>
        <v>N/A</v>
      </c>
      <c r="R20" s="57"/>
      <c r="S20" s="57"/>
      <c r="T20" s="57"/>
    </row>
    <row r="21" spans="1:20" x14ac:dyDescent="0.2">
      <c r="A21" t="str">
        <f>IFERROR(INDEX('[2]2017 Data (WP)'!$C$9:$C$72,MATCH($B21,'[2]2017 Data (WP)'!$D$9:$D$72,0)),"")</f>
        <v>Electric Util. (Central)</v>
      </c>
      <c r="B21" t="s">
        <v>9</v>
      </c>
      <c r="C21" t="s">
        <v>47</v>
      </c>
      <c r="D21" s="35">
        <f t="shared" ca="1" si="1"/>
        <v>19</v>
      </c>
      <c r="E21" s="35">
        <f t="shared" ca="1" si="2"/>
        <v>19</v>
      </c>
      <c r="F21" s="35"/>
      <c r="G21" s="99">
        <f t="shared" ca="1" si="4"/>
        <v>2.9903296597294234E-2</v>
      </c>
      <c r="H21" s="99">
        <f t="shared" ca="1" si="4"/>
        <v>3.3555105582875326E-2</v>
      </c>
      <c r="I21" s="99">
        <f t="shared" ca="1" si="4"/>
        <v>3.5880398671096346E-2</v>
      </c>
      <c r="J21" s="99">
        <f t="shared" ca="1" si="4"/>
        <v>3.7643932683790966E-2</v>
      </c>
      <c r="K21" s="99">
        <f t="shared" ca="1" si="4"/>
        <v>4.1637751561415678E-2</v>
      </c>
      <c r="L21" s="99">
        <f t="shared" ca="1" si="4"/>
        <v>4.2548880559213853E-2</v>
      </c>
      <c r="M21" s="99">
        <f t="shared" ca="1" si="4"/>
        <v>3.9838232631134181E-2</v>
      </c>
      <c r="N21" s="99">
        <f t="shared" ca="1" si="4"/>
        <v>3.9660506068057433E-2</v>
      </c>
      <c r="O21" s="99">
        <f t="shared" ca="1" si="4"/>
        <v>2.6936026936026935E-2</v>
      </c>
      <c r="P21" s="99">
        <f t="shared" ca="1" si="4"/>
        <v>1.1644154634373547E-2</v>
      </c>
      <c r="Q21" s="99">
        <f t="shared" ca="1" si="4"/>
        <v>0</v>
      </c>
      <c r="R21" s="57"/>
      <c r="S21" s="57"/>
      <c r="T21" s="57"/>
    </row>
    <row r="22" spans="1:20" x14ac:dyDescent="0.2">
      <c r="A22" t="str">
        <f>IFERROR(INDEX('[2]2017 Data (WP)'!$C$9:$C$72,MATCH($B22,'[2]2017 Data (WP)'!$D$9:$D$72,0)),"")</f>
        <v>Water Utility</v>
      </c>
      <c r="B22" s="31" t="s">
        <v>180</v>
      </c>
      <c r="C22" s="31" t="s">
        <v>179</v>
      </c>
      <c r="D22" s="35">
        <f t="shared" ca="1" si="1"/>
        <v>20</v>
      </c>
      <c r="E22" s="35">
        <f t="shared" ca="1" si="2"/>
        <v>20</v>
      </c>
      <c r="F22" s="35"/>
      <c r="G22" s="99">
        <f t="shared" ca="1" si="4"/>
        <v>2.312472900708195E-2</v>
      </c>
      <c r="H22" s="99">
        <f t="shared" ca="1" si="4"/>
        <v>2.9282985191176062E-2</v>
      </c>
      <c r="I22" s="99">
        <f t="shared" ca="1" si="4"/>
        <v>3.0022888736957881E-2</v>
      </c>
      <c r="J22" s="99">
        <f t="shared" ca="1" si="4"/>
        <v>3.2142740004591816E-2</v>
      </c>
      <c r="K22" s="99">
        <f t="shared" ca="1" si="4"/>
        <v>3.2367915303954956E-2</v>
      </c>
      <c r="L22" s="99">
        <f t="shared" ca="1" si="4"/>
        <v>3.6174716182412928E-2</v>
      </c>
      <c r="M22" s="99">
        <f t="shared" ca="1" si="4"/>
        <v>3.939030655934235E-2</v>
      </c>
      <c r="N22" s="99">
        <f t="shared" ca="1" si="4"/>
        <v>4.1092137704319243E-2</v>
      </c>
      <c r="O22" s="99">
        <f t="shared" ca="1" si="4"/>
        <v>3.5763634885800206E-2</v>
      </c>
      <c r="P22" s="99">
        <f t="shared" ca="1" si="4"/>
        <v>3.6023353070266238E-2</v>
      </c>
      <c r="Q22" s="99">
        <f t="shared" ca="1" si="4"/>
        <v>3.6427932342039109E-2</v>
      </c>
      <c r="R22" s="57"/>
      <c r="S22" s="57"/>
      <c r="T22" s="57"/>
    </row>
    <row r="23" spans="1:20" x14ac:dyDescent="0.2">
      <c r="A23" t="str">
        <f>IFERROR(INDEX('[2]2017 Data (WP)'!$C$9:$C$72,MATCH($B23,'[2]2017 Data (WP)'!$D$9:$D$72,0)),"")</f>
        <v>Electric Utility (East)</v>
      </c>
      <c r="B23" t="s">
        <v>10</v>
      </c>
      <c r="C23" t="s">
        <v>50</v>
      </c>
      <c r="D23" s="35">
        <f t="shared" ca="1" si="1"/>
        <v>21</v>
      </c>
      <c r="E23" s="35">
        <f t="shared" ca="1" si="2"/>
        <v>21</v>
      </c>
      <c r="F23" s="35"/>
      <c r="G23" s="99">
        <f t="shared" ca="1" si="4"/>
        <v>3.6177594189986374E-2</v>
      </c>
      <c r="H23" s="99">
        <f t="shared" ca="1" si="4"/>
        <v>4.1181594994852307E-2</v>
      </c>
      <c r="I23" s="99">
        <f t="shared" ca="1" si="4"/>
        <v>4.3778121362680888E-2</v>
      </c>
      <c r="J23" s="99">
        <f t="shared" ca="1" si="4"/>
        <v>4.2515684139575884E-2</v>
      </c>
      <c r="K23" s="99">
        <f t="shared" ca="1" si="4"/>
        <v>4.0736625930040737E-2</v>
      </c>
      <c r="L23" s="99">
        <f t="shared" ca="1" si="4"/>
        <v>4.4593916646537467E-2</v>
      </c>
      <c r="M23" s="99">
        <f t="shared" ca="1" si="4"/>
        <v>5.1581023384842113E-2</v>
      </c>
      <c r="N23" s="99">
        <f t="shared" ca="1" si="4"/>
        <v>5.990912090980631E-2</v>
      </c>
      <c r="O23" s="99">
        <f t="shared" ca="1" si="4"/>
        <v>5.6687419753385489E-2</v>
      </c>
      <c r="P23" s="99">
        <f t="shared" ca="1" si="4"/>
        <v>4.8370619018827006E-2</v>
      </c>
      <c r="Q23" s="99">
        <f t="shared" ca="1" si="4"/>
        <v>5.0350262697022766E-2</v>
      </c>
      <c r="R23" s="57"/>
      <c r="S23" s="57"/>
      <c r="T23" s="57"/>
    </row>
    <row r="24" spans="1:20" x14ac:dyDescent="0.2">
      <c r="A24" t="str">
        <f>IFERROR(INDEX('[2]2017 Data (WP)'!$C$9:$C$72,MATCH($B24,'[2]2017 Data (WP)'!$D$9:$D$72,0)),"")</f>
        <v>Water Utility</v>
      </c>
      <c r="B24" s="31" t="s">
        <v>182</v>
      </c>
      <c r="C24" s="31" t="s">
        <v>181</v>
      </c>
      <c r="D24" s="35">
        <f t="shared" ca="1" si="1"/>
        <v>22</v>
      </c>
      <c r="E24" s="35">
        <f t="shared" ca="1" si="2"/>
        <v>22</v>
      </c>
      <c r="F24" s="35"/>
      <c r="G24" s="99">
        <f t="shared" ca="1" si="4"/>
        <v>2.4797487187964949E-2</v>
      </c>
      <c r="H24" s="99">
        <f t="shared" ca="1" si="4"/>
        <v>2.5922405599239608E-2</v>
      </c>
      <c r="I24" s="99">
        <f t="shared" ca="1" si="4"/>
        <v>2.52503997979968E-2</v>
      </c>
      <c r="J24" s="99">
        <f t="shared" ca="1" si="4"/>
        <v>2.5833118057349523E-2</v>
      </c>
      <c r="K24" s="99">
        <f t="shared" ca="1" si="4"/>
        <v>3.7759597230962866E-2</v>
      </c>
      <c r="L24" s="99">
        <f t="shared" ca="1" si="4"/>
        <v>3.1897926634768738E-2</v>
      </c>
      <c r="M24" s="99">
        <f t="shared" ca="1" si="4"/>
        <v>2.596728122565567E-2</v>
      </c>
      <c r="N24" s="99">
        <f t="shared" ca="1" si="4"/>
        <v>1.9882127387630479E-2</v>
      </c>
      <c r="O24" s="99">
        <f t="shared" ca="1" si="4"/>
        <v>1.7200317544323895E-2</v>
      </c>
      <c r="P24" s="99">
        <f t="shared" ca="1" si="4"/>
        <v>6.9747478360397746E-3</v>
      </c>
      <c r="Q24" s="99">
        <f t="shared" ca="1" si="4"/>
        <v>9.4491909130280712E-3</v>
      </c>
      <c r="R24" s="57"/>
      <c r="S24" s="57"/>
      <c r="T24" s="57"/>
    </row>
    <row r="25" spans="1:20" x14ac:dyDescent="0.2">
      <c r="A25" t="str">
        <f>IFERROR(INDEX('[2]2017 Data (WP)'!$C$9:$C$72,MATCH($B25,'[2]2017 Data (WP)'!$D$9:$D$72,0)),"")</f>
        <v>Electric Utility (East)</v>
      </c>
      <c r="B25" t="s">
        <v>11</v>
      </c>
      <c r="C25" t="s">
        <v>52</v>
      </c>
      <c r="D25" s="35">
        <f t="shared" ca="1" si="1"/>
        <v>24</v>
      </c>
      <c r="E25" s="35">
        <f t="shared" ca="1" si="2"/>
        <v>24</v>
      </c>
      <c r="F25" s="35"/>
      <c r="G25" s="99">
        <f t="shared" ref="G25:Q34" ca="1" si="5">IFERROR(INDEX(Dividends,$D25,G$2)/INDEX(MarketPrice,$E25,G$2),"N/A")</f>
        <v>3.8168979525068834E-2</v>
      </c>
      <c r="H25" s="99">
        <f t="shared" ca="1" si="5"/>
        <v>3.656281321908042E-2</v>
      </c>
      <c r="I25" s="99">
        <f t="shared" ca="1" si="5"/>
        <v>3.4253418205691777E-2</v>
      </c>
      <c r="J25" s="99">
        <f t="shared" ca="1" si="5"/>
        <v>3.7836747048733729E-2</v>
      </c>
      <c r="K25" s="99">
        <f t="shared" ca="1" si="5"/>
        <v>4.0570681433625591E-2</v>
      </c>
      <c r="L25" s="99">
        <f t="shared" ca="1" si="5"/>
        <v>4.132924936013091E-2</v>
      </c>
      <c r="M25" s="99">
        <f t="shared" ca="1" si="5"/>
        <v>4.413147804278101E-2</v>
      </c>
      <c r="N25" s="99">
        <f t="shared" ca="1" si="5"/>
        <v>5.2022949552602629E-2</v>
      </c>
      <c r="O25" s="99">
        <f t="shared" ca="1" si="5"/>
        <v>3.7717832418238242E-2</v>
      </c>
      <c r="P25" s="99">
        <f t="shared" ca="1" si="5"/>
        <v>3.3232422097284497E-2</v>
      </c>
      <c r="Q25" s="99">
        <f t="shared" ca="1" si="5"/>
        <v>3.5990924027853838E-2</v>
      </c>
      <c r="R25" s="57"/>
      <c r="S25" s="57"/>
      <c r="T25" s="57"/>
    </row>
    <row r="26" spans="1:20" x14ac:dyDescent="0.2">
      <c r="A26" t="str">
        <f>IFERROR(INDEX('[2]2017 Data (WP)'!$C$9:$C$72,MATCH($B26,'[2]2017 Data (WP)'!$D$9:$D$72,0)),"")</f>
        <v>Electric Util. (Central)</v>
      </c>
      <c r="B26" t="s">
        <v>12</v>
      </c>
      <c r="C26" t="s">
        <v>51</v>
      </c>
      <c r="D26" s="35">
        <f t="shared" ca="1" si="1"/>
        <v>25</v>
      </c>
      <c r="E26" s="35">
        <f t="shared" ca="1" si="2"/>
        <v>25</v>
      </c>
      <c r="F26" s="35"/>
      <c r="G26" s="99">
        <f t="shared" ca="1" si="5"/>
        <v>3.3403925507062858E-2</v>
      </c>
      <c r="H26" s="99">
        <f t="shared" ca="1" si="5"/>
        <v>3.5313281026571997E-2</v>
      </c>
      <c r="I26" s="99">
        <f t="shared" ca="1" si="5"/>
        <v>3.5370070871628995E-2</v>
      </c>
      <c r="J26" s="99">
        <f t="shared" ca="1" si="5"/>
        <v>3.8449547958017243E-2</v>
      </c>
      <c r="K26" s="99">
        <f t="shared" ca="1" si="5"/>
        <v>4.1889529348635129E-2</v>
      </c>
      <c r="L26" s="99">
        <f t="shared" ca="1" si="5"/>
        <v>4.6794005526533407E-2</v>
      </c>
      <c r="M26" s="99">
        <f t="shared" ca="1" si="5"/>
        <v>4.7521471857697173E-2</v>
      </c>
      <c r="N26" s="99">
        <f t="shared" ca="1" si="5"/>
        <v>6.2855787476280831E-2</v>
      </c>
      <c r="O26" s="99">
        <f t="shared" ca="1" si="5"/>
        <v>5.2431122322797653E-2</v>
      </c>
      <c r="P26" s="99">
        <f t="shared" ca="1" si="5"/>
        <v>4.3634866728414122E-2</v>
      </c>
      <c r="Q26" s="99">
        <f t="shared" ca="1" si="5"/>
        <v>4.8586882712435907E-2</v>
      </c>
      <c r="R26" s="57"/>
      <c r="S26" s="57"/>
      <c r="T26" s="57"/>
    </row>
    <row r="27" spans="1:20" x14ac:dyDescent="0.2">
      <c r="A27" t="str">
        <f>IFERROR(INDEX('[2]2017 Data (WP)'!$C$9:$C$72,MATCH($B27,'[2]2017 Data (WP)'!$D$9:$D$72,0)),"")</f>
        <v>Electric Utility (East)</v>
      </c>
      <c r="B27" t="s">
        <v>13</v>
      </c>
      <c r="C27" t="s">
        <v>93</v>
      </c>
      <c r="D27" s="35">
        <f t="shared" ca="1" si="1"/>
        <v>26</v>
      </c>
      <c r="E27" s="35">
        <f t="shared" ca="1" si="2"/>
        <v>26</v>
      </c>
      <c r="F27" s="35"/>
      <c r="G27" s="99">
        <f t="shared" ca="1" si="5"/>
        <v>4.2616338799893454E-2</v>
      </c>
      <c r="H27" s="99">
        <f t="shared" ca="1" si="5"/>
        <v>4.3376978070527754E-2</v>
      </c>
      <c r="I27" s="99">
        <f t="shared" ca="1" si="5"/>
        <v>4.2579650982035443E-2</v>
      </c>
      <c r="J27" s="99">
        <f t="shared" ca="1" si="5"/>
        <v>4.4494362607456039E-2</v>
      </c>
      <c r="K27" s="99">
        <f t="shared" ca="1" si="5"/>
        <v>4.6766476308072229E-2</v>
      </c>
      <c r="L27" s="99">
        <f t="shared" ca="1" si="5"/>
        <v>5.2124466908861161E-2</v>
      </c>
      <c r="M27" s="99">
        <f t="shared" ca="1" si="5"/>
        <v>5.7066656207714783E-2</v>
      </c>
      <c r="N27" s="99">
        <f t="shared" ca="1" si="5"/>
        <v>6.2468156746339404E-2</v>
      </c>
      <c r="O27" s="99">
        <f t="shared" ca="1" si="5"/>
        <v>5.155918803826838E-2</v>
      </c>
      <c r="P27" s="99">
        <f t="shared" ca="1" si="5"/>
        <v>4.4432963058641181E-2</v>
      </c>
      <c r="Q27" s="99" t="str">
        <f t="shared" ca="1" si="5"/>
        <v>N/A</v>
      </c>
      <c r="R27" s="57"/>
      <c r="S27" s="57"/>
      <c r="T27" s="57"/>
    </row>
    <row r="28" spans="1:20" x14ac:dyDescent="0.2">
      <c r="A28" t="str">
        <f>IFERROR(INDEX('[2]2017 Data (WP)'!$C$9:$C$72,MATCH($B28,'[2]2017 Data (WP)'!$D$9:$D$72,0)),"")</f>
        <v>Electric Utility (West)</v>
      </c>
      <c r="B28" t="s">
        <v>14</v>
      </c>
      <c r="C28" t="s">
        <v>53</v>
      </c>
      <c r="D28" s="35">
        <f t="shared" ca="1" si="1"/>
        <v>27</v>
      </c>
      <c r="E28" s="35">
        <f t="shared" ca="1" si="2"/>
        <v>27</v>
      </c>
      <c r="F28" s="35"/>
      <c r="G28" s="99">
        <f t="shared" ca="1" si="5"/>
        <v>2.8086227409211944E-2</v>
      </c>
      <c r="H28" s="99">
        <f t="shared" ca="1" si="5"/>
        <v>2.8279103162429427E-2</v>
      </c>
      <c r="I28" s="99">
        <f t="shared" ca="1" si="5"/>
        <v>2.6245000530917072E-2</v>
      </c>
      <c r="J28" s="99">
        <f t="shared" ca="1" si="5"/>
        <v>2.8497625197900178E-2</v>
      </c>
      <c r="K28" s="99">
        <f t="shared" ca="1" si="5"/>
        <v>2.9729423751839693E-2</v>
      </c>
      <c r="L28" s="99">
        <f t="shared" ca="1" si="5"/>
        <v>3.3692545688140743E-2</v>
      </c>
      <c r="M28" s="99">
        <f t="shared" ca="1" si="5"/>
        <v>3.6593479707252158E-2</v>
      </c>
      <c r="N28" s="99">
        <f t="shared" ca="1" si="5"/>
        <v>3.9540127671737549E-2</v>
      </c>
      <c r="O28" s="99">
        <f t="shared" ca="1" si="5"/>
        <v>2.6937877954920288E-2</v>
      </c>
      <c r="P28" s="99">
        <f t="shared" ca="1" si="5"/>
        <v>2.2080655466606532E-2</v>
      </c>
      <c r="Q28" s="99">
        <f t="shared" ca="1" si="5"/>
        <v>2.5822202399117353E-2</v>
      </c>
      <c r="R28" s="57"/>
      <c r="S28" s="57"/>
      <c r="T28" s="57"/>
    </row>
    <row r="29" spans="1:20" x14ac:dyDescent="0.2">
      <c r="A29" t="str">
        <f>IFERROR(INDEX('[2]2017 Data (WP)'!$C$9:$C$72,MATCH($B29,'[2]2017 Data (WP)'!$D$9:$D$72,0)),"")</f>
        <v>Electric Utility (West)</v>
      </c>
      <c r="B29" t="s">
        <v>15</v>
      </c>
      <c r="C29" t="s">
        <v>88</v>
      </c>
      <c r="D29" s="35">
        <f t="shared" ca="1" si="1"/>
        <v>28</v>
      </c>
      <c r="E29" s="35">
        <f t="shared" ca="1" si="2"/>
        <v>28</v>
      </c>
      <c r="F29" s="35"/>
      <c r="G29" s="99">
        <f t="shared" ca="1" si="5"/>
        <v>2.7472527472527472E-2</v>
      </c>
      <c r="H29" s="99">
        <f t="shared" ca="1" si="5"/>
        <v>3.1311312387453973E-2</v>
      </c>
      <c r="I29" s="99">
        <f t="shared" ca="1" si="5"/>
        <v>2.9712288249529446E-2</v>
      </c>
      <c r="J29" s="99">
        <f t="shared" ca="1" si="5"/>
        <v>2.9914407580225E-2</v>
      </c>
      <c r="K29" s="99">
        <f t="shared" ca="1" si="5"/>
        <v>2.9654539896056251E-2</v>
      </c>
      <c r="L29" s="99">
        <f t="shared" ca="1" si="5"/>
        <v>2.1129466000768343E-2</v>
      </c>
      <c r="M29" s="99">
        <f t="shared" ca="1" si="5"/>
        <v>0</v>
      </c>
      <c r="N29" s="99">
        <f t="shared" ca="1" si="5"/>
        <v>0</v>
      </c>
      <c r="O29" s="99">
        <f t="shared" ca="1" si="5"/>
        <v>0</v>
      </c>
      <c r="P29" s="99">
        <f t="shared" ca="1" si="5"/>
        <v>0</v>
      </c>
      <c r="Q29" s="99">
        <f t="shared" ca="1" si="5"/>
        <v>0</v>
      </c>
      <c r="R29" s="57"/>
      <c r="S29" s="57"/>
      <c r="T29" s="57"/>
    </row>
    <row r="30" spans="1:20" x14ac:dyDescent="0.2">
      <c r="A30" t="str">
        <f>IFERROR(INDEX('[2]2017 Data (WP)'!$C$9:$C$72,MATCH($B30,'[2]2017 Data (WP)'!$D$9:$D$72,0)),"")</f>
        <v/>
      </c>
      <c r="B30" t="s">
        <v>16</v>
      </c>
      <c r="C30" t="s">
        <v>102</v>
      </c>
      <c r="D30" s="35" t="e">
        <f t="shared" ca="1" si="1"/>
        <v>#N/A</v>
      </c>
      <c r="E30" s="35">
        <f t="shared" ca="1" si="2"/>
        <v>29</v>
      </c>
      <c r="F30" s="35"/>
      <c r="G30" s="99" t="str">
        <f t="shared" ca="1" si="5"/>
        <v>N/A</v>
      </c>
      <c r="H30" s="99" t="str">
        <f t="shared" ca="1" si="5"/>
        <v>N/A</v>
      </c>
      <c r="I30" s="99" t="str">
        <f t="shared" ca="1" si="5"/>
        <v>N/A</v>
      </c>
      <c r="J30" s="99" t="str">
        <f t="shared" ca="1" si="5"/>
        <v>N/A</v>
      </c>
      <c r="K30" s="99" t="str">
        <f t="shared" ca="1" si="5"/>
        <v>N/A</v>
      </c>
      <c r="L30" s="99" t="str">
        <f t="shared" ca="1" si="5"/>
        <v>N/A</v>
      </c>
      <c r="M30" s="99" t="str">
        <f t="shared" ca="1" si="5"/>
        <v>N/A</v>
      </c>
      <c r="N30" s="99" t="str">
        <f t="shared" ca="1" si="5"/>
        <v>N/A</v>
      </c>
      <c r="O30" s="99" t="str">
        <f t="shared" ca="1" si="5"/>
        <v>N/A</v>
      </c>
      <c r="P30" s="99" t="str">
        <f t="shared" ca="1" si="5"/>
        <v>N/A</v>
      </c>
      <c r="Q30" s="99" t="str">
        <f t="shared" ca="1" si="5"/>
        <v>N/A</v>
      </c>
      <c r="R30" s="57"/>
      <c r="S30" s="57"/>
      <c r="T30" s="57"/>
    </row>
    <row r="31" spans="1:20" x14ac:dyDescent="0.2">
      <c r="A31" t="str">
        <f>IFERROR(INDEX('[2]2017 Data (WP)'!$C$9:$C$72,MATCH($B31,'[2]2017 Data (WP)'!$D$9:$D$72,0)),"")</f>
        <v>Electric Util. (Central)</v>
      </c>
      <c r="B31" t="s">
        <v>17</v>
      </c>
      <c r="C31" t="s">
        <v>55</v>
      </c>
      <c r="D31" s="35">
        <f t="shared" ca="1" si="1"/>
        <v>29</v>
      </c>
      <c r="E31" s="35">
        <f t="shared" ca="1" si="2"/>
        <v>30</v>
      </c>
      <c r="F31" s="35"/>
      <c r="G31" s="99">
        <f t="shared" ca="1" si="5"/>
        <v>4.5513221457753883E-2</v>
      </c>
      <c r="H31" s="99">
        <f t="shared" ca="1" si="5"/>
        <v>4.5882272134075142E-2</v>
      </c>
      <c r="I31" s="99">
        <f t="shared" ca="1" si="5"/>
        <v>4.4653665097511772E-2</v>
      </c>
      <c r="J31" s="99">
        <f t="shared" ca="1" si="5"/>
        <v>5.0656087885260902E-2</v>
      </c>
      <c r="K31" s="99">
        <f t="shared" ca="1" si="5"/>
        <v>4.91356855316126E-2</v>
      </c>
      <c r="L31" s="99">
        <f t="shared" ca="1" si="5"/>
        <v>4.8525951152491337E-2</v>
      </c>
      <c r="M31" s="99">
        <f t="shared" ca="1" si="5"/>
        <v>4.2045159615883732E-2</v>
      </c>
      <c r="N31" s="99">
        <f t="shared" ca="1" si="5"/>
        <v>3.9745101416250449E-2</v>
      </c>
      <c r="O31" s="99">
        <f t="shared" ca="1" si="5"/>
        <v>2.9225808337148926E-2</v>
      </c>
      <c r="P31" s="99">
        <f t="shared" ca="1" si="5"/>
        <v>2.3867893982145335E-2</v>
      </c>
      <c r="Q31" s="99">
        <f t="shared" ca="1" si="5"/>
        <v>2.8227545379699692E-2</v>
      </c>
      <c r="R31" s="57"/>
      <c r="S31" s="57"/>
      <c r="T31" s="57"/>
    </row>
    <row r="32" spans="1:20" x14ac:dyDescent="0.2">
      <c r="A32" t="str">
        <f>IFERROR(INDEX('[2]2017 Data (WP)'!$C$9:$C$72,MATCH($B32,'[2]2017 Data (WP)'!$D$9:$D$72,0)),"")</f>
        <v>Electric Utility (East)</v>
      </c>
      <c r="B32" t="s">
        <v>211</v>
      </c>
      <c r="C32" t="s">
        <v>212</v>
      </c>
      <c r="D32" s="35">
        <f t="shared" ca="1" si="1"/>
        <v>30</v>
      </c>
      <c r="E32" s="35">
        <f t="shared" ca="1" si="2"/>
        <v>31</v>
      </c>
      <c r="F32" s="35"/>
      <c r="G32" s="99">
        <f t="shared" ca="1" si="5"/>
        <v>3.2172357077014838E-2</v>
      </c>
      <c r="H32" s="99">
        <f t="shared" ca="1" si="5"/>
        <v>3.3411359862353197E-2</v>
      </c>
      <c r="I32" s="99">
        <f t="shared" ca="1" si="5"/>
        <v>3.3958427962710619E-2</v>
      </c>
      <c r="J32" s="99">
        <f t="shared" ca="1" si="5"/>
        <v>3.4848161581679825E-2</v>
      </c>
      <c r="K32" s="99">
        <f t="shared" ca="1" si="5"/>
        <v>3.5175611575973993E-2</v>
      </c>
      <c r="L32" s="99">
        <f t="shared" ca="1" si="5"/>
        <v>3.2279836840097428E-2</v>
      </c>
      <c r="M32" s="99">
        <f t="shared" ca="1" si="5"/>
        <v>3.6361701372875942E-2</v>
      </c>
      <c r="N32" s="99">
        <f t="shared" ca="1" si="5"/>
        <v>4.1586412187007524E-2</v>
      </c>
      <c r="O32" s="99">
        <f t="shared" ca="1" si="5"/>
        <v>3.2464977176137257E-2</v>
      </c>
      <c r="P32" s="99">
        <f t="shared" ca="1" si="5"/>
        <v>2.6001476212843051E-2</v>
      </c>
      <c r="Q32" s="99">
        <f t="shared" ca="1" si="5"/>
        <v>3.2667958365250299E-2</v>
      </c>
      <c r="R32" s="57"/>
      <c r="S32" s="57"/>
      <c r="T32" s="57"/>
    </row>
    <row r="33" spans="1:20" x14ac:dyDescent="0.2">
      <c r="A33" t="str">
        <f>IFERROR(INDEX('[2]2017 Data (WP)'!$C$9:$C$72,MATCH($B33,'[2]2017 Data (WP)'!$D$9:$D$72,0)),"")</f>
        <v>Electric Utility (East)</v>
      </c>
      <c r="B33" t="s">
        <v>18</v>
      </c>
      <c r="C33" t="s">
        <v>69</v>
      </c>
      <c r="D33" s="35">
        <f t="shared" ca="1" si="1"/>
        <v>31</v>
      </c>
      <c r="E33" s="35">
        <f t="shared" ca="1" si="2"/>
        <v>32</v>
      </c>
      <c r="F33" s="35"/>
      <c r="G33" s="99">
        <f t="shared" ca="1" si="5"/>
        <v>3.7471004579789455E-2</v>
      </c>
      <c r="H33" s="99">
        <f t="shared" ca="1" si="5"/>
        <v>3.8819146604889956E-2</v>
      </c>
      <c r="I33" s="99">
        <f t="shared" ca="1" si="5"/>
        <v>3.6863071526250075E-2</v>
      </c>
      <c r="J33" s="99">
        <f t="shared" ca="1" si="5"/>
        <v>4.689010634869481E-2</v>
      </c>
      <c r="K33" s="99">
        <f t="shared" ca="1" si="5"/>
        <v>5.7330057330057325E-2</v>
      </c>
      <c r="L33" s="99">
        <f t="shared" ca="1" si="5"/>
        <v>4.9551675318546484E-2</v>
      </c>
      <c r="M33" s="99">
        <f t="shared" ca="1" si="5"/>
        <v>4.946646880079146E-2</v>
      </c>
      <c r="N33" s="99">
        <f t="shared" ca="1" si="5"/>
        <v>4.261017774531288E-2</v>
      </c>
      <c r="O33" s="99">
        <f t="shared" ca="1" si="5"/>
        <v>2.7820752924571826E-2</v>
      </c>
      <c r="P33" s="99">
        <f t="shared" ca="1" si="5"/>
        <v>2.4784159925919876E-2</v>
      </c>
      <c r="Q33" s="99">
        <f t="shared" ca="1" si="5"/>
        <v>2.8349178910976661E-2</v>
      </c>
      <c r="R33" s="57"/>
      <c r="S33" s="57"/>
      <c r="T33" s="57"/>
    </row>
    <row r="34" spans="1:20" x14ac:dyDescent="0.2">
      <c r="A34" t="str">
        <f>IFERROR(INDEX('[2]2017 Data (WP)'!$C$9:$C$72,MATCH($B34,'[2]2017 Data (WP)'!$D$9:$D$72,0)),"")</f>
        <v>Electric Utility (East)</v>
      </c>
      <c r="B34" t="s">
        <v>19</v>
      </c>
      <c r="C34" t="s">
        <v>66</v>
      </c>
      <c r="D34" s="35">
        <f t="shared" ca="1" si="1"/>
        <v>32</v>
      </c>
      <c r="E34" s="35">
        <f t="shared" ca="1" si="2"/>
        <v>33</v>
      </c>
      <c r="F34" s="35"/>
      <c r="G34" s="99">
        <f t="shared" ca="1" si="5"/>
        <v>4.3089260600257341E-2</v>
      </c>
      <c r="H34" s="99">
        <f t="shared" ca="1" si="5"/>
        <v>4.2296959906006751E-2</v>
      </c>
      <c r="I34" s="99">
        <f t="shared" ca="1" si="5"/>
        <v>4.2577097069867835E-2</v>
      </c>
      <c r="J34" s="99">
        <f t="shared" ca="1" si="5"/>
        <v>4.2556484060662335E-2</v>
      </c>
      <c r="K34" s="99">
        <f t="shared" ca="1" si="5"/>
        <v>4.8962877236713255E-2</v>
      </c>
      <c r="L34" s="99">
        <f t="shared" ca="1" si="5"/>
        <v>5.2263980614814465E-2</v>
      </c>
      <c r="M34" s="99">
        <f t="shared" ca="1" si="5"/>
        <v>5.7621791513881616E-2</v>
      </c>
      <c r="N34" s="99">
        <f t="shared" ca="1" si="5"/>
        <v>5.0878815911193344E-2</v>
      </c>
      <c r="O34" s="99">
        <f t="shared" ca="1" si="5"/>
        <v>3.2108351090224467E-2</v>
      </c>
      <c r="P34" s="99">
        <f t="shared" ca="1" si="5"/>
        <v>3.1165909056357081E-2</v>
      </c>
      <c r="Q34" s="99">
        <f t="shared" ca="1" si="5"/>
        <v>3.4036133495234946E-2</v>
      </c>
      <c r="R34" s="57"/>
      <c r="S34" s="57"/>
      <c r="T34" s="57"/>
    </row>
    <row r="35" spans="1:20" x14ac:dyDescent="0.2">
      <c r="A35" t="str">
        <f>IFERROR(INDEX('[2]2017 Data (WP)'!$C$9:$C$72,MATCH($B35,'[2]2017 Data (WP)'!$D$9:$D$72,0)),"")</f>
        <v>Electric Util. (Central)</v>
      </c>
      <c r="B35" t="s">
        <v>266</v>
      </c>
      <c r="C35" t="s">
        <v>265</v>
      </c>
      <c r="D35" s="35">
        <f t="shared" ca="1" si="1"/>
        <v>33</v>
      </c>
      <c r="E35" s="35">
        <f t="shared" ca="1" si="2"/>
        <v>34</v>
      </c>
      <c r="F35" s="35"/>
      <c r="G35" s="99">
        <f t="shared" ref="G35:Q44" ca="1" si="6">IFERROR(INDEX(Dividends,$D35,G$2)/INDEX(MarketPrice,$E35,G$2),"N/A")</f>
        <v>3.7963212422542802E-2</v>
      </c>
      <c r="H35" s="99">
        <f t="shared" ca="1" si="6"/>
        <v>3.7646439383967355E-2</v>
      </c>
      <c r="I35" s="99">
        <f t="shared" ca="1" si="6"/>
        <v>3.8788602118454425E-2</v>
      </c>
      <c r="J35" s="99">
        <f t="shared" ca="1" si="6"/>
        <v>3.8401277994531656E-2</v>
      </c>
      <c r="K35" s="99">
        <f t="shared" ca="1" si="6"/>
        <v>3.6443587735678573E-2</v>
      </c>
      <c r="L35" s="99">
        <f t="shared" ca="1" si="6"/>
        <v>3.5780910731215025E-2</v>
      </c>
      <c r="M35" s="99">
        <f t="shared" ca="1" si="6"/>
        <v>3.7955808594279522E-2</v>
      </c>
      <c r="N35" s="99">
        <f t="shared" ca="1" si="6"/>
        <v>4.2088223391339538E-2</v>
      </c>
      <c r="O35" s="99">
        <f t="shared" ca="1" si="6"/>
        <v>3.7632183042938319E-2</v>
      </c>
      <c r="P35" s="99">
        <f t="shared" ca="1" si="6"/>
        <v>3.0133764515654856E-2</v>
      </c>
      <c r="Q35" s="99">
        <f t="shared" ca="1" si="6"/>
        <v>2.7878333957475139E-2</v>
      </c>
      <c r="R35" s="57"/>
      <c r="S35" s="57"/>
      <c r="T35" s="57"/>
    </row>
    <row r="36" spans="1:20" x14ac:dyDescent="0.2">
      <c r="A36" t="str">
        <f>IFERROR(INDEX('[2]2017 Data (WP)'!$C$9:$C$72,MATCH($B36,'[2]2017 Data (WP)'!$D$9:$D$72,0)),"")</f>
        <v/>
      </c>
      <c r="B36" t="s">
        <v>57</v>
      </c>
      <c r="C36" t="s">
        <v>56</v>
      </c>
      <c r="D36" s="35" t="e">
        <f t="shared" ca="1" si="1"/>
        <v>#N/A</v>
      </c>
      <c r="E36" s="35" t="e">
        <f t="shared" ca="1" si="2"/>
        <v>#N/A</v>
      </c>
      <c r="F36" s="35"/>
      <c r="G36" s="99" t="str">
        <f t="shared" ca="1" si="6"/>
        <v>N/A</v>
      </c>
      <c r="H36" s="99" t="str">
        <f t="shared" ca="1" si="6"/>
        <v>N/A</v>
      </c>
      <c r="I36" s="99" t="str">
        <f t="shared" ca="1" si="6"/>
        <v>N/A</v>
      </c>
      <c r="J36" s="99" t="str">
        <f t="shared" ca="1" si="6"/>
        <v>N/A</v>
      </c>
      <c r="K36" s="99" t="str">
        <f t="shared" ca="1" si="6"/>
        <v>N/A</v>
      </c>
      <c r="L36" s="99" t="str">
        <f t="shared" ca="1" si="6"/>
        <v>N/A</v>
      </c>
      <c r="M36" s="99" t="str">
        <f t="shared" ca="1" si="6"/>
        <v>N/A</v>
      </c>
      <c r="N36" s="99" t="str">
        <f t="shared" ca="1" si="6"/>
        <v>N/A</v>
      </c>
      <c r="O36" s="99" t="str">
        <f t="shared" ca="1" si="6"/>
        <v>N/A</v>
      </c>
      <c r="P36" s="99" t="str">
        <f t="shared" ca="1" si="6"/>
        <v>N/A</v>
      </c>
      <c r="Q36" s="99" t="str">
        <f t="shared" ca="1" si="6"/>
        <v>N/A</v>
      </c>
      <c r="R36" s="57"/>
      <c r="S36" s="57"/>
      <c r="T36" s="57"/>
    </row>
    <row r="37" spans="1:20" x14ac:dyDescent="0.2">
      <c r="A37" t="str">
        <f>IFERROR(INDEX('[2]2017 Data (WP)'!$C$9:$C$72,MATCH($B37,'[2]2017 Data (WP)'!$D$9:$D$72,0)),"")</f>
        <v>Electric Util. (Central)</v>
      </c>
      <c r="B37" t="s">
        <v>20</v>
      </c>
      <c r="C37" t="s">
        <v>104</v>
      </c>
      <c r="D37" s="35">
        <f t="shared" ref="D37:D46" ca="1" si="7">MATCH(B37,OFFSET(Dividends,0,0,,1),0)</f>
        <v>35</v>
      </c>
      <c r="E37" s="35">
        <f t="shared" ref="E37:E46" ca="1" si="8">MATCH(B37,OFFSET(MarketPrice,0,0,,1),0)</f>
        <v>36</v>
      </c>
      <c r="F37" s="35"/>
      <c r="G37" s="99">
        <f t="shared" ca="1" si="6"/>
        <v>3.6443400462882997E-2</v>
      </c>
      <c r="H37" s="99">
        <f t="shared" ca="1" si="6"/>
        <v>3.7616373299159477E-2</v>
      </c>
      <c r="I37" s="99">
        <f t="shared" ca="1" si="6"/>
        <v>3.6159022352850186E-2</v>
      </c>
      <c r="J37" s="99">
        <f t="shared" ca="1" si="6"/>
        <v>3.8377860934644507E-2</v>
      </c>
      <c r="K37" s="99">
        <f t="shared" ca="1" si="6"/>
        <v>4.0770587954794713E-2</v>
      </c>
      <c r="L37" s="99">
        <f t="shared" ca="1" si="6"/>
        <v>4.1478317023496102E-2</v>
      </c>
      <c r="M37" s="99">
        <f t="shared" ca="1" si="6"/>
        <v>4.4852742502026477E-2</v>
      </c>
      <c r="N37" s="99">
        <f t="shared" ca="1" si="6"/>
        <v>5.0260385127770375E-2</v>
      </c>
      <c r="O37" s="99">
        <f t="shared" ca="1" si="6"/>
        <v>6.9648401443316271E-2</v>
      </c>
      <c r="P37" s="99">
        <f t="shared" ca="1" si="6"/>
        <v>5.4888734583209337E-2</v>
      </c>
      <c r="Q37" s="99">
        <f t="shared" ca="1" si="6"/>
        <v>5.5997841047092163E-2</v>
      </c>
      <c r="R37" s="57"/>
      <c r="S37" s="58"/>
      <c r="T37" s="58"/>
    </row>
    <row r="38" spans="1:20" x14ac:dyDescent="0.2">
      <c r="A38" t="str">
        <f>IFERROR(INDEX('[2]2017 Data (WP)'!$C$9:$C$72,MATCH($B38,'[2]2017 Data (WP)'!$D$9:$D$72,0)),"")</f>
        <v>Electric Utility (West)</v>
      </c>
      <c r="B38" t="s">
        <v>21</v>
      </c>
      <c r="C38" t="s">
        <v>58</v>
      </c>
      <c r="D38" s="35">
        <f t="shared" ca="1" si="7"/>
        <v>36</v>
      </c>
      <c r="E38" s="35">
        <f t="shared" ca="1" si="8"/>
        <v>37</v>
      </c>
      <c r="F38" s="35"/>
      <c r="G38" s="99">
        <f t="shared" ca="1" si="6"/>
        <v>3.9943306274964563E-2</v>
      </c>
      <c r="H38" s="99">
        <f t="shared" ca="1" si="6"/>
        <v>4.0517579401385444E-2</v>
      </c>
      <c r="I38" s="99">
        <f t="shared" ca="1" si="6"/>
        <v>4.7609905932040696E-2</v>
      </c>
      <c r="J38" s="99">
        <f t="shared" ca="1" si="6"/>
        <v>4.7211117456691411E-2</v>
      </c>
      <c r="K38" s="99">
        <f t="shared" ca="1" si="6"/>
        <v>4.6955468039987881E-2</v>
      </c>
      <c r="L38" s="99">
        <f t="shared" ca="1" si="6"/>
        <v>5.0388069405502049E-2</v>
      </c>
      <c r="M38" s="99">
        <f t="shared" ca="1" si="6"/>
        <v>5.513316437686186E-2</v>
      </c>
      <c r="N38" s="99">
        <f t="shared" ca="1" si="6"/>
        <v>6.886975840044432E-2</v>
      </c>
      <c r="O38" s="99">
        <f t="shared" ca="1" si="6"/>
        <v>5.0036316681462349E-2</v>
      </c>
      <c r="P38" s="99">
        <f t="shared" ca="1" si="6"/>
        <v>5.1781016411241491E-2</v>
      </c>
      <c r="Q38" s="99">
        <f t="shared" ca="1" si="6"/>
        <v>4.5861380279606477E-2</v>
      </c>
      <c r="R38" s="57"/>
      <c r="S38" s="57"/>
      <c r="T38" s="57"/>
    </row>
    <row r="39" spans="1:20" x14ac:dyDescent="0.2">
      <c r="A39" t="str">
        <f>IFERROR(INDEX('[2]2017 Data (WP)'!$C$9:$C$72,MATCH($B39,'[2]2017 Data (WP)'!$D$9:$D$72,0)),"")</f>
        <v>Electric Utility (West)</v>
      </c>
      <c r="B39" t="s">
        <v>22</v>
      </c>
      <c r="C39" t="s">
        <v>59</v>
      </c>
      <c r="D39" s="35">
        <f t="shared" ca="1" si="7"/>
        <v>37</v>
      </c>
      <c r="E39" s="35">
        <f t="shared" ca="1" si="8"/>
        <v>38</v>
      </c>
      <c r="F39" s="35"/>
      <c r="G39" s="99">
        <f t="shared" ca="1" si="6"/>
        <v>2.7697142400596553E-2</v>
      </c>
      <c r="H39" s="99">
        <f t="shared" ca="1" si="6"/>
        <v>3.0590784526161492E-2</v>
      </c>
      <c r="I39" s="99">
        <f t="shared" ca="1" si="6"/>
        <v>3.117306363910094E-2</v>
      </c>
      <c r="J39" s="99">
        <f t="shared" ca="1" si="6"/>
        <v>3.206895847376269E-2</v>
      </c>
      <c r="K39" s="99">
        <f t="shared" ca="1" si="6"/>
        <v>3.275944524151124E-2</v>
      </c>
      <c r="L39" s="99">
        <f t="shared" ca="1" si="6"/>
        <v>3.0961349914856284E-2</v>
      </c>
      <c r="M39" s="99">
        <f t="shared" ca="1" si="6"/>
        <v>3.4393809114359415E-2</v>
      </c>
      <c r="N39" s="99">
        <f t="shared" ca="1" si="6"/>
        <v>4.4574867204041455E-2</v>
      </c>
      <c r="O39" s="99">
        <f t="shared" ca="1" si="6"/>
        <v>3.9529597786342525E-2</v>
      </c>
      <c r="P39" s="99">
        <f t="shared" ca="1" si="6"/>
        <v>3.5460992907801414E-2</v>
      </c>
      <c r="Q39" s="99">
        <f t="shared" ca="1" si="6"/>
        <v>3.3884904275145421E-2</v>
      </c>
      <c r="R39" s="57"/>
      <c r="S39" s="57"/>
      <c r="T39" s="57"/>
    </row>
    <row r="40" spans="1:20" x14ac:dyDescent="0.2">
      <c r="A40" t="str">
        <f>IFERROR(INDEX('[2]2017 Data (WP)'!$C$9:$C$72,MATCH($B40,'[2]2017 Data (WP)'!$D$9:$D$72,0)),"")</f>
        <v/>
      </c>
      <c r="B40" t="s">
        <v>23</v>
      </c>
      <c r="C40" t="s">
        <v>85</v>
      </c>
      <c r="D40" s="35" t="e">
        <f t="shared" ca="1" si="7"/>
        <v>#N/A</v>
      </c>
      <c r="E40" s="35" t="e">
        <f t="shared" ca="1" si="8"/>
        <v>#N/A</v>
      </c>
      <c r="F40" s="35"/>
      <c r="G40" s="99" t="str">
        <f t="shared" ca="1" si="6"/>
        <v>N/A</v>
      </c>
      <c r="H40" s="99" t="str">
        <f t="shared" ca="1" si="6"/>
        <v>N/A</v>
      </c>
      <c r="I40" s="99" t="str">
        <f t="shared" ca="1" si="6"/>
        <v>N/A</v>
      </c>
      <c r="J40" s="99" t="str">
        <f t="shared" ca="1" si="6"/>
        <v>N/A</v>
      </c>
      <c r="K40" s="99" t="str">
        <f t="shared" ca="1" si="6"/>
        <v>N/A</v>
      </c>
      <c r="L40" s="99" t="str">
        <f t="shared" ca="1" si="6"/>
        <v>N/A</v>
      </c>
      <c r="M40" s="99" t="str">
        <f t="shared" ca="1" si="6"/>
        <v>N/A</v>
      </c>
      <c r="N40" s="99" t="str">
        <f t="shared" ca="1" si="6"/>
        <v>N/A</v>
      </c>
      <c r="O40" s="99" t="str">
        <f t="shared" ca="1" si="6"/>
        <v>N/A</v>
      </c>
      <c r="P40" s="99" t="str">
        <f t="shared" ca="1" si="6"/>
        <v>N/A</v>
      </c>
      <c r="Q40" s="99" t="str">
        <f t="shared" ca="1" si="6"/>
        <v>N/A</v>
      </c>
      <c r="R40" s="57"/>
      <c r="S40" s="57"/>
      <c r="T40" s="57"/>
    </row>
    <row r="41" spans="1:20" x14ac:dyDescent="0.2">
      <c r="A41" t="str">
        <f>IFERROR(INDEX('[2]2017 Data (WP)'!$C$9:$C$72,MATCH($B41,'[2]2017 Data (WP)'!$D$9:$D$72,0)),"")</f>
        <v/>
      </c>
      <c r="B41" t="s">
        <v>161</v>
      </c>
      <c r="C41" t="s">
        <v>160</v>
      </c>
      <c r="D41" s="35" t="e">
        <f t="shared" ca="1" si="7"/>
        <v>#N/A</v>
      </c>
      <c r="E41" s="35" t="e">
        <f t="shared" ca="1" si="8"/>
        <v>#N/A</v>
      </c>
      <c r="F41" s="35"/>
      <c r="G41" s="99" t="str">
        <f t="shared" ca="1" si="6"/>
        <v>N/A</v>
      </c>
      <c r="H41" s="99" t="str">
        <f t="shared" ca="1" si="6"/>
        <v>N/A</v>
      </c>
      <c r="I41" s="99" t="str">
        <f t="shared" ca="1" si="6"/>
        <v>N/A</v>
      </c>
      <c r="J41" s="99" t="str">
        <f t="shared" ca="1" si="6"/>
        <v>N/A</v>
      </c>
      <c r="K41" s="99" t="str">
        <f t="shared" ca="1" si="6"/>
        <v>N/A</v>
      </c>
      <c r="L41" s="99" t="str">
        <f t="shared" ca="1" si="6"/>
        <v>N/A</v>
      </c>
      <c r="M41" s="99" t="str">
        <f t="shared" ca="1" si="6"/>
        <v>N/A</v>
      </c>
      <c r="N41" s="99" t="str">
        <f t="shared" ca="1" si="6"/>
        <v>N/A</v>
      </c>
      <c r="O41" s="99" t="str">
        <f t="shared" ca="1" si="6"/>
        <v>N/A</v>
      </c>
      <c r="P41" s="99" t="str">
        <f t="shared" ca="1" si="6"/>
        <v>N/A</v>
      </c>
      <c r="Q41" s="99" t="str">
        <f t="shared" ca="1" si="6"/>
        <v>N/A</v>
      </c>
      <c r="R41" s="57"/>
      <c r="S41" s="57"/>
      <c r="T41" s="57"/>
    </row>
    <row r="42" spans="1:20" x14ac:dyDescent="0.2">
      <c r="A42" t="str">
        <f>IFERROR(INDEX('[2]2017 Data (WP)'!$C$9:$C$72,MATCH($B42,'[2]2017 Data (WP)'!$D$9:$D$72,0)),"")</f>
        <v/>
      </c>
      <c r="B42" t="s">
        <v>24</v>
      </c>
      <c r="C42" t="s">
        <v>60</v>
      </c>
      <c r="D42" s="35" t="e">
        <f t="shared" ca="1" si="7"/>
        <v>#N/A</v>
      </c>
      <c r="E42" s="35" t="e">
        <f t="shared" ca="1" si="8"/>
        <v>#N/A</v>
      </c>
      <c r="F42" s="35"/>
      <c r="G42" s="99" t="str">
        <f t="shared" ca="1" si="6"/>
        <v>N/A</v>
      </c>
      <c r="H42" s="99" t="str">
        <f t="shared" ca="1" si="6"/>
        <v>N/A</v>
      </c>
      <c r="I42" s="99" t="str">
        <f t="shared" ca="1" si="6"/>
        <v>N/A</v>
      </c>
      <c r="J42" s="99" t="str">
        <f t="shared" ca="1" si="6"/>
        <v>N/A</v>
      </c>
      <c r="K42" s="99" t="str">
        <f t="shared" ca="1" si="6"/>
        <v>N/A</v>
      </c>
      <c r="L42" s="99" t="str">
        <f t="shared" ca="1" si="6"/>
        <v>N/A</v>
      </c>
      <c r="M42" s="99" t="str">
        <f t="shared" ca="1" si="6"/>
        <v>N/A</v>
      </c>
      <c r="N42" s="99" t="str">
        <f t="shared" ca="1" si="6"/>
        <v>N/A</v>
      </c>
      <c r="O42" s="99" t="str">
        <f t="shared" ca="1" si="6"/>
        <v>N/A</v>
      </c>
      <c r="P42" s="99" t="str">
        <f t="shared" ca="1" si="6"/>
        <v>N/A</v>
      </c>
      <c r="Q42" s="99" t="str">
        <f t="shared" ca="1" si="6"/>
        <v>N/A</v>
      </c>
      <c r="R42" s="57"/>
      <c r="S42" s="57"/>
      <c r="T42" s="57"/>
    </row>
    <row r="43" spans="1:20" x14ac:dyDescent="0.2">
      <c r="A43" t="str">
        <f>IFERROR(INDEX('[2]2017 Data (WP)'!$C$9:$C$72,MATCH($B43,'[2]2017 Data (WP)'!$D$9:$D$72,0)),"")</f>
        <v>Electric Util. (Central)</v>
      </c>
      <c r="B43" t="s">
        <v>25</v>
      </c>
      <c r="C43" t="s">
        <v>61</v>
      </c>
      <c r="D43" s="35">
        <f t="shared" ca="1" si="7"/>
        <v>38</v>
      </c>
      <c r="E43" s="35">
        <f t="shared" ca="1" si="8"/>
        <v>39</v>
      </c>
      <c r="F43" s="35"/>
      <c r="G43" s="99">
        <f t="shared" ca="1" si="6"/>
        <v>2.2287714127832012E-2</v>
      </c>
      <c r="H43" s="99">
        <f t="shared" ca="1" si="6"/>
        <v>2.7767803710353083E-2</v>
      </c>
      <c r="I43" s="99">
        <f t="shared" ca="1" si="6"/>
        <v>2.7831406865080361E-2</v>
      </c>
      <c r="J43" s="99">
        <f t="shared" ca="1" si="6"/>
        <v>2.9114854017577758E-2</v>
      </c>
      <c r="K43" s="99">
        <f t="shared" ca="1" si="6"/>
        <v>3.2450310462104906E-2</v>
      </c>
      <c r="L43" s="99">
        <f t="shared" ca="1" si="6"/>
        <v>3.6302919314876655E-2</v>
      </c>
      <c r="M43" s="99">
        <f t="shared" ca="1" si="6"/>
        <v>3.9772499699603475E-2</v>
      </c>
      <c r="N43" s="99">
        <f t="shared" ca="1" si="6"/>
        <v>4.363228699551569E-2</v>
      </c>
      <c r="O43" s="99">
        <f t="shared" ca="1" si="6"/>
        <v>4.2360864941510097E-2</v>
      </c>
      <c r="P43" s="99">
        <f t="shared" ca="1" si="6"/>
        <v>4.1398749229278602E-2</v>
      </c>
      <c r="Q43" s="99">
        <f t="shared" ca="1" si="6"/>
        <v>4.2519034950921936E-2</v>
      </c>
      <c r="R43" s="57"/>
      <c r="S43" s="57"/>
      <c r="T43" s="57"/>
    </row>
    <row r="44" spans="1:20" x14ac:dyDescent="0.2">
      <c r="A44" t="str">
        <f>IFERROR(INDEX('[2]2017 Data (WP)'!$C$9:$C$72,MATCH($B44,'[2]2017 Data (WP)'!$D$9:$D$72,0)),"")</f>
        <v>Water Utility</v>
      </c>
      <c r="B44" s="31" t="s">
        <v>188</v>
      </c>
      <c r="C44" s="31" t="s">
        <v>187</v>
      </c>
      <c r="D44" s="35">
        <f t="shared" ca="1" si="7"/>
        <v>39</v>
      </c>
      <c r="E44" s="35">
        <f t="shared" ca="1" si="8"/>
        <v>40</v>
      </c>
      <c r="F44" s="35"/>
      <c r="G44" s="99">
        <f t="shared" ca="1" si="6"/>
        <v>2.283130827917491E-2</v>
      </c>
      <c r="H44" s="99">
        <f t="shared" ca="1" si="6"/>
        <v>3.3284721626490522E-2</v>
      </c>
      <c r="I44" s="99">
        <f t="shared" ca="1" si="6"/>
        <v>3.652465294399234E-2</v>
      </c>
      <c r="J44" s="99">
        <f t="shared" ca="1" si="6"/>
        <v>3.7102734663710273E-2</v>
      </c>
      <c r="K44" s="99">
        <f t="shared" ca="1" si="6"/>
        <v>3.9635122159394007E-2</v>
      </c>
      <c r="L44" s="99">
        <f t="shared" ca="1" si="6"/>
        <v>4.0164383561643834E-2</v>
      </c>
      <c r="M44" s="99">
        <f t="shared" ca="1" si="6"/>
        <v>4.2288120722933843E-2</v>
      </c>
      <c r="N44" s="99">
        <f t="shared" ca="1" si="6"/>
        <v>4.711868887126619E-2</v>
      </c>
      <c r="O44" s="99">
        <f t="shared" ca="1" si="6"/>
        <v>3.9895579138527891E-2</v>
      </c>
      <c r="P44" s="99">
        <f t="shared" ca="1" si="6"/>
        <v>3.6897029070386535E-2</v>
      </c>
      <c r="Q44" s="99">
        <f t="shared" ca="1" si="6"/>
        <v>3.6663266949379998E-2</v>
      </c>
      <c r="R44" s="58"/>
      <c r="S44" s="58"/>
      <c r="T44" s="58"/>
    </row>
    <row r="45" spans="1:20" x14ac:dyDescent="0.2">
      <c r="A45" t="str">
        <f>IFERROR(INDEX('[2]2017 Data (WP)'!$C$9:$C$72,MATCH($B45,'[2]2017 Data (WP)'!$D$9:$D$72,0)),"")</f>
        <v>Natural Gas Utility</v>
      </c>
      <c r="B45" s="31" t="s">
        <v>190</v>
      </c>
      <c r="C45" s="31" t="s">
        <v>189</v>
      </c>
      <c r="D45" s="35">
        <f t="shared" ca="1" si="7"/>
        <v>40</v>
      </c>
      <c r="E45" s="35">
        <f t="shared" ca="1" si="8"/>
        <v>41</v>
      </c>
      <c r="F45" s="35"/>
      <c r="G45" s="99">
        <f t="shared" ref="G45:Q53" ca="1" si="9">IFERROR(INDEX(Dividends,$D45,G$2)/INDEX(MarketPrice,$E45,G$2),"N/A")</f>
        <v>2.8644082658638527E-2</v>
      </c>
      <c r="H45" s="99">
        <f t="shared" ca="1" si="9"/>
        <v>3.1449731155523991E-2</v>
      </c>
      <c r="I45" s="99">
        <f t="shared" ca="1" si="9"/>
        <v>3.50366758185469E-2</v>
      </c>
      <c r="J45" s="99">
        <f t="shared" ca="1" si="9"/>
        <v>3.7127011046431686E-2</v>
      </c>
      <c r="K45" s="99">
        <f t="shared" ca="1" si="9"/>
        <v>3.3767486734201636E-2</v>
      </c>
      <c r="L45" s="99">
        <f t="shared" ca="1" si="9"/>
        <v>3.3311742389192191E-2</v>
      </c>
      <c r="M45" s="99">
        <f t="shared" ca="1" si="9"/>
        <v>3.689636462289745E-2</v>
      </c>
      <c r="N45" s="99">
        <f t="shared" ca="1" si="9"/>
        <v>3.461753210496929E-2</v>
      </c>
      <c r="O45" s="99">
        <f t="shared" ca="1" si="9"/>
        <v>3.3494266747133378E-2</v>
      </c>
      <c r="P45" s="99">
        <f t="shared" ca="1" si="9"/>
        <v>3.0192949023344448E-2</v>
      </c>
      <c r="Q45" s="99">
        <f t="shared" ca="1" si="9"/>
        <v>3.1904287138584245E-2</v>
      </c>
      <c r="R45" s="57"/>
      <c r="S45" s="57"/>
      <c r="T45" s="57"/>
    </row>
    <row r="46" spans="1:20" x14ac:dyDescent="0.2">
      <c r="A46" t="str">
        <f>IFERROR(INDEX('[2]2017 Data (WP)'!$C$9:$C$72,MATCH($B46,'[2]2017 Data (WP)'!$D$9:$D$72,0)),"")</f>
        <v>Electric Utility (East)</v>
      </c>
      <c r="B46" t="s">
        <v>141</v>
      </c>
      <c r="C46" t="s">
        <v>209</v>
      </c>
      <c r="D46" s="35">
        <f t="shared" ca="1" si="7"/>
        <v>41</v>
      </c>
      <c r="E46" s="35">
        <f t="shared" ca="1" si="8"/>
        <v>42</v>
      </c>
      <c r="F46" s="35"/>
      <c r="G46" s="99">
        <f t="shared" ca="1" si="9"/>
        <v>2.9069767441860465E-2</v>
      </c>
      <c r="H46" s="99">
        <f t="shared" ca="1" si="9"/>
        <v>3.0084000781402619E-2</v>
      </c>
      <c r="I46" s="99">
        <f t="shared" ca="1" si="9"/>
        <v>3.0012936610608019E-2</v>
      </c>
      <c r="J46" s="99">
        <f t="shared" ca="1" si="9"/>
        <v>3.2983920338834821E-2</v>
      </c>
      <c r="K46" s="99">
        <f t="shared" ca="1" si="9"/>
        <v>3.6464743151465431E-2</v>
      </c>
      <c r="L46" s="99">
        <f t="shared" ca="1" si="9"/>
        <v>3.9566922053163561E-2</v>
      </c>
      <c r="M46" s="99">
        <f t="shared" ca="1" si="9"/>
        <v>3.8965846435599201E-2</v>
      </c>
      <c r="N46" s="99">
        <f t="shared" ca="1" si="9"/>
        <v>3.548629365377394E-2</v>
      </c>
      <c r="O46" s="99">
        <f t="shared" ca="1" si="9"/>
        <v>3.0198666508321599E-2</v>
      </c>
      <c r="P46" s="99">
        <f t="shared" ca="1" si="9"/>
        <v>2.6540223002605473E-2</v>
      </c>
      <c r="Q46" s="99">
        <f t="shared" ca="1" si="9"/>
        <v>3.4015919450302738E-2</v>
      </c>
      <c r="R46" s="57"/>
      <c r="S46" s="57"/>
      <c r="T46" s="57"/>
    </row>
    <row r="47" spans="1:20" x14ac:dyDescent="0.2">
      <c r="A47" t="str">
        <f>IFERROR(INDEX('[2]2017 Data (WP)'!$C$9:$C$72,MATCH($B47,'[2]2017 Data (WP)'!$D$9:$D$72,0)),"")</f>
        <v>Natural Gas Utility</v>
      </c>
      <c r="B47" t="s">
        <v>26</v>
      </c>
      <c r="C47" t="s">
        <v>62</v>
      </c>
      <c r="D47" s="35">
        <f t="shared" ref="D47:D78" ca="1" si="10">MATCH(B47,OFFSET(Dividends,0,0,,1),0)</f>
        <v>42</v>
      </c>
      <c r="E47" s="35">
        <f t="shared" ref="E47:E78" ca="1" si="11">MATCH(B47,OFFSET(MarketPrice,0,0,,1),0)</f>
        <v>43</v>
      </c>
      <c r="F47" s="35"/>
      <c r="G47" s="99">
        <f t="shared" ca="1" si="9"/>
        <v>2.7606435750334297E-2</v>
      </c>
      <c r="H47" s="99">
        <f t="shared" ca="1" si="9"/>
        <v>3.5283115116476783E-2</v>
      </c>
      <c r="I47" s="99">
        <f t="shared" ca="1" si="9"/>
        <v>2.6856947260328078E-2</v>
      </c>
      <c r="J47" s="99">
        <f t="shared" ca="1" si="9"/>
        <v>3.304670375990558E-2</v>
      </c>
      <c r="K47" s="99">
        <f t="shared" ca="1" si="9"/>
        <v>3.8395555918634097E-2</v>
      </c>
      <c r="L47" s="99">
        <f t="shared" ca="1" si="9"/>
        <v>4.525109438788058E-2</v>
      </c>
      <c r="M47" s="99">
        <f t="shared" ca="1" si="9"/>
        <v>5.6625838616359947E-2</v>
      </c>
      <c r="N47" s="99">
        <f t="shared" ca="1" si="9"/>
        <v>7.6405614151648538E-2</v>
      </c>
      <c r="O47" s="99">
        <f t="shared" ca="1" si="9"/>
        <v>5.6906043174367538E-2</v>
      </c>
      <c r="P47" s="99">
        <f t="shared" ca="1" si="9"/>
        <v>4.2890442890442894E-2</v>
      </c>
      <c r="Q47" s="99">
        <f t="shared" ca="1" si="9"/>
        <v>4.2120684918963466E-2</v>
      </c>
      <c r="R47" s="57"/>
      <c r="S47" s="57"/>
      <c r="T47" s="57"/>
    </row>
    <row r="48" spans="1:20" x14ac:dyDescent="0.2">
      <c r="A48" t="str">
        <f>IFERROR(INDEX('[2]2017 Data (WP)'!$C$9:$C$72,MATCH($B48,'[2]2017 Data (WP)'!$D$9:$D$72,0)),"")</f>
        <v>Natural Gas Utility</v>
      </c>
      <c r="B48" s="31" t="s">
        <v>192</v>
      </c>
      <c r="C48" s="31" t="s">
        <v>191</v>
      </c>
      <c r="D48" s="35">
        <f t="shared" ca="1" si="10"/>
        <v>43</v>
      </c>
      <c r="E48" s="35">
        <f t="shared" ca="1" si="11"/>
        <v>44</v>
      </c>
      <c r="F48" s="35"/>
      <c r="G48" s="99">
        <f t="shared" ca="1" si="9"/>
        <v>3.2763333099726684E-2</v>
      </c>
      <c r="H48" s="99">
        <f t="shared" ca="1" si="9"/>
        <v>4.0055129640795939E-2</v>
      </c>
      <c r="I48" s="99">
        <f t="shared" ca="1" si="9"/>
        <v>4.1395359244590632E-2</v>
      </c>
      <c r="J48" s="99">
        <f t="shared" ca="1" si="9"/>
        <v>4.2156185210780933E-2</v>
      </c>
      <c r="K48" s="99">
        <f t="shared" ca="1" si="9"/>
        <v>3.8256855243753871E-2</v>
      </c>
      <c r="L48" s="99">
        <f t="shared" ca="1" si="9"/>
        <v>3.8500462005544064E-2</v>
      </c>
      <c r="M48" s="99">
        <f t="shared" ca="1" si="9"/>
        <v>3.6260036260036259E-2</v>
      </c>
      <c r="N48" s="99">
        <f t="shared" ca="1" si="9"/>
        <v>3.7261294829995344E-2</v>
      </c>
      <c r="O48" s="99">
        <f t="shared" ca="1" si="9"/>
        <v>3.2721245129485717E-2</v>
      </c>
      <c r="P48" s="99">
        <f t="shared" ca="1" si="9"/>
        <v>3.1170180527295553E-2</v>
      </c>
      <c r="Q48" s="99">
        <f t="shared" ca="1" si="9"/>
        <v>3.7317439862542955E-2</v>
      </c>
      <c r="R48" s="57"/>
      <c r="S48" s="57"/>
      <c r="T48" s="57"/>
    </row>
    <row r="49" spans="1:20" x14ac:dyDescent="0.2">
      <c r="A49" t="str">
        <f>IFERROR(INDEX('[2]2017 Data (WP)'!$C$9:$C$72,MATCH($B49,'[2]2017 Data (WP)'!$D$9:$D$72,0)),"")</f>
        <v>Electric Utility (West)</v>
      </c>
      <c r="B49" t="str">
        <f>"NWE"</f>
        <v>NWE</v>
      </c>
      <c r="C49" t="s">
        <v>94</v>
      </c>
      <c r="D49" s="35">
        <f t="shared" ca="1" si="10"/>
        <v>44</v>
      </c>
      <c r="E49" s="35">
        <f t="shared" ca="1" si="11"/>
        <v>45</v>
      </c>
      <c r="F49" s="35"/>
      <c r="G49" s="99">
        <f t="shared" ca="1" si="9"/>
        <v>3.4328281354593981E-2</v>
      </c>
      <c r="H49" s="99">
        <f t="shared" ca="1" si="9"/>
        <v>3.605701515521418E-2</v>
      </c>
      <c r="I49" s="99">
        <f t="shared" ca="1" si="9"/>
        <v>3.2959789057350038E-2</v>
      </c>
      <c r="J49" s="99">
        <f t="shared" ca="1" si="9"/>
        <v>3.6648583484026519E-2</v>
      </c>
      <c r="K49" s="99">
        <f t="shared" ca="1" si="9"/>
        <v>4.1665493651642689E-2</v>
      </c>
      <c r="L49" s="99">
        <f t="shared" ca="1" si="9"/>
        <v>4.5091592296852979E-2</v>
      </c>
      <c r="M49" s="99">
        <f t="shared" ca="1" si="9"/>
        <v>4.9282504710827658E-2</v>
      </c>
      <c r="N49" s="99">
        <f t="shared" ca="1" si="9"/>
        <v>5.749345690136011E-2</v>
      </c>
      <c r="O49" s="99">
        <f t="shared" ca="1" si="9"/>
        <v>5.3783156093387123E-2</v>
      </c>
      <c r="P49" s="99">
        <f t="shared" ca="1" si="9"/>
        <v>4.0897181928557735E-2</v>
      </c>
      <c r="Q49" s="99">
        <f t="shared" ca="1" si="9"/>
        <v>3.6472733690217071E-2</v>
      </c>
      <c r="R49" s="57"/>
      <c r="S49" s="57"/>
      <c r="T49" s="57"/>
    </row>
    <row r="50" spans="1:20" x14ac:dyDescent="0.2">
      <c r="A50" t="str">
        <f>IFERROR(INDEX('[2]2017 Data (WP)'!$C$9:$C$72,MATCH($B50,'[2]2017 Data (WP)'!$D$9:$D$72,0)),"")</f>
        <v>Electric Util. (Central)</v>
      </c>
      <c r="B50" t="s">
        <v>27</v>
      </c>
      <c r="C50" t="s">
        <v>67</v>
      </c>
      <c r="D50" s="35">
        <f t="shared" ca="1" si="10"/>
        <v>45</v>
      </c>
      <c r="E50" s="35">
        <f t="shared" ca="1" si="11"/>
        <v>46</v>
      </c>
      <c r="F50" s="35"/>
      <c r="G50" s="99">
        <f t="shared" ca="1" si="9"/>
        <v>3.8654618473895584E-2</v>
      </c>
      <c r="H50" s="99">
        <f t="shared" ca="1" si="9"/>
        <v>3.5122930255895635E-2</v>
      </c>
      <c r="I50" s="99">
        <f t="shared" ca="1" si="9"/>
        <v>2.6267765304429577E-2</v>
      </c>
      <c r="J50" s="99">
        <f t="shared" ca="1" si="9"/>
        <v>2.4793147651788836E-2</v>
      </c>
      <c r="K50" s="99">
        <f t="shared" ca="1" si="9"/>
        <v>2.9415017140329538E-2</v>
      </c>
      <c r="L50" s="99">
        <f t="shared" ca="1" si="9"/>
        <v>3.0627068033249941E-2</v>
      </c>
      <c r="M50" s="99">
        <f t="shared" ca="1" si="9"/>
        <v>3.6776527331189711E-2</v>
      </c>
      <c r="N50" s="99">
        <f t="shared" ca="1" si="9"/>
        <v>4.9552363106391835E-2</v>
      </c>
      <c r="O50" s="99">
        <f t="shared" ca="1" si="9"/>
        <v>4.52485758674262E-2</v>
      </c>
      <c r="P50" s="99">
        <f t="shared" ca="1" si="9"/>
        <v>3.768387416671258E-2</v>
      </c>
      <c r="Q50" s="99">
        <f t="shared" ca="1" si="9"/>
        <v>3.9935530085959889E-2</v>
      </c>
      <c r="R50" s="57"/>
      <c r="S50" s="57"/>
      <c r="T50" s="57"/>
    </row>
    <row r="51" spans="1:20" x14ac:dyDescent="0.2">
      <c r="A51" t="str">
        <f>IFERROR(INDEX('[2]2017 Data (WP)'!$C$9:$C$72,MATCH($B51,'[2]2017 Data (WP)'!$D$9:$D$72,0)),"")</f>
        <v>Natural Gas Utility</v>
      </c>
      <c r="B51" t="s">
        <v>346</v>
      </c>
      <c r="C51" t="s">
        <v>349</v>
      </c>
      <c r="D51" s="35">
        <f t="shared" ca="1" si="10"/>
        <v>46</v>
      </c>
      <c r="E51" s="35">
        <f t="shared" ca="1" si="11"/>
        <v>47</v>
      </c>
      <c r="F51" s="35"/>
      <c r="G51" s="99">
        <f t="shared" ca="1" si="9"/>
        <v>2.3233815158404832E-2</v>
      </c>
      <c r="H51" s="99">
        <f t="shared" ca="1" si="9"/>
        <v>2.7069704489059328E-2</v>
      </c>
      <c r="I51" s="99">
        <f t="shared" ca="1" si="9"/>
        <v>2.2762993875670694E-2</v>
      </c>
      <c r="J51" s="99" t="str">
        <f t="shared" ca="1" si="9"/>
        <v>N/A</v>
      </c>
      <c r="K51" s="99" t="str">
        <f t="shared" ca="1" si="9"/>
        <v>N/A</v>
      </c>
      <c r="L51" s="99" t="str">
        <f t="shared" ca="1" si="9"/>
        <v>N/A</v>
      </c>
      <c r="M51" s="99" t="str">
        <f t="shared" ca="1" si="9"/>
        <v>N/A</v>
      </c>
      <c r="N51" s="99" t="str">
        <f t="shared" ca="1" si="9"/>
        <v>N/A</v>
      </c>
      <c r="O51" s="99" t="str">
        <f t="shared" ca="1" si="9"/>
        <v>N/A</v>
      </c>
      <c r="P51" s="99" t="str">
        <f t="shared" ca="1" si="9"/>
        <v>N/A</v>
      </c>
      <c r="Q51" s="99" t="str">
        <f t="shared" ca="1" si="9"/>
        <v>N/A</v>
      </c>
      <c r="R51" s="57"/>
      <c r="S51" s="57"/>
      <c r="T51" s="57"/>
    </row>
    <row r="52" spans="1:20" x14ac:dyDescent="0.2">
      <c r="A52" t="str">
        <f>IFERROR(INDEX('[2]2017 Data (WP)'!$C$9:$C$72,MATCH($B52,'[2]2017 Data (WP)'!$D$9:$D$72,0)),"")</f>
        <v>Electric Util. (Central)</v>
      </c>
      <c r="B52" t="s">
        <v>28</v>
      </c>
      <c r="C52" t="s">
        <v>68</v>
      </c>
      <c r="D52" s="35">
        <f t="shared" ca="1" si="10"/>
        <v>47</v>
      </c>
      <c r="E52" s="35">
        <f t="shared" ca="1" si="11"/>
        <v>48</v>
      </c>
      <c r="F52" s="35"/>
      <c r="G52" s="99">
        <f t="shared" ca="1" si="9"/>
        <v>3.8688910210777187E-2</v>
      </c>
      <c r="H52" s="99">
        <f t="shared" ca="1" si="9"/>
        <v>4.3325114476928495E-2</v>
      </c>
      <c r="I52" s="99">
        <f t="shared" ca="1" si="9"/>
        <v>4.1439775334771736E-2</v>
      </c>
      <c r="J52" s="99">
        <f t="shared" ca="1" si="9"/>
        <v>4.1128084606345469E-2</v>
      </c>
      <c r="K52" s="99">
        <f t="shared" ca="1" si="9"/>
        <v>5.2108420545605813E-2</v>
      </c>
      <c r="L52" s="99">
        <f t="shared" ca="1" si="9"/>
        <v>5.569335891795759E-2</v>
      </c>
      <c r="M52" s="99">
        <f t="shared" ca="1" si="9"/>
        <v>5.6837178201270475E-2</v>
      </c>
      <c r="N52" s="99">
        <f t="shared" ca="1" si="9"/>
        <v>5.3790173122994167E-2</v>
      </c>
      <c r="O52" s="99">
        <f t="shared" ca="1" si="9"/>
        <v>3.6323677543420523E-2</v>
      </c>
      <c r="P52" s="99">
        <f t="shared" ca="1" si="9"/>
        <v>3.4559149313247675E-2</v>
      </c>
      <c r="Q52" s="99">
        <f t="shared" ca="1" si="9"/>
        <v>3.9223711586343322E-2</v>
      </c>
      <c r="R52" s="57"/>
      <c r="S52" s="57"/>
      <c r="T52" s="57"/>
    </row>
    <row r="53" spans="1:20" x14ac:dyDescent="0.2">
      <c r="A53" t="str">
        <f>IFERROR(INDEX('[2]2017 Data (WP)'!$C$9:$C$72,MATCH($B53,'[2]2017 Data (WP)'!$D$9:$D$72,0)),"")</f>
        <v/>
      </c>
      <c r="B53" t="s">
        <v>29</v>
      </c>
      <c r="C53" t="s">
        <v>73</v>
      </c>
      <c r="D53" s="35" t="e">
        <f t="shared" ca="1" si="10"/>
        <v>#N/A</v>
      </c>
      <c r="E53" s="35" t="e">
        <f t="shared" ca="1" si="11"/>
        <v>#N/A</v>
      </c>
      <c r="F53" s="35"/>
      <c r="G53" s="99" t="str">
        <f t="shared" ca="1" si="9"/>
        <v>N/A</v>
      </c>
      <c r="H53" s="99" t="str">
        <f t="shared" ca="1" si="9"/>
        <v>N/A</v>
      </c>
      <c r="I53" s="99" t="str">
        <f t="shared" ca="1" si="9"/>
        <v>N/A</v>
      </c>
      <c r="J53" s="99" t="str">
        <f t="shared" ca="1" si="9"/>
        <v>N/A</v>
      </c>
      <c r="K53" s="99" t="str">
        <f t="shared" ca="1" si="9"/>
        <v>N/A</v>
      </c>
      <c r="L53" s="99" t="str">
        <f t="shared" ca="1" si="9"/>
        <v>N/A</v>
      </c>
      <c r="M53" s="99" t="str">
        <f t="shared" ca="1" si="9"/>
        <v>N/A</v>
      </c>
      <c r="N53" s="99" t="str">
        <f t="shared" ca="1" si="9"/>
        <v>N/A</v>
      </c>
      <c r="O53" s="99" t="str">
        <f t="shared" ca="1" si="9"/>
        <v>N/A</v>
      </c>
      <c r="P53" s="99" t="str">
        <f t="shared" ca="1" si="9"/>
        <v>N/A</v>
      </c>
      <c r="Q53" s="99" t="str">
        <f t="shared" ca="1" si="9"/>
        <v>N/A</v>
      </c>
      <c r="R53" s="57"/>
      <c r="S53" s="57"/>
      <c r="T53" s="57"/>
    </row>
    <row r="54" spans="1:20" x14ac:dyDescent="0.2">
      <c r="A54" t="str">
        <f>IFERROR(INDEX('[2]2017 Data (WP)'!$C$9:$C$72,MATCH($B54,'[2]2017 Data (WP)'!$D$9:$D$72,0)),"")</f>
        <v>Electric Utility (West)</v>
      </c>
      <c r="B54" t="s">
        <v>30</v>
      </c>
      <c r="C54" t="s">
        <v>71</v>
      </c>
      <c r="D54" s="35">
        <f t="shared" ca="1" si="10"/>
        <v>48</v>
      </c>
      <c r="E54" s="35">
        <f t="shared" ca="1" si="11"/>
        <v>49</v>
      </c>
      <c r="F54" s="35"/>
      <c r="G54" s="99">
        <f t="shared" ref="G54:Q63" ca="1" si="12">IFERROR(INDEX(Dividends,$D54,G$2)/INDEX(MarketPrice,$E54,G$2),"N/A")</f>
        <v>3.2197096407305816E-2</v>
      </c>
      <c r="H54" s="99">
        <f t="shared" ca="1" si="12"/>
        <v>3.4471655586491658E-2</v>
      </c>
      <c r="I54" s="99">
        <f t="shared" ca="1" si="12"/>
        <v>3.964364285869873E-2</v>
      </c>
      <c r="J54" s="99">
        <f t="shared" ca="1" si="12"/>
        <v>4.2023597866494268E-2</v>
      </c>
      <c r="K54" s="99">
        <f t="shared" ca="1" si="12"/>
        <v>4.2470772174643547E-2</v>
      </c>
      <c r="L54" s="99">
        <f t="shared" ca="1" si="12"/>
        <v>4.2352174621273823E-2</v>
      </c>
      <c r="M54" s="99">
        <f t="shared" ca="1" si="12"/>
        <v>4.0839223605968811E-2</v>
      </c>
      <c r="N54" s="99">
        <f t="shared" ca="1" si="12"/>
        <v>4.2619041578934015E-2</v>
      </c>
      <c r="O54" s="99">
        <f t="shared" ca="1" si="12"/>
        <v>4.009149083806636E-2</v>
      </c>
      <c r="P54" s="99">
        <f t="shared" ca="1" si="12"/>
        <v>3.0745580322828592E-2</v>
      </c>
      <c r="Q54" s="99">
        <f t="shared" ca="1" si="12"/>
        <v>3.2223415682062301E-2</v>
      </c>
      <c r="R54" s="57"/>
      <c r="S54" s="57"/>
      <c r="T54" s="57"/>
    </row>
    <row r="55" spans="1:20" x14ac:dyDescent="0.2">
      <c r="A55" t="str">
        <f>IFERROR(INDEX('[2]2017 Data (WP)'!$C$9:$C$72,MATCH($B55,'[2]2017 Data (WP)'!$D$9:$D$72,0)),"")</f>
        <v>Electric Utility (West)</v>
      </c>
      <c r="B55" t="s">
        <v>31</v>
      </c>
      <c r="C55" t="s">
        <v>72</v>
      </c>
      <c r="D55" s="35">
        <f t="shared" ca="1" si="10"/>
        <v>49</v>
      </c>
      <c r="E55" s="35">
        <f t="shared" ca="1" si="11"/>
        <v>50</v>
      </c>
      <c r="F55" s="35"/>
      <c r="G55" s="99">
        <f t="shared" ca="1" si="12"/>
        <v>3.4578240021611403E-2</v>
      </c>
      <c r="H55" s="99">
        <f t="shared" ca="1" si="12"/>
        <v>3.8816417435571113E-2</v>
      </c>
      <c r="I55" s="99">
        <f t="shared" ca="1" si="12"/>
        <v>4.088127725418484E-2</v>
      </c>
      <c r="J55" s="99">
        <f t="shared" ca="1" si="12"/>
        <v>3.9817465998568363E-2</v>
      </c>
      <c r="K55" s="99">
        <f t="shared" ca="1" si="12"/>
        <v>5.3176658036247756E-2</v>
      </c>
      <c r="L55" s="99">
        <f t="shared" ca="1" si="12"/>
        <v>4.8092337287592185E-2</v>
      </c>
      <c r="M55" s="99">
        <f t="shared" ca="1" si="12"/>
        <v>5.4264968087030678E-2</v>
      </c>
      <c r="N55" s="99">
        <f t="shared" ca="1" si="12"/>
        <v>6.7619783616692422E-2</v>
      </c>
      <c r="O55" s="99">
        <f t="shared" ca="1" si="12"/>
        <v>6.1655901350557839E-2</v>
      </c>
      <c r="P55" s="99">
        <f t="shared" ca="1" si="12"/>
        <v>4.7515612272603862E-2</v>
      </c>
      <c r="Q55" s="99">
        <f t="shared" ca="1" si="12"/>
        <v>4.6660061291734826E-2</v>
      </c>
      <c r="R55" s="57"/>
      <c r="S55" s="57"/>
      <c r="T55" s="57"/>
    </row>
    <row r="56" spans="1:20" x14ac:dyDescent="0.2">
      <c r="A56" t="str">
        <f>IFERROR(INDEX('[2]2017 Data (WP)'!$C$9:$C$72,MATCH($B56,'[2]2017 Data (WP)'!$D$9:$D$72,0)),"")</f>
        <v>Electric Utility (West)</v>
      </c>
      <c r="B56" t="s">
        <v>32</v>
      </c>
      <c r="C56" t="s">
        <v>74</v>
      </c>
      <c r="D56" s="35">
        <f t="shared" ca="1" si="10"/>
        <v>50</v>
      </c>
      <c r="E56" s="35">
        <f t="shared" ca="1" si="11"/>
        <v>51</v>
      </c>
      <c r="F56" s="35"/>
      <c r="G56" s="99">
        <f t="shared" ca="1" si="12"/>
        <v>2.6893221685716031E-2</v>
      </c>
      <c r="H56" s="99">
        <f t="shared" ca="1" si="12"/>
        <v>2.8955083426834123E-2</v>
      </c>
      <c r="I56" s="99">
        <f t="shared" ca="1" si="12"/>
        <v>2.7880354505169867E-2</v>
      </c>
      <c r="J56" s="99">
        <f t="shared" ca="1" si="12"/>
        <v>2.9896680589140471E-2</v>
      </c>
      <c r="K56" s="99">
        <f t="shared" ca="1" si="12"/>
        <v>2.9573730369161739E-2</v>
      </c>
      <c r="L56" s="99">
        <f t="shared" ca="1" si="12"/>
        <v>3.1857279388340237E-2</v>
      </c>
      <c r="M56" s="99">
        <f t="shared" ca="1" si="12"/>
        <v>4.0919878877158526E-2</v>
      </c>
      <c r="N56" s="99">
        <f t="shared" ca="1" si="12"/>
        <v>4.7646274061368399E-2</v>
      </c>
      <c r="O56" s="99">
        <f t="shared" ca="1" si="12"/>
        <v>4.8520330419440212E-2</v>
      </c>
      <c r="P56" s="99">
        <f t="shared" ca="1" si="12"/>
        <v>3.3588011663529323E-2</v>
      </c>
      <c r="Q56" s="99">
        <f t="shared" ca="1" si="12"/>
        <v>3.2106324199208537E-2</v>
      </c>
      <c r="R56" s="57"/>
      <c r="S56" s="57"/>
      <c r="T56" s="57"/>
    </row>
    <row r="57" spans="1:20" x14ac:dyDescent="0.2">
      <c r="A57" t="str">
        <f>IFERROR(INDEX('[2]2017 Data (WP)'!$C$9:$C$72,MATCH($B57,'[2]2017 Data (WP)'!$D$9:$D$72,0)),"")</f>
        <v>Electric Utility (West)</v>
      </c>
      <c r="B57" t="s">
        <v>33</v>
      </c>
      <c r="C57" t="s">
        <v>92</v>
      </c>
      <c r="D57" s="35">
        <f t="shared" ca="1" si="10"/>
        <v>51</v>
      </c>
      <c r="E57" s="35">
        <f t="shared" ca="1" si="11"/>
        <v>52</v>
      </c>
      <c r="F57" s="35"/>
      <c r="G57" s="99">
        <f t="shared" ca="1" si="12"/>
        <v>3.0608526660998423E-2</v>
      </c>
      <c r="H57" s="99">
        <f t="shared" ca="1" si="12"/>
        <v>3.2653513019896503E-2</v>
      </c>
      <c r="I57" s="99">
        <f t="shared" ca="1" si="12"/>
        <v>3.3390231485640701E-2</v>
      </c>
      <c r="J57" s="99">
        <f t="shared" ca="1" si="12"/>
        <v>3.6650266090972987E-2</v>
      </c>
      <c r="K57" s="99">
        <f t="shared" ca="1" si="12"/>
        <v>4.1124713083397088E-2</v>
      </c>
      <c r="L57" s="99">
        <f t="shared" ca="1" si="12"/>
        <v>4.3737821815015961E-2</v>
      </c>
      <c r="M57" s="99">
        <f t="shared" ca="1" si="12"/>
        <v>5.1957831325301199E-2</v>
      </c>
      <c r="N57" s="99">
        <f t="shared" ca="1" si="12"/>
        <v>5.3561011825847167E-2</v>
      </c>
      <c r="O57" s="99">
        <f t="shared" ca="1" si="12"/>
        <v>4.282371639221226E-2</v>
      </c>
      <c r="P57" s="99">
        <f t="shared" ca="1" si="12"/>
        <v>3.3424381828637148E-2</v>
      </c>
      <c r="Q57" s="99">
        <f t="shared" ca="1" si="12"/>
        <v>2.5357827115969799E-2</v>
      </c>
      <c r="R57" s="57"/>
      <c r="S57" s="57"/>
      <c r="T57" s="57"/>
    </row>
    <row r="58" spans="1:20" x14ac:dyDescent="0.2">
      <c r="A58" t="str">
        <f>IFERROR(INDEX('[2]2017 Data (WP)'!$C$9:$C$72,MATCH($B58,'[2]2017 Data (WP)'!$D$9:$D$72,0)),"")</f>
        <v>Electric Utility (East)</v>
      </c>
      <c r="B58" t="s">
        <v>34</v>
      </c>
      <c r="C58" t="s">
        <v>70</v>
      </c>
      <c r="D58" s="35">
        <f t="shared" ca="1" si="10"/>
        <v>52</v>
      </c>
      <c r="E58" s="35">
        <f t="shared" ca="1" si="11"/>
        <v>53</v>
      </c>
      <c r="F58" s="35"/>
      <c r="G58" s="99">
        <f t="shared" ca="1" si="12"/>
        <v>4.2465217634240382E-2</v>
      </c>
      <c r="H58" s="99">
        <f t="shared" ca="1" si="12"/>
        <v>4.5483489493313926E-2</v>
      </c>
      <c r="I58" s="99">
        <f t="shared" ca="1" si="12"/>
        <v>4.4474956719001847E-2</v>
      </c>
      <c r="J58" s="99">
        <f t="shared" ca="1" si="12"/>
        <v>4.8089505365087673E-2</v>
      </c>
      <c r="K58" s="99">
        <f t="shared" ca="1" si="12"/>
        <v>5.070244005492764E-2</v>
      </c>
      <c r="L58" s="99">
        <f t="shared" ca="1" si="12"/>
        <v>5.1009254536180132E-2</v>
      </c>
      <c r="M58" s="99">
        <f t="shared" ca="1" si="12"/>
        <v>5.124638529960833E-2</v>
      </c>
      <c r="N58" s="99">
        <f t="shared" ca="1" si="12"/>
        <v>4.5146726862302478E-2</v>
      </c>
      <c r="O58" s="99">
        <f t="shared" ca="1" si="12"/>
        <v>3.100846947748415E-2</v>
      </c>
      <c r="P58" s="99">
        <f t="shared" ca="1" si="12"/>
        <v>2.6872246696035242E-2</v>
      </c>
      <c r="Q58" s="99">
        <f t="shared" ca="1" si="12"/>
        <v>3.4067329431075599E-2</v>
      </c>
      <c r="R58" s="57"/>
      <c r="S58" s="57"/>
      <c r="T58" s="57"/>
    </row>
    <row r="59" spans="1:20" x14ac:dyDescent="0.2">
      <c r="A59" t="str">
        <f>IFERROR(INDEX('[2]2017 Data (WP)'!$C$9:$C$72,MATCH($B59,'[2]2017 Data (WP)'!$D$9:$D$72,0)),"")</f>
        <v>Electric Utility (East)</v>
      </c>
      <c r="B59" t="s">
        <v>35</v>
      </c>
      <c r="C59" t="s">
        <v>75</v>
      </c>
      <c r="D59" s="35">
        <f t="shared" ca="1" si="10"/>
        <v>53</v>
      </c>
      <c r="E59" s="35">
        <f t="shared" ca="1" si="11"/>
        <v>54</v>
      </c>
      <c r="F59" s="35"/>
      <c r="G59" s="99">
        <f t="shared" ca="1" si="12"/>
        <v>3.7759307439044043E-2</v>
      </c>
      <c r="H59" s="99">
        <f t="shared" ca="1" si="12"/>
        <v>3.80859375E-2</v>
      </c>
      <c r="I59" s="99">
        <f t="shared" ca="1" si="12"/>
        <v>3.9241681028768391E-2</v>
      </c>
      <c r="J59" s="99">
        <f t="shared" ca="1" si="12"/>
        <v>4.3537414965986392E-2</v>
      </c>
      <c r="K59" s="99">
        <f t="shared" ca="1" si="12"/>
        <v>4.5508444700830049E-2</v>
      </c>
      <c r="L59" s="99">
        <f t="shared" ca="1" si="12"/>
        <v>4.2379435147090673E-2</v>
      </c>
      <c r="M59" s="99">
        <f t="shared" ca="1" si="12"/>
        <v>4.3038451872329735E-2</v>
      </c>
      <c r="N59" s="99">
        <f t="shared" ca="1" si="12"/>
        <v>4.301423027166882E-2</v>
      </c>
      <c r="O59" s="99">
        <f t="shared" ca="1" si="12"/>
        <v>3.259798347358047E-2</v>
      </c>
      <c r="P59" s="99">
        <f t="shared" ca="1" si="12"/>
        <v>2.7307099845959949E-2</v>
      </c>
      <c r="Q59" s="99">
        <f t="shared" ca="1" si="12"/>
        <v>3.4696859021183343E-2</v>
      </c>
      <c r="R59" s="57"/>
      <c r="S59" s="57"/>
      <c r="T59" s="57"/>
    </row>
    <row r="60" spans="1:20" x14ac:dyDescent="0.2">
      <c r="A60" t="str">
        <f>IFERROR(INDEX('[2]2017 Data (WP)'!$C$9:$C$72,MATCH($B60,'[2]2017 Data (WP)'!$D$9:$D$72,0)),"")</f>
        <v>Electric Utility (East)</v>
      </c>
      <c r="B60" t="s">
        <v>36</v>
      </c>
      <c r="C60" t="s">
        <v>76</v>
      </c>
      <c r="D60" s="35">
        <f t="shared" ca="1" si="10"/>
        <v>55</v>
      </c>
      <c r="E60" s="35">
        <f t="shared" ca="1" si="11"/>
        <v>56</v>
      </c>
      <c r="F60" s="35"/>
      <c r="G60" s="99">
        <f t="shared" ca="1" si="12"/>
        <v>3.2917805670449829E-2</v>
      </c>
      <c r="H60" s="99">
        <f t="shared" ca="1" si="12"/>
        <v>3.901565995525727E-2</v>
      </c>
      <c r="I60" s="99">
        <f t="shared" ca="1" si="12"/>
        <v>4.0513948373654358E-2</v>
      </c>
      <c r="J60" s="99">
        <f t="shared" ca="1" si="12"/>
        <v>4.1508199402936242E-2</v>
      </c>
      <c r="K60" s="99">
        <f t="shared" ca="1" si="12"/>
        <v>4.2473775661239464E-2</v>
      </c>
      <c r="L60" s="99">
        <f t="shared" ca="1" si="12"/>
        <v>4.7780897492734349E-2</v>
      </c>
      <c r="M60" s="99">
        <f t="shared" ca="1" si="12"/>
        <v>4.9295591936278957E-2</v>
      </c>
      <c r="N60" s="99">
        <f t="shared" ca="1" si="12"/>
        <v>5.6737588652482268E-2</v>
      </c>
      <c r="O60" s="99">
        <f t="shared" ca="1" si="12"/>
        <v>4.9238673767026148E-2</v>
      </c>
      <c r="P60" s="99">
        <f t="shared" ca="1" si="12"/>
        <v>4.2946731412117807E-2</v>
      </c>
      <c r="Q60" s="99">
        <f t="shared" ca="1" si="12"/>
        <v>4.2066254350602197E-2</v>
      </c>
      <c r="R60" s="57"/>
      <c r="S60" s="57"/>
      <c r="T60" s="57"/>
    </row>
    <row r="61" spans="1:20" x14ac:dyDescent="0.2">
      <c r="A61" t="str">
        <f>IFERROR(INDEX('[2]2017 Data (WP)'!$C$9:$C$72,MATCH($B61,'[2]2017 Data (WP)'!$D$9:$D$72,0)),"")</f>
        <v>Electric Utility (West)</v>
      </c>
      <c r="B61" t="s">
        <v>37</v>
      </c>
      <c r="C61" t="s">
        <v>54</v>
      </c>
      <c r="D61" s="35">
        <f t="shared" ca="1" si="10"/>
        <v>56</v>
      </c>
      <c r="E61" s="35">
        <f t="shared" ca="1" si="11"/>
        <v>57</v>
      </c>
      <c r="F61" s="35"/>
      <c r="G61" s="99">
        <f t="shared" ca="1" si="12"/>
        <v>2.9223921037352427E-2</v>
      </c>
      <c r="H61" s="99">
        <f t="shared" ca="1" si="12"/>
        <v>2.7140724657348351E-2</v>
      </c>
      <c r="I61" s="99">
        <f t="shared" ca="1" si="12"/>
        <v>2.6070211820471041E-2</v>
      </c>
      <c r="J61" s="99">
        <f t="shared" ca="1" si="12"/>
        <v>3.0337687353277555E-2</v>
      </c>
      <c r="K61" s="99">
        <f t="shared" ca="1" si="12"/>
        <v>3.7058196809906886E-2</v>
      </c>
      <c r="L61" s="99">
        <f t="shared" ca="1" si="12"/>
        <v>3.6490801277178041E-2</v>
      </c>
      <c r="M61" s="99">
        <f t="shared" ca="1" si="12"/>
        <v>3.0810554589982622E-2</v>
      </c>
      <c r="N61" s="99">
        <f t="shared" ca="1" si="12"/>
        <v>3.2345684131953809E-2</v>
      </c>
      <c r="O61" s="99">
        <f t="shared" ca="1" si="12"/>
        <v>2.6209060299969392E-2</v>
      </c>
      <c r="P61" s="99">
        <f t="shared" ca="1" si="12"/>
        <v>2.078131022809164E-2</v>
      </c>
      <c r="Q61" s="99">
        <f t="shared" ca="1" si="12"/>
        <v>2.4666995559940796E-2</v>
      </c>
    </row>
    <row r="62" spans="1:20" x14ac:dyDescent="0.2">
      <c r="A62" t="str">
        <f>IFERROR(INDEX('[2]2017 Data (WP)'!$C$9:$C$72,MATCH($B62,'[2]2017 Data (WP)'!$D$9:$D$72,0)),"")</f>
        <v/>
      </c>
      <c r="B62" t="s">
        <v>64</v>
      </c>
      <c r="C62" t="s">
        <v>63</v>
      </c>
      <c r="D62" s="35" t="e">
        <f t="shared" ca="1" si="10"/>
        <v>#N/A</v>
      </c>
      <c r="E62" s="35" t="e">
        <f t="shared" ca="1" si="11"/>
        <v>#N/A</v>
      </c>
      <c r="F62" s="35"/>
      <c r="G62" s="99" t="str">
        <f t="shared" ca="1" si="12"/>
        <v>N/A</v>
      </c>
      <c r="H62" s="99" t="str">
        <f t="shared" ca="1" si="12"/>
        <v>N/A</v>
      </c>
      <c r="I62" s="99" t="str">
        <f t="shared" ca="1" si="12"/>
        <v>N/A</v>
      </c>
      <c r="J62" s="99" t="str">
        <f t="shared" ca="1" si="12"/>
        <v>N/A</v>
      </c>
      <c r="K62" s="99" t="str">
        <f t="shared" ca="1" si="12"/>
        <v>N/A</v>
      </c>
      <c r="L62" s="99" t="str">
        <f t="shared" ca="1" si="12"/>
        <v>N/A</v>
      </c>
      <c r="M62" s="99" t="str">
        <f t="shared" ca="1" si="12"/>
        <v>N/A</v>
      </c>
      <c r="N62" s="99" t="str">
        <f t="shared" ca="1" si="12"/>
        <v>N/A</v>
      </c>
      <c r="O62" s="99" t="str">
        <f t="shared" ca="1" si="12"/>
        <v>N/A</v>
      </c>
      <c r="P62" s="99" t="str">
        <f t="shared" ca="1" si="12"/>
        <v>N/A</v>
      </c>
      <c r="Q62" s="99" t="str">
        <f t="shared" ca="1" si="12"/>
        <v>N/A</v>
      </c>
    </row>
    <row r="63" spans="1:20" x14ac:dyDescent="0.2">
      <c r="A63" t="str">
        <f>IFERROR(INDEX('[2]2017 Data (WP)'!$C$9:$C$72,MATCH($B63,'[2]2017 Data (WP)'!$D$9:$D$72,0)),"")</f>
        <v>Water Utility</v>
      </c>
      <c r="B63" s="31" t="s">
        <v>196</v>
      </c>
      <c r="C63" s="31" t="s">
        <v>195</v>
      </c>
      <c r="D63" s="35">
        <f t="shared" ca="1" si="10"/>
        <v>57</v>
      </c>
      <c r="E63" s="35">
        <f t="shared" ca="1" si="11"/>
        <v>58</v>
      </c>
      <c r="F63" s="35"/>
      <c r="G63" s="99">
        <f t="shared" ca="1" si="12"/>
        <v>2.0105741306128529E-2</v>
      </c>
      <c r="H63" s="99">
        <f t="shared" ca="1" si="12"/>
        <v>2.5334545926984541E-2</v>
      </c>
      <c r="I63" s="99">
        <f t="shared" ca="1" si="12"/>
        <v>2.6391723555492998E-2</v>
      </c>
      <c r="J63" s="99">
        <f t="shared" ca="1" si="12"/>
        <v>2.678112847604373E-2</v>
      </c>
      <c r="K63" s="99">
        <f t="shared" ca="1" si="12"/>
        <v>2.9543941411451398E-2</v>
      </c>
      <c r="L63" s="99">
        <f t="shared" ca="1" si="12"/>
        <v>2.9357954303705906E-2</v>
      </c>
      <c r="M63" s="99">
        <f t="shared" ca="1" si="12"/>
        <v>2.7797081306462822E-2</v>
      </c>
      <c r="N63" s="99">
        <f t="shared" ca="1" si="12"/>
        <v>2.8423772609819126E-2</v>
      </c>
      <c r="O63" s="99">
        <f t="shared" ca="1" si="12"/>
        <v>2.2677730117431967E-2</v>
      </c>
      <c r="P63" s="99">
        <f t="shared" ca="1" si="12"/>
        <v>1.7403060637441028E-2</v>
      </c>
      <c r="Q63" s="99">
        <f t="shared" ca="1" si="12"/>
        <v>2.0196604110813223E-2</v>
      </c>
    </row>
    <row r="64" spans="1:20" x14ac:dyDescent="0.2">
      <c r="A64" t="str">
        <f>IFERROR(INDEX('[2]2017 Data (WP)'!$C$9:$C$72,MATCH($B64,'[2]2017 Data (WP)'!$D$9:$D$72,0)),"")</f>
        <v>Natural Gas Utility</v>
      </c>
      <c r="B64" s="31" t="s">
        <v>198</v>
      </c>
      <c r="C64" s="31" t="s">
        <v>197</v>
      </c>
      <c r="D64" s="35">
        <f t="shared" ca="1" si="10"/>
        <v>58</v>
      </c>
      <c r="E64" s="35">
        <f t="shared" ca="1" si="11"/>
        <v>59</v>
      </c>
      <c r="F64" s="35"/>
      <c r="G64" s="99">
        <f t="shared" ref="G64:Q72" ca="1" si="13">IFERROR(INDEX(Dividends,$D64,G$2)/INDEX(MarketPrice,$E64,G$2),"N/A")</f>
        <v>3.6429872495446269E-2</v>
      </c>
      <c r="H64" s="99">
        <f t="shared" ca="1" si="13"/>
        <v>3.9464520622146559E-2</v>
      </c>
      <c r="I64" s="99">
        <f t="shared" ca="1" si="13"/>
        <v>3.4014810615455478E-2</v>
      </c>
      <c r="J64" s="99">
        <f t="shared" ca="1" si="13"/>
        <v>3.1426775612822123E-2</v>
      </c>
      <c r="K64" s="99">
        <f t="shared" ca="1" si="13"/>
        <v>3.215622076707203E-2</v>
      </c>
      <c r="L64" s="99">
        <f t="shared" ca="1" si="13"/>
        <v>2.8083576724331611E-2</v>
      </c>
      <c r="M64" s="99">
        <f t="shared" ca="1" si="13"/>
        <v>2.996914940502424E-2</v>
      </c>
      <c r="N64" s="99">
        <f t="shared" ca="1" si="13"/>
        <v>3.4275439680845086E-2</v>
      </c>
      <c r="O64" s="99">
        <f t="shared" ca="1" si="13"/>
        <v>3.0759851465942473E-2</v>
      </c>
      <c r="P64" s="99">
        <f t="shared" ca="1" si="13"/>
        <v>2.8127436782889606E-2</v>
      </c>
      <c r="Q64" s="99">
        <f t="shared" ca="1" si="13"/>
        <v>3.1539252656839219E-2</v>
      </c>
    </row>
    <row r="65" spans="1:17" customFormat="1" x14ac:dyDescent="0.2">
      <c r="A65" t="str">
        <f>IFERROR(INDEX('[2]2017 Data (WP)'!$C$9:$C$72,MATCH($B65,'[2]2017 Data (WP)'!$D$9:$D$72,0)),"")</f>
        <v>Electric Utility (East)</v>
      </c>
      <c r="B65" t="s">
        <v>38</v>
      </c>
      <c r="C65" t="s">
        <v>77</v>
      </c>
      <c r="D65" s="35">
        <f t="shared" ca="1" si="10"/>
        <v>59</v>
      </c>
      <c r="E65" s="35">
        <f t="shared" ca="1" si="11"/>
        <v>60</v>
      </c>
      <c r="F65" s="35"/>
      <c r="G65" s="99">
        <f t="shared" ca="1" si="13"/>
        <v>4.4233524355300854E-2</v>
      </c>
      <c r="H65" s="99">
        <f t="shared" ca="1" si="13"/>
        <v>4.7833814707842703E-2</v>
      </c>
      <c r="I65" s="99">
        <f t="shared" ca="1" si="13"/>
        <v>4.6870077854281988E-2</v>
      </c>
      <c r="J65" s="99">
        <f t="shared" ca="1" si="13"/>
        <v>4.606196512745412E-2</v>
      </c>
      <c r="K65" s="99">
        <f t="shared" ca="1" si="13"/>
        <v>4.2888045205721349E-2</v>
      </c>
      <c r="L65" s="99">
        <f t="shared" ca="1" si="13"/>
        <v>4.6349913387775304E-2</v>
      </c>
      <c r="M65" s="99">
        <f t="shared" ca="1" si="13"/>
        <v>5.128423926956225E-2</v>
      </c>
      <c r="N65" s="99">
        <f t="shared" ca="1" si="13"/>
        <v>5.5247385870951293E-2</v>
      </c>
      <c r="O65" s="99">
        <f t="shared" ca="1" si="13"/>
        <v>4.5830347792537064E-2</v>
      </c>
      <c r="P65" s="99">
        <f t="shared" ca="1" si="13"/>
        <v>4.3854825405554028E-2</v>
      </c>
      <c r="Q65" s="99">
        <f t="shared" ca="1" si="13"/>
        <v>4.515237086716084E-2</v>
      </c>
    </row>
    <row r="66" spans="1:17" customFormat="1" x14ac:dyDescent="0.2">
      <c r="A66" t="str">
        <f>IFERROR(INDEX('[2]2017 Data (WP)'!$C$9:$C$72,MATCH($B66,'[2]2017 Data (WP)'!$D$9:$D$72,0)),"")</f>
        <v>Natural Gas Utility</v>
      </c>
      <c r="B66" s="31" t="s">
        <v>200</v>
      </c>
      <c r="C66" s="31" t="s">
        <v>199</v>
      </c>
      <c r="D66" s="35">
        <f t="shared" ca="1" si="10"/>
        <v>60</v>
      </c>
      <c r="E66" s="35">
        <f t="shared" ca="1" si="11"/>
        <v>61</v>
      </c>
      <c r="F66" s="35"/>
      <c r="G66" s="99">
        <f t="shared" ca="1" si="13"/>
        <v>2.6153667325351623E-2</v>
      </c>
      <c r="H66" s="99">
        <f t="shared" ca="1" si="13"/>
        <v>2.866495620631691E-2</v>
      </c>
      <c r="I66" s="99">
        <f t="shared" ca="1" si="13"/>
        <v>2.7158243270894174E-2</v>
      </c>
      <c r="J66" s="99">
        <f t="shared" ca="1" si="13"/>
        <v>2.6936026936026935E-2</v>
      </c>
      <c r="K66" s="99">
        <f t="shared" ca="1" si="13"/>
        <v>2.750134010767474E-2</v>
      </c>
      <c r="L66" s="99">
        <f t="shared" ca="1" si="13"/>
        <v>2.7806196059914481E-2</v>
      </c>
      <c r="M66" s="99">
        <f t="shared" ca="1" si="13"/>
        <v>3.1535793125197095E-2</v>
      </c>
      <c r="N66" s="99">
        <f t="shared" ca="1" si="13"/>
        <v>4.0141975830305078E-2</v>
      </c>
      <c r="O66" s="99">
        <f t="shared" ca="1" si="13"/>
        <v>3.1944345850784414E-2</v>
      </c>
      <c r="P66" s="99">
        <f t="shared" ca="1" si="13"/>
        <v>2.5551131974567709E-2</v>
      </c>
      <c r="Q66" s="99">
        <f t="shared" ca="1" si="13"/>
        <v>2.5985549499302825E-2</v>
      </c>
    </row>
    <row r="67" spans="1:17" customFormat="1" x14ac:dyDescent="0.2">
      <c r="A67" t="str">
        <f>IFERROR(INDEX('[2]2017 Data (WP)'!$C$9:$C$72,MATCH($B67,'[2]2017 Data (WP)'!$D$9:$D$72,0)),"")</f>
        <v>Natural Gas Utility</v>
      </c>
      <c r="B67" s="31" t="s">
        <v>244</v>
      </c>
      <c r="C67" s="31" t="s">
        <v>243</v>
      </c>
      <c r="D67" s="35">
        <f t="shared" ca="1" si="10"/>
        <v>61</v>
      </c>
      <c r="E67" s="35">
        <f t="shared" ca="1" si="11"/>
        <v>62</v>
      </c>
      <c r="F67" s="35"/>
      <c r="G67" s="99">
        <f t="shared" ca="1" si="13"/>
        <v>3.0841856805664831E-2</v>
      </c>
      <c r="H67" s="99">
        <f t="shared" ca="1" si="13"/>
        <v>3.5318054435870862E-2</v>
      </c>
      <c r="I67" s="99">
        <f t="shared" ca="1" si="13"/>
        <v>3.7829124126813544E-2</v>
      </c>
      <c r="J67" s="99">
        <f t="shared" ca="1" si="13"/>
        <v>3.9597503028044344E-2</v>
      </c>
      <c r="K67" s="99">
        <f t="shared" ca="1" si="13"/>
        <v>4.1146143168748754E-2</v>
      </c>
      <c r="L67" s="99">
        <f t="shared" ca="1" si="13"/>
        <v>4.3148500522606062E-2</v>
      </c>
      <c r="M67" s="99">
        <f t="shared" ca="1" si="13"/>
        <v>4.702710798262693E-2</v>
      </c>
      <c r="N67" s="99">
        <f t="shared" ca="1" si="13"/>
        <v>3.9134438305709028E-2</v>
      </c>
      <c r="O67" s="99">
        <f t="shared" ca="1" si="13"/>
        <v>3.9430507039271728E-2</v>
      </c>
      <c r="P67" s="99">
        <f t="shared" ca="1" si="13"/>
        <v>4.425183874019592E-2</v>
      </c>
      <c r="Q67" s="99">
        <f t="shared" ca="1" si="13"/>
        <v>4.3436443175824513E-2</v>
      </c>
    </row>
    <row r="68" spans="1:17" customFormat="1" x14ac:dyDescent="0.2">
      <c r="A68" t="str">
        <f>IFERROR(INDEX('[2]2017 Data (WP)'!$C$9:$C$72,MATCH($B68,'[2]2017 Data (WP)'!$D$9:$D$72,0)),"")</f>
        <v/>
      </c>
      <c r="B68" t="s">
        <v>39</v>
      </c>
      <c r="C68" t="s">
        <v>78</v>
      </c>
      <c r="D68" s="35" t="e">
        <f t="shared" ca="1" si="10"/>
        <v>#N/A</v>
      </c>
      <c r="E68" s="35" t="e">
        <f t="shared" ca="1" si="11"/>
        <v>#N/A</v>
      </c>
      <c r="F68" s="35"/>
      <c r="G68" s="99" t="str">
        <f t="shared" ca="1" si="13"/>
        <v>N/A</v>
      </c>
      <c r="H68" s="99" t="str">
        <f t="shared" ca="1" si="13"/>
        <v>N/A</v>
      </c>
      <c r="I68" s="99" t="str">
        <f t="shared" ca="1" si="13"/>
        <v>N/A</v>
      </c>
      <c r="J68" s="99" t="str">
        <f t="shared" ca="1" si="13"/>
        <v>N/A</v>
      </c>
      <c r="K68" s="99" t="str">
        <f t="shared" ca="1" si="13"/>
        <v>N/A</v>
      </c>
      <c r="L68" s="99" t="str">
        <f t="shared" ca="1" si="13"/>
        <v>N/A</v>
      </c>
      <c r="M68" s="99" t="str">
        <f t="shared" ca="1" si="13"/>
        <v>N/A</v>
      </c>
      <c r="N68" s="99" t="str">
        <f t="shared" ca="1" si="13"/>
        <v>N/A</v>
      </c>
      <c r="O68" s="99" t="str">
        <f t="shared" ca="1" si="13"/>
        <v>N/A</v>
      </c>
      <c r="P68" s="99" t="str">
        <f t="shared" ca="1" si="13"/>
        <v>N/A</v>
      </c>
      <c r="Q68" s="99" t="str">
        <f t="shared" ca="1" si="13"/>
        <v>N/A</v>
      </c>
    </row>
    <row r="69" spans="1:17" customFormat="1" x14ac:dyDescent="0.2">
      <c r="A69" t="str">
        <f>IFERROR(INDEX('[2]2017 Data (WP)'!$C$9:$C$72,MATCH($B69,'[2]2017 Data (WP)'!$D$9:$D$72,0)),"")</f>
        <v>Natural Gas Utility</v>
      </c>
      <c r="B69" s="31" t="s">
        <v>204</v>
      </c>
      <c r="C69" s="31" t="s">
        <v>203</v>
      </c>
      <c r="D69" s="35">
        <f t="shared" ca="1" si="10"/>
        <v>63</v>
      </c>
      <c r="E69" s="35">
        <f t="shared" ca="1" si="11"/>
        <v>64</v>
      </c>
      <c r="F69" s="35"/>
      <c r="G69" s="99">
        <f t="shared" ca="1" si="13"/>
        <v>2.3471216212805696E-2</v>
      </c>
      <c r="H69" s="99">
        <f t="shared" ca="1" si="13"/>
        <v>2.499648925712681E-2</v>
      </c>
      <c r="I69" s="99">
        <f t="shared" ca="1" si="13"/>
        <v>2.6066038357608911E-2</v>
      </c>
      <c r="J69" s="99">
        <f t="shared" ca="1" si="13"/>
        <v>3.0095981779729948E-2</v>
      </c>
      <c r="K69" s="99">
        <f t="shared" ca="1" si="13"/>
        <v>3.6801832283587528E-2</v>
      </c>
      <c r="L69" s="99">
        <f t="shared" ca="1" si="13"/>
        <v>3.2956913681965787E-2</v>
      </c>
      <c r="M69" s="99">
        <f t="shared" ca="1" si="13"/>
        <v>3.4804803062822666E-2</v>
      </c>
      <c r="N69" s="99">
        <f t="shared" ca="1" si="13"/>
        <v>3.2295912066197363E-2</v>
      </c>
      <c r="O69" s="99">
        <f t="shared" ca="1" si="13"/>
        <v>2.8496969010254378E-2</v>
      </c>
      <c r="P69" s="99">
        <f t="shared" ca="1" si="13"/>
        <v>2.6916620033575821E-2</v>
      </c>
      <c r="Q69" s="99">
        <f t="shared" ca="1" si="13"/>
        <v>2.9618539252701474E-2</v>
      </c>
    </row>
    <row r="70" spans="1:17" customFormat="1" x14ac:dyDescent="0.2">
      <c r="A70" t="str">
        <f>IFERROR(INDEX('[2]2017 Data (WP)'!$C$9:$C$72,MATCH($B70,'[2]2017 Data (WP)'!$D$9:$D$72,0)),"")</f>
        <v/>
      </c>
      <c r="B70" t="s">
        <v>40</v>
      </c>
      <c r="C70" t="s">
        <v>81</v>
      </c>
      <c r="D70" s="35" t="e">
        <f t="shared" ca="1" si="10"/>
        <v>#N/A</v>
      </c>
      <c r="E70" s="35" t="e">
        <f t="shared" ca="1" si="11"/>
        <v>#N/A</v>
      </c>
      <c r="F70" s="35"/>
      <c r="G70" s="99" t="str">
        <f t="shared" ca="1" si="13"/>
        <v>N/A</v>
      </c>
      <c r="H70" s="99" t="str">
        <f t="shared" ca="1" si="13"/>
        <v>N/A</v>
      </c>
      <c r="I70" s="99" t="str">
        <f t="shared" ca="1" si="13"/>
        <v>N/A</v>
      </c>
      <c r="J70" s="99" t="str">
        <f t="shared" ca="1" si="13"/>
        <v>N/A</v>
      </c>
      <c r="K70" s="99" t="str">
        <f t="shared" ca="1" si="13"/>
        <v>N/A</v>
      </c>
      <c r="L70" s="99" t="str">
        <f t="shared" ca="1" si="13"/>
        <v>N/A</v>
      </c>
      <c r="M70" s="99" t="str">
        <f t="shared" ca="1" si="13"/>
        <v>N/A</v>
      </c>
      <c r="N70" s="99" t="str">
        <f t="shared" ca="1" si="13"/>
        <v>N/A</v>
      </c>
      <c r="O70" s="99" t="str">
        <f t="shared" ca="1" si="13"/>
        <v>N/A</v>
      </c>
      <c r="P70" s="99" t="str">
        <f t="shared" ca="1" si="13"/>
        <v>N/A</v>
      </c>
      <c r="Q70" s="99" t="str">
        <f t="shared" ca="1" si="13"/>
        <v>N/A</v>
      </c>
    </row>
    <row r="71" spans="1:17" customFormat="1" x14ac:dyDescent="0.2">
      <c r="A71" t="str">
        <f>IFERROR(INDEX('[2]2017 Data (WP)'!$C$9:$C$72,MATCH($B71,'[2]2017 Data (WP)'!$D$9:$D$72,0)),"")</f>
        <v/>
      </c>
      <c r="B71" t="s">
        <v>41</v>
      </c>
      <c r="C71" t="s">
        <v>79</v>
      </c>
      <c r="D71" s="35" t="e">
        <f t="shared" ca="1" si="10"/>
        <v>#N/A</v>
      </c>
      <c r="E71" s="35" t="e">
        <f t="shared" ca="1" si="11"/>
        <v>#N/A</v>
      </c>
      <c r="F71" s="35"/>
      <c r="G71" s="99" t="str">
        <f t="shared" ca="1" si="13"/>
        <v>N/A</v>
      </c>
      <c r="H71" s="99" t="str">
        <f t="shared" ca="1" si="13"/>
        <v>N/A</v>
      </c>
      <c r="I71" s="99" t="str">
        <f t="shared" ca="1" si="13"/>
        <v>N/A</v>
      </c>
      <c r="J71" s="99" t="str">
        <f t="shared" ca="1" si="13"/>
        <v>N/A</v>
      </c>
      <c r="K71" s="99" t="str">
        <f t="shared" ca="1" si="13"/>
        <v>N/A</v>
      </c>
      <c r="L71" s="99" t="str">
        <f t="shared" ca="1" si="13"/>
        <v>N/A</v>
      </c>
      <c r="M71" s="99" t="str">
        <f t="shared" ca="1" si="13"/>
        <v>N/A</v>
      </c>
      <c r="N71" s="99" t="str">
        <f t="shared" ca="1" si="13"/>
        <v>N/A</v>
      </c>
      <c r="O71" s="99" t="str">
        <f t="shared" ca="1" si="13"/>
        <v>N/A</v>
      </c>
      <c r="P71" s="99" t="str">
        <f t="shared" ca="1" si="13"/>
        <v>N/A</v>
      </c>
      <c r="Q71" s="99" t="str">
        <f t="shared" ca="1" si="13"/>
        <v>N/A</v>
      </c>
    </row>
    <row r="72" spans="1:17" customFormat="1" x14ac:dyDescent="0.2">
      <c r="A72" t="str">
        <f>IFERROR(INDEX('[2]2017 Data (WP)'!$C$9:$C$72,MATCH($B72,'[2]2017 Data (WP)'!$D$9:$D$72,0)),"")</f>
        <v/>
      </c>
      <c r="B72" t="s">
        <v>83</v>
      </c>
      <c r="C72" t="s">
        <v>82</v>
      </c>
      <c r="D72" s="35">
        <f t="shared" ca="1" si="10"/>
        <v>64</v>
      </c>
      <c r="E72" s="35">
        <f t="shared" ca="1" si="11"/>
        <v>65</v>
      </c>
      <c r="F72" s="35"/>
      <c r="G72" s="99">
        <f t="shared" ca="1" si="13"/>
        <v>3.4915170887632158E-2</v>
      </c>
      <c r="H72" s="99">
        <f t="shared" ca="1" si="13"/>
        <v>3.9974872937011019E-2</v>
      </c>
      <c r="I72" s="99">
        <f t="shared" ref="G72:Q78" ca="1" si="14">IFERROR(INDEX(Dividends,$D72,I$2)/INDEX(MarketPrice,$E72,I$2),"N/A")</f>
        <v>4.2070410983870481E-2</v>
      </c>
      <c r="J72" s="99">
        <f t="shared" ca="1" si="14"/>
        <v>4.7525570823432173E-2</v>
      </c>
      <c r="K72" s="99">
        <f t="shared" ca="1" si="14"/>
        <v>5.1646706586826345E-2</v>
      </c>
      <c r="L72" s="99">
        <f t="shared" ca="1" si="14"/>
        <v>5.4811931524804382E-2</v>
      </c>
      <c r="M72" s="99">
        <f t="shared" ca="1" si="14"/>
        <v>6.2466051059206953E-2</v>
      </c>
      <c r="N72" s="99">
        <f t="shared" ca="1" si="14"/>
        <v>6.5968736555284666E-2</v>
      </c>
      <c r="O72" s="99">
        <f t="shared" ca="1" si="14"/>
        <v>5.2875589103030765E-2</v>
      </c>
      <c r="P72" s="99">
        <f t="shared" ca="1" si="14"/>
        <v>4.9407468404281972E-2</v>
      </c>
      <c r="Q72" s="99">
        <f t="shared" ca="1" si="14"/>
        <v>5.5551082843571367E-2</v>
      </c>
    </row>
    <row r="73" spans="1:17" customFormat="1" x14ac:dyDescent="0.2">
      <c r="A73" t="str">
        <f>IFERROR(INDEX('[2]2017 Data (WP)'!$C$9:$C$72,MATCH($B73,'[2]2017 Data (WP)'!$D$9:$D$72,0)),"")</f>
        <v>Electric Util. (Central)</v>
      </c>
      <c r="B73" t="s">
        <v>42</v>
      </c>
      <c r="C73" t="s">
        <v>89</v>
      </c>
      <c r="D73" s="35">
        <f t="shared" ca="1" si="10"/>
        <v>65</v>
      </c>
      <c r="E73" s="35">
        <f t="shared" ca="1" si="11"/>
        <v>66</v>
      </c>
      <c r="F73" s="35"/>
      <c r="G73" s="99">
        <f t="shared" ca="1" si="14"/>
        <v>3.3126124652380171E-2</v>
      </c>
      <c r="H73" s="99">
        <f t="shared" ca="1" si="14"/>
        <v>3.5952747817154594E-2</v>
      </c>
      <c r="I73" s="99">
        <f t="shared" ca="1" si="14"/>
        <v>3.616994921342747E-2</v>
      </c>
      <c r="J73" s="99">
        <f t="shared" ca="1" si="14"/>
        <v>4.1541556132116728E-2</v>
      </c>
      <c r="K73" s="99">
        <f t="shared" ca="1" si="14"/>
        <v>4.8223785824609573E-2</v>
      </c>
      <c r="L73" s="99">
        <f t="shared" ca="1" si="14"/>
        <v>5.058621571277256E-2</v>
      </c>
      <c r="M73" s="99">
        <f t="shared" ca="1" si="14"/>
        <v>5.5313307493540055E-2</v>
      </c>
      <c r="N73" s="99">
        <f t="shared" ca="1" si="14"/>
        <v>5.8507410938718904E-2</v>
      </c>
      <c r="O73" s="99">
        <f t="shared" ca="1" si="14"/>
        <v>4.7871368536451679E-2</v>
      </c>
      <c r="P73" s="99">
        <f t="shared" ca="1" si="14"/>
        <v>4.5258543886532908E-2</v>
      </c>
      <c r="Q73" s="99">
        <f t="shared" ca="1" si="14"/>
        <v>4.5152527440255497E-2</v>
      </c>
    </row>
    <row r="74" spans="1:17" customFormat="1" x14ac:dyDescent="0.2">
      <c r="A74" t="str">
        <f>IFERROR(INDEX('[2]2017 Data (WP)'!$C$9:$C$72,MATCH($B74,'[2]2017 Data (WP)'!$D$9:$D$72,0)),"")</f>
        <v>Electric Util. (Central)</v>
      </c>
      <c r="B74" t="s">
        <v>44</v>
      </c>
      <c r="C74" t="s">
        <v>217</v>
      </c>
      <c r="D74" s="35">
        <f t="shared" ca="1" si="10"/>
        <v>66</v>
      </c>
      <c r="E74" s="35">
        <f t="shared" ca="1" si="11"/>
        <v>67</v>
      </c>
      <c r="F74" s="35"/>
      <c r="G74" s="99">
        <f t="shared" ca="1" si="14"/>
        <v>3.3535449341146981E-2</v>
      </c>
      <c r="H74" s="99">
        <f t="shared" ca="1" si="14"/>
        <v>3.4855071012199278E-2</v>
      </c>
      <c r="I74" s="99">
        <f t="shared" ca="1" si="14"/>
        <v>3.4009897752294578E-2</v>
      </c>
      <c r="J74" s="99">
        <f t="shared" ca="1" si="14"/>
        <v>3.4881475401921498E-2</v>
      </c>
      <c r="K74" s="99">
        <f t="shared" ca="1" si="14"/>
        <v>3.2407907529437181E-2</v>
      </c>
      <c r="L74" s="99">
        <f t="shared" ca="1" si="14"/>
        <v>3.3481424248277637E-2</v>
      </c>
      <c r="M74" s="99">
        <f t="shared" ca="1" si="14"/>
        <v>2.9739776951672865E-2</v>
      </c>
      <c r="N74" s="99">
        <f t="shared" ca="1" si="14"/>
        <v>3.1610002809778028E-2</v>
      </c>
      <c r="O74" s="99">
        <f t="shared" ca="1" si="14"/>
        <v>2.4129764511372269E-2</v>
      </c>
      <c r="P74" s="99">
        <f t="shared" ca="1" si="14"/>
        <v>2.1376656690893545E-2</v>
      </c>
      <c r="Q74" s="99">
        <f t="shared" ca="1" si="14"/>
        <v>2.1825773391535398E-2</v>
      </c>
    </row>
    <row r="75" spans="1:17" customFormat="1" x14ac:dyDescent="0.2">
      <c r="A75" t="str">
        <f>IFERROR(INDEX('[2]2017 Data (WP)'!$C$9:$C$72,MATCH($B75,'[2]2017 Data (WP)'!$D$9:$D$72,0)),"")</f>
        <v>Electric Util. (Central)</v>
      </c>
      <c r="B75" t="s">
        <v>43</v>
      </c>
      <c r="C75" t="s">
        <v>87</v>
      </c>
      <c r="D75" s="35">
        <f t="shared" ca="1" si="10"/>
        <v>67</v>
      </c>
      <c r="E75" s="35">
        <f t="shared" ca="1" si="11"/>
        <v>68</v>
      </c>
      <c r="F75" s="35"/>
      <c r="G75" s="99">
        <f t="shared" ca="1" si="14"/>
        <v>2.8977770999351813E-2</v>
      </c>
      <c r="H75" s="99">
        <f t="shared" ca="1" si="14"/>
        <v>3.7335684098628426E-2</v>
      </c>
      <c r="I75" s="99">
        <f t="shared" ca="1" si="14"/>
        <v>3.8790834280014404E-2</v>
      </c>
      <c r="J75" s="99">
        <f t="shared" ca="1" si="14"/>
        <v>4.2681395932714035E-2</v>
      </c>
      <c r="K75" s="99">
        <f t="shared" ca="1" si="14"/>
        <v>4.5715868947842353E-2</v>
      </c>
      <c r="L75" s="99">
        <f t="shared" ca="1" si="14"/>
        <v>4.8387706498317772E-2</v>
      </c>
      <c r="M75" s="99">
        <f t="shared" ca="1" si="14"/>
        <v>5.3168681931223739E-2</v>
      </c>
      <c r="N75" s="99">
        <f t="shared" ca="1" si="14"/>
        <v>6.2722140915743255E-2</v>
      </c>
      <c r="O75" s="99">
        <f t="shared" ca="1" si="14"/>
        <v>5.220287115791368E-2</v>
      </c>
      <c r="P75" s="99">
        <f t="shared" ca="1" si="14"/>
        <v>4.1618497109826597E-2</v>
      </c>
      <c r="Q75" s="99">
        <f t="shared" ca="1" si="14"/>
        <v>4.2807845192853709E-2</v>
      </c>
    </row>
    <row r="76" spans="1:17" customFormat="1" x14ac:dyDescent="0.2">
      <c r="A76" t="str">
        <f>IFERROR(INDEX('[2]2017 Data (WP)'!$C$9:$C$72,MATCH($B76,'[2]2017 Data (WP)'!$D$9:$D$72,0)),"")</f>
        <v>Natural Gas Utility</v>
      </c>
      <c r="B76" s="31" t="s">
        <v>206</v>
      </c>
      <c r="C76" s="31" t="s">
        <v>205</v>
      </c>
      <c r="D76" s="35">
        <f t="shared" ca="1" si="10"/>
        <v>68</v>
      </c>
      <c r="E76" s="35">
        <f t="shared" ca="1" si="11"/>
        <v>69</v>
      </c>
      <c r="F76" s="35"/>
      <c r="G76" s="99">
        <f t="shared" ca="1" si="14"/>
        <v>2.9439580219042676E-2</v>
      </c>
      <c r="H76" s="99">
        <f t="shared" ca="1" si="14"/>
        <v>3.4080116207609361E-2</v>
      </c>
      <c r="I76" s="99">
        <f t="shared" ca="1" si="14"/>
        <v>4.2359315355251816E-2</v>
      </c>
      <c r="J76" s="99">
        <f t="shared" ca="1" si="14"/>
        <v>3.9387827737572663E-2</v>
      </c>
      <c r="K76" s="99">
        <f t="shared" ca="1" si="14"/>
        <v>3.8857254576113789E-2</v>
      </c>
      <c r="L76" s="99">
        <f t="shared" ca="1" si="14"/>
        <v>4.0588666596836701E-2</v>
      </c>
      <c r="M76" s="99">
        <f t="shared" ca="1" si="14"/>
        <v>4.3729228616407205E-2</v>
      </c>
      <c r="N76" s="99">
        <f t="shared" ca="1" si="14"/>
        <v>4.6171241912180409E-2</v>
      </c>
      <c r="O76" s="99">
        <f t="shared" ca="1" si="14"/>
        <v>4.2240422404224043E-2</v>
      </c>
      <c r="P76" s="99">
        <f t="shared" ca="1" si="14"/>
        <v>4.1855758616460195E-2</v>
      </c>
      <c r="Q76" s="99">
        <f t="shared" ca="1" si="14"/>
        <v>4.4845292077887434E-2</v>
      </c>
    </row>
    <row r="77" spans="1:17" customFormat="1" x14ac:dyDescent="0.2">
      <c r="A77" t="str">
        <f>IFERROR(INDEX('[2]2017 Data (WP)'!$C$9:$C$72,MATCH($B77,'[2]2017 Data (WP)'!$D$9:$D$72,0)),"")</f>
        <v>Electric Utility (West)</v>
      </c>
      <c r="B77" t="s">
        <v>45</v>
      </c>
      <c r="C77" t="s">
        <v>65</v>
      </c>
      <c r="D77" s="35">
        <f t="shared" ca="1" si="10"/>
        <v>69</v>
      </c>
      <c r="E77" s="35">
        <f t="shared" ca="1" si="11"/>
        <v>70</v>
      </c>
      <c r="F77" s="35"/>
      <c r="G77" s="99">
        <f t="shared" ca="1" si="14"/>
        <v>3.3309657351392394E-2</v>
      </c>
      <c r="H77" s="99">
        <f t="shared" ca="1" si="14"/>
        <v>3.6856805551556335E-2</v>
      </c>
      <c r="I77" s="99">
        <f t="shared" ca="1" si="14"/>
        <v>3.8284839203675342E-2</v>
      </c>
      <c r="J77" s="99">
        <f t="shared" ca="1" si="14"/>
        <v>3.8642297650130553E-2</v>
      </c>
      <c r="K77" s="99">
        <f t="shared" ca="1" si="14"/>
        <v>3.9022611232676876E-2</v>
      </c>
      <c r="L77" s="99">
        <f t="shared" ca="1" si="14"/>
        <v>4.2045964812017798E-2</v>
      </c>
      <c r="M77" s="99">
        <f t="shared" ca="1" si="14"/>
        <v>4.5369992287101313E-2</v>
      </c>
      <c r="N77" s="99">
        <f t="shared" ca="1" si="14"/>
        <v>5.1404345521992578E-2</v>
      </c>
      <c r="O77" s="99">
        <f t="shared" ca="1" si="14"/>
        <v>4.7042338104293861E-2</v>
      </c>
      <c r="P77" s="99">
        <f t="shared" ca="1" si="14"/>
        <v>4.047682590516858E-2</v>
      </c>
      <c r="Q77" s="99">
        <f t="shared" ca="1" si="14"/>
        <v>4.4039635672104893E-2</v>
      </c>
    </row>
    <row r="78" spans="1:17" customFormat="1" x14ac:dyDescent="0.2">
      <c r="A78" t="str">
        <f>IFERROR(INDEX('[2]2017 Data (WP)'!$C$9:$C$72,MATCH($B78,'[2]2017 Data (WP)'!$D$9:$D$72,0)),"")</f>
        <v>Water Utility</v>
      </c>
      <c r="B78" s="31" t="s">
        <v>208</v>
      </c>
      <c r="C78" s="31" t="s">
        <v>207</v>
      </c>
      <c r="D78" s="35">
        <f t="shared" ca="1" si="10"/>
        <v>70</v>
      </c>
      <c r="E78" s="35">
        <f t="shared" ca="1" si="11"/>
        <v>71</v>
      </c>
      <c r="F78" s="35"/>
      <c r="G78" s="99" t="str">
        <f t="shared" ca="1" si="14"/>
        <v>N/A</v>
      </c>
      <c r="H78" s="99">
        <f t="shared" ca="1" si="14"/>
        <v>2.629618267081562E-2</v>
      </c>
      <c r="I78" s="99">
        <f t="shared" ca="1" si="14"/>
        <v>2.7863023040576744E-2</v>
      </c>
      <c r="J78" s="99">
        <f t="shared" ca="1" si="14"/>
        <v>2.8024572269888821E-2</v>
      </c>
      <c r="K78" s="99">
        <f t="shared" ca="1" si="14"/>
        <v>3.0624999999999999E-2</v>
      </c>
      <c r="L78" s="99">
        <f t="shared" ca="1" si="14"/>
        <v>3.1049313615742653E-2</v>
      </c>
      <c r="M78" s="99">
        <f t="shared" ca="1" si="14"/>
        <v>3.5007817279586705E-2</v>
      </c>
      <c r="N78" s="99">
        <f t="shared" ca="1" si="14"/>
        <v>3.6155769917827797E-2</v>
      </c>
      <c r="O78" s="99">
        <f t="shared" ca="1" si="14"/>
        <v>3.490862364363221E-2</v>
      </c>
      <c r="P78" s="99">
        <f t="shared" ca="1" si="14"/>
        <v>2.753623188405797E-2</v>
      </c>
      <c r="Q78" s="99">
        <f t="shared" ca="1" si="14"/>
        <v>2.5049657912160673E-2</v>
      </c>
    </row>
    <row r="79" spans="1:17" customFormat="1" x14ac:dyDescent="0.2">
      <c r="B79" s="31"/>
      <c r="C79" s="31"/>
      <c r="D79" s="35"/>
      <c r="E79" s="35"/>
      <c r="F79" s="35"/>
      <c r="G79" s="99"/>
      <c r="H79" s="99"/>
      <c r="I79" s="99"/>
      <c r="J79" s="99"/>
      <c r="K79" s="99"/>
      <c r="L79" s="99"/>
      <c r="M79" s="99"/>
      <c r="N79" s="99"/>
      <c r="O79" s="99"/>
      <c r="P79" s="99"/>
      <c r="Q79" s="99"/>
    </row>
  </sheetData>
  <autoFilter ref="A4:T78"/>
  <pageMargins left="0.7" right="0.7" top="0.75" bottom="0.75" header="0.3" footer="0.3"/>
  <pageSetup scale="74" fitToHeight="0" orientation="landscape" r:id="rId1"/>
  <headerFooter>
    <oddFooter>&amp;R&amp;A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T80"/>
  <sheetViews>
    <sheetView zoomScale="70" zoomScaleNormal="70" workbookViewId="0">
      <selection activeCell="G33" sqref="G33:Q33"/>
    </sheetView>
  </sheetViews>
  <sheetFormatPr defaultRowHeight="14.25" x14ac:dyDescent="0.2"/>
  <cols>
    <col min="1" max="1" width="15.25" customWidth="1"/>
    <col min="2" max="2" width="7.5" bestFit="1" customWidth="1"/>
    <col min="3" max="3" width="22.25" customWidth="1"/>
    <col min="4" max="4" width="3.25" bestFit="1" customWidth="1"/>
    <col min="5" max="5" width="2.875" bestFit="1" customWidth="1"/>
    <col min="6" max="6" width="1.5" customWidth="1"/>
    <col min="7" max="9" width="6.25" bestFit="1" customWidth="1"/>
    <col min="10" max="11" width="5" bestFit="1" customWidth="1"/>
    <col min="12" max="12" width="4.875" bestFit="1" customWidth="1"/>
    <col min="13" max="13" width="5" bestFit="1" customWidth="1"/>
    <col min="14" max="17" width="5.25" bestFit="1" customWidth="1"/>
    <col min="18" max="20" width="9.25" style="31" customWidth="1"/>
  </cols>
  <sheetData>
    <row r="1" spans="1:20" x14ac:dyDescent="0.2">
      <c r="A1" t="s">
        <v>320</v>
      </c>
    </row>
    <row r="2" spans="1:20" x14ac:dyDescent="0.2">
      <c r="E2" s="35"/>
      <c r="F2" s="35"/>
      <c r="G2" s="35">
        <f t="shared" ref="G2:Q2" ca="1" si="0">MATCH(G3,OFFSET(BookValue,-2,0,1,),0)</f>
        <v>2</v>
      </c>
      <c r="H2" s="35">
        <f t="shared" ca="1" si="0"/>
        <v>3</v>
      </c>
      <c r="I2" s="35">
        <f t="shared" ca="1" si="0"/>
        <v>4</v>
      </c>
      <c r="J2" s="35">
        <f t="shared" ca="1" si="0"/>
        <v>5</v>
      </c>
      <c r="K2" s="35">
        <f t="shared" ca="1" si="0"/>
        <v>6</v>
      </c>
      <c r="L2" s="35">
        <f t="shared" ca="1" si="0"/>
        <v>7</v>
      </c>
      <c r="M2" s="35">
        <f t="shared" ca="1" si="0"/>
        <v>8</v>
      </c>
      <c r="N2" s="35">
        <f t="shared" ca="1" si="0"/>
        <v>9</v>
      </c>
      <c r="O2" s="35">
        <f t="shared" ca="1" si="0"/>
        <v>10</v>
      </c>
      <c r="P2" s="35">
        <f t="shared" ca="1" si="0"/>
        <v>11</v>
      </c>
      <c r="Q2" s="35">
        <f t="shared" ca="1" si="0"/>
        <v>12</v>
      </c>
      <c r="R2" s="55"/>
      <c r="S2" s="55"/>
      <c r="T2" s="55"/>
    </row>
    <row r="3" spans="1:20" ht="15.75" thickBot="1" x14ac:dyDescent="0.3">
      <c r="D3" s="35" t="s">
        <v>318</v>
      </c>
      <c r="E3" s="35" t="s">
        <v>256</v>
      </c>
      <c r="F3" s="35"/>
      <c r="G3" s="49">
        <v>2016</v>
      </c>
      <c r="H3" s="49">
        <v>2015</v>
      </c>
      <c r="I3" s="49">
        <v>2014</v>
      </c>
      <c r="J3" s="49">
        <v>2013</v>
      </c>
      <c r="K3" s="49">
        <v>2012</v>
      </c>
      <c r="L3" s="49">
        <v>2011</v>
      </c>
      <c r="M3" s="49">
        <v>2010</v>
      </c>
      <c r="N3" s="49">
        <v>2009</v>
      </c>
      <c r="O3" s="49">
        <v>2008</v>
      </c>
      <c r="P3" s="49">
        <v>2007</v>
      </c>
      <c r="Q3" s="49">
        <v>2006</v>
      </c>
      <c r="R3" s="56"/>
      <c r="S3" s="56"/>
      <c r="T3" s="56"/>
    </row>
    <row r="4" spans="1:20" x14ac:dyDescent="0.2">
      <c r="D4" s="35"/>
      <c r="E4" s="35"/>
      <c r="F4" s="35"/>
      <c r="G4" s="35"/>
      <c r="H4" s="35"/>
    </row>
    <row r="5" spans="1:20" x14ac:dyDescent="0.2">
      <c r="A5" t="str">
        <f>IFERROR(INDEX('2018 Data (WP)'!$C$9:$C$73,MATCH($B5,'2018 Data (WP)'!$D$9:$D$73,0)),"")</f>
        <v>Electric Util. (Central)</v>
      </c>
      <c r="B5" t="s">
        <v>0</v>
      </c>
      <c r="C5" t="s">
        <v>91</v>
      </c>
      <c r="D5" s="35">
        <f t="shared" ref="D5:D37" ca="1" si="1">MATCH(B5,OFFSET(Dividends,0,0,,1),0)</f>
        <v>3</v>
      </c>
      <c r="E5" s="35">
        <f t="shared" ref="E5:E47" ca="1" si="2">MATCH(B5,OFFSET(BookValue,0,0,,1),0)</f>
        <v>3</v>
      </c>
      <c r="F5" s="35"/>
      <c r="G5" s="17">
        <f t="shared" ref="G5:Q14" ca="1" si="3">IFERROR(INDEX(Dividends,$D5,G$2)/INDEX(BookValue,$E5,G$2),"N/A")</f>
        <v>5.4500196515131667E-2</v>
      </c>
      <c r="H5" s="17">
        <f t="shared" ca="1" si="3"/>
        <v>5.4490032640069061E-2</v>
      </c>
      <c r="I5" s="17">
        <f t="shared" ca="1" si="3"/>
        <v>5.5899381113994805E-2</v>
      </c>
      <c r="J5" s="17">
        <f t="shared" ca="1" si="3"/>
        <v>5.8575084009002069E-2</v>
      </c>
      <c r="K5" s="17">
        <f t="shared" ca="1" si="3"/>
        <v>6.0363493209107021E-2</v>
      </c>
      <c r="L5" s="17">
        <f t="shared" ca="1" si="3"/>
        <v>6.1846356971613219E-2</v>
      </c>
      <c r="M5" s="17">
        <f t="shared" ca="1" si="3"/>
        <v>6.4556358434508299E-2</v>
      </c>
      <c r="N5" s="17">
        <f t="shared" ca="1" si="3"/>
        <v>6.6651518594258885E-2</v>
      </c>
      <c r="O5" s="17">
        <f t="shared" ca="1" si="3"/>
        <v>6.7793937960663755E-2</v>
      </c>
      <c r="P5" s="17">
        <f t="shared" ca="1" si="3"/>
        <v>6.8021567814184988E-2</v>
      </c>
      <c r="Q5" s="17">
        <f t="shared" ca="1" si="3"/>
        <v>6.6207022510387653E-2</v>
      </c>
      <c r="R5" s="57"/>
      <c r="S5" s="58"/>
      <c r="T5" s="58"/>
    </row>
    <row r="6" spans="1:20" x14ac:dyDescent="0.2">
      <c r="A6" t="str">
        <f>IFERROR(INDEX('2018 Data (WP)'!$C$9:$C$73,MATCH($B6,'2018 Data (WP)'!$D$9:$D$73,0)),"")</f>
        <v>Electric Util. (Central)</v>
      </c>
      <c r="B6" t="s">
        <v>1</v>
      </c>
      <c r="C6" t="s">
        <v>84</v>
      </c>
      <c r="D6" s="35">
        <f t="shared" ca="1" si="1"/>
        <v>4</v>
      </c>
      <c r="E6" s="35">
        <f t="shared" ca="1" si="2"/>
        <v>4</v>
      </c>
      <c r="F6" s="35"/>
      <c r="G6" s="17">
        <f t="shared" ca="1" si="3"/>
        <v>6.9563166892648701E-2</v>
      </c>
      <c r="H6" s="17">
        <f t="shared" ca="1" si="3"/>
        <v>6.7024128686327081E-2</v>
      </c>
      <c r="I6" s="17">
        <f t="shared" ca="1" si="3"/>
        <v>6.5620174987133295E-2</v>
      </c>
      <c r="J6" s="17">
        <f t="shared" ca="1" si="3"/>
        <v>6.356075461491649E-2</v>
      </c>
      <c r="K6" s="17">
        <f t="shared" ca="1" si="3"/>
        <v>6.3725837286695466E-2</v>
      </c>
      <c r="L6" s="17">
        <f t="shared" ca="1" si="3"/>
        <v>6.2638172439204123E-2</v>
      </c>
      <c r="M6" s="17">
        <f t="shared" ca="1" si="3"/>
        <v>6.0550318080784857E-2</v>
      </c>
      <c r="N6" s="17">
        <f t="shared" ca="1" si="3"/>
        <v>5.9822924144532177E-2</v>
      </c>
      <c r="O6" s="17">
        <f t="shared" ca="1" si="3"/>
        <v>5.4764512595837894E-2</v>
      </c>
      <c r="P6" s="17">
        <f t="shared" ca="1" si="3"/>
        <v>5.2271978926572274E-2</v>
      </c>
      <c r="Q6" s="17">
        <f t="shared" ca="1" si="3"/>
        <v>5.0367904695164674E-2</v>
      </c>
      <c r="R6" s="57"/>
      <c r="S6" s="57"/>
      <c r="T6" s="57"/>
    </row>
    <row r="7" spans="1:20" x14ac:dyDescent="0.2">
      <c r="A7" t="str">
        <f>IFERROR(INDEX('2018 Data (WP)'!$C$9:$C$73,MATCH($B7,'2018 Data (WP)'!$D$9:$D$73,0)),"")</f>
        <v>Water Utility</v>
      </c>
      <c r="B7" s="31" t="s">
        <v>165</v>
      </c>
      <c r="C7" s="31" t="s">
        <v>164</v>
      </c>
      <c r="D7" s="35">
        <f t="shared" ca="1" si="1"/>
        <v>6</v>
      </c>
      <c r="E7" s="35">
        <f t="shared" ca="1" si="2"/>
        <v>6</v>
      </c>
      <c r="F7" s="35"/>
      <c r="G7" s="17">
        <f t="shared" ca="1" si="3"/>
        <v>6.7623557265463152E-2</v>
      </c>
      <c r="H7" s="17">
        <f t="shared" ca="1" si="3"/>
        <v>6.8468468468468463E-2</v>
      </c>
      <c r="I7" s="17">
        <f t="shared" ca="1" si="3"/>
        <v>6.2778575205862358E-2</v>
      </c>
      <c r="J7" s="17">
        <f t="shared" ca="1" si="3"/>
        <v>5.9762522607533224E-2</v>
      </c>
      <c r="K7" s="17">
        <f t="shared" ca="1" si="3"/>
        <v>5.381812017967625E-2</v>
      </c>
      <c r="L7" s="17">
        <f t="shared" ca="1" si="3"/>
        <v>5.073332718383914E-2</v>
      </c>
      <c r="M7" s="17">
        <f t="shared" ca="1" si="3"/>
        <v>5.1322542439794713E-2</v>
      </c>
      <c r="N7" s="17">
        <f t="shared" ca="1" si="3"/>
        <v>5.2077962256367953E-2</v>
      </c>
      <c r="O7" s="17">
        <f t="shared" ca="1" si="3"/>
        <v>5.5716514374860707E-2</v>
      </c>
      <c r="P7" s="17">
        <f t="shared" ca="1" si="3"/>
        <v>5.4522641724649254E-2</v>
      </c>
      <c r="Q7" s="17">
        <f t="shared" ca="1" si="3"/>
        <v>5.4680927773104196E-2</v>
      </c>
      <c r="R7" s="57"/>
      <c r="S7" s="57"/>
      <c r="T7" s="57"/>
    </row>
    <row r="8" spans="1:20" x14ac:dyDescent="0.2">
      <c r="A8" t="str">
        <f>IFERROR(INDEX('2018 Data (WP)'!$C$9:$C$73,MATCH($B8,'2018 Data (WP)'!$D$9:$D$73,0)),"")</f>
        <v>Water Utility</v>
      </c>
      <c r="B8" s="31" t="s">
        <v>167</v>
      </c>
      <c r="C8" s="31" t="s">
        <v>166</v>
      </c>
      <c r="D8" s="35">
        <f t="shared" ca="1" si="1"/>
        <v>7</v>
      </c>
      <c r="E8" s="35">
        <f t="shared" ca="1" si="2"/>
        <v>7</v>
      </c>
      <c r="F8" s="35"/>
      <c r="G8" s="17">
        <f t="shared" ca="1" si="3"/>
        <v>5.0268440310501657E-2</v>
      </c>
      <c r="H8" s="17">
        <f t="shared" ca="1" si="3"/>
        <v>4.707464694014795E-2</v>
      </c>
      <c r="I8" s="17">
        <f t="shared" ca="1" si="3"/>
        <v>4.4175094008981057E-2</v>
      </c>
      <c r="J8" s="17">
        <f t="shared" ca="1" si="3"/>
        <v>3.1669431458301915E-2</v>
      </c>
      <c r="K8" s="17">
        <f t="shared" ca="1" si="3"/>
        <v>4.8197570205138415E-2</v>
      </c>
      <c r="L8" s="17">
        <f t="shared" ca="1" si="3"/>
        <v>3.7324264919338115E-2</v>
      </c>
      <c r="M8" s="17">
        <f t="shared" ca="1" si="3"/>
        <v>3.6459216550788535E-2</v>
      </c>
      <c r="N8" s="17">
        <f t="shared" ca="1" si="3"/>
        <v>3.579223046704496E-2</v>
      </c>
      <c r="O8" s="17">
        <f t="shared" ca="1" si="3"/>
        <v>1.5601841017240034E-2</v>
      </c>
      <c r="P8" s="17">
        <f t="shared" ca="1" si="3"/>
        <v>0</v>
      </c>
      <c r="Q8" s="17">
        <f t="shared" ca="1" si="3"/>
        <v>0</v>
      </c>
      <c r="R8" s="57"/>
      <c r="S8" s="57"/>
      <c r="T8" s="57"/>
    </row>
    <row r="9" spans="1:20" x14ac:dyDescent="0.2">
      <c r="A9" t="str">
        <f>IFERROR(INDEX('2018 Data (WP)'!$C$9:$C$73,MATCH($B9,'2018 Data (WP)'!$D$9:$D$73,0)),"")</f>
        <v>Electric Util. (Central)</v>
      </c>
      <c r="B9" t="s">
        <v>3</v>
      </c>
      <c r="C9" t="s">
        <v>80</v>
      </c>
      <c r="D9" s="35">
        <f t="shared" ca="1" si="1"/>
        <v>8</v>
      </c>
      <c r="E9" s="35">
        <f t="shared" ca="1" si="2"/>
        <v>8</v>
      </c>
      <c r="F9" s="35"/>
      <c r="G9" s="17">
        <f t="shared" ca="1" si="3"/>
        <v>5.8584409373505501E-2</v>
      </c>
      <c r="H9" s="17">
        <f t="shared" ca="1" si="3"/>
        <v>5.7812554581339298E-2</v>
      </c>
      <c r="I9" s="17">
        <f t="shared" ca="1" si="3"/>
        <v>5.8192069975060538E-2</v>
      </c>
      <c r="J9" s="17">
        <f t="shared" ca="1" si="3"/>
        <v>5.9322976530347411E-2</v>
      </c>
      <c r="K9" s="17">
        <f t="shared" ca="1" si="3"/>
        <v>5.8678989254410098E-2</v>
      </c>
      <c r="L9" s="17">
        <f t="shared" ca="1" si="3"/>
        <v>4.7638012376692601E-2</v>
      </c>
      <c r="M9" s="17">
        <f t="shared" ca="1" si="3"/>
        <v>4.7893018193127038E-2</v>
      </c>
      <c r="N9" s="17">
        <f t="shared" ca="1" si="3"/>
        <v>4.6555216300371835E-2</v>
      </c>
      <c r="O9" s="17">
        <f t="shared" ca="1" si="3"/>
        <v>7.7443746569912791E-2</v>
      </c>
      <c r="P9" s="17">
        <f t="shared" ca="1" si="3"/>
        <v>7.8358784513342591E-2</v>
      </c>
      <c r="Q9" s="17">
        <f t="shared" ca="1" si="3"/>
        <v>7.9713783580215913E-2</v>
      </c>
      <c r="R9" s="57"/>
      <c r="S9" s="57"/>
      <c r="T9" s="57"/>
    </row>
    <row r="10" spans="1:20" x14ac:dyDescent="0.2">
      <c r="A10" t="str">
        <f>IFERROR(INDEX('2018 Data (WP)'!$C$9:$C$73,MATCH($B10,'2018 Data (WP)'!$D$9:$D$73,0)),"")</f>
        <v>Electric Util. (Central)</v>
      </c>
      <c r="B10" t="s">
        <v>2</v>
      </c>
      <c r="C10" t="s">
        <v>103</v>
      </c>
      <c r="D10" s="35">
        <f t="shared" ca="1" si="1"/>
        <v>5</v>
      </c>
      <c r="E10" s="35">
        <f t="shared" ca="1" si="2"/>
        <v>5</v>
      </c>
      <c r="F10" s="35"/>
      <c r="G10" s="17">
        <f t="shared" ca="1" si="3"/>
        <v>6.4160542679479932E-2</v>
      </c>
      <c r="H10" s="17">
        <f t="shared" ca="1" si="3"/>
        <v>5.9009194455880327E-2</v>
      </c>
      <c r="I10" s="17">
        <f t="shared" ca="1" si="3"/>
        <v>5.9066573556797008E-2</v>
      </c>
      <c r="J10" s="17">
        <f t="shared" ca="1" si="3"/>
        <v>5.9133915574963614E-2</v>
      </c>
      <c r="K10" s="17">
        <f t="shared" ca="1" si="3"/>
        <v>5.9924138590507756E-2</v>
      </c>
      <c r="L10" s="17">
        <f t="shared" ca="1" si="3"/>
        <v>6.0987670600646145E-2</v>
      </c>
      <c r="M10" s="17">
        <f t="shared" ca="1" si="3"/>
        <v>6.0355781448538752E-2</v>
      </c>
      <c r="N10" s="17">
        <f t="shared" ca="1" si="3"/>
        <v>5.9666739430983044E-2</v>
      </c>
      <c r="O10" s="17">
        <f t="shared" ca="1" si="3"/>
        <v>6.2279269357839971E-2</v>
      </c>
      <c r="P10" s="17">
        <f t="shared" ca="1" si="3"/>
        <v>6.2770648762464742E-2</v>
      </c>
      <c r="Q10" s="17">
        <f t="shared" ca="1" si="3"/>
        <v>6.3219117461120244E-2</v>
      </c>
      <c r="R10" s="57"/>
      <c r="S10" s="57"/>
      <c r="T10" s="57"/>
    </row>
    <row r="11" spans="1:20" x14ac:dyDescent="0.2">
      <c r="A11" t="str">
        <f>IFERROR(INDEX('2018 Data (WP)'!$C$9:$C$73,MATCH($B11,'2018 Data (WP)'!$D$9:$D$73,0)),"")</f>
        <v>Water Utility</v>
      </c>
      <c r="B11" s="31" t="s">
        <v>171</v>
      </c>
      <c r="C11" s="31" t="s">
        <v>170</v>
      </c>
      <c r="D11" s="35">
        <f t="shared" ca="1" si="1"/>
        <v>10</v>
      </c>
      <c r="E11" s="35">
        <f t="shared" ca="1" si="2"/>
        <v>10</v>
      </c>
      <c r="F11" s="35"/>
      <c r="G11" s="17">
        <f t="shared" ca="1" si="3"/>
        <v>7.0955988110077667E-2</v>
      </c>
      <c r="H11" s="17">
        <f t="shared" ca="1" si="3"/>
        <v>7.0581014729950903E-2</v>
      </c>
      <c r="I11" s="17">
        <f t="shared" ca="1" si="3"/>
        <v>6.7968497141007653E-2</v>
      </c>
      <c r="J11" s="17">
        <f t="shared" ca="1" si="3"/>
        <v>6.7230787063869243E-2</v>
      </c>
      <c r="K11" s="17">
        <f t="shared" ca="1" si="3"/>
        <v>6.7856690720344351E-2</v>
      </c>
      <c r="L11" s="17">
        <f t="shared" ca="1" si="3"/>
        <v>6.9922308546059936E-2</v>
      </c>
      <c r="M11" s="17">
        <f t="shared" ca="1" si="3"/>
        <v>6.9320017623733285E-2</v>
      </c>
      <c r="N11" s="17">
        <f t="shared" ca="1" si="3"/>
        <v>6.7692307692307691E-2</v>
      </c>
      <c r="O11" s="17">
        <f t="shared" ca="1" si="3"/>
        <v>6.5227817745803357E-2</v>
      </c>
      <c r="P11" s="17">
        <f t="shared" ca="1" si="3"/>
        <v>6.5584970111016216E-2</v>
      </c>
      <c r="Q11" s="17">
        <f t="shared" ca="1" si="3"/>
        <v>6.3173007896625985E-2</v>
      </c>
      <c r="R11" s="57"/>
      <c r="S11" s="57"/>
      <c r="T11" s="57"/>
    </row>
    <row r="12" spans="1:20" x14ac:dyDescent="0.2">
      <c r="A12" t="str">
        <f>IFERROR(INDEX('2018 Data (WP)'!$C$9:$C$73,MATCH($B12,'2018 Data (WP)'!$D$9:$D$73,0)),"")</f>
        <v>Natural Gas Utility</v>
      </c>
      <c r="B12" s="31" t="s">
        <v>175</v>
      </c>
      <c r="C12" s="31" t="s">
        <v>174</v>
      </c>
      <c r="D12" s="35">
        <f t="shared" ca="1" si="1"/>
        <v>12</v>
      </c>
      <c r="E12" s="35">
        <f t="shared" ca="1" si="2"/>
        <v>12</v>
      </c>
      <c r="F12" s="35"/>
      <c r="G12" s="17">
        <f t="shared" ca="1" si="3"/>
        <v>5.0418654902313856E-2</v>
      </c>
      <c r="H12" s="17">
        <f t="shared" ca="1" si="3"/>
        <v>4.955212502382314E-2</v>
      </c>
      <c r="I12" s="17">
        <f t="shared" ca="1" si="3"/>
        <v>4.8141040236801873E-2</v>
      </c>
      <c r="J12" s="17">
        <f t="shared" ca="1" si="3"/>
        <v>4.9176297024834024E-2</v>
      </c>
      <c r="K12" s="17">
        <f t="shared" ca="1" si="3"/>
        <v>5.2784577723378211E-2</v>
      </c>
      <c r="L12" s="17">
        <f t="shared" ca="1" si="3"/>
        <v>5.4447914164464727E-2</v>
      </c>
      <c r="M12" s="17">
        <f t="shared" ca="1" si="3"/>
        <v>5.5463576158940403E-2</v>
      </c>
      <c r="N12" s="17">
        <f t="shared" ca="1" si="3"/>
        <v>5.6124835239593523E-2</v>
      </c>
      <c r="O12" s="17">
        <f t="shared" ca="1" si="3"/>
        <v>5.7519578779700015E-2</v>
      </c>
      <c r="P12" s="17">
        <f t="shared" ca="1" si="3"/>
        <v>5.8165954739616471E-2</v>
      </c>
      <c r="Q12" s="17">
        <f t="shared" ca="1" si="3"/>
        <v>6.2490700788573127E-2</v>
      </c>
      <c r="R12" s="57"/>
      <c r="S12" s="57"/>
      <c r="T12" s="57"/>
    </row>
    <row r="13" spans="1:20" x14ac:dyDescent="0.2">
      <c r="A13" t="str">
        <f>IFERROR(INDEX('2018 Data (WP)'!$C$9:$C$73,MATCH($B13,'2018 Data (WP)'!$D$9:$D$73,0)),"")</f>
        <v>Electric Utility (East)</v>
      </c>
      <c r="B13" t="s">
        <v>260</v>
      </c>
      <c r="C13" t="s">
        <v>261</v>
      </c>
      <c r="D13" s="35">
        <f t="shared" ca="1" si="1"/>
        <v>13</v>
      </c>
      <c r="E13" s="35">
        <f t="shared" ca="1" si="2"/>
        <v>13</v>
      </c>
      <c r="F13" s="35"/>
      <c r="G13" s="17">
        <f t="shared" ca="1" si="3"/>
        <v>3.5338868665385083E-2</v>
      </c>
      <c r="H13" s="17">
        <f ca="1">IFERROR(INDEX(Dividends,$D13,H$2)/INDEX(BookValue,$E13,H$2),"N/A")</f>
        <v>0</v>
      </c>
      <c r="I13" s="17" t="str">
        <f t="shared" ca="1" si="3"/>
        <v>N/A</v>
      </c>
      <c r="J13" s="17" t="str">
        <f t="shared" ca="1" si="3"/>
        <v>N/A</v>
      </c>
      <c r="K13" s="17" t="str">
        <f t="shared" ca="1" si="3"/>
        <v>N/A</v>
      </c>
      <c r="L13" s="17" t="str">
        <f t="shared" ca="1" si="3"/>
        <v>N/A</v>
      </c>
      <c r="M13" s="17" t="str">
        <f t="shared" ca="1" si="3"/>
        <v>N/A</v>
      </c>
      <c r="N13" s="17" t="str">
        <f t="shared" ca="1" si="3"/>
        <v>N/A</v>
      </c>
      <c r="O13" s="17" t="str">
        <f t="shared" ca="1" si="3"/>
        <v>N/A</v>
      </c>
      <c r="P13" s="17" t="str">
        <f t="shared" ca="1" si="3"/>
        <v>N/A</v>
      </c>
      <c r="Q13" s="17" t="str">
        <f t="shared" ca="1" si="3"/>
        <v>N/A</v>
      </c>
      <c r="R13" s="57"/>
      <c r="S13" s="57"/>
      <c r="T13" s="57"/>
    </row>
    <row r="14" spans="1:20" x14ac:dyDescent="0.2">
      <c r="A14" t="str">
        <f>IFERROR(INDEX('2018 Data (WP)'!$C$9:$C$73,MATCH($B14,'2018 Data (WP)'!$D$9:$D$73,0)),"")</f>
        <v>Electric Utility (West)</v>
      </c>
      <c r="B14" t="s">
        <v>4</v>
      </c>
      <c r="C14" t="s">
        <v>86</v>
      </c>
      <c r="D14" s="35">
        <f t="shared" ca="1" si="1"/>
        <v>14</v>
      </c>
      <c r="E14" s="35">
        <f t="shared" ca="1" si="2"/>
        <v>14</v>
      </c>
      <c r="F14" s="35"/>
      <c r="G14" s="17">
        <f t="shared" ca="1" si="3"/>
        <v>5.3336447870435261E-2</v>
      </c>
      <c r="H14" s="17">
        <f t="shared" ca="1" si="3"/>
        <v>5.3807272134355127E-2</v>
      </c>
      <c r="I14" s="17">
        <f t="shared" ca="1" si="3"/>
        <v>5.3278516591853002E-2</v>
      </c>
      <c r="J14" s="17">
        <f t="shared" ca="1" si="3"/>
        <v>5.6455344747801943E-2</v>
      </c>
      <c r="K14" s="17">
        <f t="shared" ca="1" si="3"/>
        <v>5.5088569121907204E-2</v>
      </c>
      <c r="L14" s="17">
        <f t="shared" ca="1" si="3"/>
        <v>5.4200542005420051E-2</v>
      </c>
      <c r="M14" s="17">
        <f t="shared" ca="1" si="3"/>
        <v>5.0738241412552641E-2</v>
      </c>
      <c r="N14" s="17">
        <f t="shared" ca="1" si="3"/>
        <v>4.2251317093526683E-2</v>
      </c>
      <c r="O14" s="17">
        <f t="shared" ca="1" si="3"/>
        <v>3.7713161346742456E-2</v>
      </c>
      <c r="P14" s="17">
        <f t="shared" ca="1" si="3"/>
        <v>3.4444830380919299E-2</v>
      </c>
      <c r="Q14" s="17">
        <f t="shared" ca="1" si="3"/>
        <v>3.2647917979265709E-2</v>
      </c>
      <c r="R14" s="57"/>
      <c r="S14" s="57"/>
      <c r="T14" s="57"/>
    </row>
    <row r="15" spans="1:20" x14ac:dyDescent="0.2">
      <c r="A15" t="str">
        <f>IFERROR(INDEX('2018 Data (WP)'!$C$9:$C$73,MATCH($B15,'2018 Data (WP)'!$D$9:$D$73,0)),"")</f>
        <v>Electric Utility (West)</v>
      </c>
      <c r="B15" t="s">
        <v>5</v>
      </c>
      <c r="C15" t="s">
        <v>46</v>
      </c>
      <c r="D15" s="35">
        <f t="shared" ca="1" si="1"/>
        <v>15</v>
      </c>
      <c r="E15" s="35">
        <f t="shared" ca="1" si="2"/>
        <v>15</v>
      </c>
      <c r="F15" s="35"/>
      <c r="G15" s="17">
        <f t="shared" ref="G15:Q24" ca="1" si="4">IFERROR(INDEX(Dividends,$D15,G$2)/INDEX(BookValue,$E15,G$2),"N/A")</f>
        <v>5.5542698449432999E-2</v>
      </c>
      <c r="H15" s="17">
        <f t="shared" ca="1" si="4"/>
        <v>5.6574122577265587E-2</v>
      </c>
      <c r="I15" s="17">
        <f t="shared" ca="1" si="4"/>
        <v>5.0644417751517706E-2</v>
      </c>
      <c r="J15" s="17">
        <f t="shared" ca="1" si="4"/>
        <v>5.1721791207295489E-2</v>
      </c>
      <c r="K15" s="17">
        <f t="shared" ca="1" si="4"/>
        <v>5.3082744521358631E-2</v>
      </c>
      <c r="L15" s="17">
        <f t="shared" ca="1" si="4"/>
        <v>5.3029202382681967E-2</v>
      </c>
      <c r="M15" s="17">
        <f t="shared" ca="1" si="4"/>
        <v>5.1393697134087583E-2</v>
      </c>
      <c r="N15" s="17">
        <f t="shared" ca="1" si="4"/>
        <v>5.1007579295233307E-2</v>
      </c>
      <c r="O15" s="17">
        <f t="shared" ca="1" si="4"/>
        <v>5.1487624581663047E-2</v>
      </c>
      <c r="P15" s="17">
        <f t="shared" ca="1" si="4"/>
        <v>5.3390491036632896E-2</v>
      </c>
      <c r="Q15" s="17">
        <f t="shared" ca="1" si="4"/>
        <v>5.5752660922453123E-2</v>
      </c>
      <c r="R15" s="57"/>
      <c r="S15" s="57"/>
      <c r="T15" s="57"/>
    </row>
    <row r="16" spans="1:20" x14ac:dyDescent="0.2">
      <c r="A16" t="str">
        <f>IFERROR(INDEX('2018 Data (WP)'!$C$9:$C$73,MATCH($B16,'2018 Data (WP)'!$D$9:$D$73,0)),"")</f>
        <v>Water Utility</v>
      </c>
      <c r="B16" s="31" t="s">
        <v>177</v>
      </c>
      <c r="C16" s="31" t="s">
        <v>176</v>
      </c>
      <c r="D16" s="35">
        <f t="shared" ca="1" si="1"/>
        <v>16</v>
      </c>
      <c r="E16" s="35">
        <f t="shared" ca="1" si="2"/>
        <v>16</v>
      </c>
      <c r="F16" s="35"/>
      <c r="G16" s="17">
        <f t="shared" ca="1" si="4"/>
        <v>5.0185468034038831E-2</v>
      </c>
      <c r="H16" s="17">
        <f t="shared" ca="1" si="4"/>
        <v>4.9951539551181694E-2</v>
      </c>
      <c r="I16" s="17">
        <f t="shared" ca="1" si="4"/>
        <v>4.9588037839487335E-2</v>
      </c>
      <c r="J16" s="17">
        <f t="shared" ca="1" si="4"/>
        <v>5.1028544091851383E-2</v>
      </c>
      <c r="K16" s="17">
        <f t="shared" ca="1" si="4"/>
        <v>5.5831265508684863E-2</v>
      </c>
      <c r="L16" s="17">
        <f t="shared" ca="1" si="4"/>
        <v>5.7172073998326675E-2</v>
      </c>
      <c r="M16" s="17">
        <f t="shared" ca="1" si="4"/>
        <v>5.692145795465417E-2</v>
      </c>
      <c r="N16" s="17">
        <f t="shared" ca="1" si="4"/>
        <v>5.8254344391785146E-2</v>
      </c>
      <c r="O16" s="17">
        <f t="shared" ca="1" si="4"/>
        <v>6.0172803949804565E-2</v>
      </c>
      <c r="P16" s="17">
        <f t="shared" ca="1" si="4"/>
        <v>6.271626297577855E-2</v>
      </c>
      <c r="Q16" s="17">
        <f t="shared" ca="1" si="4"/>
        <v>6.3374848451449348E-2</v>
      </c>
      <c r="R16" s="57"/>
      <c r="S16" s="57"/>
      <c r="T16" s="57"/>
    </row>
    <row r="17" spans="1:20" x14ac:dyDescent="0.2">
      <c r="A17" t="str">
        <f>IFERROR(INDEX('2018 Data (WP)'!$C$9:$C$73,MATCH($B17,'2018 Data (WP)'!$D$9:$D$73,0)),"")</f>
        <v>Electric Util. (Central)</v>
      </c>
      <c r="B17" t="s">
        <v>6</v>
      </c>
      <c r="C17" t="s">
        <v>90</v>
      </c>
      <c r="D17" s="35">
        <f t="shared" ca="1" si="1"/>
        <v>17</v>
      </c>
      <c r="E17" s="35">
        <f t="shared" ca="1" si="2"/>
        <v>17</v>
      </c>
      <c r="F17" s="35"/>
      <c r="G17" s="17">
        <f t="shared" ca="1" si="4"/>
        <v>0.12820512820512819</v>
      </c>
      <c r="H17" s="17">
        <f t="shared" ca="1" si="4"/>
        <v>0.12299664554603057</v>
      </c>
      <c r="I17" s="17">
        <f t="shared" ca="1" si="4"/>
        <v>8.9614187340816887E-2</v>
      </c>
      <c r="J17" s="17">
        <f t="shared" ca="1" si="4"/>
        <v>8.2251511247646417E-2</v>
      </c>
      <c r="K17" s="17">
        <f t="shared" ca="1" si="4"/>
        <v>8.050089445438284E-2</v>
      </c>
      <c r="L17" s="17">
        <f t="shared" ca="1" si="4"/>
        <v>7.9717457114026238E-2</v>
      </c>
      <c r="M17" s="17">
        <f t="shared" ca="1" si="4"/>
        <v>0.10358565737051793</v>
      </c>
      <c r="N17" s="17">
        <f t="shared" ca="1" si="4"/>
        <v>0.11282660332541568</v>
      </c>
      <c r="O17" s="17">
        <f t="shared" ca="1" si="4"/>
        <v>0.12402310567448181</v>
      </c>
      <c r="P17" s="17">
        <f t="shared" ca="1" si="4"/>
        <v>0.12123373150294171</v>
      </c>
      <c r="Q17" s="17">
        <f t="shared" ca="1" si="4"/>
        <v>0.12094335819391251</v>
      </c>
      <c r="R17" s="57"/>
      <c r="S17" s="57"/>
      <c r="T17" s="57"/>
    </row>
    <row r="18" spans="1:20" x14ac:dyDescent="0.2">
      <c r="A18" t="str">
        <f>IFERROR(INDEX('2018 Data (WP)'!$C$9:$C$73,MATCH($B18,'2018 Data (WP)'!$D$9:$D$73,0)),"")</f>
        <v/>
      </c>
      <c r="B18" t="s">
        <v>7</v>
      </c>
      <c r="C18" t="s">
        <v>48</v>
      </c>
      <c r="D18" s="35" t="e">
        <f t="shared" ca="1" si="1"/>
        <v>#N/A</v>
      </c>
      <c r="E18" s="35" t="e">
        <f t="shared" ca="1" si="2"/>
        <v>#N/A</v>
      </c>
      <c r="F18" s="35"/>
      <c r="G18" s="17" t="str">
        <f t="shared" ca="1" si="4"/>
        <v>N/A</v>
      </c>
      <c r="H18" s="17" t="str">
        <f t="shared" ca="1" si="4"/>
        <v>N/A</v>
      </c>
      <c r="I18" s="17" t="str">
        <f t="shared" ca="1" si="4"/>
        <v>N/A</v>
      </c>
      <c r="J18" s="17" t="str">
        <f t="shared" ca="1" si="4"/>
        <v>N/A</v>
      </c>
      <c r="K18" s="17" t="str">
        <f t="shared" ca="1" si="4"/>
        <v>N/A</v>
      </c>
      <c r="L18" s="17" t="str">
        <f t="shared" ca="1" si="4"/>
        <v>N/A</v>
      </c>
      <c r="M18" s="17" t="str">
        <f t="shared" ca="1" si="4"/>
        <v>N/A</v>
      </c>
      <c r="N18" s="17" t="str">
        <f t="shared" ca="1" si="4"/>
        <v>N/A</v>
      </c>
      <c r="O18" s="17" t="str">
        <f t="shared" ca="1" si="4"/>
        <v>N/A</v>
      </c>
      <c r="P18" s="17" t="str">
        <f t="shared" ca="1" si="4"/>
        <v>N/A</v>
      </c>
      <c r="Q18" s="17" t="str">
        <f t="shared" ca="1" si="4"/>
        <v>N/A</v>
      </c>
      <c r="R18" s="57"/>
      <c r="S18" s="57"/>
      <c r="T18" s="57"/>
    </row>
    <row r="19" spans="1:20" x14ac:dyDescent="0.2">
      <c r="A19" t="str">
        <f>IFERROR(INDEX('2018 Data (WP)'!$C$9:$C$73,MATCH($B19,'2018 Data (WP)'!$D$9:$D$73,0)),"")</f>
        <v>Natural Gas Utility</v>
      </c>
      <c r="B19" s="31" t="s">
        <v>178</v>
      </c>
      <c r="C19" s="31" t="s">
        <v>215</v>
      </c>
      <c r="D19" s="35">
        <f t="shared" ca="1" si="1"/>
        <v>18</v>
      </c>
      <c r="E19" s="35">
        <f t="shared" ca="1" si="2"/>
        <v>18</v>
      </c>
      <c r="F19" s="35"/>
      <c r="G19" s="17">
        <f t="shared" ca="1" si="4"/>
        <v>4.3492562406344797E-2</v>
      </c>
      <c r="H19" s="17">
        <f t="shared" ca="1" si="4"/>
        <v>4.7755084637359835E-2</v>
      </c>
      <c r="I19" s="17">
        <f t="shared" ca="1" si="4"/>
        <v>5.1831341688526184E-2</v>
      </c>
      <c r="J19" s="17">
        <f t="shared" ca="1" si="4"/>
        <v>5.2536043978840367E-2</v>
      </c>
      <c r="K19" s="17">
        <f t="shared" ca="1" si="4"/>
        <v>5.3859964093357263E-2</v>
      </c>
      <c r="L19" s="17">
        <f t="shared" ca="1" si="4"/>
        <v>5.4237692215997148E-2</v>
      </c>
      <c r="M19" s="17">
        <f t="shared" ca="1" si="4"/>
        <v>5.4938115685779235E-2</v>
      </c>
      <c r="N19" s="17">
        <f t="shared" ca="1" si="4"/>
        <v>5.5954859944918382E-2</v>
      </c>
      <c r="O19" s="17">
        <f t="shared" ca="1" si="4"/>
        <v>6.7149276085871193E-2</v>
      </c>
      <c r="P19" s="17">
        <f t="shared" ca="1" si="4"/>
        <v>6.657031117156946E-2</v>
      </c>
      <c r="Q19" s="17">
        <f t="shared" ca="1" si="4"/>
        <v>6.9494584837545129E-2</v>
      </c>
      <c r="R19" s="58"/>
      <c r="S19" s="58"/>
      <c r="T19" s="58"/>
    </row>
    <row r="20" spans="1:20" x14ac:dyDescent="0.2">
      <c r="A20" t="str">
        <f>IFERROR(INDEX('2018 Data (WP)'!$C$9:$C$73,MATCH($B20,'2018 Data (WP)'!$D$9:$D$73,0)),"")</f>
        <v/>
      </c>
      <c r="B20" t="s">
        <v>8</v>
      </c>
      <c r="C20" t="s">
        <v>49</v>
      </c>
      <c r="D20" s="35" t="e">
        <f t="shared" ca="1" si="1"/>
        <v>#N/A</v>
      </c>
      <c r="E20" s="35" t="e">
        <f t="shared" ca="1" si="2"/>
        <v>#N/A</v>
      </c>
      <c r="F20" s="35"/>
      <c r="G20" s="17" t="str">
        <f t="shared" ca="1" si="4"/>
        <v>N/A</v>
      </c>
      <c r="H20" s="17" t="str">
        <f t="shared" ca="1" si="4"/>
        <v>N/A</v>
      </c>
      <c r="I20" s="17" t="str">
        <f t="shared" ca="1" si="4"/>
        <v>N/A</v>
      </c>
      <c r="J20" s="17" t="str">
        <f t="shared" ca="1" si="4"/>
        <v>N/A</v>
      </c>
      <c r="K20" s="17" t="str">
        <f t="shared" ca="1" si="4"/>
        <v>N/A</v>
      </c>
      <c r="L20" s="17" t="str">
        <f t="shared" ca="1" si="4"/>
        <v>N/A</v>
      </c>
      <c r="M20" s="17" t="str">
        <f t="shared" ca="1" si="4"/>
        <v>N/A</v>
      </c>
      <c r="N20" s="17" t="str">
        <f t="shared" ca="1" si="4"/>
        <v>N/A</v>
      </c>
      <c r="O20" s="17" t="str">
        <f t="shared" ca="1" si="4"/>
        <v>N/A</v>
      </c>
      <c r="P20" s="17" t="str">
        <f t="shared" ca="1" si="4"/>
        <v>N/A</v>
      </c>
      <c r="Q20" s="17" t="str">
        <f t="shared" ca="1" si="4"/>
        <v>N/A</v>
      </c>
      <c r="R20" s="57"/>
      <c r="S20" s="57"/>
      <c r="T20" s="57"/>
    </row>
    <row r="21" spans="1:20" x14ac:dyDescent="0.2">
      <c r="A21" t="str">
        <f>IFERROR(INDEX('2018 Data (WP)'!$C$9:$C$73,MATCH($B21,'2018 Data (WP)'!$D$9:$D$73,0)),"")</f>
        <v>Electric Util. (Central)</v>
      </c>
      <c r="B21" t="s">
        <v>9</v>
      </c>
      <c r="C21" t="s">
        <v>47</v>
      </c>
      <c r="D21" s="35">
        <f t="shared" ca="1" si="1"/>
        <v>19</v>
      </c>
      <c r="E21" s="35">
        <f t="shared" ca="1" si="2"/>
        <v>19</v>
      </c>
      <c r="F21" s="35"/>
      <c r="G21" s="17">
        <f t="shared" ca="1" si="4"/>
        <v>8.1407563025210086E-2</v>
      </c>
      <c r="H21" s="17">
        <f t="shared" ca="1" si="4"/>
        <v>8.1644144144144143E-2</v>
      </c>
      <c r="I21" s="17">
        <f t="shared" ca="1" si="4"/>
        <v>8.0983803239352128E-2</v>
      </c>
      <c r="J21" s="17">
        <f t="shared" ca="1" si="4"/>
        <v>7.8582434514637908E-2</v>
      </c>
      <c r="K21" s="17">
        <f t="shared" ca="1" si="4"/>
        <v>7.9378204068132965E-2</v>
      </c>
      <c r="L21" s="17">
        <f t="shared" ca="1" si="4"/>
        <v>7.0487538810103209E-2</v>
      </c>
      <c r="M21" s="17">
        <f t="shared" ca="1" si="4"/>
        <v>5.8981233243967833E-2</v>
      </c>
      <c r="N21" s="17">
        <f t="shared" ca="1" si="4"/>
        <v>4.3790506218251889E-2</v>
      </c>
      <c r="O21" s="17">
        <f t="shared" ca="1" si="4"/>
        <v>3.3094318808604521E-2</v>
      </c>
      <c r="P21" s="17">
        <f t="shared" ca="1" si="4"/>
        <v>2.1139414438220063E-2</v>
      </c>
      <c r="Q21" s="17">
        <f t="shared" ca="1" si="4"/>
        <v>0</v>
      </c>
      <c r="R21" s="57"/>
      <c r="S21" s="57"/>
      <c r="T21" s="57"/>
    </row>
    <row r="22" spans="1:20" x14ac:dyDescent="0.2">
      <c r="A22" t="str">
        <f>IFERROR(INDEX('2018 Data (WP)'!$C$9:$C$73,MATCH($B22,'2018 Data (WP)'!$D$9:$D$73,0)),"")</f>
        <v>Water Utility</v>
      </c>
      <c r="B22" s="31" t="s">
        <v>180</v>
      </c>
      <c r="C22" s="31" t="s">
        <v>179</v>
      </c>
      <c r="D22" s="35">
        <f t="shared" ca="1" si="1"/>
        <v>20</v>
      </c>
      <c r="E22" s="35">
        <f t="shared" ca="1" si="2"/>
        <v>20</v>
      </c>
      <c r="F22" s="35"/>
      <c r="G22" s="17">
        <f t="shared" ca="1" si="4"/>
        <v>5.3376542915693659E-2</v>
      </c>
      <c r="H22" s="17">
        <f t="shared" ca="1" si="4"/>
        <v>5.2473763118440778E-2</v>
      </c>
      <c r="I22" s="17">
        <f t="shared" ca="1" si="4"/>
        <v>5.3640660682989005E-2</v>
      </c>
      <c r="J22" s="17">
        <f t="shared" ca="1" si="4"/>
        <v>5.4702763047725374E-2</v>
      </c>
      <c r="K22" s="17">
        <f t="shared" ca="1" si="4"/>
        <v>4.5832139788026346E-2</v>
      </c>
      <c r="L22" s="17">
        <f t="shared" ca="1" si="4"/>
        <v>6.9645106319922948E-2</v>
      </c>
      <c r="M22" s="17">
        <f t="shared" ca="1" si="4"/>
        <v>7.0525105404369487E-2</v>
      </c>
      <c r="N22" s="17">
        <f t="shared" ca="1" si="4"/>
        <v>7.1033938437253363E-2</v>
      </c>
      <c r="O22" s="17">
        <f t="shared" ca="1" si="4"/>
        <v>7.1936565029019864E-2</v>
      </c>
      <c r="P22" s="17">
        <f t="shared" ca="1" si="4"/>
        <v>7.2803347280334732E-2</v>
      </c>
      <c r="Q22" s="17">
        <f t="shared" ca="1" si="4"/>
        <v>7.3719606828763579E-2</v>
      </c>
      <c r="R22" s="57"/>
      <c r="S22" s="57"/>
      <c r="T22" s="57"/>
    </row>
    <row r="23" spans="1:20" x14ac:dyDescent="0.2">
      <c r="A23" t="str">
        <f>IFERROR(INDEX('2018 Data (WP)'!$C$9:$C$73,MATCH($B23,'2018 Data (WP)'!$D$9:$D$73,0)),"")</f>
        <v>Electric Utility (East)</v>
      </c>
      <c r="B23" t="s">
        <v>10</v>
      </c>
      <c r="C23" t="s">
        <v>50</v>
      </c>
      <c r="D23" s="35">
        <f t="shared" ca="1" si="1"/>
        <v>21</v>
      </c>
      <c r="E23" s="35">
        <f t="shared" ca="1" si="2"/>
        <v>21</v>
      </c>
      <c r="F23" s="35"/>
      <c r="G23" s="17">
        <f t="shared" ca="1" si="4"/>
        <v>5.7168454958510216E-2</v>
      </c>
      <c r="H23" s="17">
        <f t="shared" ca="1" si="4"/>
        <v>5.8366632245319447E-2</v>
      </c>
      <c r="I23" s="17">
        <f t="shared" ca="1" si="4"/>
        <v>5.8686539357242669E-2</v>
      </c>
      <c r="J23" s="17">
        <f t="shared" ca="1" si="4"/>
        <v>5.8837598660607504E-2</v>
      </c>
      <c r="K23" s="17">
        <f t="shared" ca="1" si="4"/>
        <v>5.9714751024033945E-2</v>
      </c>
      <c r="L23" s="17">
        <f t="shared" ca="1" si="4"/>
        <v>6.1465963222865336E-2</v>
      </c>
      <c r="M23" s="17">
        <f t="shared" ca="1" si="4"/>
        <v>6.2747165831795404E-2</v>
      </c>
      <c r="N23" s="17">
        <f t="shared" ca="1" si="4"/>
        <v>6.4733795978824366E-2</v>
      </c>
      <c r="O23" s="17">
        <f t="shared" ca="1" si="4"/>
        <v>6.6045723962743441E-2</v>
      </c>
      <c r="P23" s="17">
        <f t="shared" ca="1" si="4"/>
        <v>7.1204959793751146E-2</v>
      </c>
      <c r="Q23" s="17">
        <f t="shared" ca="1" si="4"/>
        <v>7.3981150889382091E-2</v>
      </c>
      <c r="R23" s="57"/>
      <c r="S23" s="57"/>
      <c r="T23" s="57"/>
    </row>
    <row r="24" spans="1:20" x14ac:dyDescent="0.2">
      <c r="A24" t="str">
        <f>IFERROR(INDEX('2018 Data (WP)'!$C$9:$C$73,MATCH($B24,'2018 Data (WP)'!$D$9:$D$73,0)),"")</f>
        <v>Water Utility</v>
      </c>
      <c r="B24" s="31" t="s">
        <v>182</v>
      </c>
      <c r="C24" s="31" t="s">
        <v>181</v>
      </c>
      <c r="D24" s="35">
        <f t="shared" ca="1" si="1"/>
        <v>22</v>
      </c>
      <c r="E24" s="35">
        <f t="shared" ca="1" si="2"/>
        <v>22</v>
      </c>
      <c r="F24" s="35"/>
      <c r="G24" s="17">
        <f t="shared" ca="1" si="4"/>
        <v>3.0646644192460926E-2</v>
      </c>
      <c r="H24" s="17">
        <f t="shared" ca="1" si="4"/>
        <v>3.0577922739781875E-2</v>
      </c>
      <c r="I24" s="17">
        <f t="shared" ca="1" si="4"/>
        <v>3.1325049597995196E-2</v>
      </c>
      <c r="J24" s="17">
        <f t="shared" ca="1" si="4"/>
        <v>3.1769564756962833E-2</v>
      </c>
      <c r="K24" s="17">
        <f t="shared" ca="1" si="4"/>
        <v>3.2626427406199018E-2</v>
      </c>
      <c r="L24" s="17">
        <f t="shared" ca="1" si="4"/>
        <v>3.3955857385398976E-2</v>
      </c>
      <c r="M24" s="17">
        <f t="shared" ca="1" si="4"/>
        <v>3.4534361689881436E-2</v>
      </c>
      <c r="N24" s="17">
        <f t="shared" ca="1" si="4"/>
        <v>3.2813781788351114E-2</v>
      </c>
      <c r="O24" s="17">
        <f t="shared" ca="1" si="4"/>
        <v>3.8857006217120994E-2</v>
      </c>
      <c r="P24" s="17">
        <f t="shared" ca="1" si="4"/>
        <v>2.3737066342057214E-2</v>
      </c>
      <c r="Q24" s="17">
        <f t="shared" ca="1" si="4"/>
        <v>3.2051282051282048E-2</v>
      </c>
      <c r="R24" s="57"/>
      <c r="S24" s="57"/>
      <c r="T24" s="57"/>
    </row>
    <row r="25" spans="1:20" x14ac:dyDescent="0.2">
      <c r="A25" t="str">
        <f>IFERROR(INDEX('2018 Data (WP)'!$C$9:$C$73,MATCH($B25,'2018 Data (WP)'!$D$9:$D$73,0)),"")</f>
        <v>Electric Utility (East)</v>
      </c>
      <c r="B25" t="s">
        <v>11</v>
      </c>
      <c r="C25" t="s">
        <v>52</v>
      </c>
      <c r="D25" s="35">
        <f t="shared" ca="1" si="1"/>
        <v>24</v>
      </c>
      <c r="E25" s="35">
        <f t="shared" ca="1" si="2"/>
        <v>24</v>
      </c>
      <c r="F25" s="35"/>
      <c r="G25" s="17">
        <f t="shared" ref="G25:Q35" ca="1" si="5">IFERROR(INDEX(Dividends,$D25,G$2)/INDEX(BookValue,$E25,G$2),"N/A")</f>
        <v>0.12035763411279229</v>
      </c>
      <c r="H25" s="17">
        <f t="shared" ca="1" si="5"/>
        <v>0.12195121951219512</v>
      </c>
      <c r="I25" s="17">
        <f t="shared" ca="1" si="5"/>
        <v>0.12156823016918245</v>
      </c>
      <c r="J25" s="17">
        <f t="shared" ca="1" si="5"/>
        <v>0.11238199890115379</v>
      </c>
      <c r="K25" s="17">
        <f t="shared" ca="1" si="5"/>
        <v>0.11502398604448319</v>
      </c>
      <c r="L25" s="17">
        <f t="shared" ca="1" si="5"/>
        <v>9.8053854959932296E-2</v>
      </c>
      <c r="M25" s="17">
        <f t="shared" ca="1" si="5"/>
        <v>8.8594113090627424E-2</v>
      </c>
      <c r="N25" s="17">
        <f t="shared" ca="1" si="5"/>
        <v>9.3783494105037515E-2</v>
      </c>
      <c r="O25" s="17">
        <f t="shared" ca="1" si="5"/>
        <v>9.1440476879449048E-2</v>
      </c>
      <c r="P25" s="17">
        <f t="shared" ca="1" si="5"/>
        <v>8.9532102777948125E-2</v>
      </c>
      <c r="Q25" s="17">
        <f t="shared" ca="1" si="5"/>
        <v>7.4594594594594582E-2</v>
      </c>
      <c r="R25" s="57"/>
      <c r="S25" s="57"/>
      <c r="T25" s="57"/>
    </row>
    <row r="26" spans="1:20" x14ac:dyDescent="0.2">
      <c r="A26" t="str">
        <f>IFERROR(INDEX('2018 Data (WP)'!$C$9:$C$73,MATCH($B26,'2018 Data (WP)'!$D$9:$D$73,0)),"")</f>
        <v>Electric Util. (Central)</v>
      </c>
      <c r="B26" t="s">
        <v>12</v>
      </c>
      <c r="C26" t="s">
        <v>51</v>
      </c>
      <c r="D26" s="35">
        <f t="shared" ca="1" si="1"/>
        <v>25</v>
      </c>
      <c r="E26" s="35">
        <f t="shared" ca="1" si="2"/>
        <v>25</v>
      </c>
      <c r="F26" s="35"/>
      <c r="G26" s="17">
        <f t="shared" ca="1" si="5"/>
        <v>6.0933112965212366E-2</v>
      </c>
      <c r="H26" s="17">
        <f t="shared" ca="1" si="5"/>
        <v>5.8105039179982401E-2</v>
      </c>
      <c r="I26" s="17">
        <f t="shared" ca="1" si="5"/>
        <v>5.7175650399591903E-2</v>
      </c>
      <c r="J26" s="17">
        <f t="shared" ca="1" si="5"/>
        <v>5.7904267924612667E-2</v>
      </c>
      <c r="K26" s="17">
        <f t="shared" ca="1" si="5"/>
        <v>5.6569812291077388E-2</v>
      </c>
      <c r="L26" s="17">
        <f t="shared" ca="1" si="5"/>
        <v>5.6021056190085239E-2</v>
      </c>
      <c r="M26" s="17">
        <f t="shared" ca="1" si="5"/>
        <v>5.4946439823566486E-2</v>
      </c>
      <c r="N26" s="17">
        <f t="shared" ca="1" si="5"/>
        <v>5.5854146906944881E-2</v>
      </c>
      <c r="O26" s="17">
        <f t="shared" ca="1" si="5"/>
        <v>5.7647858599592122E-2</v>
      </c>
      <c r="P26" s="17">
        <f t="shared" ca="1" si="5"/>
        <v>5.9123741528850714E-2</v>
      </c>
      <c r="Q26" s="17">
        <f t="shared" ca="1" si="5"/>
        <v>6.2842605772434057E-2</v>
      </c>
      <c r="R26" s="57"/>
      <c r="S26" s="57"/>
      <c r="T26" s="57"/>
    </row>
    <row r="27" spans="1:20" x14ac:dyDescent="0.2">
      <c r="A27" t="str">
        <f>IFERROR(INDEX('2018 Data (WP)'!$C$9:$C$73,MATCH($B27,'2018 Data (WP)'!$D$9:$D$73,0)),"")</f>
        <v>Electric Utility (East)</v>
      </c>
      <c r="B27" t="s">
        <v>13</v>
      </c>
      <c r="C27" t="s">
        <v>93</v>
      </c>
      <c r="D27" s="35">
        <f t="shared" ca="1" si="1"/>
        <v>26</v>
      </c>
      <c r="E27" s="35">
        <f t="shared" ca="1" si="2"/>
        <v>26</v>
      </c>
      <c r="F27" s="35"/>
      <c r="G27" s="17">
        <f t="shared" ca="1" si="5"/>
        <v>5.7319299203329975E-2</v>
      </c>
      <c r="H27" s="17">
        <f t="shared" ca="1" si="5"/>
        <v>5.6110697400550719E-2</v>
      </c>
      <c r="I27" s="17">
        <f t="shared" ca="1" si="5"/>
        <v>5.4484130415982011E-2</v>
      </c>
      <c r="J27" s="17">
        <f t="shared" ca="1" si="5"/>
        <v>5.2783519242923765E-2</v>
      </c>
      <c r="K27" s="17">
        <f t="shared" ca="1" si="5"/>
        <v>5.220177796154641E-2</v>
      </c>
      <c r="L27" s="17">
        <f t="shared" ca="1" si="5"/>
        <v>5.8075870160344156E-2</v>
      </c>
      <c r="M27" s="17">
        <f t="shared" ca="1" si="5"/>
        <v>5.7232766250368772E-2</v>
      </c>
      <c r="N27" s="17">
        <f t="shared" ca="1" si="5"/>
        <v>5.6567439621278984E-2</v>
      </c>
      <c r="O27" s="17">
        <f t="shared" ca="1" si="5"/>
        <v>5.4539945460054542E-2</v>
      </c>
      <c r="P27" s="17">
        <f t="shared" ca="1" si="5"/>
        <v>5.1191491894680453E-2</v>
      </c>
      <c r="Q27" s="17">
        <f t="shared" ca="1" si="5"/>
        <v>0</v>
      </c>
      <c r="R27" s="57"/>
      <c r="S27" s="57"/>
      <c r="T27" s="57"/>
    </row>
    <row r="28" spans="1:20" x14ac:dyDescent="0.2">
      <c r="A28" t="str">
        <f>IFERROR(INDEX('2018 Data (WP)'!$C$9:$C$73,MATCH($B28,'2018 Data (WP)'!$D$9:$D$73,0)),"")</f>
        <v>Electric Utility (West)</v>
      </c>
      <c r="B28" t="s">
        <v>14</v>
      </c>
      <c r="C28" t="s">
        <v>53</v>
      </c>
      <c r="D28" s="35">
        <f t="shared" ca="1" si="1"/>
        <v>27</v>
      </c>
      <c r="E28" s="35">
        <f t="shared" ca="1" si="2"/>
        <v>27</v>
      </c>
      <c r="F28" s="35"/>
      <c r="G28" s="17">
        <f t="shared" ca="1" si="5"/>
        <v>5.3858062413427846E-2</v>
      </c>
      <c r="H28" s="17">
        <f t="shared" ca="1" si="5"/>
        <v>4.9668969075119661E-2</v>
      </c>
      <c r="I28" s="17">
        <f t="shared" ca="1" si="5"/>
        <v>4.4085733820862685E-2</v>
      </c>
      <c r="J28" s="17">
        <f t="shared" ca="1" si="5"/>
        <v>4.4849518064389228E-2</v>
      </c>
      <c r="K28" s="17">
        <f t="shared" ca="1" si="5"/>
        <v>4.5355625410204145E-2</v>
      </c>
      <c r="L28" s="17">
        <f t="shared" ca="1" si="5"/>
        <v>4.1638313729302351E-2</v>
      </c>
      <c r="M28" s="17">
        <f t="shared" ca="1" si="5"/>
        <v>3.899266383083657E-2</v>
      </c>
      <c r="N28" s="17">
        <f t="shared" ca="1" si="5"/>
        <v>4.1218341334216195E-2</v>
      </c>
      <c r="O28" s="17">
        <f t="shared" ca="1" si="5"/>
        <v>4.193769257103732E-2</v>
      </c>
      <c r="P28" s="17">
        <f t="shared" ca="1" si="5"/>
        <v>4.5337037465756069E-2</v>
      </c>
      <c r="Q28" s="17">
        <f t="shared" ca="1" si="5"/>
        <v>4.6490004649000466E-2</v>
      </c>
      <c r="R28" s="57"/>
      <c r="S28" s="57"/>
      <c r="T28" s="57"/>
    </row>
    <row r="29" spans="1:20" x14ac:dyDescent="0.2">
      <c r="A29" t="str">
        <f>IFERROR(INDEX('2018 Data (WP)'!$C$9:$C$73,MATCH($B29,'2018 Data (WP)'!$D$9:$D$73,0)),"")</f>
        <v>Electric Utility (West)</v>
      </c>
      <c r="B29" t="s">
        <v>15</v>
      </c>
      <c r="C29" t="s">
        <v>88</v>
      </c>
      <c r="D29" s="35">
        <f t="shared" ca="1" si="1"/>
        <v>28</v>
      </c>
      <c r="E29" s="35">
        <f t="shared" ca="1" si="2"/>
        <v>28</v>
      </c>
      <c r="F29" s="35"/>
      <c r="G29" s="17">
        <f t="shared" ca="1" si="5"/>
        <v>4.6196779424520121E-2</v>
      </c>
      <c r="H29" s="17">
        <f t="shared" ca="1" si="5"/>
        <v>4.6349711557589018E-2</v>
      </c>
      <c r="I29" s="17">
        <f t="shared" ca="1" si="5"/>
        <v>4.5307310672844318E-2</v>
      </c>
      <c r="J29" s="17">
        <f t="shared" ca="1" si="5"/>
        <v>4.4581911262798632E-2</v>
      </c>
      <c r="K29" s="17">
        <f t="shared" ca="1" si="5"/>
        <v>4.7162930908737292E-2</v>
      </c>
      <c r="L29" s="17">
        <f t="shared" ca="1" si="5"/>
        <v>3.468937243771681E-2</v>
      </c>
      <c r="M29" s="17">
        <f t="shared" ca="1" si="5"/>
        <v>0</v>
      </c>
      <c r="N29" s="17">
        <f t="shared" ca="1" si="5"/>
        <v>0</v>
      </c>
      <c r="O29" s="17">
        <f t="shared" ca="1" si="5"/>
        <v>0</v>
      </c>
      <c r="P29" s="17">
        <f t="shared" ca="1" si="5"/>
        <v>0</v>
      </c>
      <c r="Q29" s="17">
        <f t="shared" ca="1" si="5"/>
        <v>0</v>
      </c>
      <c r="R29" s="57"/>
      <c r="S29" s="57"/>
      <c r="T29" s="57"/>
    </row>
    <row r="30" spans="1:20" x14ac:dyDescent="0.2">
      <c r="A30" t="str">
        <f>IFERROR(INDEX('2018 Data (WP)'!$C$9:$C$73,MATCH($B30,'2018 Data (WP)'!$D$9:$D$73,0)),"")</f>
        <v/>
      </c>
      <c r="B30" t="s">
        <v>16</v>
      </c>
      <c r="C30" t="s">
        <v>102</v>
      </c>
      <c r="D30" s="35" t="e">
        <f t="shared" ca="1" si="1"/>
        <v>#N/A</v>
      </c>
      <c r="E30" s="35">
        <f t="shared" ca="1" si="2"/>
        <v>29</v>
      </c>
      <c r="F30" s="35"/>
      <c r="G30" s="17" t="str">
        <f t="shared" ca="1" si="5"/>
        <v>N/A</v>
      </c>
      <c r="H30" s="17" t="str">
        <f t="shared" ca="1" si="5"/>
        <v>N/A</v>
      </c>
      <c r="I30" s="17" t="str">
        <f t="shared" ca="1" si="5"/>
        <v>N/A</v>
      </c>
      <c r="J30" s="17" t="str">
        <f t="shared" ca="1" si="5"/>
        <v>N/A</v>
      </c>
      <c r="K30" s="17" t="str">
        <f t="shared" ca="1" si="5"/>
        <v>N/A</v>
      </c>
      <c r="L30" s="17" t="str">
        <f t="shared" ca="1" si="5"/>
        <v>N/A</v>
      </c>
      <c r="M30" s="17" t="str">
        <f t="shared" ca="1" si="5"/>
        <v>N/A</v>
      </c>
      <c r="N30" s="17" t="str">
        <f t="shared" ca="1" si="5"/>
        <v>N/A</v>
      </c>
      <c r="O30" s="17" t="str">
        <f t="shared" ca="1" si="5"/>
        <v>N/A</v>
      </c>
      <c r="P30" s="17" t="str">
        <f t="shared" ca="1" si="5"/>
        <v>N/A</v>
      </c>
      <c r="Q30" s="17" t="str">
        <f t="shared" ca="1" si="5"/>
        <v>N/A</v>
      </c>
      <c r="R30" s="57"/>
      <c r="S30" s="57"/>
      <c r="T30" s="57"/>
    </row>
    <row r="31" spans="1:20" x14ac:dyDescent="0.2">
      <c r="A31" t="str">
        <f>IFERROR(INDEX('2018 Data (WP)'!$C$9:$C$73,MATCH($B31,'2018 Data (WP)'!$D$9:$D$73,0)),"")</f>
        <v>Electric Util. (Central)</v>
      </c>
      <c r="B31" t="s">
        <v>17</v>
      </c>
      <c r="C31" t="s">
        <v>55</v>
      </c>
      <c r="D31" s="35">
        <f t="shared" ca="1" si="1"/>
        <v>29</v>
      </c>
      <c r="E31" s="35">
        <f t="shared" ca="1" si="2"/>
        <v>30</v>
      </c>
      <c r="F31" s="35"/>
      <c r="G31" s="17">
        <f t="shared" ca="1" si="5"/>
        <v>7.580291242768801E-2</v>
      </c>
      <c r="H31" s="17">
        <f t="shared" ca="1" si="5"/>
        <v>6.4365689618623656E-2</v>
      </c>
      <c r="I31" s="17">
        <f t="shared" ca="1" si="5"/>
        <v>5.9461976573414045E-2</v>
      </c>
      <c r="J31" s="17">
        <f t="shared" ca="1" si="5"/>
        <v>6.1479204473908367E-2</v>
      </c>
      <c r="K31" s="17">
        <f t="shared" ca="1" si="5"/>
        <v>6.4185596906718212E-2</v>
      </c>
      <c r="L31" s="17">
        <f t="shared" ca="1" si="5"/>
        <v>6.5336324634943127E-2</v>
      </c>
      <c r="M31" s="17">
        <f t="shared" ca="1" si="5"/>
        <v>6.8163170849725452E-2</v>
      </c>
      <c r="N31" s="17">
        <f t="shared" ca="1" si="5"/>
        <v>6.5868920847513446E-2</v>
      </c>
      <c r="O31" s="17">
        <f t="shared" ca="1" si="5"/>
        <v>7.1308026906895486E-2</v>
      </c>
      <c r="P31" s="17">
        <f t="shared" ca="1" si="5"/>
        <v>6.3368865746426292E-2</v>
      </c>
      <c r="Q31" s="17">
        <f t="shared" ca="1" si="5"/>
        <v>5.3399258343634119E-2</v>
      </c>
      <c r="R31" s="57"/>
      <c r="S31" s="57"/>
      <c r="T31" s="57"/>
    </row>
    <row r="32" spans="1:20" x14ac:dyDescent="0.2">
      <c r="A32" t="str">
        <f>IFERROR(INDEX('2018 Data (WP)'!$C$9:$C$73,MATCH($B32,'2018 Data (WP)'!$D$9:$D$73,0)),"")</f>
        <v>Electric Utility (East)</v>
      </c>
      <c r="B32" t="s">
        <v>211</v>
      </c>
      <c r="C32" t="s">
        <v>212</v>
      </c>
      <c r="D32" s="35">
        <f t="shared" ca="1" si="1"/>
        <v>30</v>
      </c>
      <c r="E32" s="35">
        <f t="shared" ca="1" si="2"/>
        <v>31</v>
      </c>
      <c r="F32" s="35"/>
      <c r="G32" s="17">
        <f t="shared" ca="1" si="5"/>
        <v>5.2658048102239452E-2</v>
      </c>
      <c r="H32" s="17">
        <f t="shared" ca="1" si="5"/>
        <v>5.1168918711891408E-2</v>
      </c>
      <c r="I32" s="17">
        <f t="shared" ca="1" si="5"/>
        <v>4.988244265107708E-2</v>
      </c>
      <c r="J32" s="17">
        <f t="shared" ca="1" si="5"/>
        <v>4.8218854556189725E-2</v>
      </c>
      <c r="K32" s="17">
        <f t="shared" ca="1" si="5"/>
        <v>4.4879640962872301E-2</v>
      </c>
      <c r="L32" s="17">
        <f t="shared" ca="1" si="5"/>
        <v>4.8565121412803537E-2</v>
      </c>
      <c r="M32" s="17">
        <f t="shared" ca="1" si="5"/>
        <v>4.7455900736145189E-2</v>
      </c>
      <c r="N32" s="17">
        <f t="shared" ca="1" si="5"/>
        <v>4.6630344082854755E-2</v>
      </c>
      <c r="O32" s="17">
        <f t="shared" ca="1" si="5"/>
        <v>4.2565266742338244E-2</v>
      </c>
      <c r="P32" s="17">
        <f t="shared" ca="1" si="5"/>
        <v>4.1550503967402959E-2</v>
      </c>
      <c r="Q32" s="17">
        <f t="shared" ca="1" si="5"/>
        <v>3.9960315273108081E-2</v>
      </c>
      <c r="R32" s="57"/>
      <c r="S32" s="57"/>
      <c r="T32" s="57"/>
    </row>
    <row r="33" spans="1:20" x14ac:dyDescent="0.2">
      <c r="A33" t="str">
        <f>IFERROR(INDEX('2018 Data (WP)'!$C$9:$C$73,MATCH($B33,'2018 Data (WP)'!$D$9:$D$73,0)),"")</f>
        <v>Electric Util. (Central)</v>
      </c>
      <c r="B33" t="s">
        <v>487</v>
      </c>
      <c r="C33" t="s">
        <v>488</v>
      </c>
      <c r="D33" s="35" t="e">
        <f t="shared" ca="1" si="1"/>
        <v>#N/A</v>
      </c>
      <c r="E33" s="35" t="e">
        <f t="shared" ca="1" si="2"/>
        <v>#N/A</v>
      </c>
      <c r="F33" s="35"/>
      <c r="G33" s="17" t="s">
        <v>106</v>
      </c>
      <c r="H33" s="17" t="s">
        <v>106</v>
      </c>
      <c r="I33" s="17" t="s">
        <v>106</v>
      </c>
      <c r="J33" s="17" t="s">
        <v>106</v>
      </c>
      <c r="K33" s="17" t="s">
        <v>106</v>
      </c>
      <c r="L33" s="17" t="s">
        <v>106</v>
      </c>
      <c r="M33" s="17" t="s">
        <v>106</v>
      </c>
      <c r="N33" s="17" t="s">
        <v>106</v>
      </c>
      <c r="O33" s="17" t="s">
        <v>106</v>
      </c>
      <c r="P33" s="17" t="s">
        <v>106</v>
      </c>
      <c r="Q33" s="17" t="s">
        <v>106</v>
      </c>
      <c r="R33" s="57"/>
      <c r="S33" s="57"/>
      <c r="T33" s="57"/>
    </row>
    <row r="34" spans="1:20" x14ac:dyDescent="0.2">
      <c r="A34" t="str">
        <f>IFERROR(INDEX('2018 Data (WP)'!$C$9:$C$73,MATCH($B34,'2018 Data (WP)'!$D$9:$D$73,0)),"")</f>
        <v>Electric Utility (East)</v>
      </c>
      <c r="B34" t="s">
        <v>18</v>
      </c>
      <c r="C34" t="s">
        <v>69</v>
      </c>
      <c r="D34" s="35">
        <f t="shared" ca="1" si="1"/>
        <v>31</v>
      </c>
      <c r="E34" s="35">
        <f t="shared" ca="1" si="2"/>
        <v>32</v>
      </c>
      <c r="F34" s="35"/>
      <c r="G34" s="17">
        <f t="shared" ca="1" si="5"/>
        <v>4.5062765995493727E-2</v>
      </c>
      <c r="H34" s="17">
        <f t="shared" ca="1" si="5"/>
        <v>4.4225693701405236E-2</v>
      </c>
      <c r="I34" s="17">
        <f t="shared" ca="1" si="5"/>
        <v>4.7160841288555889E-2</v>
      </c>
      <c r="J34" s="17">
        <f t="shared" ca="1" si="5"/>
        <v>5.4872529793332334E-2</v>
      </c>
      <c r="K34" s="17">
        <f t="shared" ca="1" si="5"/>
        <v>8.3758774728781113E-2</v>
      </c>
      <c r="L34" s="17">
        <f t="shared" ca="1" si="5"/>
        <v>9.6841134424717562E-2</v>
      </c>
      <c r="M34" s="17">
        <f t="shared" ca="1" si="5"/>
        <v>0.10249902381882078</v>
      </c>
      <c r="N34" s="17">
        <f t="shared" ca="1" si="5"/>
        <v>0.10960906101571065</v>
      </c>
      <c r="O34" s="17">
        <f t="shared" ca="1" si="5"/>
        <v>0.12213285671730711</v>
      </c>
      <c r="P34" s="17">
        <f t="shared" ca="1" si="5"/>
        <v>0.11865180259469327</v>
      </c>
      <c r="Q34" s="17">
        <f t="shared" ca="1" si="5"/>
        <v>0.11015583019881783</v>
      </c>
      <c r="R34" s="57"/>
      <c r="S34" s="57"/>
      <c r="T34" s="57"/>
    </row>
    <row r="35" spans="1:20" x14ac:dyDescent="0.2">
      <c r="A35" t="str">
        <f>IFERROR(INDEX('2018 Data (WP)'!$C$9:$C$73,MATCH($B35,'2018 Data (WP)'!$D$9:$D$73,0)),"")</f>
        <v>Electric Utility (East)</v>
      </c>
      <c r="B35" t="s">
        <v>19</v>
      </c>
      <c r="C35" t="s">
        <v>66</v>
      </c>
      <c r="D35" s="35">
        <f t="shared" ca="1" si="1"/>
        <v>32</v>
      </c>
      <c r="E35" s="35">
        <f t="shared" ca="1" si="2"/>
        <v>33</v>
      </c>
      <c r="F35" s="35"/>
      <c r="G35" s="17">
        <f t="shared" ca="1" si="5"/>
        <v>0.10206251328938974</v>
      </c>
      <c r="H35" s="17">
        <f t="shared" ca="1" si="5"/>
        <v>4.9104859335038366E-2</v>
      </c>
      <c r="I35" s="17">
        <f t="shared" ca="1" si="5"/>
        <v>4.8823489523292872E-2</v>
      </c>
      <c r="J35" s="17">
        <f t="shared" ca="1" si="5"/>
        <v>5.4423114981199283E-2</v>
      </c>
      <c r="K35" s="17">
        <f t="shared" ca="1" si="5"/>
        <v>7.0321240210963726E-2</v>
      </c>
      <c r="L35" s="17">
        <f t="shared" ca="1" si="5"/>
        <v>6.9282610064873726E-2</v>
      </c>
      <c r="M35" s="17">
        <f t="shared" ca="1" si="5"/>
        <v>7.8481735159817365E-2</v>
      </c>
      <c r="N35" s="17">
        <f t="shared" ca="1" si="5"/>
        <v>7.8355949709726827E-2</v>
      </c>
      <c r="O35" s="17">
        <f t="shared" ca="1" si="5"/>
        <v>8.0965699985278972E-2</v>
      </c>
      <c r="P35" s="17">
        <f t="shared" ca="1" si="5"/>
        <v>6.96118713708445E-2</v>
      </c>
      <c r="Q35" s="17">
        <f t="shared" ca="1" si="5"/>
        <v>6.535947712418301E-2</v>
      </c>
      <c r="R35" s="57"/>
      <c r="S35" s="57"/>
      <c r="T35" s="57"/>
    </row>
    <row r="36" spans="1:20" x14ac:dyDescent="0.2">
      <c r="A36" t="str">
        <f>IFERROR(INDEX('2018 Data (WP)'!$C$9:$C$73,MATCH($B36,'2018 Data (WP)'!$D$9:$D$73,0)),"")</f>
        <v>Electric Util. (Central)</v>
      </c>
      <c r="B36" t="s">
        <v>266</v>
      </c>
      <c r="C36" t="s">
        <v>265</v>
      </c>
      <c r="D36" s="35">
        <f t="shared" ca="1" si="1"/>
        <v>33</v>
      </c>
      <c r="E36" s="35">
        <f t="shared" ca="1" si="2"/>
        <v>34</v>
      </c>
      <c r="F36" s="35"/>
      <c r="G36" s="17">
        <f t="shared" ref="G36:Q45" ca="1" si="6">IFERROR(INDEX(Dividends,$D36,G$2)/INDEX(BookValue,$E36,G$2),"N/A")</f>
        <v>4.796534117282996E-2</v>
      </c>
      <c r="H36" s="17">
        <f t="shared" ca="1" si="6"/>
        <v>4.9954586739327879E-2</v>
      </c>
      <c r="I36" s="17">
        <f t="shared" ca="1" si="6"/>
        <v>5.2219321148825069E-2</v>
      </c>
      <c r="J36" s="17">
        <f t="shared" ca="1" si="6"/>
        <v>5.5838470472616815E-2</v>
      </c>
      <c r="K36" s="17">
        <f t="shared" ca="1" si="6"/>
        <v>5.8064206535822262E-2</v>
      </c>
      <c r="L36" s="17">
        <f t="shared" ca="1" si="6"/>
        <v>5.6984219754529511E-2</v>
      </c>
      <c r="M36" s="17">
        <f t="shared" ca="1" si="6"/>
        <v>5.9099783652577703E-2</v>
      </c>
      <c r="N36" s="17">
        <f t="shared" ca="1" si="6"/>
        <v>5.6007324034681463E-2</v>
      </c>
      <c r="O36" s="17">
        <f t="shared" ca="1" si="6"/>
        <v>5.5546297839249012E-2</v>
      </c>
      <c r="P36" s="17">
        <f t="shared" ca="1" si="6"/>
        <v>4.9031332217172922E-2</v>
      </c>
      <c r="Q36" s="17">
        <f t="shared" ca="1" si="6"/>
        <v>5.4671562627498976E-2</v>
      </c>
      <c r="R36" s="57"/>
      <c r="S36" s="57"/>
      <c r="T36" s="57"/>
    </row>
    <row r="37" spans="1:20" x14ac:dyDescent="0.2">
      <c r="A37" t="str">
        <f>IFERROR(INDEX('2018 Data (WP)'!$C$9:$C$73,MATCH($B37,'2018 Data (WP)'!$D$9:$D$73,0)),"")</f>
        <v/>
      </c>
      <c r="B37" t="s">
        <v>57</v>
      </c>
      <c r="C37" t="s">
        <v>56</v>
      </c>
      <c r="D37" s="35" t="e">
        <f t="shared" ca="1" si="1"/>
        <v>#N/A</v>
      </c>
      <c r="E37" s="35" t="e">
        <f t="shared" ca="1" si="2"/>
        <v>#N/A</v>
      </c>
      <c r="F37" s="35"/>
      <c r="G37" s="17" t="str">
        <f t="shared" ca="1" si="6"/>
        <v>N/A</v>
      </c>
      <c r="H37" s="17" t="str">
        <f t="shared" ca="1" si="6"/>
        <v>N/A</v>
      </c>
      <c r="I37" s="17" t="str">
        <f t="shared" ca="1" si="6"/>
        <v>N/A</v>
      </c>
      <c r="J37" s="17" t="str">
        <f t="shared" ca="1" si="6"/>
        <v>N/A</v>
      </c>
      <c r="K37" s="17" t="str">
        <f t="shared" ca="1" si="6"/>
        <v>N/A</v>
      </c>
      <c r="L37" s="17" t="str">
        <f t="shared" ca="1" si="6"/>
        <v>N/A</v>
      </c>
      <c r="M37" s="17" t="str">
        <f t="shared" ca="1" si="6"/>
        <v>N/A</v>
      </c>
      <c r="N37" s="17" t="str">
        <f t="shared" ca="1" si="6"/>
        <v>N/A</v>
      </c>
      <c r="O37" s="17" t="str">
        <f t="shared" ca="1" si="6"/>
        <v>N/A</v>
      </c>
      <c r="P37" s="17" t="str">
        <f t="shared" ca="1" si="6"/>
        <v>N/A</v>
      </c>
      <c r="Q37" s="17" t="str">
        <f t="shared" ca="1" si="6"/>
        <v>N/A</v>
      </c>
      <c r="R37" s="57"/>
      <c r="S37" s="57"/>
      <c r="T37" s="57"/>
    </row>
    <row r="38" spans="1:20" x14ac:dyDescent="0.2">
      <c r="A38" t="str">
        <f>IFERROR(INDEX('2018 Data (WP)'!$C$9:$C$73,MATCH($B38,'2018 Data (WP)'!$D$9:$D$73,0)),"")</f>
        <v>Electric Util. (Central)</v>
      </c>
      <c r="B38" t="s">
        <v>20</v>
      </c>
      <c r="C38" t="s">
        <v>104</v>
      </c>
      <c r="D38" s="35">
        <f t="shared" ref="D38:D47" ca="1" si="7">MATCH(B38,OFFSET(Dividends,0,0,,1),0)</f>
        <v>35</v>
      </c>
      <c r="E38" s="35">
        <f t="shared" ca="1" si="2"/>
        <v>36</v>
      </c>
      <c r="F38" s="35"/>
      <c r="G38" s="17">
        <f t="shared" ca="1" si="6"/>
        <v>4.2659010957907077E-2</v>
      </c>
      <c r="H38" s="17">
        <f t="shared" ca="1" si="6"/>
        <v>4.2143490562053965E-2</v>
      </c>
      <c r="I38" s="17">
        <f t="shared" ca="1" si="6"/>
        <v>4.0194308313988479E-2</v>
      </c>
      <c r="J38" s="17">
        <f t="shared" ca="1" si="6"/>
        <v>3.9059386209645275E-2</v>
      </c>
      <c r="K38" s="17">
        <f t="shared" ca="1" si="6"/>
        <v>3.9301310043668124E-2</v>
      </c>
      <c r="L38" s="17">
        <f t="shared" ca="1" si="6"/>
        <v>3.8406697024055927E-2</v>
      </c>
      <c r="M38" s="17">
        <f t="shared" ca="1" si="6"/>
        <v>3.9031272043263579E-2</v>
      </c>
      <c r="N38" s="17">
        <f t="shared" ca="1" si="6"/>
        <v>4.0250230347703801E-2</v>
      </c>
      <c r="O38" s="17">
        <f t="shared" ca="1" si="6"/>
        <v>7.7613615111277345E-2</v>
      </c>
      <c r="P38" s="17">
        <f t="shared" ca="1" si="6"/>
        <v>9.1299087009129906E-2</v>
      </c>
      <c r="Q38" s="17">
        <f t="shared" ca="1" si="6"/>
        <v>9.9395245793665044E-2</v>
      </c>
      <c r="R38" s="57"/>
      <c r="S38" s="58"/>
      <c r="T38" s="58"/>
    </row>
    <row r="39" spans="1:20" x14ac:dyDescent="0.2">
      <c r="A39" t="str">
        <f>IFERROR(INDEX('2018 Data (WP)'!$C$9:$C$73,MATCH($B39,'2018 Data (WP)'!$D$9:$D$73,0)),"")</f>
        <v>Electric Utility (West)</v>
      </c>
      <c r="B39" t="s">
        <v>21</v>
      </c>
      <c r="C39" t="s">
        <v>58</v>
      </c>
      <c r="D39" s="35">
        <f t="shared" ca="1" si="7"/>
        <v>36</v>
      </c>
      <c r="E39" s="35">
        <f t="shared" ca="1" si="2"/>
        <v>37</v>
      </c>
      <c r="F39" s="35"/>
      <c r="G39" s="17">
        <f t="shared" ca="1" si="6"/>
        <v>6.5146579804560262E-2</v>
      </c>
      <c r="H39" s="17">
        <f t="shared" ca="1" si="6"/>
        <v>6.912699297580556E-2</v>
      </c>
      <c r="I39" s="17">
        <f t="shared" ca="1" si="6"/>
        <v>7.0995076147944577E-2</v>
      </c>
      <c r="J39" s="17">
        <f t="shared" ca="1" si="6"/>
        <v>7.2701688555347088E-2</v>
      </c>
      <c r="K39" s="17">
        <f t="shared" ca="1" si="6"/>
        <v>7.6185795035635287E-2</v>
      </c>
      <c r="L39" s="17">
        <f t="shared" ca="1" si="6"/>
        <v>7.7738072848097292E-2</v>
      </c>
      <c r="M39" s="17">
        <f t="shared" ca="1" si="6"/>
        <v>7.9142200663773296E-2</v>
      </c>
      <c r="N39" s="17">
        <f t="shared" ca="1" si="6"/>
        <v>7.9579001411885508E-2</v>
      </c>
      <c r="O39" s="17">
        <f t="shared" ca="1" si="6"/>
        <v>8.0781758957654728E-2</v>
      </c>
      <c r="P39" s="17">
        <f t="shared" ca="1" si="6"/>
        <v>8.111467259763197E-2</v>
      </c>
      <c r="Q39" s="17">
        <f t="shared" ca="1" si="6"/>
        <v>9.2227593901078458E-2</v>
      </c>
      <c r="R39" s="57"/>
      <c r="S39" s="57"/>
      <c r="T39" s="57"/>
    </row>
    <row r="40" spans="1:20" x14ac:dyDescent="0.2">
      <c r="A40" t="str">
        <f>IFERROR(INDEX('2018 Data (WP)'!$C$9:$C$73,MATCH($B40,'2018 Data (WP)'!$D$9:$D$73,0)),"")</f>
        <v>Electric Utility (West)</v>
      </c>
      <c r="B40" t="s">
        <v>22</v>
      </c>
      <c r="C40" t="s">
        <v>59</v>
      </c>
      <c r="D40" s="35">
        <f t="shared" ca="1" si="7"/>
        <v>37</v>
      </c>
      <c r="E40" s="35">
        <f t="shared" ca="1" si="2"/>
        <v>38</v>
      </c>
      <c r="F40" s="35"/>
      <c r="G40" s="17">
        <f t="shared" ca="1" si="6"/>
        <v>4.8667493390112081E-2</v>
      </c>
      <c r="H40" s="17">
        <f t="shared" ca="1" si="6"/>
        <v>4.6967880819002425E-2</v>
      </c>
      <c r="I40" s="17">
        <f t="shared" ca="1" si="6"/>
        <v>4.5297781438204565E-2</v>
      </c>
      <c r="J40" s="17">
        <f t="shared" ca="1" si="6"/>
        <v>4.2614407469735632E-2</v>
      </c>
      <c r="K40" s="17">
        <f t="shared" ca="1" si="6"/>
        <v>3.9070298017966638E-2</v>
      </c>
      <c r="L40" s="17">
        <f t="shared" ca="1" si="6"/>
        <v>3.6160916076540602E-2</v>
      </c>
      <c r="M40" s="17">
        <f t="shared" ca="1" si="6"/>
        <v>3.8695946599593689E-2</v>
      </c>
      <c r="N40" s="17">
        <f t="shared" ca="1" si="6"/>
        <v>4.1132515253307737E-2</v>
      </c>
      <c r="O40" s="17">
        <f t="shared" ca="1" si="6"/>
        <v>4.3229222954717386E-2</v>
      </c>
      <c r="P40" s="17">
        <f t="shared" ca="1" si="6"/>
        <v>4.4789489399820838E-2</v>
      </c>
      <c r="Q40" s="17">
        <f t="shared" ca="1" si="6"/>
        <v>4.6573003182488554E-2</v>
      </c>
      <c r="R40" s="57"/>
      <c r="S40" s="57"/>
      <c r="T40" s="57"/>
    </row>
    <row r="41" spans="1:20" x14ac:dyDescent="0.2">
      <c r="A41" t="str">
        <f>IFERROR(INDEX('2018 Data (WP)'!$C$9:$C$73,MATCH($B41,'2018 Data (WP)'!$D$9:$D$73,0)),"")</f>
        <v/>
      </c>
      <c r="B41" t="s">
        <v>23</v>
      </c>
      <c r="C41" t="s">
        <v>85</v>
      </c>
      <c r="D41" s="35" t="e">
        <f t="shared" ca="1" si="7"/>
        <v>#N/A</v>
      </c>
      <c r="E41" s="35" t="e">
        <f t="shared" ca="1" si="2"/>
        <v>#N/A</v>
      </c>
      <c r="F41" s="35"/>
      <c r="G41" s="17" t="str">
        <f t="shared" ca="1" si="6"/>
        <v>N/A</v>
      </c>
      <c r="H41" s="17" t="str">
        <f t="shared" ca="1" si="6"/>
        <v>N/A</v>
      </c>
      <c r="I41" s="17" t="str">
        <f t="shared" ca="1" si="6"/>
        <v>N/A</v>
      </c>
      <c r="J41" s="17" t="str">
        <f t="shared" ca="1" si="6"/>
        <v>N/A</v>
      </c>
      <c r="K41" s="17" t="str">
        <f t="shared" ca="1" si="6"/>
        <v>N/A</v>
      </c>
      <c r="L41" s="17" t="str">
        <f t="shared" ca="1" si="6"/>
        <v>N/A</v>
      </c>
      <c r="M41" s="17" t="str">
        <f t="shared" ca="1" si="6"/>
        <v>N/A</v>
      </c>
      <c r="N41" s="17" t="str">
        <f t="shared" ca="1" si="6"/>
        <v>N/A</v>
      </c>
      <c r="O41" s="17" t="str">
        <f t="shared" ca="1" si="6"/>
        <v>N/A</v>
      </c>
      <c r="P41" s="17" t="str">
        <f t="shared" ca="1" si="6"/>
        <v>N/A</v>
      </c>
      <c r="Q41" s="17" t="str">
        <f t="shared" ca="1" si="6"/>
        <v>N/A</v>
      </c>
      <c r="R41" s="57"/>
      <c r="S41" s="57"/>
      <c r="T41" s="57"/>
    </row>
    <row r="42" spans="1:20" x14ac:dyDescent="0.2">
      <c r="A42" t="str">
        <f>IFERROR(INDEX('2018 Data (WP)'!$C$9:$C$73,MATCH($B42,'2018 Data (WP)'!$D$9:$D$73,0)),"")</f>
        <v/>
      </c>
      <c r="B42" t="s">
        <v>161</v>
      </c>
      <c r="C42" t="s">
        <v>160</v>
      </c>
      <c r="D42" s="35" t="e">
        <f t="shared" ca="1" si="7"/>
        <v>#N/A</v>
      </c>
      <c r="E42" s="35" t="e">
        <f t="shared" ca="1" si="2"/>
        <v>#N/A</v>
      </c>
      <c r="F42" s="35"/>
      <c r="G42" s="17" t="str">
        <f t="shared" ca="1" si="6"/>
        <v>N/A</v>
      </c>
      <c r="H42" s="17" t="str">
        <f t="shared" ca="1" si="6"/>
        <v>N/A</v>
      </c>
      <c r="I42" s="17" t="str">
        <f t="shared" ca="1" si="6"/>
        <v>N/A</v>
      </c>
      <c r="J42" s="17" t="str">
        <f t="shared" ca="1" si="6"/>
        <v>N/A</v>
      </c>
      <c r="K42" s="17" t="str">
        <f t="shared" ca="1" si="6"/>
        <v>N/A</v>
      </c>
      <c r="L42" s="17" t="str">
        <f t="shared" ca="1" si="6"/>
        <v>N/A</v>
      </c>
      <c r="M42" s="17" t="str">
        <f t="shared" ca="1" si="6"/>
        <v>N/A</v>
      </c>
      <c r="N42" s="17" t="str">
        <f t="shared" ca="1" si="6"/>
        <v>N/A</v>
      </c>
      <c r="O42" s="17" t="str">
        <f t="shared" ca="1" si="6"/>
        <v>N/A</v>
      </c>
      <c r="P42" s="17" t="str">
        <f t="shared" ca="1" si="6"/>
        <v>N/A</v>
      </c>
      <c r="Q42" s="17" t="str">
        <f t="shared" ca="1" si="6"/>
        <v>N/A</v>
      </c>
      <c r="R42" s="57"/>
      <c r="S42" s="57"/>
      <c r="T42" s="57"/>
    </row>
    <row r="43" spans="1:20" x14ac:dyDescent="0.2">
      <c r="A43" t="str">
        <f>IFERROR(INDEX('2018 Data (WP)'!$C$9:$C$73,MATCH($B43,'2018 Data (WP)'!$D$9:$D$73,0)),"")</f>
        <v/>
      </c>
      <c r="B43" t="s">
        <v>24</v>
      </c>
      <c r="C43" t="s">
        <v>60</v>
      </c>
      <c r="D43" s="35" t="e">
        <f t="shared" ca="1" si="7"/>
        <v>#N/A</v>
      </c>
      <c r="E43" s="35" t="e">
        <f t="shared" ca="1" si="2"/>
        <v>#N/A</v>
      </c>
      <c r="F43" s="35"/>
      <c r="G43" s="17" t="str">
        <f t="shared" ca="1" si="6"/>
        <v>N/A</v>
      </c>
      <c r="H43" s="17" t="str">
        <f t="shared" ca="1" si="6"/>
        <v>N/A</v>
      </c>
      <c r="I43" s="17" t="str">
        <f t="shared" ca="1" si="6"/>
        <v>N/A</v>
      </c>
      <c r="J43" s="17" t="str">
        <f t="shared" ca="1" si="6"/>
        <v>N/A</v>
      </c>
      <c r="K43" s="17" t="str">
        <f t="shared" ca="1" si="6"/>
        <v>N/A</v>
      </c>
      <c r="L43" s="17" t="str">
        <f t="shared" ca="1" si="6"/>
        <v>N/A</v>
      </c>
      <c r="M43" s="17" t="str">
        <f t="shared" ca="1" si="6"/>
        <v>N/A</v>
      </c>
      <c r="N43" s="17" t="str">
        <f t="shared" ca="1" si="6"/>
        <v>N/A</v>
      </c>
      <c r="O43" s="17" t="str">
        <f t="shared" ca="1" si="6"/>
        <v>N/A</v>
      </c>
      <c r="P43" s="17" t="str">
        <f t="shared" ca="1" si="6"/>
        <v>N/A</v>
      </c>
      <c r="Q43" s="17" t="str">
        <f t="shared" ca="1" si="6"/>
        <v>N/A</v>
      </c>
      <c r="R43" s="57"/>
      <c r="S43" s="57"/>
      <c r="T43" s="57"/>
    </row>
    <row r="44" spans="1:20" x14ac:dyDescent="0.2">
      <c r="A44" t="str">
        <f>IFERROR(INDEX('2018 Data (WP)'!$C$9:$C$73,MATCH($B44,'2018 Data (WP)'!$D$9:$D$73,0)),"")</f>
        <v>Electric Util. (Central)</v>
      </c>
      <c r="B44" t="s">
        <v>25</v>
      </c>
      <c r="C44" t="s">
        <v>61</v>
      </c>
      <c r="D44" s="35">
        <f t="shared" ca="1" si="7"/>
        <v>38</v>
      </c>
      <c r="E44" s="35">
        <f t="shared" ca="1" si="2"/>
        <v>39</v>
      </c>
      <c r="F44" s="35"/>
      <c r="G44" s="17">
        <f t="shared" ca="1" si="6"/>
        <v>5.7933544000766064E-2</v>
      </c>
      <c r="H44" s="17">
        <f t="shared" ca="1" si="6"/>
        <v>5.8244627435227951E-2</v>
      </c>
      <c r="I44" s="17">
        <f t="shared" ca="1" si="6"/>
        <v>5.8359621451104106E-2</v>
      </c>
      <c r="J44" s="17">
        <f t="shared" ca="1" si="6"/>
        <v>6.0071861666292387E-2</v>
      </c>
      <c r="K44" s="17">
        <f t="shared" ca="1" si="6"/>
        <v>6.2230732407850646E-2</v>
      </c>
      <c r="L44" s="17">
        <f t="shared" ca="1" si="6"/>
        <v>6.3624921334172427E-2</v>
      </c>
      <c r="M44" s="17">
        <f t="shared" ca="1" si="6"/>
        <v>6.5570522979397777E-2</v>
      </c>
      <c r="N44" s="17">
        <f t="shared" ca="1" si="6"/>
        <v>6.7228632626269602E-2</v>
      </c>
      <c r="O44" s="17">
        <f t="shared" ca="1" si="6"/>
        <v>6.8688029889351923E-2</v>
      </c>
      <c r="P44" s="17">
        <f t="shared" ca="1" si="6"/>
        <v>7.2363356428021552E-2</v>
      </c>
      <c r="Q44" s="17">
        <f t="shared" ca="1" si="6"/>
        <v>7.7709782882052145E-2</v>
      </c>
      <c r="R44" s="57"/>
      <c r="S44" s="57"/>
      <c r="T44" s="57"/>
    </row>
    <row r="45" spans="1:20" x14ac:dyDescent="0.2">
      <c r="A45" t="str">
        <f>IFERROR(INDEX('2018 Data (WP)'!$C$9:$C$73,MATCH($B45,'2018 Data (WP)'!$D$9:$D$73,0)),"")</f>
        <v>Water Utility</v>
      </c>
      <c r="B45" s="31" t="s">
        <v>188</v>
      </c>
      <c r="C45" s="31" t="s">
        <v>187</v>
      </c>
      <c r="D45" s="35">
        <f t="shared" ca="1" si="7"/>
        <v>39</v>
      </c>
      <c r="E45" s="35">
        <f t="shared" ca="1" si="2"/>
        <v>40</v>
      </c>
      <c r="F45" s="35"/>
      <c r="G45" s="17">
        <f t="shared" ca="1" si="6"/>
        <v>6.0280513279618031E-2</v>
      </c>
      <c r="H45" s="17">
        <f t="shared" ca="1" si="6"/>
        <v>6.0915299474056044E-2</v>
      </c>
      <c r="I45" s="17">
        <f t="shared" ca="1" si="6"/>
        <v>6.2356979405034325E-2</v>
      </c>
      <c r="J45" s="17">
        <f t="shared" ca="1" si="6"/>
        <v>6.3684032476319347E-2</v>
      </c>
      <c r="K45" s="17">
        <f t="shared" ca="1" si="6"/>
        <v>6.4698711250435387E-2</v>
      </c>
      <c r="L45" s="17">
        <f t="shared" ca="1" si="6"/>
        <v>6.5039929015084291E-2</v>
      </c>
      <c r="M45" s="17">
        <f t="shared" ca="1" si="6"/>
        <v>6.494789795185052E-2</v>
      </c>
      <c r="N45" s="17">
        <f t="shared" ca="1" si="6"/>
        <v>6.9028947623196821E-2</v>
      </c>
      <c r="O45" s="17">
        <f t="shared" ca="1" si="6"/>
        <v>7.0096719513411107E-2</v>
      </c>
      <c r="P45" s="17">
        <f t="shared" ca="1" si="6"/>
        <v>6.8927789934354472E-2</v>
      </c>
      <c r="Q45" s="17">
        <f t="shared" ca="1" si="6"/>
        <v>7.1728628439403488E-2</v>
      </c>
      <c r="R45" s="58"/>
      <c r="S45" s="58"/>
      <c r="T45" s="58"/>
    </row>
    <row r="46" spans="1:20" x14ac:dyDescent="0.2">
      <c r="A46" t="str">
        <f>IFERROR(INDEX('2018 Data (WP)'!$C$9:$C$73,MATCH($B46,'2018 Data (WP)'!$D$9:$D$73,0)),"")</f>
        <v>Natural Gas Utility</v>
      </c>
      <c r="B46" s="31" t="s">
        <v>190</v>
      </c>
      <c r="C46" s="31" t="s">
        <v>189</v>
      </c>
      <c r="D46" s="35">
        <f t="shared" ca="1" si="7"/>
        <v>40</v>
      </c>
      <c r="E46" s="35">
        <f t="shared" ca="1" si="2"/>
        <v>41</v>
      </c>
      <c r="F46" s="35"/>
      <c r="G46" s="17">
        <f t="shared" ref="G46:Q55" ca="1" si="8">IFERROR(INDEX(Dividends,$D46,G$2)/INDEX(BookValue,$E46,G$2),"N/A")</f>
        <v>7.2149009791651328E-2</v>
      </c>
      <c r="H46" s="17">
        <f t="shared" ca="1" si="8"/>
        <v>7.1565986918045416E-2</v>
      </c>
      <c r="I46" s="17">
        <f t="shared" ca="1" si="8"/>
        <v>7.4509803921568626E-2</v>
      </c>
      <c r="J46" s="17">
        <f t="shared" ca="1" si="8"/>
        <v>7.6049197258473394E-2</v>
      </c>
      <c r="K46" s="17">
        <f t="shared" ca="1" si="8"/>
        <v>7.8579446882334938E-2</v>
      </c>
      <c r="L46" s="17">
        <f t="shared" ca="1" si="8"/>
        <v>7.6882007474639608E-2</v>
      </c>
      <c r="M46" s="17">
        <f t="shared" ca="1" si="8"/>
        <v>7.7185017026106695E-2</v>
      </c>
      <c r="N46" s="17">
        <f t="shared" ca="1" si="8"/>
        <v>7.4761847341131074E-2</v>
      </c>
      <c r="O46" s="17">
        <f t="shared" ca="1" si="8"/>
        <v>6.4221245082156916E-2</v>
      </c>
      <c r="P46" s="17">
        <f t="shared" ca="1" si="8"/>
        <v>6.5436241610738258E-2</v>
      </c>
      <c r="Q46" s="17">
        <f t="shared" ca="1" si="8"/>
        <v>6.3991467804292754E-2</v>
      </c>
      <c r="R46" s="57"/>
      <c r="S46" s="57"/>
      <c r="T46" s="57"/>
    </row>
    <row r="47" spans="1:20" x14ac:dyDescent="0.2">
      <c r="A47" t="str">
        <f>IFERROR(INDEX('2018 Data (WP)'!$C$9:$C$73,MATCH($B47,'2018 Data (WP)'!$D$9:$D$73,0)),"")</f>
        <v>Electric Utility (East)</v>
      </c>
      <c r="B47" t="s">
        <v>141</v>
      </c>
      <c r="C47" t="s">
        <v>209</v>
      </c>
      <c r="D47" s="35">
        <f t="shared" ca="1" si="7"/>
        <v>41</v>
      </c>
      <c r="E47" s="35">
        <f t="shared" ca="1" si="2"/>
        <v>42</v>
      </c>
      <c r="F47" s="35"/>
      <c r="G47" s="17">
        <f t="shared" ca="1" si="8"/>
        <v>6.6908923112418528E-2</v>
      </c>
      <c r="H47" s="17">
        <f t="shared" ca="1" si="8"/>
        <v>6.2899503747421731E-2</v>
      </c>
      <c r="I47" s="17">
        <f t="shared" ca="1" si="8"/>
        <v>6.4506083590986946E-2</v>
      </c>
      <c r="J47" s="17">
        <f t="shared" ca="1" si="8"/>
        <v>6.3658942393479787E-2</v>
      </c>
      <c r="K47" s="17">
        <f t="shared" ca="1" si="8"/>
        <v>6.333122229259025E-2</v>
      </c>
      <c r="L47" s="17">
        <f t="shared" ca="1" si="8"/>
        <v>6.1245510982433679E-2</v>
      </c>
      <c r="M47" s="17">
        <f t="shared" ca="1" si="8"/>
        <v>5.8207217694994179E-2</v>
      </c>
      <c r="N47" s="17">
        <f t="shared" ca="1" si="8"/>
        <v>6.028708133971291E-2</v>
      </c>
      <c r="O47" s="17">
        <f t="shared" ca="1" si="8"/>
        <v>6.23118392494574E-2</v>
      </c>
      <c r="P47" s="17">
        <f t="shared" ca="1" si="8"/>
        <v>6.2229642559004324E-2</v>
      </c>
      <c r="Q47" s="17">
        <f t="shared" ca="1" si="8"/>
        <v>6.1239487221360335E-2</v>
      </c>
      <c r="R47" s="57"/>
      <c r="S47" s="57"/>
      <c r="T47" s="57"/>
    </row>
    <row r="48" spans="1:20" x14ac:dyDescent="0.2">
      <c r="A48" t="str">
        <f>IFERROR(INDEX('2018 Data (WP)'!$C$9:$C$73,MATCH($B48,'2018 Data (WP)'!$D$9:$D$73,0)),"")</f>
        <v>Natural Gas Utility</v>
      </c>
      <c r="B48" t="s">
        <v>26</v>
      </c>
      <c r="C48" t="s">
        <v>62</v>
      </c>
      <c r="D48" s="35">
        <f t="shared" ref="D48:D79" ca="1" si="9">MATCH(B48,OFFSET(Dividends,0,0,,1),0)</f>
        <v>42</v>
      </c>
      <c r="E48" s="35">
        <f t="shared" ref="E48:E79" ca="1" si="10">MATCH(B48,OFFSET(BookValue,0,0,,1),0)</f>
        <v>43</v>
      </c>
      <c r="F48" s="35"/>
      <c r="G48" s="17">
        <f t="shared" ca="1" si="8"/>
        <v>5.0801714557866327E-2</v>
      </c>
      <c r="H48" s="17">
        <f t="shared" ca="1" si="8"/>
        <v>6.8913982065758883E-2</v>
      </c>
      <c r="I48" s="17">
        <f t="shared" ca="1" si="8"/>
        <v>5.2200614124872063E-2</v>
      </c>
      <c r="J48" s="17">
        <f t="shared" ca="1" si="8"/>
        <v>5.2219321148825062E-2</v>
      </c>
      <c r="K48" s="17">
        <f t="shared" ca="1" si="8"/>
        <v>5.2511032903189765E-2</v>
      </c>
      <c r="L48" s="17">
        <f t="shared" ca="1" si="8"/>
        <v>5.1948051948051945E-2</v>
      </c>
      <c r="M48" s="17">
        <f t="shared" ca="1" si="8"/>
        <v>5.2192658989050893E-2</v>
      </c>
      <c r="N48" s="17">
        <f t="shared" ca="1" si="8"/>
        <v>5.2460512060215549E-2</v>
      </c>
      <c r="O48" s="17">
        <f t="shared" ca="1" si="8"/>
        <v>5.3358079109152072E-2</v>
      </c>
      <c r="P48" s="17">
        <f t="shared" ca="1" si="8"/>
        <v>4.9686757399006271E-2</v>
      </c>
      <c r="Q48" s="17">
        <f t="shared" ca="1" si="8"/>
        <v>5.0215599585175477E-2</v>
      </c>
      <c r="R48" s="57"/>
      <c r="S48" s="57"/>
      <c r="T48" s="57"/>
    </row>
    <row r="49" spans="1:20" x14ac:dyDescent="0.2">
      <c r="A49" t="str">
        <f>IFERROR(INDEX('2018 Data (WP)'!$C$9:$C$73,MATCH($B49,'2018 Data (WP)'!$D$9:$D$73,0)),"")</f>
        <v>Natural Gas Utility</v>
      </c>
      <c r="B49" s="31" t="s">
        <v>192</v>
      </c>
      <c r="C49" s="31" t="s">
        <v>191</v>
      </c>
      <c r="D49" s="35">
        <f t="shared" ca="1" si="9"/>
        <v>43</v>
      </c>
      <c r="E49" s="35">
        <f t="shared" ca="1" si="10"/>
        <v>44</v>
      </c>
      <c r="F49" s="35"/>
      <c r="G49" s="17">
        <f t="shared" ca="1" si="8"/>
        <v>6.2950245741601032E-2</v>
      </c>
      <c r="H49" s="17">
        <f t="shared" ca="1" si="8"/>
        <v>6.5320456540825286E-2</v>
      </c>
      <c r="I49" s="17">
        <f t="shared" ca="1" si="8"/>
        <v>6.5782455641290052E-2</v>
      </c>
      <c r="J49" s="17">
        <f t="shared" ca="1" si="8"/>
        <v>6.5898451566438601E-2</v>
      </c>
      <c r="K49" s="17">
        <f t="shared" ca="1" si="8"/>
        <v>6.5729078691293658E-2</v>
      </c>
      <c r="L49" s="17">
        <f t="shared" ca="1" si="8"/>
        <v>6.5533253445176756E-2</v>
      </c>
      <c r="M49" s="17">
        <f t="shared" ca="1" si="8"/>
        <v>6.4417177914110432E-2</v>
      </c>
      <c r="N49" s="17">
        <f t="shared" ca="1" si="8"/>
        <v>6.4311266530005226E-2</v>
      </c>
      <c r="O49" s="17">
        <f t="shared" ca="1" si="8"/>
        <v>6.4105267597317703E-2</v>
      </c>
      <c r="P49" s="17">
        <f t="shared" ca="1" si="8"/>
        <v>6.3937483349613716E-2</v>
      </c>
      <c r="Q49" s="17">
        <f t="shared" ca="1" si="8"/>
        <v>6.3150243060288033E-2</v>
      </c>
      <c r="R49" s="57"/>
      <c r="S49" s="57"/>
      <c r="T49" s="57"/>
    </row>
    <row r="50" spans="1:20" x14ac:dyDescent="0.2">
      <c r="A50" t="str">
        <f>IFERROR(INDEX('2018 Data (WP)'!$C$9:$C$73,MATCH($B50,'2018 Data (WP)'!$D$9:$D$73,0)),"")</f>
        <v>Electric Utility (West)</v>
      </c>
      <c r="B50" t="str">
        <f>"NWE"</f>
        <v>NWE</v>
      </c>
      <c r="C50" t="s">
        <v>94</v>
      </c>
      <c r="D50" s="35">
        <f t="shared" ca="1" si="9"/>
        <v>44</v>
      </c>
      <c r="E50" s="35">
        <f t="shared" ca="1" si="10"/>
        <v>45</v>
      </c>
      <c r="F50" s="35"/>
      <c r="G50" s="17">
        <f t="shared" ca="1" si="8"/>
        <v>5.7666801222536181E-2</v>
      </c>
      <c r="H50" s="17">
        <f t="shared" ca="1" si="8"/>
        <v>5.7799987958335831E-2</v>
      </c>
      <c r="I50" s="17">
        <f t="shared" ca="1" si="8"/>
        <v>5.0795263341693389E-2</v>
      </c>
      <c r="J50" s="17">
        <f t="shared" ca="1" si="8"/>
        <v>5.7140708995902414E-2</v>
      </c>
      <c r="K50" s="17">
        <f t="shared" ca="1" si="8"/>
        <v>5.8978241810791421E-2</v>
      </c>
      <c r="L50" s="17">
        <f t="shared" ca="1" si="8"/>
        <v>6.0808242895148003E-2</v>
      </c>
      <c r="M50" s="17">
        <f t="shared" ca="1" si="8"/>
        <v>6.0062712538091242E-2</v>
      </c>
      <c r="N50" s="17">
        <f t="shared" ca="1" si="8"/>
        <v>6.1299176578225076E-2</v>
      </c>
      <c r="O50" s="17">
        <f t="shared" ca="1" si="8"/>
        <v>6.2114724012987621E-2</v>
      </c>
      <c r="P50" s="17">
        <f t="shared" ca="1" si="8"/>
        <v>6.0608930347080828E-2</v>
      </c>
      <c r="Q50" s="17">
        <f t="shared" ca="1" si="8"/>
        <v>6.0045518376834049E-2</v>
      </c>
      <c r="R50" s="57"/>
      <c r="S50" s="57"/>
      <c r="T50" s="57"/>
    </row>
    <row r="51" spans="1:20" x14ac:dyDescent="0.2">
      <c r="A51" t="str">
        <f>IFERROR(INDEX('2018 Data (WP)'!$C$9:$C$73,MATCH($B51,'2018 Data (WP)'!$D$9:$D$73,0)),"")</f>
        <v>Electric Util. (Central)</v>
      </c>
      <c r="B51" t="s">
        <v>27</v>
      </c>
      <c r="C51" t="s">
        <v>67</v>
      </c>
      <c r="D51" s="35">
        <f t="shared" ca="1" si="9"/>
        <v>45</v>
      </c>
      <c r="E51" s="35">
        <f t="shared" ca="1" si="10"/>
        <v>46</v>
      </c>
      <c r="F51" s="35"/>
      <c r="G51" s="17">
        <f t="shared" ca="1" si="8"/>
        <v>6.6975935053638733E-2</v>
      </c>
      <c r="H51" s="17">
        <f t="shared" ca="1" si="8"/>
        <v>6.3044130891624139E-2</v>
      </c>
      <c r="I51" s="17">
        <f t="shared" ca="1" si="8"/>
        <v>5.8386085673898344E-2</v>
      </c>
      <c r="J51" s="17">
        <f t="shared" ca="1" si="8"/>
        <v>5.5620915032679734E-2</v>
      </c>
      <c r="K51" s="17">
        <f t="shared" ca="1" si="8"/>
        <v>5.698371893744645E-2</v>
      </c>
      <c r="L51" s="17">
        <f t="shared" ca="1" si="8"/>
        <v>5.8094144661308841E-2</v>
      </c>
      <c r="M51" s="17">
        <f t="shared" ca="1" si="8"/>
        <v>6.2404092071611253E-2</v>
      </c>
      <c r="N51" s="17">
        <f t="shared" ca="1" si="8"/>
        <v>6.7870722433460082E-2</v>
      </c>
      <c r="O51" s="17">
        <f t="shared" ca="1" si="8"/>
        <v>6.8914522330671385E-2</v>
      </c>
      <c r="P51" s="17">
        <f t="shared" ca="1" si="8"/>
        <v>7.4713271436373574E-2</v>
      </c>
      <c r="Q51" s="17">
        <f t="shared" ca="1" si="8"/>
        <v>7.6083248038212231E-2</v>
      </c>
      <c r="R51" s="57"/>
      <c r="S51" s="57"/>
      <c r="T51" s="57"/>
    </row>
    <row r="52" spans="1:20" x14ac:dyDescent="0.2">
      <c r="A52" t="str">
        <f>IFERROR(INDEX('2018 Data (WP)'!$C$9:$C$73,MATCH($B52,'2018 Data (WP)'!$D$9:$D$73,0)),"")</f>
        <v>Natural Gas Utility</v>
      </c>
      <c r="B52" t="s">
        <v>346</v>
      </c>
      <c r="C52" t="s">
        <v>349</v>
      </c>
      <c r="D52" s="35">
        <f t="shared" ca="1" si="9"/>
        <v>46</v>
      </c>
      <c r="E52" s="35">
        <f t="shared" ca="1" si="10"/>
        <v>47</v>
      </c>
      <c r="F52" s="35"/>
      <c r="G52" s="17">
        <f t="shared" ca="1" si="8"/>
        <v>3.8762909433230887E-2</v>
      </c>
      <c r="H52" s="17">
        <f t="shared" ca="1" si="8"/>
        <v>3.4053179715655954E-2</v>
      </c>
      <c r="I52" s="17">
        <f t="shared" ca="1" si="8"/>
        <v>2.4386703440267093E-2</v>
      </c>
      <c r="J52" s="17" t="str">
        <f t="shared" ca="1" si="8"/>
        <v>N/A</v>
      </c>
      <c r="K52" s="17" t="str">
        <f t="shared" ca="1" si="8"/>
        <v>N/A</v>
      </c>
      <c r="L52" s="17" t="str">
        <f t="shared" ca="1" si="8"/>
        <v>N/A</v>
      </c>
      <c r="M52" s="17" t="str">
        <f t="shared" ca="1" si="8"/>
        <v>N/A</v>
      </c>
      <c r="N52" s="17" t="str">
        <f t="shared" ca="1" si="8"/>
        <v>N/A</v>
      </c>
      <c r="O52" s="17" t="str">
        <f t="shared" ca="1" si="8"/>
        <v>N/A</v>
      </c>
      <c r="P52" s="17" t="str">
        <f t="shared" ca="1" si="8"/>
        <v>N/A</v>
      </c>
      <c r="Q52" s="17" t="str">
        <f t="shared" ca="1" si="8"/>
        <v>N/A</v>
      </c>
      <c r="R52" s="57"/>
      <c r="S52" s="57"/>
      <c r="T52" s="57"/>
    </row>
    <row r="53" spans="1:20" x14ac:dyDescent="0.2">
      <c r="A53" t="str">
        <f>IFERROR(INDEX('2018 Data (WP)'!$C$9:$C$73,MATCH($B53,'2018 Data (WP)'!$D$9:$D$73,0)),"")</f>
        <v>Electric Util. (Central)</v>
      </c>
      <c r="B53" t="s">
        <v>28</v>
      </c>
      <c r="C53" t="s">
        <v>68</v>
      </c>
      <c r="D53" s="35">
        <f t="shared" ca="1" si="9"/>
        <v>47</v>
      </c>
      <c r="E53" s="35">
        <f t="shared" ca="1" si="10"/>
        <v>48</v>
      </c>
      <c r="F53" s="35"/>
      <c r="G53" s="17">
        <f t="shared" ca="1" si="8"/>
        <v>7.3399882560187896E-2</v>
      </c>
      <c r="H53" s="17">
        <f t="shared" ca="1" si="8"/>
        <v>7.6961581779501936E-2</v>
      </c>
      <c r="I53" s="17">
        <f t="shared" ca="1" si="8"/>
        <v>7.8627591136526093E-2</v>
      </c>
      <c r="J53" s="17">
        <f t="shared" ca="1" si="8"/>
        <v>8.0705323838589346E-2</v>
      </c>
      <c r="K53" s="17">
        <f t="shared" ca="1" si="8"/>
        <v>8.2455654101995554E-2</v>
      </c>
      <c r="L53" s="17">
        <f t="shared" ca="1" si="8"/>
        <v>7.5178469897024439E-2</v>
      </c>
      <c r="M53" s="17">
        <f t="shared" ca="1" si="8"/>
        <v>6.7748363222317101E-2</v>
      </c>
      <c r="N53" s="17">
        <f t="shared" ca="1" si="8"/>
        <v>6.3348416289592757E-2</v>
      </c>
      <c r="O53" s="17">
        <f t="shared" ca="1" si="8"/>
        <v>6.2176707246982599E-2</v>
      </c>
      <c r="P53" s="17">
        <f t="shared" ca="1" si="8"/>
        <v>6.6662868212637463E-2</v>
      </c>
      <c r="Q53" s="17">
        <f t="shared" ca="1" si="8"/>
        <v>6.8998620027599433E-2</v>
      </c>
      <c r="R53" s="57"/>
      <c r="S53" s="57"/>
      <c r="T53" s="57"/>
    </row>
    <row r="54" spans="1:20" x14ac:dyDescent="0.2">
      <c r="A54" t="str">
        <f>IFERROR(INDEX('2018 Data (WP)'!$C$9:$C$73,MATCH($B54,'2018 Data (WP)'!$D$9:$D$73,0)),"")</f>
        <v/>
      </c>
      <c r="B54" t="s">
        <v>29</v>
      </c>
      <c r="C54" t="s">
        <v>73</v>
      </c>
      <c r="D54" s="35" t="e">
        <f t="shared" ca="1" si="9"/>
        <v>#N/A</v>
      </c>
      <c r="E54" s="35" t="e">
        <f t="shared" ca="1" si="10"/>
        <v>#N/A</v>
      </c>
      <c r="F54" s="35"/>
      <c r="G54" s="17" t="str">
        <f t="shared" ca="1" si="8"/>
        <v>N/A</v>
      </c>
      <c r="H54" s="17" t="str">
        <f t="shared" ca="1" si="8"/>
        <v>N/A</v>
      </c>
      <c r="I54" s="17" t="str">
        <f t="shared" ca="1" si="8"/>
        <v>N/A</v>
      </c>
      <c r="J54" s="17" t="str">
        <f t="shared" ca="1" si="8"/>
        <v>N/A</v>
      </c>
      <c r="K54" s="17" t="str">
        <f t="shared" ca="1" si="8"/>
        <v>N/A</v>
      </c>
      <c r="L54" s="17" t="str">
        <f t="shared" ca="1" si="8"/>
        <v>N/A</v>
      </c>
      <c r="M54" s="17" t="str">
        <f t="shared" ca="1" si="8"/>
        <v>N/A</v>
      </c>
      <c r="N54" s="17" t="str">
        <f t="shared" ca="1" si="8"/>
        <v>N/A</v>
      </c>
      <c r="O54" s="17" t="str">
        <f t="shared" ca="1" si="8"/>
        <v>N/A</v>
      </c>
      <c r="P54" s="17" t="str">
        <f t="shared" ca="1" si="8"/>
        <v>N/A</v>
      </c>
      <c r="Q54" s="17" t="str">
        <f t="shared" ca="1" si="8"/>
        <v>N/A</v>
      </c>
      <c r="R54" s="57"/>
      <c r="S54" s="57"/>
      <c r="T54" s="57"/>
    </row>
    <row r="55" spans="1:20" x14ac:dyDescent="0.2">
      <c r="A55" t="str">
        <f>IFERROR(INDEX('2018 Data (WP)'!$C$9:$C$73,MATCH($B55,'2018 Data (WP)'!$D$9:$D$73,0)),"")</f>
        <v>Electric Utility (West)</v>
      </c>
      <c r="B55" t="s">
        <v>30</v>
      </c>
      <c r="C55" t="s">
        <v>71</v>
      </c>
      <c r="D55" s="35">
        <f t="shared" ca="1" si="9"/>
        <v>48</v>
      </c>
      <c r="E55" s="35">
        <f t="shared" ca="1" si="10"/>
        <v>49</v>
      </c>
      <c r="F55" s="35"/>
      <c r="G55" s="17">
        <f t="shared" ca="1" si="8"/>
        <v>5.4390822784810125E-2</v>
      </c>
      <c r="H55" s="17">
        <f t="shared" ca="1" si="8"/>
        <v>5.4023568523850519E-2</v>
      </c>
      <c r="I55" s="17">
        <f t="shared" ca="1" si="8"/>
        <v>5.5001511030522809E-2</v>
      </c>
      <c r="J55" s="17">
        <f t="shared" ca="1" si="8"/>
        <v>5.7950710055403427E-2</v>
      </c>
      <c r="K55" s="17">
        <f t="shared" ca="1" si="8"/>
        <v>5.9959148711866646E-2</v>
      </c>
      <c r="L55" s="17">
        <f t="shared" ca="1" si="8"/>
        <v>6.2003883759751986E-2</v>
      </c>
      <c r="M55" s="17">
        <f t="shared" ca="1" si="8"/>
        <v>6.3756743501716534E-2</v>
      </c>
      <c r="N55" s="17">
        <f t="shared" ca="1" si="8"/>
        <v>6.0253927264902085E-2</v>
      </c>
      <c r="O55" s="17">
        <f t="shared" ca="1" si="8"/>
        <v>6.0066997805244313E-2</v>
      </c>
      <c r="P55" s="17">
        <f t="shared" ca="1" si="8"/>
        <v>5.9553349875930521E-2</v>
      </c>
      <c r="Q55" s="17">
        <f t="shared" ca="1" si="8"/>
        <v>5.8831394571466772E-2</v>
      </c>
      <c r="R55" s="57"/>
      <c r="S55" s="57"/>
      <c r="T55" s="57"/>
    </row>
    <row r="56" spans="1:20" x14ac:dyDescent="0.2">
      <c r="A56" t="str">
        <f>IFERROR(INDEX('2018 Data (WP)'!$C$9:$C$73,MATCH($B56,'2018 Data (WP)'!$D$9:$D$73,0)),"")</f>
        <v>Electric Utility (West)</v>
      </c>
      <c r="B56" t="s">
        <v>31</v>
      </c>
      <c r="C56" t="s">
        <v>72</v>
      </c>
      <c r="D56" s="35">
        <f t="shared" ca="1" si="9"/>
        <v>49</v>
      </c>
      <c r="E56" s="35">
        <f t="shared" ca="1" si="10"/>
        <v>50</v>
      </c>
      <c r="F56" s="35"/>
      <c r="G56" s="17">
        <f t="shared" ref="G56:Q65" ca="1" si="11">IFERROR(INDEX(Dividends,$D56,G$2)/INDEX(BookValue,$E56,G$2),"N/A")</f>
        <v>5.9334801251593461E-2</v>
      </c>
      <c r="H56" s="17">
        <f t="shared" ca="1" si="11"/>
        <v>5.9074181677319385E-2</v>
      </c>
      <c r="I56" s="17">
        <f t="shared" ca="1" si="11"/>
        <v>5.8862249677207018E-2</v>
      </c>
      <c r="J56" s="17">
        <f t="shared" ca="1" si="11"/>
        <v>5.8446505030339643E-2</v>
      </c>
      <c r="K56" s="17">
        <f t="shared" ca="1" si="11"/>
        <v>7.3754868650037289E-2</v>
      </c>
      <c r="L56" s="17">
        <f t="shared" ca="1" si="11"/>
        <v>6.0027441115938718E-2</v>
      </c>
      <c r="M56" s="17">
        <f t="shared" ca="1" si="11"/>
        <v>6.2012756909992924E-2</v>
      </c>
      <c r="N56" s="17">
        <f t="shared" ca="1" si="11"/>
        <v>6.4235898690811213E-2</v>
      </c>
      <c r="O56" s="17">
        <f t="shared" ca="1" si="11"/>
        <v>6.1482609204824928E-2</v>
      </c>
      <c r="P56" s="17">
        <f t="shared" ca="1" si="11"/>
        <v>5.9752454118651301E-2</v>
      </c>
      <c r="Q56" s="17">
        <f t="shared" ca="1" si="11"/>
        <v>5.8738216098622183E-2</v>
      </c>
      <c r="R56" s="57"/>
      <c r="S56" s="57"/>
      <c r="T56" s="57"/>
    </row>
    <row r="57" spans="1:20" x14ac:dyDescent="0.2">
      <c r="A57" t="str">
        <f>IFERROR(INDEX('2018 Data (WP)'!$C$9:$C$73,MATCH($B57,'2018 Data (WP)'!$D$9:$D$73,0)),"")</f>
        <v>Electric Utility (West)</v>
      </c>
      <c r="B57" t="s">
        <v>32</v>
      </c>
      <c r="C57" t="s">
        <v>74</v>
      </c>
      <c r="D57" s="35">
        <f t="shared" ca="1" si="9"/>
        <v>50</v>
      </c>
      <c r="E57" s="35">
        <f t="shared" ca="1" si="10"/>
        <v>51</v>
      </c>
      <c r="F57" s="35"/>
      <c r="G57" s="17">
        <f t="shared" ca="1" si="11"/>
        <v>4.1825095057034224E-2</v>
      </c>
      <c r="H57" s="17">
        <f t="shared" ca="1" si="11"/>
        <v>3.8507821901323708E-2</v>
      </c>
      <c r="I57" s="17">
        <f t="shared" ca="1" si="11"/>
        <v>3.3718904917154215E-2</v>
      </c>
      <c r="J57" s="17">
        <f t="shared" ca="1" si="11"/>
        <v>3.2588900603853159E-2</v>
      </c>
      <c r="K57" s="17">
        <f t="shared" ca="1" si="11"/>
        <v>2.893489648291344E-2</v>
      </c>
      <c r="L57" s="17">
        <f t="shared" ca="1" si="11"/>
        <v>2.5489396411092987E-2</v>
      </c>
      <c r="M57" s="17">
        <f t="shared" ca="1" si="11"/>
        <v>2.8413934193328407E-2</v>
      </c>
      <c r="N57" s="17">
        <f t="shared" ca="1" si="11"/>
        <v>2.6453626792233214E-2</v>
      </c>
      <c r="O57" s="17">
        <f t="shared" ca="1" si="11"/>
        <v>3.2022442174350289E-2</v>
      </c>
      <c r="P57" s="17">
        <f t="shared" ca="1" si="11"/>
        <v>4.1303558460421205E-2</v>
      </c>
      <c r="Q57" s="17">
        <f t="shared" ca="1" si="11"/>
        <v>3.8928118776027525E-2</v>
      </c>
      <c r="R57" s="57"/>
      <c r="S57" s="57"/>
      <c r="T57" s="57"/>
    </row>
    <row r="58" spans="1:20" x14ac:dyDescent="0.2">
      <c r="A58" t="str">
        <f>IFERROR(INDEX('2018 Data (WP)'!$C$9:$C$73,MATCH($B58,'2018 Data (WP)'!$D$9:$D$73,0)),"")</f>
        <v>Electric Utility (West)</v>
      </c>
      <c r="B58" t="s">
        <v>33</v>
      </c>
      <c r="C58" t="s">
        <v>92</v>
      </c>
      <c r="D58" s="35">
        <f t="shared" ca="1" si="9"/>
        <v>51</v>
      </c>
      <c r="E58" s="35">
        <f t="shared" ca="1" si="10"/>
        <v>52</v>
      </c>
      <c r="F58" s="35"/>
      <c r="G58" s="17">
        <f t="shared" ca="1" si="11"/>
        <v>4.7812393275907861E-2</v>
      </c>
      <c r="H58" s="17">
        <f t="shared" ca="1" si="11"/>
        <v>4.640188753440818E-2</v>
      </c>
      <c r="I58" s="17">
        <f t="shared" ca="1" si="11"/>
        <v>4.5644342557720645E-2</v>
      </c>
      <c r="J58" s="17">
        <f t="shared" ca="1" si="11"/>
        <v>4.7005795235028972E-2</v>
      </c>
      <c r="K58" s="17">
        <f t="shared" ca="1" si="11"/>
        <v>4.7004809794490593E-2</v>
      </c>
      <c r="L58" s="17">
        <f t="shared" ca="1" si="11"/>
        <v>4.7808945484207187E-2</v>
      </c>
      <c r="M58" s="17">
        <f t="shared" ca="1" si="11"/>
        <v>4.8966267682263323E-2</v>
      </c>
      <c r="N58" s="17">
        <f t="shared" ca="1" si="11"/>
        <v>4.9263486489123015E-2</v>
      </c>
      <c r="O58" s="17">
        <f t="shared" ca="1" si="11"/>
        <v>4.4828542379147789E-2</v>
      </c>
      <c r="P58" s="17">
        <f t="shared" ca="1" si="11"/>
        <v>4.4188919509645541E-2</v>
      </c>
      <c r="Q58" s="17">
        <f t="shared" ca="1" si="11"/>
        <v>3.4468671807179704E-2</v>
      </c>
      <c r="R58" s="57"/>
      <c r="S58" s="57"/>
      <c r="T58" s="57"/>
    </row>
    <row r="59" spans="1:20" x14ac:dyDescent="0.2">
      <c r="A59" t="str">
        <f>IFERROR(INDEX('2018 Data (WP)'!$C$9:$C$73,MATCH($B59,'2018 Data (WP)'!$D$9:$D$73,0)),"")</f>
        <v>Electric Utility (East)</v>
      </c>
      <c r="B59" t="s">
        <v>34</v>
      </c>
      <c r="C59" t="s">
        <v>70</v>
      </c>
      <c r="D59" s="35">
        <f t="shared" ca="1" si="9"/>
        <v>52</v>
      </c>
      <c r="E59" s="35">
        <f t="shared" ca="1" si="10"/>
        <v>53</v>
      </c>
      <c r="F59" s="35"/>
      <c r="G59" s="17">
        <f t="shared" ca="1" si="11"/>
        <v>0.10437409874339078</v>
      </c>
      <c r="H59" s="17">
        <f t="shared" ca="1" si="11"/>
        <v>0.10190217391304347</v>
      </c>
      <c r="I59" s="17">
        <f t="shared" ca="1" si="11"/>
        <v>7.2800117261933847E-2</v>
      </c>
      <c r="J59" s="17">
        <f t="shared" ca="1" si="11"/>
        <v>7.4328765737978461E-2</v>
      </c>
      <c r="K59" s="17">
        <f t="shared" ca="1" si="11"/>
        <v>7.9960019990004988E-2</v>
      </c>
      <c r="L59" s="17">
        <f t="shared" ca="1" si="11"/>
        <v>7.4786324786324784E-2</v>
      </c>
      <c r="M59" s="17">
        <f t="shared" ca="1" si="11"/>
        <v>8.2430522845030607E-2</v>
      </c>
      <c r="N59" s="17">
        <f t="shared" ca="1" si="11"/>
        <v>9.4708667901997112E-2</v>
      </c>
      <c r="O59" s="17">
        <f t="shared" ca="1" si="11"/>
        <v>9.8863804043086909E-2</v>
      </c>
      <c r="P59" s="17">
        <f t="shared" ca="1" si="11"/>
        <v>8.1961706415854887E-2</v>
      </c>
      <c r="Q59" s="17">
        <f t="shared" ca="1" si="11"/>
        <v>8.2688115462677597E-2</v>
      </c>
      <c r="R59" s="57"/>
      <c r="S59" s="57"/>
      <c r="T59" s="57"/>
    </row>
    <row r="60" spans="1:20" x14ac:dyDescent="0.2">
      <c r="A60" t="str">
        <f>IFERROR(INDEX('2018 Data (WP)'!$C$9:$C$73,MATCH($B60,'2018 Data (WP)'!$D$9:$D$73,0)),"")</f>
        <v>Electric Utility (East)</v>
      </c>
      <c r="B60" t="s">
        <v>35</v>
      </c>
      <c r="C60" t="s">
        <v>75</v>
      </c>
      <c r="D60" s="35">
        <f t="shared" ca="1" si="9"/>
        <v>53</v>
      </c>
      <c r="E60" s="35">
        <f t="shared" ca="1" si="10"/>
        <v>54</v>
      </c>
      <c r="F60" s="35"/>
      <c r="G60" s="17">
        <f t="shared" ca="1" si="11"/>
        <v>6.3059945399315559E-2</v>
      </c>
      <c r="H60" s="17">
        <f t="shared" ca="1" si="11"/>
        <v>6.0327158822846977E-2</v>
      </c>
      <c r="I60" s="17">
        <f t="shared" ca="1" si="11"/>
        <v>6.1438831001702027E-2</v>
      </c>
      <c r="J60" s="17">
        <f t="shared" ca="1" si="11"/>
        <v>6.2753301085109167E-2</v>
      </c>
      <c r="K60" s="17">
        <f t="shared" ca="1" si="11"/>
        <v>6.6638509549955413E-2</v>
      </c>
      <c r="L60" s="17">
        <f t="shared" ca="1" si="11"/>
        <v>6.7491009409330519E-2</v>
      </c>
      <c r="M60" s="17">
        <f t="shared" ca="1" si="11"/>
        <v>7.1957560796260311E-2</v>
      </c>
      <c r="N60" s="17">
        <f t="shared" ca="1" si="11"/>
        <v>7.6577614002763708E-2</v>
      </c>
      <c r="O60" s="17">
        <f t="shared" ca="1" si="11"/>
        <v>8.40007814026177E-2</v>
      </c>
      <c r="P60" s="17">
        <f t="shared" ca="1" si="11"/>
        <v>8.1516059360412452E-2</v>
      </c>
      <c r="Q60" s="17">
        <f t="shared" ca="1" si="11"/>
        <v>8.5374073241968093E-2</v>
      </c>
      <c r="R60" s="57"/>
      <c r="S60" s="57"/>
      <c r="T60" s="57"/>
    </row>
    <row r="61" spans="1:20" x14ac:dyDescent="0.2">
      <c r="A61" t="str">
        <f>IFERROR(INDEX('2018 Data (WP)'!$C$9:$C$73,MATCH($B61,'2018 Data (WP)'!$D$9:$D$73,0)),"")</f>
        <v>Electric Utility (East)</v>
      </c>
      <c r="B61" t="s">
        <v>36</v>
      </c>
      <c r="C61" t="s">
        <v>76</v>
      </c>
      <c r="D61" s="35">
        <f t="shared" ca="1" si="9"/>
        <v>55</v>
      </c>
      <c r="E61" s="35">
        <f t="shared" ca="1" si="10"/>
        <v>56</v>
      </c>
      <c r="F61" s="35"/>
      <c r="G61" s="17">
        <f t="shared" ca="1" si="11"/>
        <v>5.7409579911639162E-2</v>
      </c>
      <c r="H61" s="17">
        <f t="shared" ca="1" si="11"/>
        <v>5.7232869519558936E-2</v>
      </c>
      <c r="I61" s="17">
        <f t="shared" ca="1" si="11"/>
        <v>6.0090994935187568E-2</v>
      </c>
      <c r="J61" s="17">
        <f t="shared" ca="1" si="11"/>
        <v>6.1370094927141898E-2</v>
      </c>
      <c r="K61" s="17">
        <f t="shared" ca="1" si="11"/>
        <v>6.2923062255696452E-2</v>
      </c>
      <c r="L61" s="17">
        <f t="shared" ca="1" si="11"/>
        <v>6.4789767224393002E-2</v>
      </c>
      <c r="M61" s="17">
        <f t="shared" ca="1" si="11"/>
        <v>6.5408978242908297E-2</v>
      </c>
      <c r="N61" s="17">
        <f t="shared" ca="1" si="11"/>
        <v>6.8039520828055436E-2</v>
      </c>
      <c r="O61" s="17">
        <f t="shared" ca="1" si="11"/>
        <v>7.117162418288013E-2</v>
      </c>
      <c r="P61" s="17">
        <f t="shared" ca="1" si="11"/>
        <v>6.9367807031373172E-2</v>
      </c>
      <c r="Q61" s="17">
        <f t="shared" ca="1" si="11"/>
        <v>6.886657101865136E-2</v>
      </c>
      <c r="R61" s="57"/>
      <c r="S61" s="57"/>
      <c r="T61" s="57"/>
    </row>
    <row r="62" spans="1:20" x14ac:dyDescent="0.2">
      <c r="A62" t="str">
        <f>IFERROR(INDEX('2018 Data (WP)'!$C$9:$C$73,MATCH($B62,'2018 Data (WP)'!$D$9:$D$73,0)),"")</f>
        <v>Electric Utility (West)</v>
      </c>
      <c r="B62" t="s">
        <v>37</v>
      </c>
      <c r="C62" t="s">
        <v>54</v>
      </c>
      <c r="D62" s="35">
        <f t="shared" ca="1" si="9"/>
        <v>56</v>
      </c>
      <c r="E62" s="35">
        <f t="shared" ca="1" si="10"/>
        <v>57</v>
      </c>
      <c r="F62" s="35"/>
      <c r="G62" s="17">
        <f t="shared" ca="1" si="11"/>
        <v>5.8332689484663525E-2</v>
      </c>
      <c r="H62" s="17">
        <f t="shared" ca="1" si="11"/>
        <v>5.8873002523128673E-2</v>
      </c>
      <c r="I62" s="17">
        <f t="shared" ca="1" si="11"/>
        <v>5.741751669240306E-2</v>
      </c>
      <c r="J62" s="17">
        <f t="shared" ca="1" si="11"/>
        <v>5.5962691538974013E-2</v>
      </c>
      <c r="K62" s="17">
        <f t="shared" ca="1" si="11"/>
        <v>5.6573085354642526E-2</v>
      </c>
      <c r="L62" s="17">
        <f t="shared" ca="1" si="11"/>
        <v>4.6825842011560127E-2</v>
      </c>
      <c r="M62" s="17">
        <f t="shared" ca="1" si="11"/>
        <v>4.1552353301547558E-2</v>
      </c>
      <c r="N62" s="17">
        <f t="shared" ca="1" si="11"/>
        <v>4.2695276150856651E-2</v>
      </c>
      <c r="O62" s="17">
        <f t="shared" ca="1" si="11"/>
        <v>4.1830783792861294E-2</v>
      </c>
      <c r="P62" s="17">
        <f t="shared" ca="1" si="11"/>
        <v>3.8908064010040787E-2</v>
      </c>
      <c r="Q62" s="17">
        <f t="shared" ca="1" si="11"/>
        <v>4.1876046901172533E-2</v>
      </c>
    </row>
    <row r="63" spans="1:20" x14ac:dyDescent="0.2">
      <c r="A63" t="str">
        <f>IFERROR(INDEX('2018 Data (WP)'!$C$9:$C$73,MATCH($B63,'2018 Data (WP)'!$D$9:$D$73,0)),"")</f>
        <v/>
      </c>
      <c r="B63" t="s">
        <v>64</v>
      </c>
      <c r="C63" t="s">
        <v>63</v>
      </c>
      <c r="D63" s="35" t="e">
        <f t="shared" ca="1" si="9"/>
        <v>#N/A</v>
      </c>
      <c r="E63" s="35" t="e">
        <f t="shared" ca="1" si="10"/>
        <v>#N/A</v>
      </c>
      <c r="F63" s="35"/>
      <c r="G63" s="17" t="str">
        <f t="shared" ca="1" si="11"/>
        <v>N/A</v>
      </c>
      <c r="H63" s="17" t="str">
        <f t="shared" ca="1" si="11"/>
        <v>N/A</v>
      </c>
      <c r="I63" s="17" t="str">
        <f t="shared" ca="1" si="11"/>
        <v>N/A</v>
      </c>
      <c r="J63" s="17" t="str">
        <f t="shared" ca="1" si="11"/>
        <v>N/A</v>
      </c>
      <c r="K63" s="17" t="str">
        <f t="shared" ca="1" si="11"/>
        <v>N/A</v>
      </c>
      <c r="L63" s="17" t="str">
        <f t="shared" ca="1" si="11"/>
        <v>N/A</v>
      </c>
      <c r="M63" s="17" t="str">
        <f t="shared" ca="1" si="11"/>
        <v>N/A</v>
      </c>
      <c r="N63" s="17" t="str">
        <f t="shared" ca="1" si="11"/>
        <v>N/A</v>
      </c>
      <c r="O63" s="17" t="str">
        <f t="shared" ca="1" si="11"/>
        <v>N/A</v>
      </c>
      <c r="P63" s="17" t="str">
        <f t="shared" ca="1" si="11"/>
        <v>N/A</v>
      </c>
      <c r="Q63" s="17" t="str">
        <f t="shared" ca="1" si="11"/>
        <v>N/A</v>
      </c>
    </row>
    <row r="64" spans="1:20" x14ac:dyDescent="0.2">
      <c r="A64" t="str">
        <f>IFERROR(INDEX('2018 Data (WP)'!$C$9:$C$73,MATCH($B64,'2018 Data (WP)'!$D$9:$D$73,0)),"")</f>
        <v>Water Utility</v>
      </c>
      <c r="B64" s="31" t="s">
        <v>196</v>
      </c>
      <c r="C64" s="31" t="s">
        <v>195</v>
      </c>
      <c r="D64" s="35">
        <f t="shared" ca="1" si="9"/>
        <v>57</v>
      </c>
      <c r="E64" s="35">
        <f t="shared" ca="1" si="10"/>
        <v>58</v>
      </c>
      <c r="F64" s="35"/>
      <c r="G64" s="17">
        <f t="shared" ca="1" si="11"/>
        <v>3.9297496603920054E-2</v>
      </c>
      <c r="H64" s="17">
        <f t="shared" ca="1" si="11"/>
        <v>4.142326075411578E-2</v>
      </c>
      <c r="I64" s="17">
        <f t="shared" ca="1" si="11"/>
        <v>4.2246380893370135E-2</v>
      </c>
      <c r="J64" s="17">
        <f t="shared" ca="1" si="11"/>
        <v>4.5842753077116299E-2</v>
      </c>
      <c r="K64" s="17">
        <f t="shared" ca="1" si="11"/>
        <v>4.8273048680989937E-2</v>
      </c>
      <c r="L64" s="17">
        <f t="shared" ca="1" si="11"/>
        <v>4.8594971476864562E-2</v>
      </c>
      <c r="M64" s="17">
        <f t="shared" ca="1" si="11"/>
        <v>4.9465337891903695E-2</v>
      </c>
      <c r="N64" s="17">
        <f t="shared" ca="1" si="11"/>
        <v>4.8309178743961352E-2</v>
      </c>
      <c r="O64" s="17">
        <f t="shared" ca="1" si="11"/>
        <v>4.6094475809333235E-2</v>
      </c>
      <c r="P64" s="17">
        <f t="shared" ca="1" si="11"/>
        <v>4.6884686918784869E-2</v>
      </c>
      <c r="Q64" s="17">
        <f t="shared" ca="1" si="11"/>
        <v>4.5268808589055361E-2</v>
      </c>
    </row>
    <row r="65" spans="1:17" x14ac:dyDescent="0.2">
      <c r="A65" t="str">
        <f>IFERROR(INDEX('2018 Data (WP)'!$C$9:$C$73,MATCH($B65,'2018 Data (WP)'!$D$9:$D$73,0)),"")</f>
        <v>Natural Gas Utility</v>
      </c>
      <c r="B65" s="31" t="s">
        <v>198</v>
      </c>
      <c r="C65" s="31" t="s">
        <v>197</v>
      </c>
      <c r="D65" s="35">
        <f t="shared" ca="1" si="9"/>
        <v>58</v>
      </c>
      <c r="E65" s="35">
        <f t="shared" ca="1" si="10"/>
        <v>59</v>
      </c>
      <c r="F65" s="35"/>
      <c r="G65" s="17">
        <f t="shared" ca="1" si="11"/>
        <v>6.534738918685655E-2</v>
      </c>
      <c r="H65" s="17">
        <f t="shared" ca="1" si="11"/>
        <v>6.9767441860465115E-2</v>
      </c>
      <c r="I65" s="17">
        <f t="shared" ca="1" si="11"/>
        <v>7.0355441553682674E-2</v>
      </c>
      <c r="J65" s="17">
        <f t="shared" ca="1" si="11"/>
        <v>7.1208165202943277E-2</v>
      </c>
      <c r="K65" s="17">
        <f t="shared" ca="1" si="11"/>
        <v>7.0943331326855277E-2</v>
      </c>
      <c r="L65" s="17">
        <f t="shared" ca="1" si="11"/>
        <v>7.2611094975312221E-2</v>
      </c>
      <c r="M65" s="17">
        <f t="shared" ca="1" si="11"/>
        <v>7.1263885977782437E-2</v>
      </c>
      <c r="N65" s="17">
        <f t="shared" ca="1" si="11"/>
        <v>6.6871300153475116E-2</v>
      </c>
      <c r="O65" s="17">
        <f t="shared" ca="1" si="11"/>
        <v>6.4043387952919459E-2</v>
      </c>
      <c r="P65" s="17">
        <f t="shared" ca="1" si="11"/>
        <v>6.21614967996061E-2</v>
      </c>
      <c r="Q65" s="17">
        <f t="shared" ca="1" si="11"/>
        <v>6.0894890124437384E-2</v>
      </c>
    </row>
    <row r="66" spans="1:17" x14ac:dyDescent="0.2">
      <c r="A66" t="str">
        <f>IFERROR(INDEX('2018 Data (WP)'!$C$9:$C$73,MATCH($B66,'2018 Data (WP)'!$D$9:$D$73,0)),"")</f>
        <v>Electric Utility (East)</v>
      </c>
      <c r="B66" t="s">
        <v>38</v>
      </c>
      <c r="C66" t="s">
        <v>77</v>
      </c>
      <c r="D66" s="35">
        <f t="shared" ca="1" si="9"/>
        <v>59</v>
      </c>
      <c r="E66" s="35">
        <f t="shared" ca="1" si="10"/>
        <v>60</v>
      </c>
      <c r="F66" s="35"/>
      <c r="G66" s="17">
        <f t="shared" ref="G66:Q75" ca="1" si="12">IFERROR(INDEX(Dividends,$D66,G$2)/INDEX(BookValue,$E66,G$2),"N/A")</f>
        <v>8.8927114169133528E-2</v>
      </c>
      <c r="H66" s="17">
        <f t="shared" ca="1" si="12"/>
        <v>9.5324537324006031E-2</v>
      </c>
      <c r="I66" s="17">
        <f t="shared" ca="1" si="12"/>
        <v>9.4785220240262119E-2</v>
      </c>
      <c r="J66" s="17">
        <f t="shared" ca="1" si="12"/>
        <v>9.394688943855882E-2</v>
      </c>
      <c r="K66" s="17">
        <f t="shared" ca="1" si="12"/>
        <v>9.2150818117144886E-2</v>
      </c>
      <c r="L66" s="17">
        <f t="shared" ca="1" si="12"/>
        <v>9.2184270105325317E-2</v>
      </c>
      <c r="M66" s="17">
        <f t="shared" ca="1" si="12"/>
        <v>9.3847595252966889E-2</v>
      </c>
      <c r="N66" s="17">
        <f t="shared" ca="1" si="12"/>
        <v>9.5471573380343761E-2</v>
      </c>
      <c r="O66" s="17">
        <f t="shared" ca="1" si="12"/>
        <v>9.7353939819693244E-2</v>
      </c>
      <c r="P66" s="17">
        <f t="shared" ca="1" si="12"/>
        <v>9.8274799753542821E-2</v>
      </c>
      <c r="Q66" s="17">
        <f t="shared" ca="1" si="12"/>
        <v>0.10074161580363589</v>
      </c>
    </row>
    <row r="67" spans="1:17" x14ac:dyDescent="0.2">
      <c r="A67" t="str">
        <f>IFERROR(INDEX('2018 Data (WP)'!$C$9:$C$73,MATCH($B67,'2018 Data (WP)'!$D$9:$D$73,0)),"")</f>
        <v>Natural Gas Utility</v>
      </c>
      <c r="B67" s="31" t="s">
        <v>200</v>
      </c>
      <c r="C67" s="31" t="s">
        <v>199</v>
      </c>
      <c r="D67" s="35">
        <f t="shared" ca="1" si="9"/>
        <v>60</v>
      </c>
      <c r="E67" s="35">
        <f t="shared" ca="1" si="10"/>
        <v>61</v>
      </c>
      <c r="F67" s="35"/>
      <c r="G67" s="17">
        <f t="shared" ca="1" si="12"/>
        <v>5.1378660729576982E-2</v>
      </c>
      <c r="H67" s="17">
        <f t="shared" ca="1" si="12"/>
        <v>4.8201374631795059E-2</v>
      </c>
      <c r="I67" s="17">
        <f t="shared" ca="1" si="12"/>
        <v>4.5700691770745296E-2</v>
      </c>
      <c r="J67" s="17">
        <f t="shared" ca="1" si="12"/>
        <v>4.3324143363528952E-2</v>
      </c>
      <c r="K67" s="17">
        <f t="shared" ca="1" si="12"/>
        <v>4.1615235408217245E-2</v>
      </c>
      <c r="L67" s="17">
        <f t="shared" ca="1" si="12"/>
        <v>3.9764414600292605E-2</v>
      </c>
      <c r="M67" s="17">
        <f t="shared" ca="1" si="12"/>
        <v>3.9039625219597897E-2</v>
      </c>
      <c r="N67" s="17">
        <f t="shared" ca="1" si="12"/>
        <v>3.8869113375066489E-2</v>
      </c>
      <c r="O67" s="17">
        <f t="shared" ca="1" si="12"/>
        <v>3.8322333404300621E-2</v>
      </c>
      <c r="P67" s="17">
        <f t="shared" ca="1" si="12"/>
        <v>3.7423846823324627E-2</v>
      </c>
      <c r="Q67" s="17">
        <f t="shared" ca="1" si="12"/>
        <v>3.7996385709652004E-2</v>
      </c>
    </row>
    <row r="68" spans="1:17" x14ac:dyDescent="0.2">
      <c r="A68" t="str">
        <f>IFERROR(INDEX('2018 Data (WP)'!$C$9:$C$73,MATCH($B68,'2018 Data (WP)'!$D$9:$D$73,0)),"")</f>
        <v>Natural Gas Utility</v>
      </c>
      <c r="B68" s="31" t="s">
        <v>244</v>
      </c>
      <c r="C68" s="31" t="s">
        <v>243</v>
      </c>
      <c r="D68" s="35">
        <f t="shared" ca="1" si="9"/>
        <v>61</v>
      </c>
      <c r="E68" s="35">
        <f t="shared" ca="1" si="10"/>
        <v>62</v>
      </c>
      <c r="F68" s="35"/>
      <c r="G68" s="17">
        <f t="shared" ca="1" si="12"/>
        <v>5.0602845119149052E-2</v>
      </c>
      <c r="H68" s="17">
        <f t="shared" ca="1" si="12"/>
        <v>5.0694291381970472E-2</v>
      </c>
      <c r="I68" s="17">
        <f t="shared" ca="1" si="12"/>
        <v>5.0386487260234758E-2</v>
      </c>
      <c r="J68" s="17">
        <f t="shared" ca="1" si="12"/>
        <v>5.3126660208131504E-2</v>
      </c>
      <c r="K68" s="17">
        <f t="shared" ca="1" si="12"/>
        <v>6.2232885956361998E-2</v>
      </c>
      <c r="L68" s="17">
        <f t="shared" ca="1" si="12"/>
        <v>6.2989045383411588E-2</v>
      </c>
      <c r="M68" s="17">
        <f t="shared" ca="1" si="12"/>
        <v>6.5348595213319469E-2</v>
      </c>
      <c r="N68" s="17">
        <f t="shared" ca="1" si="12"/>
        <v>6.560048021266561E-2</v>
      </c>
      <c r="O68" s="17">
        <f t="shared" ca="1" si="12"/>
        <v>6.7362900673629003E-2</v>
      </c>
      <c r="P68" s="17">
        <f t="shared" ca="1" si="12"/>
        <v>7.3276733373761879E-2</v>
      </c>
      <c r="Q68" s="17">
        <f t="shared" ca="1" si="12"/>
        <v>7.4274497320812774E-2</v>
      </c>
    </row>
    <row r="69" spans="1:17" x14ac:dyDescent="0.2">
      <c r="A69" t="str">
        <f>IFERROR(INDEX('2018 Data (WP)'!$C$9:$C$73,MATCH($B69,'2018 Data (WP)'!$D$9:$D$73,0)),"")</f>
        <v/>
      </c>
      <c r="B69" t="s">
        <v>39</v>
      </c>
      <c r="C69" t="s">
        <v>78</v>
      </c>
      <c r="D69" s="35" t="e">
        <f t="shared" ca="1" si="9"/>
        <v>#N/A</v>
      </c>
      <c r="E69" s="35" t="e">
        <f t="shared" ca="1" si="10"/>
        <v>#N/A</v>
      </c>
      <c r="F69" s="35"/>
      <c r="G69" s="17" t="str">
        <f t="shared" ca="1" si="12"/>
        <v>N/A</v>
      </c>
      <c r="H69" s="17" t="str">
        <f t="shared" ca="1" si="12"/>
        <v>N/A</v>
      </c>
      <c r="I69" s="17" t="str">
        <f t="shared" ca="1" si="12"/>
        <v>N/A</v>
      </c>
      <c r="J69" s="17" t="str">
        <f t="shared" ca="1" si="12"/>
        <v>N/A</v>
      </c>
      <c r="K69" s="17" t="str">
        <f t="shared" ca="1" si="12"/>
        <v>N/A</v>
      </c>
      <c r="L69" s="17" t="str">
        <f t="shared" ca="1" si="12"/>
        <v>N/A</v>
      </c>
      <c r="M69" s="17" t="str">
        <f t="shared" ca="1" si="12"/>
        <v>N/A</v>
      </c>
      <c r="N69" s="17" t="str">
        <f t="shared" ca="1" si="12"/>
        <v>N/A</v>
      </c>
      <c r="O69" s="17" t="str">
        <f t="shared" ca="1" si="12"/>
        <v>N/A</v>
      </c>
      <c r="P69" s="17" t="str">
        <f t="shared" ca="1" si="12"/>
        <v>N/A</v>
      </c>
      <c r="Q69" s="17" t="str">
        <f t="shared" ca="1" si="12"/>
        <v>N/A</v>
      </c>
    </row>
    <row r="70" spans="1:17" x14ac:dyDescent="0.2">
      <c r="A70" t="str">
        <f>IFERROR(INDEX('2018 Data (WP)'!$C$9:$C$73,MATCH($B70,'2018 Data (WP)'!$D$9:$D$73,0)),"")</f>
        <v>Natural Gas Utility</v>
      </c>
      <c r="B70" s="31" t="s">
        <v>204</v>
      </c>
      <c r="C70" s="31" t="s">
        <v>203</v>
      </c>
      <c r="D70" s="35">
        <f t="shared" ca="1" si="9"/>
        <v>63</v>
      </c>
      <c r="E70" s="35">
        <f t="shared" ca="1" si="10"/>
        <v>64</v>
      </c>
      <c r="F70" s="35"/>
      <c r="G70" s="17">
        <f t="shared" ca="1" si="12"/>
        <v>5.6483449741876711E-2</v>
      </c>
      <c r="H70" s="17">
        <f t="shared" ca="1" si="12"/>
        <v>5.7234726688102894E-2</v>
      </c>
      <c r="I70" s="17">
        <f t="shared" ca="1" si="12"/>
        <v>5.1383655969858388E-2</v>
      </c>
      <c r="J70" s="17">
        <f t="shared" ca="1" si="12"/>
        <v>5.0733580145344848E-2</v>
      </c>
      <c r="K70" s="17">
        <f t="shared" ca="1" si="12"/>
        <v>5.3524112347641761E-2</v>
      </c>
      <c r="L70" s="17">
        <f t="shared" ca="1" si="12"/>
        <v>5.7680888964288753E-2</v>
      </c>
      <c r="M70" s="17">
        <f t="shared" ca="1" si="12"/>
        <v>5.4058924227407872E-2</v>
      </c>
      <c r="N70" s="17">
        <f t="shared" ca="1" si="12"/>
        <v>5.3498363338788872E-2</v>
      </c>
      <c r="O70" s="17">
        <f t="shared" ca="1" si="12"/>
        <v>5.7159090909090902E-2</v>
      </c>
      <c r="P70" s="17">
        <f t="shared" ca="1" si="12"/>
        <v>5.8211303400701922E-2</v>
      </c>
      <c r="Q70" s="17">
        <f t="shared" ca="1" si="12"/>
        <v>6.5448791714614499E-2</v>
      </c>
    </row>
    <row r="71" spans="1:17" x14ac:dyDescent="0.2">
      <c r="A71" t="str">
        <f>IFERROR(INDEX('2018 Data (WP)'!$C$9:$C$73,MATCH($B71,'2018 Data (WP)'!$D$9:$D$73,0)),"")</f>
        <v/>
      </c>
      <c r="B71" t="s">
        <v>40</v>
      </c>
      <c r="C71" t="s">
        <v>81</v>
      </c>
      <c r="D71" s="35" t="e">
        <f t="shared" ca="1" si="9"/>
        <v>#N/A</v>
      </c>
      <c r="E71" s="35" t="e">
        <f t="shared" ca="1" si="10"/>
        <v>#N/A</v>
      </c>
      <c r="F71" s="35"/>
      <c r="G71" s="17" t="str">
        <f t="shared" ca="1" si="12"/>
        <v>N/A</v>
      </c>
      <c r="H71" s="17" t="str">
        <f t="shared" ca="1" si="12"/>
        <v>N/A</v>
      </c>
      <c r="I71" s="17" t="str">
        <f t="shared" ca="1" si="12"/>
        <v>N/A</v>
      </c>
      <c r="J71" s="17" t="str">
        <f t="shared" ca="1" si="12"/>
        <v>N/A</v>
      </c>
      <c r="K71" s="17" t="str">
        <f t="shared" ca="1" si="12"/>
        <v>N/A</v>
      </c>
      <c r="L71" s="17" t="str">
        <f t="shared" ca="1" si="12"/>
        <v>N/A</v>
      </c>
      <c r="M71" s="17" t="str">
        <f t="shared" ca="1" si="12"/>
        <v>N/A</v>
      </c>
      <c r="N71" s="17" t="str">
        <f t="shared" ca="1" si="12"/>
        <v>N/A</v>
      </c>
      <c r="O71" s="17" t="str">
        <f t="shared" ca="1" si="12"/>
        <v>N/A</v>
      </c>
      <c r="P71" s="17" t="str">
        <f t="shared" ca="1" si="12"/>
        <v>N/A</v>
      </c>
      <c r="Q71" s="17" t="str">
        <f t="shared" ca="1" si="12"/>
        <v>N/A</v>
      </c>
    </row>
    <row r="72" spans="1:17" x14ac:dyDescent="0.2">
      <c r="A72" t="str">
        <f>IFERROR(INDEX('2018 Data (WP)'!$C$9:$C$73,MATCH($B72,'2018 Data (WP)'!$D$9:$D$73,0)),"")</f>
        <v/>
      </c>
      <c r="B72" t="s">
        <v>41</v>
      </c>
      <c r="C72" t="s">
        <v>79</v>
      </c>
      <c r="D72" s="35" t="e">
        <f t="shared" ca="1" si="9"/>
        <v>#N/A</v>
      </c>
      <c r="E72" s="35" t="e">
        <f t="shared" ca="1" si="10"/>
        <v>#N/A</v>
      </c>
      <c r="F72" s="35"/>
      <c r="G72" s="17" t="str">
        <f t="shared" ca="1" si="12"/>
        <v>N/A</v>
      </c>
      <c r="H72" s="17" t="str">
        <f t="shared" ca="1" si="12"/>
        <v>N/A</v>
      </c>
      <c r="I72" s="17" t="str">
        <f t="shared" ca="1" si="12"/>
        <v>N/A</v>
      </c>
      <c r="J72" s="17" t="str">
        <f t="shared" ca="1" si="12"/>
        <v>N/A</v>
      </c>
      <c r="K72" s="17" t="str">
        <f t="shared" ca="1" si="12"/>
        <v>N/A</v>
      </c>
      <c r="L72" s="17" t="str">
        <f t="shared" ca="1" si="12"/>
        <v>N/A</v>
      </c>
      <c r="M72" s="17" t="str">
        <f t="shared" ca="1" si="12"/>
        <v>N/A</v>
      </c>
      <c r="N72" s="17" t="str">
        <f t="shared" ca="1" si="12"/>
        <v>N/A</v>
      </c>
      <c r="O72" s="17" t="str">
        <f t="shared" ca="1" si="12"/>
        <v>N/A</v>
      </c>
      <c r="P72" s="17" t="str">
        <f t="shared" ca="1" si="12"/>
        <v>N/A</v>
      </c>
      <c r="Q72" s="17" t="str">
        <f t="shared" ca="1" si="12"/>
        <v>N/A</v>
      </c>
    </row>
    <row r="73" spans="1:17" x14ac:dyDescent="0.2">
      <c r="A73" t="str">
        <f>IFERROR(INDEX('2018 Data (WP)'!$C$9:$C$73,MATCH($B73,'2018 Data (WP)'!$D$9:$D$73,0)),"")</f>
        <v/>
      </c>
      <c r="B73" t="s">
        <v>83</v>
      </c>
      <c r="C73" t="s">
        <v>82</v>
      </c>
      <c r="D73" s="35">
        <f t="shared" ca="1" si="9"/>
        <v>64</v>
      </c>
      <c r="E73" s="35">
        <f t="shared" ca="1" si="10"/>
        <v>65</v>
      </c>
      <c r="F73" s="35"/>
      <c r="G73" s="17">
        <f t="shared" ca="1" si="12"/>
        <v>6.8187274909963985E-2</v>
      </c>
      <c r="H73" s="17">
        <f t="shared" ca="1" si="12"/>
        <v>6.9310361899103903E-2</v>
      </c>
      <c r="I73" s="17">
        <f t="shared" ca="1" si="12"/>
        <v>7.0573248407643313E-2</v>
      </c>
      <c r="J73" s="17">
        <f t="shared" ca="1" si="12"/>
        <v>7.2081483416035513E-2</v>
      </c>
      <c r="K73" s="17">
        <f t="shared" ca="1" si="12"/>
        <v>7.3031329381879756E-2</v>
      </c>
      <c r="L73" s="17">
        <f t="shared" ca="1" si="12"/>
        <v>7.8857142857142848E-2</v>
      </c>
      <c r="M73" s="17">
        <f t="shared" ca="1" si="12"/>
        <v>7.9515989628349174E-2</v>
      </c>
      <c r="N73" s="17">
        <f t="shared" ca="1" si="12"/>
        <v>7.7445423424434584E-2</v>
      </c>
      <c r="O73" s="17">
        <f t="shared" ca="1" si="12"/>
        <v>7.7077747989276135E-2</v>
      </c>
      <c r="P73" s="17">
        <f t="shared" ca="1" si="12"/>
        <v>7.8897718826825225E-2</v>
      </c>
      <c r="Q73" s="17">
        <f t="shared" ca="1" si="12"/>
        <v>7.9745738225946258E-2</v>
      </c>
    </row>
    <row r="74" spans="1:17" x14ac:dyDescent="0.2">
      <c r="A74" t="str">
        <f>IFERROR(INDEX('2018 Data (WP)'!$C$9:$C$73,MATCH($B74,'2018 Data (WP)'!$D$9:$D$73,0)),"")</f>
        <v>Electric Util. (Central)</v>
      </c>
      <c r="B74" t="s">
        <v>42</v>
      </c>
      <c r="C74" t="s">
        <v>89</v>
      </c>
      <c r="D74" s="35">
        <f t="shared" ca="1" si="9"/>
        <v>65</v>
      </c>
      <c r="E74" s="35">
        <f t="shared" ca="1" si="10"/>
        <v>66</v>
      </c>
      <c r="F74" s="35"/>
      <c r="G74" s="17">
        <f t="shared" ca="1" si="12"/>
        <v>7.5956489122280577E-2</v>
      </c>
      <c r="H74" s="17">
        <f t="shared" ca="1" si="12"/>
        <v>7.5727773406766327E-2</v>
      </c>
      <c r="I74" s="17">
        <f t="shared" ca="1" si="12"/>
        <v>7.5064267352185091E-2</v>
      </c>
      <c r="J74" s="17">
        <f t="shared" ca="1" si="12"/>
        <v>7.5544717171181677E-2</v>
      </c>
      <c r="K74" s="17">
        <f t="shared" ca="1" si="12"/>
        <v>7.5675966821070778E-2</v>
      </c>
      <c r="L74" s="17">
        <f t="shared" ca="1" si="12"/>
        <v>7.7400245892477931E-2</v>
      </c>
      <c r="M74" s="17">
        <f t="shared" ca="1" si="12"/>
        <v>7.7787871905518974E-2</v>
      </c>
      <c r="N74" s="17">
        <f t="shared" ca="1" si="12"/>
        <v>7.8360807986997905E-2</v>
      </c>
      <c r="O74" s="17">
        <f t="shared" ca="1" si="12"/>
        <v>7.8532462082608959E-2</v>
      </c>
      <c r="P74" s="17">
        <f t="shared" ca="1" si="12"/>
        <v>7.8603701182150154E-2</v>
      </c>
      <c r="Q74" s="17">
        <f t="shared" ca="1" si="12"/>
        <v>7.9714841218405705E-2</v>
      </c>
    </row>
    <row r="75" spans="1:17" x14ac:dyDescent="0.2">
      <c r="A75" t="str">
        <f>IFERROR(INDEX('2018 Data (WP)'!$C$9:$C$73,MATCH($B75,'2018 Data (WP)'!$D$9:$D$73,0)),"")</f>
        <v>Electric Util. (Central)</v>
      </c>
      <c r="B75" t="s">
        <v>44</v>
      </c>
      <c r="C75" t="s">
        <v>217</v>
      </c>
      <c r="D75" s="35">
        <f t="shared" ca="1" si="9"/>
        <v>66</v>
      </c>
      <c r="E75" s="35">
        <f t="shared" ca="1" si="10"/>
        <v>67</v>
      </c>
      <c r="F75" s="35"/>
      <c r="G75" s="17">
        <f t="shared" ca="1" si="12"/>
        <v>6.9981974339942743E-2</v>
      </c>
      <c r="H75" s="17">
        <f t="shared" ca="1" si="12"/>
        <v>6.3466588853224398E-2</v>
      </c>
      <c r="I75" s="17">
        <f t="shared" ref="G75:Q79" ca="1" si="13">IFERROR(INDEX(Dividends,$D75,I$2)/INDEX(BookValue,$E75,I$2),"N/A")</f>
        <v>7.9599959179508115E-2</v>
      </c>
      <c r="J75" s="17">
        <f t="shared" ca="1" si="13"/>
        <v>7.7136603854161101E-2</v>
      </c>
      <c r="K75" s="17">
        <f t="shared" ca="1" si="13"/>
        <v>6.6467264872050513E-2</v>
      </c>
      <c r="L75" s="17">
        <f t="shared" ca="1" si="13"/>
        <v>6.0482698458854317E-2</v>
      </c>
      <c r="M75" s="17">
        <f t="shared" ca="1" si="13"/>
        <v>4.9188391539596657E-2</v>
      </c>
      <c r="N75" s="17">
        <f t="shared" ca="1" si="13"/>
        <v>4.4247787610619468E-2</v>
      </c>
      <c r="O75" s="17">
        <f t="shared" ca="1" si="13"/>
        <v>3.7841625788367209E-2</v>
      </c>
      <c r="P75" s="17">
        <f t="shared" ca="1" si="13"/>
        <v>3.7733001282922042E-2</v>
      </c>
      <c r="Q75" s="17">
        <f t="shared" ca="1" si="13"/>
        <v>3.7249979755445785E-2</v>
      </c>
    </row>
    <row r="76" spans="1:17" x14ac:dyDescent="0.2">
      <c r="A76" t="str">
        <f>IFERROR(INDEX('2018 Data (WP)'!$C$9:$C$73,MATCH($B76,'2018 Data (WP)'!$D$9:$D$73,0)),"")</f>
        <v>Electric Util. (Central)</v>
      </c>
      <c r="B76" t="s">
        <v>43</v>
      </c>
      <c r="C76" t="s">
        <v>87</v>
      </c>
      <c r="D76" s="35">
        <f t="shared" ca="1" si="9"/>
        <v>67</v>
      </c>
      <c r="E76" s="35">
        <f t="shared" ca="1" si="10"/>
        <v>68</v>
      </c>
      <c r="F76" s="35"/>
      <c r="G76" s="17">
        <f t="shared" ca="1" si="13"/>
        <v>5.662978279497783E-2</v>
      </c>
      <c r="H76" s="17">
        <f t="shared" ca="1" si="13"/>
        <v>5.5665081758088833E-2</v>
      </c>
      <c r="I76" s="17">
        <f t="shared" ca="1" si="13"/>
        <v>5.5955235811350916E-2</v>
      </c>
      <c r="J76" s="17">
        <f t="shared" ca="1" si="13"/>
        <v>5.6953808785962561E-2</v>
      </c>
      <c r="K76" s="17">
        <f t="shared" ca="1" si="13"/>
        <v>5.765702804228183E-2</v>
      </c>
      <c r="L76" s="17">
        <f t="shared" ca="1" si="13"/>
        <v>5.8099950070355413E-2</v>
      </c>
      <c r="M76" s="17">
        <f t="shared" ca="1" si="13"/>
        <v>5.8350195284927762E-2</v>
      </c>
      <c r="N76" s="17">
        <f t="shared" ca="1" si="13"/>
        <v>5.8292043136111922E-2</v>
      </c>
      <c r="O76" s="17">
        <f t="shared" ca="1" si="13"/>
        <v>5.7471264367816084E-2</v>
      </c>
      <c r="P76" s="17">
        <f t="shared" ca="1" si="13"/>
        <v>5.6429280526673294E-2</v>
      </c>
      <c r="Q76" s="17">
        <f t="shared" ca="1" si="13"/>
        <v>5.563440249787114E-2</v>
      </c>
    </row>
    <row r="77" spans="1:17" x14ac:dyDescent="0.2">
      <c r="A77" t="str">
        <f>IFERROR(INDEX('2018 Data (WP)'!$C$9:$C$73,MATCH($B77,'2018 Data (WP)'!$D$9:$D$73,0)),"")</f>
        <v>Natural Gas Utility</v>
      </c>
      <c r="B77" s="31" t="s">
        <v>206</v>
      </c>
      <c r="C77" s="31" t="s">
        <v>205</v>
      </c>
      <c r="D77" s="35">
        <f t="shared" ca="1" si="9"/>
        <v>68</v>
      </c>
      <c r="E77" s="35">
        <f t="shared" ca="1" si="10"/>
        <v>69</v>
      </c>
      <c r="F77" s="35"/>
      <c r="G77" s="17">
        <f t="shared" ca="1" si="13"/>
        <v>7.2074090671446711E-2</v>
      </c>
      <c r="H77" s="17">
        <f t="shared" ca="1" si="13"/>
        <v>7.3279141472790618E-2</v>
      </c>
      <c r="I77" s="17">
        <f t="shared" ca="1" si="13"/>
        <v>7.1416708188008632E-2</v>
      </c>
      <c r="J77" s="17">
        <f t="shared" ca="1" si="13"/>
        <v>6.733187312403667E-2</v>
      </c>
      <c r="K77" s="17">
        <f t="shared" ca="1" si="13"/>
        <v>6.4526602004788769E-2</v>
      </c>
      <c r="L77" s="17">
        <f t="shared" ca="1" si="13"/>
        <v>6.5977099561571537E-2</v>
      </c>
      <c r="M77" s="17">
        <f t="shared" ca="1" si="13"/>
        <v>6.572605380772939E-2</v>
      </c>
      <c r="N77" s="17">
        <f t="shared" ca="1" si="13"/>
        <v>6.7150883924900651E-2</v>
      </c>
      <c r="O77" s="17">
        <f t="shared" ca="1" si="13"/>
        <v>6.7092347279138473E-2</v>
      </c>
      <c r="P77" s="17">
        <f t="shared" ca="1" si="13"/>
        <v>6.8821216093576693E-2</v>
      </c>
      <c r="Q77" s="17">
        <f t="shared" ca="1" si="13"/>
        <v>7.1330080610946117E-2</v>
      </c>
    </row>
    <row r="78" spans="1:17" x14ac:dyDescent="0.2">
      <c r="A78" t="str">
        <f>IFERROR(INDEX('2018 Data (WP)'!$C$9:$C$73,MATCH($B78,'2018 Data (WP)'!$D$9:$D$73,0)),"")</f>
        <v>Electric Utility (West)</v>
      </c>
      <c r="B78" t="s">
        <v>45</v>
      </c>
      <c r="C78" t="s">
        <v>65</v>
      </c>
      <c r="D78" s="35">
        <f t="shared" ca="1" si="9"/>
        <v>69</v>
      </c>
      <c r="E78" s="35">
        <f t="shared" ca="1" si="10"/>
        <v>70</v>
      </c>
      <c r="F78" s="35"/>
      <c r="G78" s="17">
        <f t="shared" ca="1" si="13"/>
        <v>6.2592047128129602E-2</v>
      </c>
      <c r="H78" s="17">
        <f t="shared" ca="1" si="13"/>
        <v>6.1282137214535355E-2</v>
      </c>
      <c r="I78" s="17">
        <f t="shared" ca="1" si="13"/>
        <v>5.9414764568995394E-2</v>
      </c>
      <c r="J78" s="17">
        <f t="shared" ca="1" si="13"/>
        <v>5.7782404997397188E-2</v>
      </c>
      <c r="K78" s="17">
        <f t="shared" ca="1" si="13"/>
        <v>5.8836467612449143E-2</v>
      </c>
      <c r="L78" s="17">
        <f t="shared" ca="1" si="13"/>
        <v>5.9076570117579587E-2</v>
      </c>
      <c r="M78" s="17">
        <f t="shared" ca="1" si="13"/>
        <v>5.9669431350319227E-2</v>
      </c>
      <c r="N78" s="17">
        <f t="shared" ca="1" si="13"/>
        <v>6.0933475720836731E-2</v>
      </c>
      <c r="O78" s="17">
        <f t="shared" ca="1" si="13"/>
        <v>6.1253746904730871E-2</v>
      </c>
      <c r="P78" s="17">
        <f t="shared" ca="1" si="13"/>
        <v>6.1925825110581832E-2</v>
      </c>
      <c r="Q78" s="17">
        <f t="shared" ca="1" si="13"/>
        <v>6.1616020165242966E-2</v>
      </c>
    </row>
    <row r="79" spans="1:17" x14ac:dyDescent="0.2">
      <c r="A79" t="str">
        <f>IFERROR(INDEX('2018 Data (WP)'!$C$9:$C$73,MATCH($B79,'2018 Data (WP)'!$D$9:$D$73,0)),"")</f>
        <v>Water Utility</v>
      </c>
      <c r="B79" s="31" t="s">
        <v>208</v>
      </c>
      <c r="C79" s="31" t="s">
        <v>207</v>
      </c>
      <c r="D79" s="35">
        <f t="shared" ca="1" si="9"/>
        <v>70</v>
      </c>
      <c r="E79" s="35">
        <f t="shared" ca="1" si="10"/>
        <v>71</v>
      </c>
      <c r="F79" s="35"/>
      <c r="G79" s="17" t="str">
        <f t="shared" ca="1" si="13"/>
        <v>N/A</v>
      </c>
      <c r="H79" s="17">
        <f t="shared" ca="1" si="13"/>
        <v>7.0480441677434516E-2</v>
      </c>
      <c r="I79" s="17">
        <f t="shared" ca="1" si="13"/>
        <v>7.018404907975459E-2</v>
      </c>
      <c r="J79" s="17">
        <f t="shared" ca="1" si="13"/>
        <v>6.9216300940438874E-2</v>
      </c>
      <c r="K79" s="17">
        <f t="shared" ca="1" si="13"/>
        <v>6.975540313187524E-2</v>
      </c>
      <c r="L79" s="17">
        <f t="shared" ca="1" si="13"/>
        <v>7.0766751712098841E-2</v>
      </c>
      <c r="M79" s="17">
        <f t="shared" ca="1" si="13"/>
        <v>7.1627260083449232E-2</v>
      </c>
      <c r="N79" s="17">
        <f t="shared" ca="1" si="13"/>
        <v>7.3110822135529552E-2</v>
      </c>
      <c r="O79" s="17">
        <f t="shared" ca="1" si="13"/>
        <v>7.9680625712889044E-2</v>
      </c>
      <c r="P79" s="17">
        <f t="shared" ca="1" si="13"/>
        <v>7.9537843268586733E-2</v>
      </c>
      <c r="Q79" s="17">
        <f t="shared" ca="1" si="13"/>
        <v>7.7806341045415603E-2</v>
      </c>
    </row>
    <row r="80" spans="1:17" x14ac:dyDescent="0.2">
      <c r="B80" s="31"/>
      <c r="C80" s="31"/>
      <c r="D80" s="35"/>
      <c r="E80" s="35"/>
      <c r="F80" s="35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</row>
  </sheetData>
  <autoFilter ref="A4:T79"/>
  <pageMargins left="0.7" right="0.7" top="0.75" bottom="0.75" header="0.3" footer="0.3"/>
  <pageSetup fitToHeight="0" orientation="landscape" r:id="rId1"/>
  <headerFooter>
    <oddFooter>&amp;R&amp;A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T79"/>
  <sheetViews>
    <sheetView zoomScale="70" zoomScaleNormal="70" workbookViewId="0">
      <selection activeCell="G5" sqref="G5"/>
    </sheetView>
  </sheetViews>
  <sheetFormatPr defaultRowHeight="14.25" x14ac:dyDescent="0.2"/>
  <cols>
    <col min="1" max="1" width="13.375" customWidth="1"/>
    <col min="2" max="2" width="7.5" bestFit="1" customWidth="1"/>
    <col min="3" max="3" width="22.25" customWidth="1"/>
    <col min="4" max="4" width="3.25" bestFit="1" customWidth="1"/>
    <col min="5" max="5" width="2.875" bestFit="1" customWidth="1"/>
    <col min="6" max="6" width="1.75" customWidth="1"/>
    <col min="7" max="9" width="6.25" bestFit="1" customWidth="1"/>
    <col min="10" max="11" width="5" bestFit="1" customWidth="1"/>
    <col min="12" max="12" width="4.875" bestFit="1" customWidth="1"/>
    <col min="13" max="13" width="5" bestFit="1" customWidth="1"/>
    <col min="14" max="17" width="5.25" bestFit="1" customWidth="1"/>
    <col min="18" max="20" width="9.25" style="31" customWidth="1"/>
  </cols>
  <sheetData>
    <row r="1" spans="1:20" x14ac:dyDescent="0.2">
      <c r="A1" t="s">
        <v>321</v>
      </c>
    </row>
    <row r="2" spans="1:20" x14ac:dyDescent="0.2">
      <c r="E2" s="35"/>
      <c r="F2" s="35"/>
      <c r="G2" s="35">
        <f t="shared" ref="G2:Q2" ca="1" si="0">MATCH(G3,OFFSET(Earnings,-2,0,1,),0)</f>
        <v>2</v>
      </c>
      <c r="H2" s="35">
        <f t="shared" ca="1" si="0"/>
        <v>3</v>
      </c>
      <c r="I2" s="35">
        <f t="shared" ca="1" si="0"/>
        <v>4</v>
      </c>
      <c r="J2" s="35">
        <f t="shared" ca="1" si="0"/>
        <v>5</v>
      </c>
      <c r="K2" s="35">
        <f t="shared" ca="1" si="0"/>
        <v>6</v>
      </c>
      <c r="L2" s="35">
        <f t="shared" ca="1" si="0"/>
        <v>7</v>
      </c>
      <c r="M2" s="35">
        <f t="shared" ca="1" si="0"/>
        <v>8</v>
      </c>
      <c r="N2" s="35">
        <f t="shared" ca="1" si="0"/>
        <v>9</v>
      </c>
      <c r="O2" s="35">
        <f t="shared" ca="1" si="0"/>
        <v>10</v>
      </c>
      <c r="P2" s="35">
        <f t="shared" ca="1" si="0"/>
        <v>11</v>
      </c>
      <c r="Q2" s="35">
        <f t="shared" ca="1" si="0"/>
        <v>12</v>
      </c>
      <c r="R2" s="55"/>
      <c r="S2" s="55"/>
      <c r="T2" s="55"/>
    </row>
    <row r="3" spans="1:20" ht="15.75" thickBot="1" x14ac:dyDescent="0.3">
      <c r="D3" s="35" t="s">
        <v>318</v>
      </c>
      <c r="E3" s="35" t="s">
        <v>319</v>
      </c>
      <c r="F3" s="35"/>
      <c r="G3" s="49">
        <v>2016</v>
      </c>
      <c r="H3" s="49">
        <v>2015</v>
      </c>
      <c r="I3" s="49">
        <v>2014</v>
      </c>
      <c r="J3" s="49">
        <v>2013</v>
      </c>
      <c r="K3" s="49">
        <v>2012</v>
      </c>
      <c r="L3" s="49">
        <v>2011</v>
      </c>
      <c r="M3" s="49">
        <v>2010</v>
      </c>
      <c r="N3" s="49">
        <v>2009</v>
      </c>
      <c r="O3" s="49">
        <v>2008</v>
      </c>
      <c r="P3" s="49">
        <v>2007</v>
      </c>
      <c r="Q3" s="49">
        <v>2006</v>
      </c>
      <c r="R3" s="56"/>
      <c r="S3" s="56"/>
      <c r="T3" s="56"/>
    </row>
    <row r="4" spans="1:20" x14ac:dyDescent="0.2">
      <c r="D4" s="35"/>
      <c r="E4" s="35"/>
      <c r="F4" s="35"/>
      <c r="G4" s="35"/>
      <c r="H4" s="35"/>
    </row>
    <row r="5" spans="1:20" x14ac:dyDescent="0.2">
      <c r="A5" t="str">
        <f>IFERROR(INDEX('2018 Data (WP)'!$C$9:$C$73,MATCH($B5,'2018 Data (WP)'!$D$9:$D$73,0)),"")</f>
        <v>Electric Util. (Central)</v>
      </c>
      <c r="B5" t="s">
        <v>0</v>
      </c>
      <c r="C5" t="s">
        <v>91</v>
      </c>
      <c r="D5" s="35">
        <f t="shared" ref="D5:D36" ca="1" si="1">MATCH(B5,OFFSET(Dividends,0,0,,1),0)</f>
        <v>3</v>
      </c>
      <c r="E5" s="35">
        <f t="shared" ref="E5:E36" ca="1" si="2">MATCH(B5,OFFSET(Earnings,0,0,,1),0)</f>
        <v>3</v>
      </c>
      <c r="F5" s="35"/>
      <c r="G5" s="17">
        <f ca="1">IFERROR(INDEX(Dividends,$D5,G$2)/INDEX(Earnings,$E5,G$2),"N/A")</f>
        <v>0.66242038216560506</v>
      </c>
      <c r="H5" s="17">
        <f t="shared" ref="G5:Q14" ca="1" si="3">IFERROR(INDEX(Dividends,$D5,H$2)/INDEX(Earnings,$E5,H$2),"N/A")</f>
        <v>0.59763313609467461</v>
      </c>
      <c r="I5" s="17">
        <f t="shared" ca="1" si="3"/>
        <v>0.67586206896551726</v>
      </c>
      <c r="J5" s="17">
        <f t="shared" ca="1" si="3"/>
        <v>0.72243346007604559</v>
      </c>
      <c r="K5" s="17">
        <f t="shared" ca="1" si="3"/>
        <v>0.71317829457364346</v>
      </c>
      <c r="L5" s="17">
        <f t="shared" ca="1" si="3"/>
        <v>0.67169811320754724</v>
      </c>
      <c r="M5" s="17">
        <f t="shared" ca="1" si="3"/>
        <v>0.80365296803652975</v>
      </c>
      <c r="N5" s="17">
        <f t="shared" ca="1" si="3"/>
        <v>0.93121693121693128</v>
      </c>
      <c r="O5" s="17">
        <f t="shared" ca="1" si="3"/>
        <v>0.60992907801418439</v>
      </c>
      <c r="P5" s="17">
        <f t="shared" ca="1" si="3"/>
        <v>0.53246753246753242</v>
      </c>
      <c r="Q5" s="17">
        <f t="shared" ca="1" si="3"/>
        <v>0.52346570397111913</v>
      </c>
      <c r="R5" s="57"/>
      <c r="S5" s="58"/>
      <c r="T5" s="58"/>
    </row>
    <row r="6" spans="1:20" x14ac:dyDescent="0.2">
      <c r="A6" t="str">
        <f>IFERROR(INDEX('2018 Data (WP)'!$C$9:$C$73,MATCH($B6,'2018 Data (WP)'!$D$9:$D$73,0)),"")</f>
        <v>Electric Util. (Central)</v>
      </c>
      <c r="B6" t="s">
        <v>1</v>
      </c>
      <c r="C6" t="s">
        <v>84</v>
      </c>
      <c r="D6" s="35">
        <f t="shared" ca="1" si="1"/>
        <v>4</v>
      </c>
      <c r="E6" s="35">
        <f t="shared" ca="1" si="2"/>
        <v>4</v>
      </c>
      <c r="F6" s="35"/>
      <c r="G6" s="17">
        <f t="shared" ca="1" si="3"/>
        <v>0.7151515151515152</v>
      </c>
      <c r="H6" s="17">
        <f t="shared" ca="1" si="3"/>
        <v>0.65088757396449715</v>
      </c>
      <c r="I6" s="17">
        <f t="shared" ca="1" si="3"/>
        <v>0.5862068965517242</v>
      </c>
      <c r="J6" s="17">
        <f t="shared" ca="1" si="3"/>
        <v>0.5714285714285714</v>
      </c>
      <c r="K6" s="17">
        <f t="shared" ca="1" si="3"/>
        <v>0.59016393442622961</v>
      </c>
      <c r="L6" s="17">
        <f t="shared" ca="1" si="3"/>
        <v>0.61818181818181817</v>
      </c>
      <c r="M6" s="17">
        <f t="shared" ca="1" si="3"/>
        <v>0.57454545454545458</v>
      </c>
      <c r="N6" s="17">
        <f t="shared" ca="1" si="3"/>
        <v>0.79365079365079372</v>
      </c>
      <c r="O6" s="17">
        <f t="shared" ca="1" si="3"/>
        <v>0.55118110236220463</v>
      </c>
      <c r="P6" s="17">
        <f t="shared" ca="1" si="3"/>
        <v>0.47211895910780671</v>
      </c>
      <c r="Q6" s="17">
        <f t="shared" ca="1" si="3"/>
        <v>0.55825242718446599</v>
      </c>
      <c r="R6" s="57"/>
      <c r="S6" s="57"/>
      <c r="T6" s="57"/>
    </row>
    <row r="7" spans="1:20" x14ac:dyDescent="0.2">
      <c r="A7" t="str">
        <f>IFERROR(INDEX('2018 Data (WP)'!$C$9:$C$73,MATCH($B7,'2018 Data (WP)'!$D$9:$D$73,0)),"")</f>
        <v>Water Utility</v>
      </c>
      <c r="B7" s="31" t="s">
        <v>165</v>
      </c>
      <c r="C7" s="31" t="s">
        <v>164</v>
      </c>
      <c r="D7" s="35">
        <f t="shared" ca="1" si="1"/>
        <v>6</v>
      </c>
      <c r="E7" s="35">
        <f t="shared" ca="1" si="2"/>
        <v>6</v>
      </c>
      <c r="F7" s="35"/>
      <c r="G7" s="17">
        <f t="shared" ca="1" si="3"/>
        <v>0.56419753086419755</v>
      </c>
      <c r="H7" s="17">
        <f t="shared" ca="1" si="3"/>
        <v>0.54625000000000001</v>
      </c>
      <c r="I7" s="17">
        <f t="shared" ca="1" si="3"/>
        <v>0.52929936305732483</v>
      </c>
      <c r="J7" s="17">
        <f t="shared" ca="1" si="3"/>
        <v>0.47204968944099379</v>
      </c>
      <c r="K7" s="17">
        <f t="shared" ca="1" si="3"/>
        <v>0.45035460992907805</v>
      </c>
      <c r="L7" s="17">
        <f t="shared" ca="1" si="3"/>
        <v>0.49107142857142855</v>
      </c>
      <c r="M7" s="17">
        <f t="shared" ca="1" si="3"/>
        <v>0.46846846846846846</v>
      </c>
      <c r="N7" s="17">
        <f t="shared" ca="1" si="3"/>
        <v>0.62345679012345678</v>
      </c>
      <c r="O7" s="17">
        <f t="shared" ca="1" si="3"/>
        <v>0.64516129032258063</v>
      </c>
      <c r="P7" s="17">
        <f t="shared" ca="1" si="3"/>
        <v>0.59012345679012335</v>
      </c>
      <c r="Q7" s="17">
        <f t="shared" ca="1" si="3"/>
        <v>0.68421052631578949</v>
      </c>
      <c r="R7" s="57"/>
      <c r="S7" s="57"/>
      <c r="T7" s="57"/>
    </row>
    <row r="8" spans="1:20" x14ac:dyDescent="0.2">
      <c r="A8" t="str">
        <f>IFERROR(INDEX('2018 Data (WP)'!$C$9:$C$73,MATCH($B8,'2018 Data (WP)'!$D$9:$D$73,0)),"")</f>
        <v>Water Utility</v>
      </c>
      <c r="B8" s="31" t="s">
        <v>167</v>
      </c>
      <c r="C8" s="31" t="s">
        <v>166</v>
      </c>
      <c r="D8" s="35">
        <f t="shared" ca="1" si="1"/>
        <v>7</v>
      </c>
      <c r="E8" s="35">
        <f t="shared" ca="1" si="2"/>
        <v>7</v>
      </c>
      <c r="F8" s="35"/>
      <c r="G8" s="17">
        <f t="shared" ca="1" si="3"/>
        <v>0.56106870229007633</v>
      </c>
      <c r="H8" s="17">
        <f t="shared" ca="1" si="3"/>
        <v>0.50378787878787878</v>
      </c>
      <c r="I8" s="17">
        <f t="shared" ca="1" si="3"/>
        <v>0.506276150627615</v>
      </c>
      <c r="J8" s="17">
        <f t="shared" ca="1" si="3"/>
        <v>0.40776699029126212</v>
      </c>
      <c r="K8" s="17">
        <f t="shared" ca="1" si="3"/>
        <v>0.57345971563981046</v>
      </c>
      <c r="L8" s="17">
        <f t="shared" ca="1" si="3"/>
        <v>0.52325581395348841</v>
      </c>
      <c r="M8" s="17">
        <f t="shared" ca="1" si="3"/>
        <v>0.56209150326797386</v>
      </c>
      <c r="N8" s="17">
        <f t="shared" ca="1" si="3"/>
        <v>0.65599999999999992</v>
      </c>
      <c r="O8" s="17">
        <f t="shared" ca="1" si="3"/>
        <v>0.36363636363636365</v>
      </c>
      <c r="P8" s="17">
        <f t="shared" ca="1" si="3"/>
        <v>0</v>
      </c>
      <c r="Q8" s="17">
        <f t="shared" ca="1" si="3"/>
        <v>0</v>
      </c>
      <c r="R8" s="57"/>
      <c r="S8" s="57"/>
      <c r="T8" s="57"/>
    </row>
    <row r="9" spans="1:20" x14ac:dyDescent="0.2">
      <c r="A9" t="str">
        <f>IFERROR(INDEX('2018 Data (WP)'!$C$9:$C$73,MATCH($B9,'2018 Data (WP)'!$D$9:$D$73,0)),"")</f>
        <v>Electric Util. (Central)</v>
      </c>
      <c r="B9" t="s">
        <v>3</v>
      </c>
      <c r="C9" t="s">
        <v>80</v>
      </c>
      <c r="D9" s="35">
        <f t="shared" ca="1" si="1"/>
        <v>8</v>
      </c>
      <c r="E9" s="35">
        <f t="shared" ca="1" si="2"/>
        <v>8</v>
      </c>
      <c r="F9" s="35"/>
      <c r="G9" s="17">
        <f t="shared" ca="1" si="3"/>
        <v>0.6399253731343284</v>
      </c>
      <c r="H9" s="17">
        <f t="shared" ca="1" si="3"/>
        <v>0.69537815126050428</v>
      </c>
      <c r="I9" s="17">
        <f t="shared" ca="1" si="3"/>
        <v>0.67083333333333339</v>
      </c>
      <c r="J9" s="17">
        <f t="shared" ca="1" si="3"/>
        <v>0.76190476190476186</v>
      </c>
      <c r="K9" s="17">
        <f t="shared" ca="1" si="3"/>
        <v>0.66390041493775931</v>
      </c>
      <c r="L9" s="17">
        <f t="shared" ca="1" si="3"/>
        <v>0.62955465587044523</v>
      </c>
      <c r="M9" s="17">
        <f t="shared" ca="1" si="3"/>
        <v>0.55595667870036103</v>
      </c>
      <c r="N9" s="17">
        <f t="shared" ca="1" si="3"/>
        <v>0.5539568345323741</v>
      </c>
      <c r="O9" s="17">
        <f t="shared" ca="1" si="3"/>
        <v>0.88194444444444453</v>
      </c>
      <c r="P9" s="17">
        <f t="shared" ca="1" si="3"/>
        <v>0.8523489932885906</v>
      </c>
      <c r="Q9" s="17">
        <f t="shared" ca="1" si="3"/>
        <v>0.95488721804511278</v>
      </c>
      <c r="R9" s="57"/>
      <c r="S9" s="57"/>
      <c r="T9" s="57"/>
    </row>
    <row r="10" spans="1:20" x14ac:dyDescent="0.2">
      <c r="A10" t="str">
        <f>IFERROR(INDEX('2018 Data (WP)'!$C$9:$C$73,MATCH($B10,'2018 Data (WP)'!$D$9:$D$73,0)),"")</f>
        <v>Electric Util. (Central)</v>
      </c>
      <c r="B10" t="s">
        <v>2</v>
      </c>
      <c r="C10" t="s">
        <v>103</v>
      </c>
      <c r="D10" s="35">
        <f t="shared" ca="1" si="1"/>
        <v>5</v>
      </c>
      <c r="E10" s="35">
        <f t="shared" ca="1" si="2"/>
        <v>5</v>
      </c>
      <c r="F10" s="35"/>
      <c r="G10" s="17">
        <f t="shared" ca="1" si="3"/>
        <v>0.53664302600472813</v>
      </c>
      <c r="H10" s="17">
        <f t="shared" ca="1" si="3"/>
        <v>0.59888579387186625</v>
      </c>
      <c r="I10" s="17">
        <f t="shared" ca="1" si="3"/>
        <v>0.60778443113772451</v>
      </c>
      <c r="J10" s="17">
        <f t="shared" ca="1" si="3"/>
        <v>0.6132075471698113</v>
      </c>
      <c r="K10" s="17">
        <f t="shared" ca="1" si="3"/>
        <v>0.63087248322147649</v>
      </c>
      <c r="L10" s="17">
        <f t="shared" ca="1" si="3"/>
        <v>0.59105431309904155</v>
      </c>
      <c r="M10" s="17">
        <f t="shared" ca="1" si="3"/>
        <v>0.65769230769230769</v>
      </c>
      <c r="N10" s="17">
        <f t="shared" ca="1" si="3"/>
        <v>0.55218855218855212</v>
      </c>
      <c r="O10" s="17">
        <f t="shared" ca="1" si="3"/>
        <v>0.54849498327759194</v>
      </c>
      <c r="P10" s="17">
        <f t="shared" ca="1" si="3"/>
        <v>0.5524475524475525</v>
      </c>
      <c r="Q10" s="17">
        <f t="shared" ca="1" si="3"/>
        <v>0.52447552447552448</v>
      </c>
      <c r="R10" s="57"/>
      <c r="S10" s="57"/>
      <c r="T10" s="57"/>
    </row>
    <row r="11" spans="1:20" x14ac:dyDescent="0.2">
      <c r="A11" t="str">
        <f>IFERROR(INDEX('2018 Data (WP)'!$C$9:$C$73,MATCH($B11,'2018 Data (WP)'!$D$9:$D$73,0)),"")</f>
        <v>Water Utility</v>
      </c>
      <c r="B11" s="31" t="s">
        <v>171</v>
      </c>
      <c r="C11" s="31" t="s">
        <v>170</v>
      </c>
      <c r="D11" s="35">
        <f t="shared" ca="1" si="1"/>
        <v>10</v>
      </c>
      <c r="E11" s="35">
        <f t="shared" ca="1" si="2"/>
        <v>10</v>
      </c>
      <c r="F11" s="35"/>
      <c r="G11" s="17">
        <f t="shared" ca="1" si="3"/>
        <v>0.56060606060606055</v>
      </c>
      <c r="H11" s="17">
        <f t="shared" ca="1" si="3"/>
        <v>0.60526315789473684</v>
      </c>
      <c r="I11" s="17">
        <f t="shared" ca="1" si="3"/>
        <v>0.52500000000000002</v>
      </c>
      <c r="J11" s="17">
        <f t="shared" ca="1" si="3"/>
        <v>0.5</v>
      </c>
      <c r="K11" s="17">
        <f t="shared" ca="1" si="3"/>
        <v>0.6146788990825689</v>
      </c>
      <c r="L11" s="17">
        <f t="shared" ca="1" si="3"/>
        <v>0.60576923076923084</v>
      </c>
      <c r="M11" s="17">
        <f t="shared" ca="1" si="3"/>
        <v>0.65555555555555556</v>
      </c>
      <c r="N11" s="17">
        <f t="shared" ca="1" si="3"/>
        <v>0.7142857142857143</v>
      </c>
      <c r="O11" s="17">
        <f t="shared" ca="1" si="3"/>
        <v>0.69863013698630139</v>
      </c>
      <c r="P11" s="17">
        <f t="shared" ca="1" si="3"/>
        <v>0.67605633802816911</v>
      </c>
      <c r="Q11" s="17">
        <f t="shared" ca="1" si="3"/>
        <v>0.62857142857142845</v>
      </c>
      <c r="R11" s="57"/>
      <c r="S11" s="57"/>
      <c r="T11" s="57"/>
    </row>
    <row r="12" spans="1:20" x14ac:dyDescent="0.2">
      <c r="A12" t="str">
        <f>IFERROR(INDEX('2018 Data (WP)'!$C$9:$C$73,MATCH($B12,'2018 Data (WP)'!$D$9:$D$73,0)),"")</f>
        <v>Natural Gas Utility</v>
      </c>
      <c r="B12" s="31" t="s">
        <v>175</v>
      </c>
      <c r="C12" s="31" t="s">
        <v>174</v>
      </c>
      <c r="D12" s="35">
        <f t="shared" ca="1" si="1"/>
        <v>12</v>
      </c>
      <c r="E12" s="35">
        <f t="shared" ca="1" si="2"/>
        <v>12</v>
      </c>
      <c r="F12" s="35"/>
      <c r="G12" s="17">
        <f t="shared" ca="1" si="3"/>
        <v>0.49704142011834318</v>
      </c>
      <c r="H12" s="17">
        <f t="shared" ca="1" si="3"/>
        <v>0.50485436893203883</v>
      </c>
      <c r="I12" s="17">
        <f t="shared" ca="1" si="3"/>
        <v>0.5</v>
      </c>
      <c r="J12" s="17">
        <f t="shared" ca="1" si="3"/>
        <v>0.55999999999999994</v>
      </c>
      <c r="K12" s="17">
        <f t="shared" ca="1" si="3"/>
        <v>0.65714285714285703</v>
      </c>
      <c r="L12" s="17">
        <f t="shared" ca="1" si="3"/>
        <v>0.60176991150442483</v>
      </c>
      <c r="M12" s="17">
        <f t="shared" ca="1" si="3"/>
        <v>0.62037037037037035</v>
      </c>
      <c r="N12" s="17">
        <f t="shared" ca="1" si="3"/>
        <v>0.67005076142131981</v>
      </c>
      <c r="O12" s="17">
        <f t="shared" ca="1" si="3"/>
        <v>0.65</v>
      </c>
      <c r="P12" s="17">
        <f t="shared" ca="1" si="3"/>
        <v>0.65979381443298968</v>
      </c>
      <c r="Q12" s="17">
        <f t="shared" ca="1" si="3"/>
        <v>0.63</v>
      </c>
      <c r="R12" s="57"/>
      <c r="S12" s="57"/>
      <c r="T12" s="57"/>
    </row>
    <row r="13" spans="1:20" x14ac:dyDescent="0.2">
      <c r="A13" t="str">
        <f>IFERROR(INDEX('2018 Data (WP)'!$C$9:$C$73,MATCH($B13,'2018 Data (WP)'!$D$9:$D$73,0)),"")</f>
        <v>Electric Utility (East)</v>
      </c>
      <c r="B13" t="s">
        <v>260</v>
      </c>
      <c r="C13" t="s">
        <v>261</v>
      </c>
      <c r="D13" s="35">
        <f t="shared" ca="1" si="1"/>
        <v>13</v>
      </c>
      <c r="E13" s="35">
        <f t="shared" ca="1" si="2"/>
        <v>13</v>
      </c>
      <c r="F13" s="35"/>
      <c r="G13" s="17">
        <f t="shared" ca="1" si="3"/>
        <v>0.87272727272727268</v>
      </c>
      <c r="H13" s="17">
        <f t="shared" ca="1" si="3"/>
        <v>0</v>
      </c>
      <c r="I13" s="17" t="str">
        <f t="shared" ca="1" si="3"/>
        <v>N/A</v>
      </c>
      <c r="J13" s="17" t="str">
        <f t="shared" ca="1" si="3"/>
        <v>N/A</v>
      </c>
      <c r="K13" s="17" t="str">
        <f t="shared" ca="1" si="3"/>
        <v>N/A</v>
      </c>
      <c r="L13" s="17" t="str">
        <f t="shared" ca="1" si="3"/>
        <v>N/A</v>
      </c>
      <c r="M13" s="17" t="str">
        <f t="shared" ca="1" si="3"/>
        <v>N/A</v>
      </c>
      <c r="N13" s="17" t="str">
        <f t="shared" ca="1" si="3"/>
        <v>N/A</v>
      </c>
      <c r="O13" s="17" t="str">
        <f t="shared" ca="1" si="3"/>
        <v>N/A</v>
      </c>
      <c r="P13" s="17" t="str">
        <f t="shared" ca="1" si="3"/>
        <v>N/A</v>
      </c>
      <c r="Q13" s="17" t="str">
        <f t="shared" ca="1" si="3"/>
        <v>N/A</v>
      </c>
      <c r="R13" s="57"/>
      <c r="S13" s="57"/>
      <c r="T13" s="57"/>
    </row>
    <row r="14" spans="1:20" x14ac:dyDescent="0.2">
      <c r="A14" t="str">
        <f>IFERROR(INDEX('2018 Data (WP)'!$C$9:$C$73,MATCH($B14,'2018 Data (WP)'!$D$9:$D$73,0)),"")</f>
        <v>Electric Utility (West)</v>
      </c>
      <c r="B14" t="s">
        <v>4</v>
      </c>
      <c r="C14" t="s">
        <v>86</v>
      </c>
      <c r="D14" s="35">
        <f t="shared" ca="1" si="1"/>
        <v>14</v>
      </c>
      <c r="E14" s="35">
        <f t="shared" ca="1" si="2"/>
        <v>14</v>
      </c>
      <c r="F14" s="35"/>
      <c r="G14" s="17">
        <f t="shared" ca="1" si="3"/>
        <v>0.63720930232558148</v>
      </c>
      <c r="H14" s="17">
        <f t="shared" ca="1" si="3"/>
        <v>0.69841269841269848</v>
      </c>
      <c r="I14" s="17">
        <f t="shared" ca="1" si="3"/>
        <v>0.69021739130434778</v>
      </c>
      <c r="J14" s="17">
        <f t="shared" ca="1" si="3"/>
        <v>0.65945945945945939</v>
      </c>
      <c r="K14" s="17">
        <f t="shared" ca="1" si="3"/>
        <v>0.87878787878787867</v>
      </c>
      <c r="L14" s="17">
        <f t="shared" ca="1" si="3"/>
        <v>0.63953488372093026</v>
      </c>
      <c r="M14" s="17">
        <f t="shared" ca="1" si="3"/>
        <v>0.60606060606060608</v>
      </c>
      <c r="N14" s="17">
        <f t="shared" ca="1" si="3"/>
        <v>0.51265822784810122</v>
      </c>
      <c r="O14" s="17">
        <f t="shared" ca="1" si="3"/>
        <v>0.50735294117647056</v>
      </c>
      <c r="P14" s="17">
        <f t="shared" ca="1" si="3"/>
        <v>0.82638888888888884</v>
      </c>
      <c r="Q14" s="17">
        <f t="shared" ca="1" si="3"/>
        <v>0.38775510204081631</v>
      </c>
      <c r="R14" s="57"/>
      <c r="S14" s="57"/>
      <c r="T14" s="57"/>
    </row>
    <row r="15" spans="1:20" x14ac:dyDescent="0.2">
      <c r="A15" t="str">
        <f>IFERROR(INDEX('2018 Data (WP)'!$C$9:$C$73,MATCH($B15,'2018 Data (WP)'!$D$9:$D$73,0)),"")</f>
        <v>Electric Utility (West)</v>
      </c>
      <c r="B15" t="s">
        <v>5</v>
      </c>
      <c r="C15" t="s">
        <v>46</v>
      </c>
      <c r="D15" s="35">
        <f t="shared" ca="1" si="1"/>
        <v>15</v>
      </c>
      <c r="E15" s="35">
        <f t="shared" ca="1" si="2"/>
        <v>15</v>
      </c>
      <c r="F15" s="35"/>
      <c r="G15" s="17">
        <f t="shared" ref="G15:Q24" ca="1" si="4">IFERROR(INDEX(Dividends,$D15,G$2)/INDEX(Earnings,$E15,G$2),"N/A")</f>
        <v>0.63878326996197721</v>
      </c>
      <c r="H15" s="17">
        <f t="shared" ca="1" si="4"/>
        <v>0.57243816254416968</v>
      </c>
      <c r="I15" s="17">
        <f t="shared" ca="1" si="4"/>
        <v>0.53979238754325254</v>
      </c>
      <c r="J15" s="17">
        <f t="shared" ca="1" si="4"/>
        <v>0.58237547892720309</v>
      </c>
      <c r="K15" s="17">
        <f t="shared" ca="1" si="4"/>
        <v>0.75126903553299496</v>
      </c>
      <c r="L15" s="17">
        <f t="shared" ca="1" si="4"/>
        <v>1.4455445544554455</v>
      </c>
      <c r="M15" s="17">
        <f t="shared" ca="1" si="4"/>
        <v>0.86746987951807231</v>
      </c>
      <c r="N15" s="17">
        <f t="shared" ca="1" si="4"/>
        <v>0.61206896551724144</v>
      </c>
      <c r="O15" s="17">
        <f t="shared" ca="1" si="4"/>
        <v>7.7777777777777777</v>
      </c>
      <c r="P15" s="17">
        <f t="shared" ca="1" si="4"/>
        <v>0.51119402985074625</v>
      </c>
      <c r="Q15" s="17">
        <f t="shared" ca="1" si="4"/>
        <v>0.59728506787330315</v>
      </c>
      <c r="R15" s="57"/>
      <c r="S15" s="57"/>
      <c r="T15" s="57"/>
    </row>
    <row r="16" spans="1:20" x14ac:dyDescent="0.2">
      <c r="A16" t="str">
        <f>IFERROR(INDEX('2018 Data (WP)'!$C$9:$C$73,MATCH($B16,'2018 Data (WP)'!$D$9:$D$73,0)),"")</f>
        <v>Water Utility</v>
      </c>
      <c r="B16" s="31" t="s">
        <v>177</v>
      </c>
      <c r="C16" s="31" t="s">
        <v>176</v>
      </c>
      <c r="D16" s="35">
        <f t="shared" ca="1" si="1"/>
        <v>16</v>
      </c>
      <c r="E16" s="35">
        <f t="shared" ca="1" si="2"/>
        <v>16</v>
      </c>
      <c r="F16" s="35"/>
      <c r="G16" s="17">
        <f t="shared" ca="1" si="4"/>
        <v>0.68316831683168311</v>
      </c>
      <c r="H16" s="17">
        <f t="shared" ca="1" si="4"/>
        <v>0.7127659574468086</v>
      </c>
      <c r="I16" s="17">
        <f t="shared" ca="1" si="4"/>
        <v>0.54621848739495804</v>
      </c>
      <c r="J16" s="17">
        <f t="shared" ca="1" si="4"/>
        <v>0.62745098039215685</v>
      </c>
      <c r="K16" s="17">
        <f t="shared" ca="1" si="4"/>
        <v>0.61764705882352944</v>
      </c>
      <c r="L16" s="17">
        <f t="shared" ca="1" si="4"/>
        <v>0.71511627906976749</v>
      </c>
      <c r="M16" s="17">
        <f t="shared" ca="1" si="4"/>
        <v>0.65745856353591159</v>
      </c>
      <c r="N16" s="17">
        <f t="shared" ca="1" si="4"/>
        <v>0.60512820512820509</v>
      </c>
      <c r="O16" s="17">
        <f t="shared" ca="1" si="4"/>
        <v>0.61578947368421055</v>
      </c>
      <c r="P16" s="17">
        <f t="shared" ca="1" si="4"/>
        <v>0.77333333333333332</v>
      </c>
      <c r="Q16" s="17">
        <f t="shared" ca="1" si="4"/>
        <v>0.85820895522388052</v>
      </c>
      <c r="R16" s="57"/>
      <c r="S16" s="57"/>
      <c r="T16" s="57"/>
    </row>
    <row r="17" spans="1:20" x14ac:dyDescent="0.2">
      <c r="A17" t="str">
        <f>IFERROR(INDEX('2018 Data (WP)'!$C$9:$C$73,MATCH($B17,'2018 Data (WP)'!$D$9:$D$73,0)),"")</f>
        <v>Electric Util. (Central)</v>
      </c>
      <c r="B17" t="s">
        <v>6</v>
      </c>
      <c r="C17" t="s">
        <v>90</v>
      </c>
      <c r="D17" s="35">
        <f t="shared" ca="1" si="1"/>
        <v>17</v>
      </c>
      <c r="E17" s="35">
        <f t="shared" ca="1" si="2"/>
        <v>17</v>
      </c>
      <c r="F17" s="35"/>
      <c r="G17" s="17">
        <f t="shared" ca="1" si="4"/>
        <v>1.03</v>
      </c>
      <c r="H17" s="17">
        <f t="shared" ca="1" si="4"/>
        <v>0.91666666666666663</v>
      </c>
      <c r="I17" s="17">
        <f t="shared" ca="1" si="4"/>
        <v>0.66901408450704225</v>
      </c>
      <c r="J17" s="17">
        <f t="shared" ca="1" si="4"/>
        <v>0.66935483870967738</v>
      </c>
      <c r="K17" s="17">
        <f t="shared" ca="1" si="4"/>
        <v>0.6</v>
      </c>
      <c r="L17" s="17">
        <f t="shared" ca="1" si="4"/>
        <v>0.62204724409448819</v>
      </c>
      <c r="M17" s="17">
        <f t="shared" ca="1" si="4"/>
        <v>0.7289719626168224</v>
      </c>
      <c r="N17" s="17">
        <f t="shared" ca="1" si="4"/>
        <v>0.75247524752475248</v>
      </c>
      <c r="O17" s="17">
        <f t="shared" ca="1" si="4"/>
        <v>0.56153846153846154</v>
      </c>
      <c r="P17" s="17">
        <f t="shared" ca="1" si="4"/>
        <v>0.58119658119658124</v>
      </c>
      <c r="Q17" s="17">
        <f t="shared" ca="1" si="4"/>
        <v>0.45112781954887216</v>
      </c>
      <c r="R17" s="57"/>
      <c r="S17" s="57"/>
      <c r="T17" s="57"/>
    </row>
    <row r="18" spans="1:20" x14ac:dyDescent="0.2">
      <c r="A18" t="str">
        <f>IFERROR(INDEX('2018 Data (WP)'!$C$9:$C$73,MATCH($B18,'2018 Data (WP)'!$D$9:$D$73,0)),"")</f>
        <v/>
      </c>
      <c r="B18" t="s">
        <v>7</v>
      </c>
      <c r="C18" t="s">
        <v>48</v>
      </c>
      <c r="D18" s="35" t="e">
        <f t="shared" ca="1" si="1"/>
        <v>#N/A</v>
      </c>
      <c r="E18" s="35" t="e">
        <f t="shared" ca="1" si="2"/>
        <v>#N/A</v>
      </c>
      <c r="F18" s="35"/>
      <c r="G18" s="17" t="str">
        <f t="shared" ca="1" si="4"/>
        <v>N/A</v>
      </c>
      <c r="H18" s="17" t="str">
        <f t="shared" ca="1" si="4"/>
        <v>N/A</v>
      </c>
      <c r="I18" s="17" t="str">
        <f t="shared" ca="1" si="4"/>
        <v>N/A</v>
      </c>
      <c r="J18" s="17" t="str">
        <f t="shared" ca="1" si="4"/>
        <v>N/A</v>
      </c>
      <c r="K18" s="17" t="str">
        <f t="shared" ca="1" si="4"/>
        <v>N/A</v>
      </c>
      <c r="L18" s="17" t="str">
        <f t="shared" ca="1" si="4"/>
        <v>N/A</v>
      </c>
      <c r="M18" s="17" t="str">
        <f t="shared" ca="1" si="4"/>
        <v>N/A</v>
      </c>
      <c r="N18" s="17" t="str">
        <f t="shared" ca="1" si="4"/>
        <v>N/A</v>
      </c>
      <c r="O18" s="17" t="str">
        <f t="shared" ca="1" si="4"/>
        <v>N/A</v>
      </c>
      <c r="P18" s="17" t="str">
        <f t="shared" ca="1" si="4"/>
        <v>N/A</v>
      </c>
      <c r="Q18" s="17" t="str">
        <f t="shared" ca="1" si="4"/>
        <v>N/A</v>
      </c>
      <c r="R18" s="57"/>
      <c r="S18" s="57"/>
      <c r="T18" s="57"/>
    </row>
    <row r="19" spans="1:20" x14ac:dyDescent="0.2">
      <c r="A19" t="str">
        <f>IFERROR(INDEX('2018 Data (WP)'!$C$9:$C$73,MATCH($B19,'2018 Data (WP)'!$D$9:$D$73,0)),"")</f>
        <v>Natural Gas Utility</v>
      </c>
      <c r="B19" s="31" t="s">
        <v>178</v>
      </c>
      <c r="C19" s="31" t="s">
        <v>215</v>
      </c>
      <c r="D19" s="35">
        <f t="shared" ca="1" si="1"/>
        <v>18</v>
      </c>
      <c r="E19" s="35">
        <f t="shared" ca="1" si="2"/>
        <v>18</v>
      </c>
      <c r="F19" s="35"/>
      <c r="G19" s="17">
        <f t="shared" ca="1" si="4"/>
        <v>0.41608391608391609</v>
      </c>
      <c r="H19" s="17">
        <f t="shared" ca="1" si="4"/>
        <v>0.41791044776119407</v>
      </c>
      <c r="I19" s="17">
        <f t="shared" ca="1" si="4"/>
        <v>0.43198380566801614</v>
      </c>
      <c r="J19" s="17">
        <f t="shared" ca="1" si="4"/>
        <v>0.44823008849557522</v>
      </c>
      <c r="K19" s="17">
        <f t="shared" ca="1" si="4"/>
        <v>0.48168590065228295</v>
      </c>
      <c r="L19" s="17">
        <f t="shared" ca="1" si="4"/>
        <v>0.47569262937794043</v>
      </c>
      <c r="M19" s="17">
        <f t="shared" ca="1" si="4"/>
        <v>0.47802197802197799</v>
      </c>
      <c r="N19" s="17">
        <f t="shared" ca="1" si="4"/>
        <v>0.58129797627355195</v>
      </c>
      <c r="O19" s="17">
        <f t="shared" ca="1" si="4"/>
        <v>0.57974137931034486</v>
      </c>
      <c r="P19" s="17">
        <f t="shared" ca="1" si="4"/>
        <v>0.60556844547563815</v>
      </c>
      <c r="Q19" s="17">
        <f t="shared" ca="1" si="4"/>
        <v>0.67131647776809067</v>
      </c>
      <c r="R19" s="58"/>
      <c r="S19" s="58"/>
      <c r="T19" s="58"/>
    </row>
    <row r="20" spans="1:20" x14ac:dyDescent="0.2">
      <c r="A20" t="str">
        <f>IFERROR(INDEX('2018 Data (WP)'!$C$9:$C$73,MATCH($B20,'2018 Data (WP)'!$D$9:$D$73,0)),"")</f>
        <v/>
      </c>
      <c r="B20" t="s">
        <v>8</v>
      </c>
      <c r="C20" t="s">
        <v>49</v>
      </c>
      <c r="D20" s="35" t="e">
        <f t="shared" ca="1" si="1"/>
        <v>#N/A</v>
      </c>
      <c r="E20" s="35" t="e">
        <f t="shared" ca="1" si="2"/>
        <v>#N/A</v>
      </c>
      <c r="F20" s="35"/>
      <c r="G20" s="17" t="str">
        <f t="shared" ca="1" si="4"/>
        <v>N/A</v>
      </c>
      <c r="H20" s="17" t="str">
        <f t="shared" ca="1" si="4"/>
        <v>N/A</v>
      </c>
      <c r="I20" s="17" t="str">
        <f t="shared" ca="1" si="4"/>
        <v>N/A</v>
      </c>
      <c r="J20" s="17" t="str">
        <f t="shared" ca="1" si="4"/>
        <v>N/A</v>
      </c>
      <c r="K20" s="17" t="str">
        <f t="shared" ca="1" si="4"/>
        <v>N/A</v>
      </c>
      <c r="L20" s="17" t="str">
        <f t="shared" ca="1" si="4"/>
        <v>N/A</v>
      </c>
      <c r="M20" s="17" t="str">
        <f t="shared" ca="1" si="4"/>
        <v>N/A</v>
      </c>
      <c r="N20" s="17" t="str">
        <f t="shared" ca="1" si="4"/>
        <v>N/A</v>
      </c>
      <c r="O20" s="17" t="str">
        <f t="shared" ca="1" si="4"/>
        <v>N/A</v>
      </c>
      <c r="P20" s="17" t="str">
        <f t="shared" ca="1" si="4"/>
        <v>N/A</v>
      </c>
      <c r="Q20" s="17" t="str">
        <f t="shared" ca="1" si="4"/>
        <v>N/A</v>
      </c>
      <c r="R20" s="57"/>
      <c r="S20" s="57"/>
      <c r="T20" s="57"/>
    </row>
    <row r="21" spans="1:20" x14ac:dyDescent="0.2">
      <c r="A21" t="str">
        <f>IFERROR(INDEX('2018 Data (WP)'!$C$9:$C$73,MATCH($B21,'2018 Data (WP)'!$D$9:$D$73,0)),"")</f>
        <v>Electric Util. (Central)</v>
      </c>
      <c r="B21" t="s">
        <v>9</v>
      </c>
      <c r="C21" t="s">
        <v>47</v>
      </c>
      <c r="D21" s="35">
        <f t="shared" ca="1" si="1"/>
        <v>19</v>
      </c>
      <c r="E21" s="35">
        <f t="shared" ca="1" si="2"/>
        <v>19</v>
      </c>
      <c r="F21" s="35"/>
      <c r="G21" s="17">
        <f t="shared" ca="1" si="4"/>
        <v>0.6262626262626263</v>
      </c>
      <c r="H21" s="17">
        <f t="shared" ca="1" si="4"/>
        <v>0.61375661375661372</v>
      </c>
      <c r="I21" s="17">
        <f t="shared" ca="1" si="4"/>
        <v>0.62068965517241381</v>
      </c>
      <c r="J21" s="17">
        <f t="shared" ca="1" si="4"/>
        <v>0.6144578313253013</v>
      </c>
      <c r="K21" s="17">
        <f t="shared" ca="1" si="4"/>
        <v>0.62745098039215685</v>
      </c>
      <c r="L21" s="17">
        <f t="shared" ca="1" si="4"/>
        <v>0.57931034482758625</v>
      </c>
      <c r="M21" s="17">
        <f t="shared" ca="1" si="4"/>
        <v>0.49624060150375937</v>
      </c>
      <c r="N21" s="17">
        <f t="shared" ca="1" si="4"/>
        <v>0.5376344086021505</v>
      </c>
      <c r="O21" s="17">
        <f t="shared" ca="1" si="4"/>
        <v>0.29268292682926828</v>
      </c>
      <c r="P21" s="17">
        <f t="shared" ca="1" si="4"/>
        <v>0.3125</v>
      </c>
      <c r="Q21" s="17">
        <f t="shared" ca="1" si="4"/>
        <v>0</v>
      </c>
      <c r="R21" s="57"/>
      <c r="S21" s="57"/>
      <c r="T21" s="57"/>
    </row>
    <row r="22" spans="1:20" x14ac:dyDescent="0.2">
      <c r="A22" t="str">
        <f>IFERROR(INDEX('2018 Data (WP)'!$C$9:$C$73,MATCH($B22,'2018 Data (WP)'!$D$9:$D$73,0)),"")</f>
        <v>Water Utility</v>
      </c>
      <c r="B22" s="31" t="s">
        <v>180</v>
      </c>
      <c r="C22" s="31" t="s">
        <v>179</v>
      </c>
      <c r="D22" s="35">
        <f t="shared" ca="1" si="1"/>
        <v>20</v>
      </c>
      <c r="E22" s="35">
        <f t="shared" ca="1" si="2"/>
        <v>20</v>
      </c>
      <c r="F22" s="35"/>
      <c r="G22" s="17">
        <f t="shared" ca="1" si="4"/>
        <v>0.53846153846153855</v>
      </c>
      <c r="H22" s="17">
        <f t="shared" ca="1" si="4"/>
        <v>0.51470588235294124</v>
      </c>
      <c r="I22" s="17">
        <f t="shared" ca="1" si="4"/>
        <v>0.52604166666666674</v>
      </c>
      <c r="J22" s="17">
        <f t="shared" ca="1" si="4"/>
        <v>0.59036144578313254</v>
      </c>
      <c r="K22" s="17">
        <f t="shared" ca="1" si="4"/>
        <v>0.62745098039215685</v>
      </c>
      <c r="L22" s="17">
        <f t="shared" ca="1" si="4"/>
        <v>0.83333333333333337</v>
      </c>
      <c r="M22" s="17">
        <f t="shared" ca="1" si="4"/>
        <v>0.81415929203539839</v>
      </c>
      <c r="N22" s="17">
        <f t="shared" ca="1" si="4"/>
        <v>0.75630252100840345</v>
      </c>
      <c r="O22" s="17">
        <f t="shared" ca="1" si="4"/>
        <v>0.79279279279279269</v>
      </c>
      <c r="P22" s="17">
        <f t="shared" ca="1" si="4"/>
        <v>0.82857142857142851</v>
      </c>
      <c r="Q22" s="17">
        <f t="shared" ca="1" si="4"/>
        <v>1.0555555555555554</v>
      </c>
      <c r="R22" s="57"/>
      <c r="S22" s="57"/>
      <c r="T22" s="57"/>
    </row>
    <row r="23" spans="1:20" x14ac:dyDescent="0.2">
      <c r="A23" t="str">
        <f>IFERROR(INDEX('2018 Data (WP)'!$C$9:$C$73,MATCH($B23,'2018 Data (WP)'!$D$9:$D$73,0)),"")</f>
        <v>Electric Utility (East)</v>
      </c>
      <c r="B23" t="s">
        <v>10</v>
      </c>
      <c r="C23" t="s">
        <v>50</v>
      </c>
      <c r="D23" s="35">
        <f t="shared" ca="1" si="1"/>
        <v>21</v>
      </c>
      <c r="E23" s="35">
        <f t="shared" ca="1" si="2"/>
        <v>21</v>
      </c>
      <c r="F23" s="35"/>
      <c r="G23" s="17">
        <f t="shared" ca="1" si="4"/>
        <v>0.68020304568527923</v>
      </c>
      <c r="H23" s="17">
        <f t="shared" ca="1" si="4"/>
        <v>0.64197530864197538</v>
      </c>
      <c r="I23" s="17">
        <f t="shared" ca="1" si="4"/>
        <v>0.69613259668508287</v>
      </c>
      <c r="J23" s="17">
        <f t="shared" ca="1" si="4"/>
        <v>0.62595419847328237</v>
      </c>
      <c r="K23" s="17">
        <f t="shared" ca="1" si="4"/>
        <v>0.62694300518134716</v>
      </c>
      <c r="L23" s="17">
        <f t="shared" ca="1" si="4"/>
        <v>0.67226890756302526</v>
      </c>
      <c r="M23" s="17">
        <f t="shared" ca="1" si="4"/>
        <v>0.68587896253602298</v>
      </c>
      <c r="N23" s="17">
        <f t="shared" ca="1" si="4"/>
        <v>0.75159235668789803</v>
      </c>
      <c r="O23" s="17">
        <f t="shared" ca="1" si="4"/>
        <v>0.6964285714285714</v>
      </c>
      <c r="P23" s="17">
        <f t="shared" ca="1" si="4"/>
        <v>0.66666666666666663</v>
      </c>
      <c r="Q23" s="17">
        <f t="shared" ca="1" si="4"/>
        <v>0.77966101694915246</v>
      </c>
      <c r="R23" s="57"/>
      <c r="S23" s="57"/>
      <c r="T23" s="57"/>
    </row>
    <row r="24" spans="1:20" x14ac:dyDescent="0.2">
      <c r="A24" t="str">
        <f>IFERROR(INDEX('2018 Data (WP)'!$C$9:$C$73,MATCH($B24,'2018 Data (WP)'!$D$9:$D$73,0)),"")</f>
        <v>Water Utility</v>
      </c>
      <c r="B24" s="31" t="s">
        <v>182</v>
      </c>
      <c r="C24" s="31" t="s">
        <v>181</v>
      </c>
      <c r="D24" s="35">
        <f t="shared" ca="1" si="1"/>
        <v>22</v>
      </c>
      <c r="E24" s="35">
        <f t="shared" ca="1" si="2"/>
        <v>22</v>
      </c>
      <c r="F24" s="35"/>
      <c r="G24" s="17">
        <f t="shared" ca="1" si="4"/>
        <v>1.1111111111111109</v>
      </c>
      <c r="H24" s="17">
        <f t="shared" ca="1" si="4"/>
        <v>0.58823529411764708</v>
      </c>
      <c r="I24" s="17">
        <f t="shared" ca="1" si="4"/>
        <v>0.7142857142857143</v>
      </c>
      <c r="J24" s="17">
        <f t="shared" ca="1" si="4"/>
        <v>0.51724137931034486</v>
      </c>
      <c r="K24" s="17">
        <f t="shared" ca="1" si="4"/>
        <v>0.46875</v>
      </c>
      <c r="L24" s="17">
        <f t="shared" ca="1" si="4"/>
        <v>0.7142857142857143</v>
      </c>
      <c r="M24" s="17">
        <f t="shared" ca="1" si="4"/>
        <v>0.69767441860465118</v>
      </c>
      <c r="N24" s="17">
        <f t="shared" ca="1" si="4"/>
        <v>0.3783783783783784</v>
      </c>
      <c r="O24" s="17">
        <f t="shared" ca="1" si="4"/>
        <v>0.65</v>
      </c>
      <c r="P24" s="17">
        <f t="shared" ca="1" si="4"/>
        <v>0.24683544303797469</v>
      </c>
      <c r="Q24" s="17">
        <f t="shared" ca="1" si="4"/>
        <v>0.40677966101694918</v>
      </c>
      <c r="R24" s="57"/>
      <c r="S24" s="57"/>
      <c r="T24" s="57"/>
    </row>
    <row r="25" spans="1:20" x14ac:dyDescent="0.2">
      <c r="A25" t="str">
        <f>IFERROR(INDEX('2018 Data (WP)'!$C$9:$C$73,MATCH($B25,'2018 Data (WP)'!$D$9:$D$73,0)),"")</f>
        <v>Electric Utility (East)</v>
      </c>
      <c r="B25" t="s">
        <v>11</v>
      </c>
      <c r="C25" t="s">
        <v>52</v>
      </c>
      <c r="D25" s="35">
        <f t="shared" ca="1" si="1"/>
        <v>24</v>
      </c>
      <c r="E25" s="35">
        <f t="shared" ca="1" si="2"/>
        <v>24</v>
      </c>
      <c r="F25" s="35"/>
      <c r="G25" s="17">
        <f t="shared" ref="G25:Q34" ca="1" si="5">IFERROR(INDEX(Dividends,$D25,G$2)/INDEX(Earnings,$E25,G$2),"N/A")</f>
        <v>0.81395348837209303</v>
      </c>
      <c r="H25" s="17">
        <f t="shared" ca="1" si="5"/>
        <v>0.80937499999999996</v>
      </c>
      <c r="I25" s="17">
        <f t="shared" ca="1" si="5"/>
        <v>0.78688524590163933</v>
      </c>
      <c r="J25" s="17">
        <f t="shared" ca="1" si="5"/>
        <v>0.72815533980582525</v>
      </c>
      <c r="K25" s="17">
        <f t="shared" ca="1" si="5"/>
        <v>0.76727272727272722</v>
      </c>
      <c r="L25" s="17">
        <f t="shared" ca="1" si="5"/>
        <v>0.71376811594202905</v>
      </c>
      <c r="M25" s="17">
        <f t="shared" ca="1" si="5"/>
        <v>0.63321799307958482</v>
      </c>
      <c r="N25" s="17">
        <f t="shared" ca="1" si="5"/>
        <v>0.66287878787878785</v>
      </c>
      <c r="O25" s="17">
        <f t="shared" ca="1" si="5"/>
        <v>0.51973684210526316</v>
      </c>
      <c r="P25" s="17">
        <f t="shared" ca="1" si="5"/>
        <v>0.68544600938967137</v>
      </c>
      <c r="Q25" s="17">
        <f t="shared" ca="1" si="5"/>
        <v>0.57499999999999996</v>
      </c>
      <c r="R25" s="57"/>
      <c r="S25" s="57"/>
      <c r="T25" s="57"/>
    </row>
    <row r="26" spans="1:20" x14ac:dyDescent="0.2">
      <c r="A26" t="str">
        <f>IFERROR(INDEX('2018 Data (WP)'!$C$9:$C$73,MATCH($B26,'2018 Data (WP)'!$D$9:$D$73,0)),"")</f>
        <v>Electric Util. (Central)</v>
      </c>
      <c r="B26" t="s">
        <v>12</v>
      </c>
      <c r="C26" t="s">
        <v>51</v>
      </c>
      <c r="D26" s="35">
        <f t="shared" ca="1" si="1"/>
        <v>25</v>
      </c>
      <c r="E26" s="35">
        <f t="shared" ca="1" si="2"/>
        <v>25</v>
      </c>
      <c r="F26" s="35"/>
      <c r="G26" s="17">
        <f t="shared" ca="1" si="5"/>
        <v>0.63354037267080743</v>
      </c>
      <c r="H26" s="17">
        <f t="shared" ca="1" si="5"/>
        <v>0.63963963963963955</v>
      </c>
      <c r="I26" s="17">
        <f t="shared" ca="1" si="5"/>
        <v>0.52745098039215688</v>
      </c>
      <c r="J26" s="17">
        <f t="shared" ca="1" si="5"/>
        <v>0.68882978723404253</v>
      </c>
      <c r="K26" s="17">
        <f t="shared" ca="1" si="5"/>
        <v>0.62371134020618557</v>
      </c>
      <c r="L26" s="17">
        <f t="shared" ca="1" si="5"/>
        <v>0.63215258855585832</v>
      </c>
      <c r="M26" s="17">
        <f t="shared" ca="1" si="5"/>
        <v>0.58288770053475936</v>
      </c>
      <c r="N26" s="17">
        <f t="shared" ca="1" si="5"/>
        <v>0.65432098765432101</v>
      </c>
      <c r="O26" s="17">
        <f t="shared" ca="1" si="5"/>
        <v>0.77655677655677657</v>
      </c>
      <c r="P26" s="17">
        <f t="shared" ca="1" si="5"/>
        <v>0.79699248120300747</v>
      </c>
      <c r="Q26" s="17">
        <f t="shared" ca="1" si="5"/>
        <v>0.84693877551020413</v>
      </c>
      <c r="R26" s="57"/>
      <c r="S26" s="57"/>
      <c r="T26" s="57"/>
    </row>
    <row r="27" spans="1:20" x14ac:dyDescent="0.2">
      <c r="A27" t="str">
        <f>IFERROR(INDEX('2018 Data (WP)'!$C$9:$C$73,MATCH($B27,'2018 Data (WP)'!$D$9:$D$73,0)),"")</f>
        <v>Electric Utility (East)</v>
      </c>
      <c r="B27" t="s">
        <v>13</v>
      </c>
      <c r="C27" t="s">
        <v>93</v>
      </c>
      <c r="D27" s="35">
        <f t="shared" ca="1" si="1"/>
        <v>26</v>
      </c>
      <c r="E27" s="35">
        <f t="shared" ca="1" si="2"/>
        <v>26</v>
      </c>
      <c r="F27" s="35"/>
      <c r="G27" s="17">
        <f t="shared" ca="1" si="5"/>
        <v>0.90566037735849059</v>
      </c>
      <c r="H27" s="17">
        <f t="shared" ca="1" si="5"/>
        <v>0.79024390243902454</v>
      </c>
      <c r="I27" s="17">
        <f t="shared" ca="1" si="5"/>
        <v>0.76271186440677963</v>
      </c>
      <c r="J27" s="17">
        <f t="shared" ca="1" si="5"/>
        <v>0.77638190954773867</v>
      </c>
      <c r="K27" s="17">
        <f t="shared" ca="1" si="5"/>
        <v>0.81671159029649587</v>
      </c>
      <c r="L27" s="17">
        <f t="shared" ca="1" si="5"/>
        <v>0.71739130434782616</v>
      </c>
      <c r="M27" s="17">
        <f t="shared" ca="1" si="5"/>
        <v>0.72388059701492546</v>
      </c>
      <c r="N27" s="17">
        <f t="shared" ca="1" si="5"/>
        <v>0.83185840707964598</v>
      </c>
      <c r="O27" s="17">
        <f t="shared" ca="1" si="5"/>
        <v>0.89108910891089121</v>
      </c>
      <c r="P27" s="17">
        <f t="shared" ca="1" si="5"/>
        <v>0.71666666666666667</v>
      </c>
      <c r="Q27" s="17">
        <f t="shared" ca="1" si="5"/>
        <v>0</v>
      </c>
      <c r="R27" s="57"/>
      <c r="S27" s="57"/>
      <c r="T27" s="57"/>
    </row>
    <row r="28" spans="1:20" x14ac:dyDescent="0.2">
      <c r="A28" t="str">
        <f>IFERROR(INDEX('2018 Data (WP)'!$C$9:$C$73,MATCH($B28,'2018 Data (WP)'!$D$9:$D$73,0)),"")</f>
        <v>Electric Utility (West)</v>
      </c>
      <c r="B28" t="s">
        <v>14</v>
      </c>
      <c r="C28" t="s">
        <v>53</v>
      </c>
      <c r="D28" s="35">
        <f t="shared" ca="1" si="1"/>
        <v>27</v>
      </c>
      <c r="E28" s="35">
        <f t="shared" ca="1" si="2"/>
        <v>27</v>
      </c>
      <c r="F28" s="35"/>
      <c r="G28" s="17">
        <f t="shared" ca="1" si="5"/>
        <v>0.50329949238578686</v>
      </c>
      <c r="H28" s="17">
        <f t="shared" ca="1" si="5"/>
        <v>0.4175903614457831</v>
      </c>
      <c r="I28" s="17">
        <f t="shared" ca="1" si="5"/>
        <v>0.34249422632794457</v>
      </c>
      <c r="J28" s="17">
        <f t="shared" ca="1" si="5"/>
        <v>0.36190476190476195</v>
      </c>
      <c r="K28" s="17">
        <f t="shared" ca="1" si="5"/>
        <v>0.28857142857142859</v>
      </c>
      <c r="L28" s="17">
        <f t="shared" ca="1" si="5"/>
        <v>0.39783281733746129</v>
      </c>
      <c r="M28" s="17">
        <f t="shared" ca="1" si="5"/>
        <v>0.37761194029850742</v>
      </c>
      <c r="N28" s="17">
        <f t="shared" ca="1" si="5"/>
        <v>0.38425925925925924</v>
      </c>
      <c r="O28" s="17">
        <f t="shared" ca="1" si="5"/>
        <v>0.3328804347826087</v>
      </c>
      <c r="P28" s="17">
        <f t="shared" ca="1" si="5"/>
        <v>0.35391566265060243</v>
      </c>
      <c r="Q28" s="17">
        <f t="shared" ca="1" si="5"/>
        <v>0.33536585365853661</v>
      </c>
      <c r="R28" s="57"/>
      <c r="S28" s="57"/>
      <c r="T28" s="57"/>
    </row>
    <row r="29" spans="1:20" x14ac:dyDescent="0.2">
      <c r="A29" t="str">
        <f>IFERROR(INDEX('2018 Data (WP)'!$C$9:$C$73,MATCH($B29,'2018 Data (WP)'!$D$9:$D$73,0)),"")</f>
        <v>Electric Utility (West)</v>
      </c>
      <c r="B29" t="s">
        <v>15</v>
      </c>
      <c r="C29" t="s">
        <v>88</v>
      </c>
      <c r="D29" s="35">
        <f t="shared" ca="1" si="1"/>
        <v>28</v>
      </c>
      <c r="E29" s="35">
        <f t="shared" ca="1" si="2"/>
        <v>28</v>
      </c>
      <c r="F29" s="35"/>
      <c r="G29" s="17">
        <f t="shared" ca="1" si="5"/>
        <v>0.5125523012552301</v>
      </c>
      <c r="H29" s="17">
        <f t="shared" ca="1" si="5"/>
        <v>0.57389162561576357</v>
      </c>
      <c r="I29" s="17">
        <f t="shared" ca="1" si="5"/>
        <v>0.486784140969163</v>
      </c>
      <c r="J29" s="17">
        <f t="shared" ca="1" si="5"/>
        <v>0.47499999999999992</v>
      </c>
      <c r="K29" s="17">
        <f t="shared" ca="1" si="5"/>
        <v>0.42920353982300885</v>
      </c>
      <c r="L29" s="17">
        <f t="shared" ca="1" si="5"/>
        <v>0.26612903225806456</v>
      </c>
      <c r="M29" s="17">
        <f t="shared" ca="1" si="5"/>
        <v>0</v>
      </c>
      <c r="N29" s="17">
        <f t="shared" ca="1" si="5"/>
        <v>0</v>
      </c>
      <c r="O29" s="17">
        <f t="shared" ca="1" si="5"/>
        <v>0</v>
      </c>
      <c r="P29" s="17">
        <f t="shared" ca="1" si="5"/>
        <v>0</v>
      </c>
      <c r="Q29" s="17">
        <f t="shared" ca="1" si="5"/>
        <v>0</v>
      </c>
      <c r="R29" s="57"/>
      <c r="S29" s="57"/>
      <c r="T29" s="57"/>
    </row>
    <row r="30" spans="1:20" x14ac:dyDescent="0.2">
      <c r="A30" t="str">
        <f>IFERROR(INDEX('2018 Data (WP)'!$C$9:$C$73,MATCH($B30,'2018 Data (WP)'!$D$9:$D$73,0)),"")</f>
        <v/>
      </c>
      <c r="B30" t="s">
        <v>16</v>
      </c>
      <c r="C30" t="s">
        <v>102</v>
      </c>
      <c r="D30" s="35" t="e">
        <f t="shared" ca="1" si="1"/>
        <v>#N/A</v>
      </c>
      <c r="E30" s="35" t="e">
        <f t="shared" ca="1" si="2"/>
        <v>#N/A</v>
      </c>
      <c r="F30" s="35"/>
      <c r="G30" s="17" t="str">
        <f t="shared" ca="1" si="5"/>
        <v>N/A</v>
      </c>
      <c r="H30" s="17" t="str">
        <f t="shared" ca="1" si="5"/>
        <v>N/A</v>
      </c>
      <c r="I30" s="17" t="str">
        <f t="shared" ca="1" si="5"/>
        <v>N/A</v>
      </c>
      <c r="J30" s="17" t="str">
        <f t="shared" ca="1" si="5"/>
        <v>N/A</v>
      </c>
      <c r="K30" s="17" t="str">
        <f t="shared" ca="1" si="5"/>
        <v>N/A</v>
      </c>
      <c r="L30" s="17" t="str">
        <f t="shared" ca="1" si="5"/>
        <v>N/A</v>
      </c>
      <c r="M30" s="17" t="str">
        <f t="shared" ca="1" si="5"/>
        <v>N/A</v>
      </c>
      <c r="N30" s="17" t="str">
        <f t="shared" ca="1" si="5"/>
        <v>N/A</v>
      </c>
      <c r="O30" s="17" t="str">
        <f t="shared" ca="1" si="5"/>
        <v>N/A</v>
      </c>
      <c r="P30" s="17" t="str">
        <f t="shared" ca="1" si="5"/>
        <v>N/A</v>
      </c>
      <c r="Q30" s="17" t="str">
        <f t="shared" ca="1" si="5"/>
        <v>N/A</v>
      </c>
      <c r="R30" s="57"/>
      <c r="S30" s="57"/>
      <c r="T30" s="57"/>
    </row>
    <row r="31" spans="1:20" x14ac:dyDescent="0.2">
      <c r="A31" t="str">
        <f>IFERROR(INDEX('2018 Data (WP)'!$C$9:$C$73,MATCH($B31,'2018 Data (WP)'!$D$9:$D$73,0)),"")</f>
        <v>Electric Util. (Central)</v>
      </c>
      <c r="B31" t="s">
        <v>17</v>
      </c>
      <c r="C31" t="s">
        <v>55</v>
      </c>
      <c r="D31" s="35">
        <f t="shared" ca="1" si="1"/>
        <v>29</v>
      </c>
      <c r="E31" s="35">
        <f t="shared" ca="1" si="2"/>
        <v>29</v>
      </c>
      <c r="F31" s="35"/>
      <c r="G31" s="17">
        <f t="shared" ca="1" si="5"/>
        <v>0.49709302325581395</v>
      </c>
      <c r="H31" s="17">
        <f t="shared" ca="1" si="5"/>
        <v>0.57487091222030984</v>
      </c>
      <c r="I31" s="17">
        <f t="shared" ca="1" si="5"/>
        <v>0.57538994800693244</v>
      </c>
      <c r="J31" s="17">
        <f t="shared" ca="1" si="5"/>
        <v>0.66935483870967738</v>
      </c>
      <c r="K31" s="17">
        <f t="shared" ca="1" si="5"/>
        <v>0.55149501661129574</v>
      </c>
      <c r="L31" s="17">
        <f t="shared" ca="1" si="5"/>
        <v>0.43973509933774835</v>
      </c>
      <c r="M31" s="17">
        <f t="shared" ca="1" si="5"/>
        <v>0.48648648648648651</v>
      </c>
      <c r="N31" s="17">
        <f t="shared" ca="1" si="5"/>
        <v>0.47619047619047622</v>
      </c>
      <c r="O31" s="17">
        <f t="shared" ca="1" si="5"/>
        <v>0.48387096774193544</v>
      </c>
      <c r="P31" s="17">
        <f t="shared" ca="1" si="5"/>
        <v>0.46071428571428574</v>
      </c>
      <c r="Q31" s="17">
        <f t="shared" ca="1" si="5"/>
        <v>0.40298507462686567</v>
      </c>
      <c r="R31" s="57"/>
      <c r="S31" s="57"/>
      <c r="T31" s="57"/>
    </row>
    <row r="32" spans="1:20" x14ac:dyDescent="0.2">
      <c r="A32" t="str">
        <f>IFERROR(INDEX('2018 Data (WP)'!$C$9:$C$73,MATCH($B32,'2018 Data (WP)'!$D$9:$D$73,0)),"")</f>
        <v>Electric Utility (East)</v>
      </c>
      <c r="B32" t="s">
        <v>211</v>
      </c>
      <c r="C32" t="s">
        <v>212</v>
      </c>
      <c r="D32" s="35">
        <f t="shared" ca="1" si="1"/>
        <v>30</v>
      </c>
      <c r="E32" s="35">
        <f t="shared" ca="1" si="2"/>
        <v>30</v>
      </c>
      <c r="F32" s="35"/>
      <c r="G32" s="17">
        <f t="shared" ca="1" si="5"/>
        <v>0.60135135135135132</v>
      </c>
      <c r="H32" s="17">
        <f t="shared" ca="1" si="5"/>
        <v>0.60507246376811596</v>
      </c>
      <c r="I32" s="17">
        <f t="shared" ca="1" si="5"/>
        <v>0.60852713178294571</v>
      </c>
      <c r="J32" s="17">
        <f t="shared" ca="1" si="5"/>
        <v>0.59036144578313243</v>
      </c>
      <c r="K32" s="17">
        <f t="shared" ca="1" si="5"/>
        <v>0.69841269841269848</v>
      </c>
      <c r="L32" s="17">
        <f t="shared" ca="1" si="5"/>
        <v>0.49549549549549549</v>
      </c>
      <c r="M32" s="17">
        <f t="shared" ca="1" si="5"/>
        <v>0.48809523809523803</v>
      </c>
      <c r="N32" s="17">
        <f t="shared" ca="1" si="5"/>
        <v>0.49738219895287961</v>
      </c>
      <c r="O32" s="17">
        <f t="shared" ca="1" si="5"/>
        <v>0.44354838709677413</v>
      </c>
      <c r="P32" s="17">
        <f t="shared" ca="1" si="5"/>
        <v>0.48742138364779874</v>
      </c>
      <c r="Q32" s="17">
        <f t="shared" ca="1" si="5"/>
        <v>0.88414634146341464</v>
      </c>
      <c r="R32" s="57"/>
      <c r="S32" s="57"/>
      <c r="T32" s="57"/>
    </row>
    <row r="33" spans="1:20" x14ac:dyDescent="0.2">
      <c r="A33" t="str">
        <f>IFERROR(INDEX('2018 Data (WP)'!$C$9:$C$73,MATCH($B33,'2018 Data (WP)'!$D$9:$D$73,0)),"")</f>
        <v>Electric Utility (East)</v>
      </c>
      <c r="B33" t="s">
        <v>18</v>
      </c>
      <c r="C33" t="s">
        <v>69</v>
      </c>
      <c r="D33" s="35">
        <f t="shared" ca="1" si="1"/>
        <v>31</v>
      </c>
      <c r="E33" s="35">
        <f t="shared" ca="1" si="2"/>
        <v>31</v>
      </c>
      <c r="F33" s="35"/>
      <c r="G33" s="17">
        <f t="shared" ca="1" si="5"/>
        <v>0.7</v>
      </c>
      <c r="H33" s="17">
        <f t="shared" ca="1" si="5"/>
        <v>0.48818897637795272</v>
      </c>
      <c r="I33" s="17">
        <f t="shared" ca="1" si="5"/>
        <v>0.59047619047619049</v>
      </c>
      <c r="J33" s="17">
        <f t="shared" ca="1" si="5"/>
        <v>0.62987012987012991</v>
      </c>
      <c r="K33" s="17">
        <f t="shared" ca="1" si="5"/>
        <v>1.09375</v>
      </c>
      <c r="L33" s="17">
        <f t="shared" ca="1" si="5"/>
        <v>0.56000000000000005</v>
      </c>
      <c r="M33" s="17">
        <f t="shared" ca="1" si="5"/>
        <v>0.54263565891472865</v>
      </c>
      <c r="N33" s="17">
        <f t="shared" ca="1" si="5"/>
        <v>0.48951048951048953</v>
      </c>
      <c r="O33" s="17">
        <f t="shared" ca="1" si="5"/>
        <v>0.5</v>
      </c>
      <c r="P33" s="17">
        <f t="shared" ca="1" si="5"/>
        <v>0.45161290322580644</v>
      </c>
      <c r="Q33" s="17">
        <f t="shared" ca="1" si="5"/>
        <v>0.46857142857142853</v>
      </c>
      <c r="R33" s="57"/>
      <c r="S33" s="57"/>
      <c r="T33" s="57"/>
    </row>
    <row r="34" spans="1:20" x14ac:dyDescent="0.2">
      <c r="A34" t="str">
        <f>IFERROR(INDEX('2018 Data (WP)'!$C$9:$C$73,MATCH($B34,'2018 Data (WP)'!$D$9:$D$73,0)),"")</f>
        <v>Electric Utility (East)</v>
      </c>
      <c r="B34" t="s">
        <v>19</v>
      </c>
      <c r="C34" t="s">
        <v>66</v>
      </c>
      <c r="D34" s="35">
        <f t="shared" ca="1" si="1"/>
        <v>32</v>
      </c>
      <c r="E34" s="35">
        <f t="shared" ca="1" si="2"/>
        <v>32</v>
      </c>
      <c r="F34" s="35"/>
      <c r="G34" s="17">
        <f t="shared" ca="1" si="5"/>
        <v>0.68571428571428561</v>
      </c>
      <c r="H34" s="17">
        <f t="shared" ca="1" si="5"/>
        <v>0.72</v>
      </c>
      <c r="I34" s="17">
        <f t="shared" ca="1" si="5"/>
        <v>1.6941176470588235</v>
      </c>
      <c r="J34" s="17">
        <f t="shared" ca="1" si="5"/>
        <v>0.55555555555555547</v>
      </c>
      <c r="K34" s="17">
        <f t="shared" ca="1" si="5"/>
        <v>1.0328638497652582</v>
      </c>
      <c r="L34" s="17">
        <f t="shared" ca="1" si="5"/>
        <v>1.1702127659574471</v>
      </c>
      <c r="M34" s="17">
        <f t="shared" ca="1" si="5"/>
        <v>0.67692307692307696</v>
      </c>
      <c r="N34" s="17">
        <f t="shared" ca="1" si="5"/>
        <v>0.66265060240963869</v>
      </c>
      <c r="O34" s="17">
        <f t="shared" ca="1" si="5"/>
        <v>0.50228310502283113</v>
      </c>
      <c r="P34" s="17">
        <f t="shared" ca="1" si="5"/>
        <v>0.48578199052132698</v>
      </c>
      <c r="Q34" s="17">
        <f t="shared" ca="1" si="5"/>
        <v>0.48429319371727753</v>
      </c>
      <c r="R34" s="57"/>
      <c r="S34" s="57"/>
      <c r="T34" s="57"/>
    </row>
    <row r="35" spans="1:20" x14ac:dyDescent="0.2">
      <c r="A35" t="str">
        <f>IFERROR(INDEX('2018 Data (WP)'!$C$9:$C$73,MATCH($B35,'2018 Data (WP)'!$D$9:$D$73,0)),"")</f>
        <v>Electric Util. (Central)</v>
      </c>
      <c r="B35" t="s">
        <v>266</v>
      </c>
      <c r="C35" t="s">
        <v>265</v>
      </c>
      <c r="D35" s="35">
        <f t="shared" ca="1" si="1"/>
        <v>33</v>
      </c>
      <c r="E35" s="35">
        <f t="shared" ca="1" si="2"/>
        <v>33</v>
      </c>
      <c r="F35" s="35"/>
      <c r="G35" s="17">
        <f t="shared" ref="G35:Q44" ca="1" si="6">IFERROR(INDEX(Dividends,$D35,G$2)/INDEX(Earnings,$E35,G$2),"N/A")</f>
        <v>0.82010582010582023</v>
      </c>
      <c r="H35" s="17">
        <f t="shared" ca="1" si="6"/>
        <v>0.67772511848341233</v>
      </c>
      <c r="I35" s="17">
        <f t="shared" ca="1" si="6"/>
        <v>0.94202898550724645</v>
      </c>
      <c r="J35" s="17">
        <f t="shared" ca="1" si="6"/>
        <v>0.76687116564417179</v>
      </c>
      <c r="K35" s="17">
        <f t="shared" ca="1" si="6"/>
        <v>0.73333333333333339</v>
      </c>
      <c r="L35" s="17">
        <f t="shared" ca="1" si="6"/>
        <v>0.67241379310344829</v>
      </c>
      <c r="M35" s="17">
        <f t="shared" ca="1" si="6"/>
        <v>0.6913580246913581</v>
      </c>
      <c r="N35" s="17">
        <f t="shared" ca="1" si="6"/>
        <v>0.6887417218543046</v>
      </c>
      <c r="O35" s="17">
        <f t="shared" ca="1" si="6"/>
        <v>0.65789473684210531</v>
      </c>
      <c r="P35" s="17">
        <f t="shared" ca="1" si="6"/>
        <v>0.63714063714063718</v>
      </c>
      <c r="Q35" s="17">
        <f t="shared" ca="1" si="6"/>
        <v>0.49300956585724803</v>
      </c>
      <c r="R35" s="57"/>
      <c r="S35" s="57"/>
      <c r="T35" s="57"/>
    </row>
    <row r="36" spans="1:20" x14ac:dyDescent="0.2">
      <c r="A36" t="str">
        <f>IFERROR(INDEX('2018 Data (WP)'!$C$9:$C$73,MATCH($B36,'2018 Data (WP)'!$D$9:$D$73,0)),"")</f>
        <v/>
      </c>
      <c r="B36" t="s">
        <v>57</v>
      </c>
      <c r="C36" t="s">
        <v>56</v>
      </c>
      <c r="D36" s="35" t="e">
        <f t="shared" ca="1" si="1"/>
        <v>#N/A</v>
      </c>
      <c r="E36" s="35" t="e">
        <f t="shared" ca="1" si="2"/>
        <v>#N/A</v>
      </c>
      <c r="F36" s="35"/>
      <c r="G36" s="17" t="str">
        <f t="shared" ca="1" si="6"/>
        <v>N/A</v>
      </c>
      <c r="H36" s="17" t="str">
        <f t="shared" ca="1" si="6"/>
        <v>N/A</v>
      </c>
      <c r="I36" s="17" t="str">
        <f t="shared" ca="1" si="6"/>
        <v>N/A</v>
      </c>
      <c r="J36" s="17" t="str">
        <f t="shared" ca="1" si="6"/>
        <v>N/A</v>
      </c>
      <c r="K36" s="17" t="str">
        <f t="shared" ca="1" si="6"/>
        <v>N/A</v>
      </c>
      <c r="L36" s="17" t="str">
        <f t="shared" ca="1" si="6"/>
        <v>N/A</v>
      </c>
      <c r="M36" s="17" t="str">
        <f t="shared" ca="1" si="6"/>
        <v>N/A</v>
      </c>
      <c r="N36" s="17" t="str">
        <f t="shared" ca="1" si="6"/>
        <v>N/A</v>
      </c>
      <c r="O36" s="17" t="str">
        <f t="shared" ca="1" si="6"/>
        <v>N/A</v>
      </c>
      <c r="P36" s="17" t="str">
        <f t="shared" ca="1" si="6"/>
        <v>N/A</v>
      </c>
      <c r="Q36" s="17" t="str">
        <f t="shared" ca="1" si="6"/>
        <v>N/A</v>
      </c>
      <c r="R36" s="57"/>
      <c r="S36" s="57"/>
      <c r="T36" s="57"/>
    </row>
    <row r="37" spans="1:20" x14ac:dyDescent="0.2">
      <c r="A37" t="str">
        <f>IFERROR(INDEX('2018 Data (WP)'!$C$9:$C$73,MATCH($B37,'2018 Data (WP)'!$D$9:$D$73,0)),"")</f>
        <v>Electric Util. (Central)</v>
      </c>
      <c r="B37" t="s">
        <v>20</v>
      </c>
      <c r="C37" t="s">
        <v>104</v>
      </c>
      <c r="D37" s="35">
        <f t="shared" ref="D37:D46" ca="1" si="7">MATCH(B37,OFFSET(Dividends,0,0,,1),0)</f>
        <v>35</v>
      </c>
      <c r="E37" s="35">
        <f t="shared" ref="E37:E46" ca="1" si="8">MATCH(B37,OFFSET(Earnings,0,0,,1),0)</f>
        <v>35</v>
      </c>
      <c r="F37" s="35"/>
      <c r="G37" s="17">
        <f t="shared" ca="1" si="6"/>
        <v>0.65527950310559002</v>
      </c>
      <c r="H37" s="17">
        <f t="shared" ca="1" si="6"/>
        <v>0.72846715328467149</v>
      </c>
      <c r="I37" s="17">
        <f t="shared" ca="1" si="6"/>
        <v>0.59554140127388533</v>
      </c>
      <c r="J37" s="17">
        <f t="shared" ca="1" si="6"/>
        <v>0.5444444444444444</v>
      </c>
      <c r="K37" s="17">
        <f t="shared" ca="1" si="6"/>
        <v>0.6333333333333333</v>
      </c>
      <c r="L37" s="17">
        <f t="shared" ca="1" si="6"/>
        <v>0.66799999999999993</v>
      </c>
      <c r="M37" s="17">
        <f t="shared" ca="1" si="6"/>
        <v>0.54248366013071891</v>
      </c>
      <c r="N37" s="17">
        <f t="shared" ca="1" si="6"/>
        <v>0.80582524271844658</v>
      </c>
      <c r="O37" s="17">
        <f t="shared" ca="1" si="6"/>
        <v>1.4310344827586208</v>
      </c>
      <c r="P37" s="17">
        <f t="shared" ca="1" si="6"/>
        <v>0.89729729729729724</v>
      </c>
      <c r="Q37" s="17">
        <f t="shared" ca="1" si="6"/>
        <v>1.0246913580246912</v>
      </c>
      <c r="R37" s="57"/>
      <c r="S37" s="58"/>
      <c r="T37" s="58"/>
    </row>
    <row r="38" spans="1:20" x14ac:dyDescent="0.2">
      <c r="A38" t="str">
        <f>IFERROR(INDEX('2018 Data (WP)'!$C$9:$C$73,MATCH($B38,'2018 Data (WP)'!$D$9:$D$73,0)),"")</f>
        <v>Electric Utility (West)</v>
      </c>
      <c r="B38" t="s">
        <v>21</v>
      </c>
      <c r="C38" t="s">
        <v>58</v>
      </c>
      <c r="D38" s="35">
        <f t="shared" ca="1" si="7"/>
        <v>36</v>
      </c>
      <c r="E38" s="35">
        <f t="shared" ca="1" si="8"/>
        <v>36</v>
      </c>
      <c r="F38" s="35"/>
      <c r="G38" s="17">
        <f t="shared" ca="1" si="6"/>
        <v>0.54148471615720528</v>
      </c>
      <c r="H38" s="17">
        <f t="shared" ca="1" si="6"/>
        <v>0.82666666666666666</v>
      </c>
      <c r="I38" s="17">
        <f t="shared" ca="1" si="6"/>
        <v>0.75609756097560976</v>
      </c>
      <c r="J38" s="17">
        <f t="shared" ca="1" si="6"/>
        <v>0.76543209876543206</v>
      </c>
      <c r="K38" s="17">
        <f t="shared" ca="1" si="6"/>
        <v>0.74251497005988032</v>
      </c>
      <c r="L38" s="17">
        <f t="shared" ca="1" si="6"/>
        <v>0.86111111111111116</v>
      </c>
      <c r="M38" s="17">
        <f t="shared" ca="1" si="6"/>
        <v>1.024793388429752</v>
      </c>
      <c r="N38" s="17">
        <f t="shared" ca="1" si="6"/>
        <v>1.3626373626373627</v>
      </c>
      <c r="O38" s="17">
        <f t="shared" ca="1" si="6"/>
        <v>1.1588785046728971</v>
      </c>
      <c r="P38" s="17">
        <f t="shared" ca="1" si="6"/>
        <v>1.117117117117117</v>
      </c>
      <c r="Q38" s="17">
        <f t="shared" ca="1" si="6"/>
        <v>0.93233082706766912</v>
      </c>
      <c r="R38" s="57"/>
      <c r="S38" s="57"/>
      <c r="T38" s="57"/>
    </row>
    <row r="39" spans="1:20" x14ac:dyDescent="0.2">
      <c r="A39" t="str">
        <f>IFERROR(INDEX('2018 Data (WP)'!$C$9:$C$73,MATCH($B39,'2018 Data (WP)'!$D$9:$D$73,0)),"")</f>
        <v>Electric Utility (West)</v>
      </c>
      <c r="B39" t="s">
        <v>22</v>
      </c>
      <c r="C39" t="s">
        <v>59</v>
      </c>
      <c r="D39" s="35">
        <f t="shared" ca="1" si="7"/>
        <v>37</v>
      </c>
      <c r="E39" s="35">
        <f t="shared" ca="1" si="8"/>
        <v>37</v>
      </c>
      <c r="F39" s="35"/>
      <c r="G39" s="17">
        <f t="shared" ca="1" si="6"/>
        <v>0.52791878172588835</v>
      </c>
      <c r="H39" s="17">
        <f t="shared" ca="1" si="6"/>
        <v>0.49612403100775193</v>
      </c>
      <c r="I39" s="17">
        <f t="shared" ca="1" si="6"/>
        <v>0.45714285714285713</v>
      </c>
      <c r="J39" s="17">
        <f t="shared" ca="1" si="6"/>
        <v>0.43131868131868134</v>
      </c>
      <c r="K39" s="17">
        <f t="shared" ca="1" si="6"/>
        <v>0.40652818991097922</v>
      </c>
      <c r="L39" s="17">
        <f t="shared" ca="1" si="6"/>
        <v>0.35714285714285715</v>
      </c>
      <c r="M39" s="17">
        <f t="shared" ca="1" si="6"/>
        <v>0.40677966101694912</v>
      </c>
      <c r="N39" s="17">
        <f t="shared" ca="1" si="6"/>
        <v>0.45454545454545453</v>
      </c>
      <c r="O39" s="17">
        <f t="shared" ca="1" si="6"/>
        <v>0.55045871559633019</v>
      </c>
      <c r="P39" s="17">
        <f t="shared" ca="1" si="6"/>
        <v>0.64516129032258063</v>
      </c>
      <c r="Q39" s="17">
        <f t="shared" ca="1" si="6"/>
        <v>0.51063829787234039</v>
      </c>
      <c r="R39" s="57"/>
      <c r="S39" s="57"/>
      <c r="T39" s="57"/>
    </row>
    <row r="40" spans="1:20" x14ac:dyDescent="0.2">
      <c r="A40" t="str">
        <f>IFERROR(INDEX('2018 Data (WP)'!$C$9:$C$73,MATCH($B40,'2018 Data (WP)'!$D$9:$D$73,0)),"")</f>
        <v/>
      </c>
      <c r="B40" t="s">
        <v>23</v>
      </c>
      <c r="C40" t="s">
        <v>85</v>
      </c>
      <c r="D40" s="35" t="e">
        <f t="shared" ca="1" si="7"/>
        <v>#N/A</v>
      </c>
      <c r="E40" s="35" t="e">
        <f t="shared" ca="1" si="8"/>
        <v>#N/A</v>
      </c>
      <c r="F40" s="35"/>
      <c r="G40" s="17" t="str">
        <f t="shared" ca="1" si="6"/>
        <v>N/A</v>
      </c>
      <c r="H40" s="17" t="str">
        <f t="shared" ca="1" si="6"/>
        <v>N/A</v>
      </c>
      <c r="I40" s="17" t="str">
        <f t="shared" ca="1" si="6"/>
        <v>N/A</v>
      </c>
      <c r="J40" s="17" t="str">
        <f t="shared" ca="1" si="6"/>
        <v>N/A</v>
      </c>
      <c r="K40" s="17" t="str">
        <f t="shared" ca="1" si="6"/>
        <v>N/A</v>
      </c>
      <c r="L40" s="17" t="str">
        <f t="shared" ca="1" si="6"/>
        <v>N/A</v>
      </c>
      <c r="M40" s="17" t="str">
        <f t="shared" ca="1" si="6"/>
        <v>N/A</v>
      </c>
      <c r="N40" s="17" t="str">
        <f t="shared" ca="1" si="6"/>
        <v>N/A</v>
      </c>
      <c r="O40" s="17" t="str">
        <f t="shared" ca="1" si="6"/>
        <v>N/A</v>
      </c>
      <c r="P40" s="17" t="str">
        <f t="shared" ca="1" si="6"/>
        <v>N/A</v>
      </c>
      <c r="Q40" s="17" t="str">
        <f t="shared" ca="1" si="6"/>
        <v>N/A</v>
      </c>
      <c r="R40" s="57"/>
      <c r="S40" s="57"/>
      <c r="T40" s="57"/>
    </row>
    <row r="41" spans="1:20" x14ac:dyDescent="0.2">
      <c r="A41" t="str">
        <f>IFERROR(INDEX('2018 Data (WP)'!$C$9:$C$73,MATCH($B41,'2018 Data (WP)'!$D$9:$D$73,0)),"")</f>
        <v/>
      </c>
      <c r="B41" t="s">
        <v>161</v>
      </c>
      <c r="C41" t="s">
        <v>160</v>
      </c>
      <c r="D41" s="35" t="e">
        <f t="shared" ca="1" si="7"/>
        <v>#N/A</v>
      </c>
      <c r="E41" s="35" t="e">
        <f t="shared" ca="1" si="8"/>
        <v>#N/A</v>
      </c>
      <c r="F41" s="35"/>
      <c r="G41" s="17" t="str">
        <f t="shared" ca="1" si="6"/>
        <v>N/A</v>
      </c>
      <c r="H41" s="17" t="str">
        <f t="shared" ca="1" si="6"/>
        <v>N/A</v>
      </c>
      <c r="I41" s="17" t="str">
        <f t="shared" ca="1" si="6"/>
        <v>N/A</v>
      </c>
      <c r="J41" s="17" t="str">
        <f t="shared" ca="1" si="6"/>
        <v>N/A</v>
      </c>
      <c r="K41" s="17" t="str">
        <f t="shared" ca="1" si="6"/>
        <v>N/A</v>
      </c>
      <c r="L41" s="17" t="str">
        <f t="shared" ca="1" si="6"/>
        <v>N/A</v>
      </c>
      <c r="M41" s="17" t="str">
        <f t="shared" ca="1" si="6"/>
        <v>N/A</v>
      </c>
      <c r="N41" s="17" t="str">
        <f t="shared" ca="1" si="6"/>
        <v>N/A</v>
      </c>
      <c r="O41" s="17" t="str">
        <f t="shared" ca="1" si="6"/>
        <v>N/A</v>
      </c>
      <c r="P41" s="17" t="str">
        <f t="shared" ca="1" si="6"/>
        <v>N/A</v>
      </c>
      <c r="Q41" s="17" t="str">
        <f t="shared" ca="1" si="6"/>
        <v>N/A</v>
      </c>
      <c r="R41" s="57"/>
      <c r="S41" s="57"/>
      <c r="T41" s="57"/>
    </row>
    <row r="42" spans="1:20" x14ac:dyDescent="0.2">
      <c r="A42" t="str">
        <f>IFERROR(INDEX('2018 Data (WP)'!$C$9:$C$73,MATCH($B42,'2018 Data (WP)'!$D$9:$D$73,0)),"")</f>
        <v/>
      </c>
      <c r="B42" t="s">
        <v>24</v>
      </c>
      <c r="C42" t="s">
        <v>60</v>
      </c>
      <c r="D42" s="35" t="e">
        <f t="shared" ca="1" si="7"/>
        <v>#N/A</v>
      </c>
      <c r="E42" s="35" t="e">
        <f t="shared" ca="1" si="8"/>
        <v>#N/A</v>
      </c>
      <c r="F42" s="35"/>
      <c r="G42" s="17" t="str">
        <f t="shared" ca="1" si="6"/>
        <v>N/A</v>
      </c>
      <c r="H42" s="17" t="str">
        <f t="shared" ca="1" si="6"/>
        <v>N/A</v>
      </c>
      <c r="I42" s="17" t="str">
        <f t="shared" ca="1" si="6"/>
        <v>N/A</v>
      </c>
      <c r="J42" s="17" t="str">
        <f t="shared" ca="1" si="6"/>
        <v>N/A</v>
      </c>
      <c r="K42" s="17" t="str">
        <f t="shared" ca="1" si="6"/>
        <v>N/A</v>
      </c>
      <c r="L42" s="17" t="str">
        <f t="shared" ca="1" si="6"/>
        <v>N/A</v>
      </c>
      <c r="M42" s="17" t="str">
        <f t="shared" ca="1" si="6"/>
        <v>N/A</v>
      </c>
      <c r="N42" s="17" t="str">
        <f t="shared" ca="1" si="6"/>
        <v>N/A</v>
      </c>
      <c r="O42" s="17" t="str">
        <f t="shared" ca="1" si="6"/>
        <v>N/A</v>
      </c>
      <c r="P42" s="17" t="str">
        <f t="shared" ca="1" si="6"/>
        <v>N/A</v>
      </c>
      <c r="Q42" s="17" t="str">
        <f t="shared" ca="1" si="6"/>
        <v>N/A</v>
      </c>
      <c r="R42" s="57"/>
      <c r="S42" s="57"/>
      <c r="T42" s="57"/>
    </row>
    <row r="43" spans="1:20" x14ac:dyDescent="0.2">
      <c r="A43" t="str">
        <f>IFERROR(INDEX('2018 Data (WP)'!$C$9:$C$73,MATCH($B43,'2018 Data (WP)'!$D$9:$D$73,0)),"")</f>
        <v>Electric Util. (Central)</v>
      </c>
      <c r="B43" t="s">
        <v>25</v>
      </c>
      <c r="C43" t="s">
        <v>61</v>
      </c>
      <c r="D43" s="35">
        <f t="shared" ca="1" si="7"/>
        <v>38</v>
      </c>
      <c r="E43" s="35">
        <f t="shared" ca="1" si="8"/>
        <v>38</v>
      </c>
      <c r="F43" s="35"/>
      <c r="G43" s="17">
        <f t="shared" ca="1" si="6"/>
        <v>0.55504587155963292</v>
      </c>
      <c r="H43" s="17">
        <f t="shared" ca="1" si="6"/>
        <v>0.56310679611650483</v>
      </c>
      <c r="I43" s="17">
        <f t="shared" ca="1" si="6"/>
        <v>0.47844827586206906</v>
      </c>
      <c r="J43" s="17">
        <f t="shared" ca="1" si="6"/>
        <v>0.49537037037037035</v>
      </c>
      <c r="K43" s="17">
        <f t="shared" ca="1" si="6"/>
        <v>0.55913978494623651</v>
      </c>
      <c r="L43" s="17">
        <f t="shared" ca="1" si="6"/>
        <v>0.5744318181818181</v>
      </c>
      <c r="M43" s="17">
        <f t="shared" ca="1" si="6"/>
        <v>0.59568086382723451</v>
      </c>
      <c r="N43" s="17">
        <f t="shared" ca="1" si="6"/>
        <v>0.66055668703326542</v>
      </c>
      <c r="O43" s="17">
        <f t="shared" ca="1" si="6"/>
        <v>0.60239445494643984</v>
      </c>
      <c r="P43" s="17">
        <f t="shared" ca="1" si="6"/>
        <v>0.62128222075346995</v>
      </c>
      <c r="Q43" s="17">
        <f t="shared" ca="1" si="6"/>
        <v>0.67516387472687545</v>
      </c>
      <c r="R43" s="57"/>
      <c r="S43" s="57"/>
      <c r="T43" s="57"/>
    </row>
    <row r="44" spans="1:20" x14ac:dyDescent="0.2">
      <c r="A44" t="str">
        <f>IFERROR(INDEX('2018 Data (WP)'!$C$9:$C$73,MATCH($B44,'2018 Data (WP)'!$D$9:$D$73,0)),"")</f>
        <v>Water Utility</v>
      </c>
      <c r="B44" s="31" t="s">
        <v>188</v>
      </c>
      <c r="C44" s="31" t="s">
        <v>187</v>
      </c>
      <c r="D44" s="35">
        <f t="shared" ca="1" si="7"/>
        <v>39</v>
      </c>
      <c r="E44" s="35">
        <f t="shared" ca="1" si="8"/>
        <v>39</v>
      </c>
      <c r="F44" s="35"/>
      <c r="G44" s="17">
        <f t="shared" ca="1" si="6"/>
        <v>0.58550724637681173</v>
      </c>
      <c r="H44" s="17">
        <f t="shared" ca="1" si="6"/>
        <v>0.63606557377049189</v>
      </c>
      <c r="I44" s="17">
        <f t="shared" ca="1" si="6"/>
        <v>0.67522123893805319</v>
      </c>
      <c r="J44" s="17">
        <f t="shared" ca="1" si="6"/>
        <v>0.73106796116504857</v>
      </c>
      <c r="K44" s="17">
        <f t="shared" ca="1" si="6"/>
        <v>0.82555555555555549</v>
      </c>
      <c r="L44" s="17">
        <f t="shared" ca="1" si="6"/>
        <v>0.87261904761904763</v>
      </c>
      <c r="M44" s="17">
        <f t="shared" ca="1" si="6"/>
        <v>0.75312500000000004</v>
      </c>
      <c r="N44" s="17">
        <f t="shared" ca="1" si="6"/>
        <v>0.99027777777777781</v>
      </c>
      <c r="O44" s="17">
        <f t="shared" ca="1" si="6"/>
        <v>0.78988764044943816</v>
      </c>
      <c r="P44" s="17">
        <f t="shared" ca="1" si="6"/>
        <v>0.79655172413793096</v>
      </c>
      <c r="Q44" s="17">
        <f t="shared" ca="1" si="6"/>
        <v>0.83292682926829276</v>
      </c>
      <c r="R44" s="58"/>
      <c r="S44" s="58"/>
      <c r="T44" s="58"/>
    </row>
    <row r="45" spans="1:20" x14ac:dyDescent="0.2">
      <c r="A45" t="str">
        <f>IFERROR(INDEX('2018 Data (WP)'!$C$9:$C$73,MATCH($B45,'2018 Data (WP)'!$D$9:$D$73,0)),"")</f>
        <v>Natural Gas Utility</v>
      </c>
      <c r="B45" s="31" t="s">
        <v>190</v>
      </c>
      <c r="C45" s="31" t="s">
        <v>189</v>
      </c>
      <c r="D45" s="35">
        <f t="shared" ca="1" si="7"/>
        <v>40</v>
      </c>
      <c r="E45" s="35">
        <f t="shared" ca="1" si="8"/>
        <v>40</v>
      </c>
      <c r="F45" s="35"/>
      <c r="G45" s="17">
        <f t="shared" ref="G45:Q54" ca="1" si="9">IFERROR(INDEX(Dividends,$D45,G$2)/INDEX(Earnings,$E45,G$2),"N/A")</f>
        <v>0.60869565217391297</v>
      </c>
      <c r="H45" s="17">
        <f t="shared" ca="1" si="9"/>
        <v>0.52247191011235961</v>
      </c>
      <c r="I45" s="17">
        <f t="shared" ca="1" si="9"/>
        <v>0.41105769230769229</v>
      </c>
      <c r="J45" s="17">
        <f t="shared" ca="1" si="9"/>
        <v>0.59340659340659341</v>
      </c>
      <c r="K45" s="17">
        <f t="shared" ca="1" si="9"/>
        <v>0.56826568265682664</v>
      </c>
      <c r="L45" s="17">
        <f t="shared" ca="1" si="9"/>
        <v>0.55813953488372092</v>
      </c>
      <c r="M45" s="17">
        <f t="shared" ca="1" si="9"/>
        <v>0.55284552845528456</v>
      </c>
      <c r="N45" s="17">
        <f t="shared" ca="1" si="9"/>
        <v>0.51666666666666672</v>
      </c>
      <c r="O45" s="17">
        <f t="shared" ca="1" si="9"/>
        <v>0.41111111111111109</v>
      </c>
      <c r="P45" s="17">
        <f t="shared" ca="1" si="9"/>
        <v>0.65250965250965254</v>
      </c>
      <c r="Q45" s="17">
        <f t="shared" ca="1" si="9"/>
        <v>0.51446945337620575</v>
      </c>
      <c r="R45" s="57"/>
      <c r="S45" s="57"/>
      <c r="T45" s="57"/>
    </row>
    <row r="46" spans="1:20" x14ac:dyDescent="0.2">
      <c r="A46" t="str">
        <f>IFERROR(INDEX('2018 Data (WP)'!$C$9:$C$73,MATCH($B46,'2018 Data (WP)'!$D$9:$D$73,0)),"")</f>
        <v>Electric Utility (East)</v>
      </c>
      <c r="B46" t="s">
        <v>141</v>
      </c>
      <c r="C46" t="s">
        <v>209</v>
      </c>
      <c r="D46" s="35">
        <f t="shared" ca="1" si="7"/>
        <v>41</v>
      </c>
      <c r="E46" s="35">
        <f t="shared" ca="1" si="8"/>
        <v>41</v>
      </c>
      <c r="F46" s="35"/>
      <c r="G46" s="17">
        <f t="shared" ca="1" si="9"/>
        <v>0.60207612456747406</v>
      </c>
      <c r="H46" s="17">
        <f t="shared" ca="1" si="9"/>
        <v>0.5082508250825083</v>
      </c>
      <c r="I46" s="17">
        <f t="shared" ca="1" si="9"/>
        <v>0.5178571428571429</v>
      </c>
      <c r="J46" s="17">
        <f t="shared" ca="1" si="9"/>
        <v>0.54658385093167705</v>
      </c>
      <c r="K46" s="17">
        <f t="shared" ca="1" si="9"/>
        <v>0.52631578947368418</v>
      </c>
      <c r="L46" s="17">
        <f t="shared" ca="1" si="9"/>
        <v>0.45643153526970953</v>
      </c>
      <c r="M46" s="17">
        <f t="shared" ca="1" si="9"/>
        <v>0.42194092827004215</v>
      </c>
      <c r="N46" s="17">
        <f t="shared" ca="1" si="9"/>
        <v>0.47607052896725438</v>
      </c>
      <c r="O46" s="17">
        <f t="shared" ca="1" si="9"/>
        <v>0.4373464373464373</v>
      </c>
      <c r="P46" s="17">
        <f t="shared" ca="1" si="9"/>
        <v>0.50152905198776754</v>
      </c>
      <c r="Q46" s="17">
        <f t="shared" ca="1" si="9"/>
        <v>0.46439628482972134</v>
      </c>
      <c r="R46" s="57"/>
      <c r="S46" s="57"/>
      <c r="T46" s="57"/>
    </row>
    <row r="47" spans="1:20" x14ac:dyDescent="0.2">
      <c r="A47" t="str">
        <f>IFERROR(INDEX('2018 Data (WP)'!$C$9:$C$73,MATCH($B47,'2018 Data (WP)'!$D$9:$D$73,0)),"")</f>
        <v>Natural Gas Utility</v>
      </c>
      <c r="B47" t="s">
        <v>26</v>
      </c>
      <c r="C47" t="s">
        <v>62</v>
      </c>
      <c r="D47" s="35">
        <f t="shared" ref="D47:D78" ca="1" si="10">MATCH(B47,OFFSET(Dividends,0,0,,1),0)</f>
        <v>42</v>
      </c>
      <c r="E47" s="35">
        <f t="shared" ref="E47:E78" ca="1" si="11">MATCH(B47,OFFSET(Earnings,0,0,,1),0)</f>
        <v>42</v>
      </c>
      <c r="F47" s="35"/>
      <c r="G47" s="17">
        <f t="shared" ca="1" si="9"/>
        <v>0.64</v>
      </c>
      <c r="H47" s="17">
        <f t="shared" ca="1" si="9"/>
        <v>1.3174603174603174</v>
      </c>
      <c r="I47" s="17">
        <f t="shared" ca="1" si="9"/>
        <v>0.6107784431137725</v>
      </c>
      <c r="J47" s="17">
        <f t="shared" ca="1" si="9"/>
        <v>0.62420382165605093</v>
      </c>
      <c r="K47" s="17">
        <f t="shared" ca="1" si="9"/>
        <v>0.68613138686131381</v>
      </c>
      <c r="L47" s="17">
        <f t="shared" ca="1" si="9"/>
        <v>0.87619047619047619</v>
      </c>
      <c r="M47" s="17">
        <f t="shared" ca="1" si="9"/>
        <v>0.86792452830188682</v>
      </c>
      <c r="N47" s="17">
        <f t="shared" ca="1" si="9"/>
        <v>1.0952380952380953</v>
      </c>
      <c r="O47" s="17">
        <f t="shared" ca="1" si="9"/>
        <v>0.68656716417910446</v>
      </c>
      <c r="P47" s="17">
        <f t="shared" ca="1" si="9"/>
        <v>0.80701754385964919</v>
      </c>
      <c r="Q47" s="17">
        <f t="shared" ca="1" si="9"/>
        <v>0.80701754385964919</v>
      </c>
      <c r="R47" s="57"/>
      <c r="S47" s="57"/>
      <c r="T47" s="57"/>
    </row>
    <row r="48" spans="1:20" x14ac:dyDescent="0.2">
      <c r="A48" t="str">
        <f>IFERROR(INDEX('2018 Data (WP)'!$C$9:$C$73,MATCH($B48,'2018 Data (WP)'!$D$9:$D$73,0)),"")</f>
        <v>Natural Gas Utility</v>
      </c>
      <c r="B48" s="31" t="s">
        <v>192</v>
      </c>
      <c r="C48" s="31" t="s">
        <v>191</v>
      </c>
      <c r="D48" s="35">
        <f t="shared" ca="1" si="10"/>
        <v>43</v>
      </c>
      <c r="E48" s="35">
        <f t="shared" ca="1" si="11"/>
        <v>43</v>
      </c>
      <c r="F48" s="35"/>
      <c r="G48" s="17">
        <f t="shared" ca="1" si="9"/>
        <v>0.88207547169811318</v>
      </c>
      <c r="H48" s="17">
        <f t="shared" ca="1" si="9"/>
        <v>0.94897959183673475</v>
      </c>
      <c r="I48" s="17">
        <f t="shared" ca="1" si="9"/>
        <v>0.85648148148148151</v>
      </c>
      <c r="J48" s="17">
        <f t="shared" ca="1" si="9"/>
        <v>0.8169642857142857</v>
      </c>
      <c r="K48" s="17">
        <f t="shared" ca="1" si="9"/>
        <v>0.80630630630630629</v>
      </c>
      <c r="L48" s="17">
        <f t="shared" ca="1" si="9"/>
        <v>0.73221757322175729</v>
      </c>
      <c r="M48" s="17">
        <f t="shared" ca="1" si="9"/>
        <v>0.61538461538461542</v>
      </c>
      <c r="N48" s="17">
        <f t="shared" ca="1" si="9"/>
        <v>0.56537102473498235</v>
      </c>
      <c r="O48" s="17">
        <f t="shared" ca="1" si="9"/>
        <v>0.59143968871595332</v>
      </c>
      <c r="P48" s="17">
        <f t="shared" ca="1" si="9"/>
        <v>0.52173913043478259</v>
      </c>
      <c r="Q48" s="17">
        <f t="shared" ca="1" si="9"/>
        <v>0.59148936170212763</v>
      </c>
      <c r="R48" s="57"/>
      <c r="S48" s="57"/>
      <c r="T48" s="57"/>
    </row>
    <row r="49" spans="1:20" x14ac:dyDescent="0.2">
      <c r="A49" t="str">
        <f>IFERROR(INDEX('2018 Data (WP)'!$C$9:$C$73,MATCH($B49,'2018 Data (WP)'!$D$9:$D$73,0)),"")</f>
        <v>Electric Utility (West)</v>
      </c>
      <c r="B49" t="str">
        <f>"NWE"</f>
        <v>NWE</v>
      </c>
      <c r="C49" t="s">
        <v>94</v>
      </c>
      <c r="D49" s="35">
        <f t="shared" ca="1" si="10"/>
        <v>44</v>
      </c>
      <c r="E49" s="35">
        <f t="shared" ca="1" si="11"/>
        <v>44</v>
      </c>
      <c r="F49" s="35"/>
      <c r="G49" s="17">
        <f t="shared" ca="1" si="9"/>
        <v>0.58997050147492625</v>
      </c>
      <c r="H49" s="17">
        <f t="shared" ca="1" si="9"/>
        <v>0.66206896551724137</v>
      </c>
      <c r="I49" s="17">
        <f t="shared" ca="1" si="9"/>
        <v>0.53511705685618727</v>
      </c>
      <c r="J49" s="17">
        <f t="shared" ca="1" si="9"/>
        <v>0.61788617886178865</v>
      </c>
      <c r="K49" s="17">
        <f t="shared" ca="1" si="9"/>
        <v>0.65486725663716816</v>
      </c>
      <c r="L49" s="17">
        <f t="shared" ca="1" si="9"/>
        <v>0.56916996047430835</v>
      </c>
      <c r="M49" s="17">
        <f t="shared" ca="1" si="9"/>
        <v>0.63551401869158874</v>
      </c>
      <c r="N49" s="17">
        <f t="shared" ca="1" si="9"/>
        <v>0.6633663366336634</v>
      </c>
      <c r="O49" s="17">
        <f t="shared" ca="1" si="9"/>
        <v>0.74576271186440679</v>
      </c>
      <c r="P49" s="17">
        <f t="shared" ca="1" si="9"/>
        <v>0.88888888888888895</v>
      </c>
      <c r="Q49" s="17">
        <f t="shared" ca="1" si="9"/>
        <v>0.94656488549618312</v>
      </c>
      <c r="R49" s="57"/>
      <c r="S49" s="57"/>
      <c r="T49" s="57"/>
    </row>
    <row r="50" spans="1:20" x14ac:dyDescent="0.2">
      <c r="A50" t="str">
        <f>IFERROR(INDEX('2018 Data (WP)'!$C$9:$C$73,MATCH($B50,'2018 Data (WP)'!$D$9:$D$73,0)),"")</f>
        <v>Electric Util. (Central)</v>
      </c>
      <c r="B50" t="s">
        <v>27</v>
      </c>
      <c r="C50" t="s">
        <v>67</v>
      </c>
      <c r="D50" s="35">
        <f t="shared" ca="1" si="10"/>
        <v>45</v>
      </c>
      <c r="E50" s="35">
        <f t="shared" ca="1" si="11"/>
        <v>45</v>
      </c>
      <c r="F50" s="35"/>
      <c r="G50" s="17">
        <f t="shared" ca="1" si="9"/>
        <v>0.68343195266272194</v>
      </c>
      <c r="H50" s="17">
        <f t="shared" ca="1" si="9"/>
        <v>0.62130177514792906</v>
      </c>
      <c r="I50" s="17">
        <f t="shared" ca="1" si="9"/>
        <v>0.47979797979797978</v>
      </c>
      <c r="J50" s="17">
        <f ca="1">IFERROR(INDEX(Dividends,$D50,J$2)/INDEX(Earnings,$E50,J$2),"N/A")</f>
        <v>0.43865979381443299</v>
      </c>
      <c r="K50" s="17">
        <f t="shared" ca="1" si="9"/>
        <v>0.44581005586592182</v>
      </c>
      <c r="L50" s="17">
        <f t="shared" ca="1" si="9"/>
        <v>0.44</v>
      </c>
      <c r="M50" s="17">
        <f t="shared" ca="1" si="9"/>
        <v>0.48963210702341131</v>
      </c>
      <c r="N50" s="17">
        <f t="shared" ca="1" si="9"/>
        <v>0.53684210526315779</v>
      </c>
      <c r="O50" s="17">
        <f t="shared" ca="1" si="9"/>
        <v>0.56144578313253002</v>
      </c>
      <c r="P50" s="17">
        <f t="shared" ca="1" si="9"/>
        <v>0.51818181818181819</v>
      </c>
      <c r="Q50" s="17">
        <f t="shared" ca="1" si="9"/>
        <v>0.54612244897959183</v>
      </c>
      <c r="R50" s="57"/>
      <c r="S50" s="57"/>
      <c r="T50" s="57"/>
    </row>
    <row r="51" spans="1:20" x14ac:dyDescent="0.2">
      <c r="A51" t="str">
        <f>IFERROR(INDEX('2018 Data (WP)'!$C$9:$C$73,MATCH($B51,'2018 Data (WP)'!$D$9:$D$73,0)),"")</f>
        <v>Natural Gas Utility</v>
      </c>
      <c r="B51" t="s">
        <v>346</v>
      </c>
      <c r="C51" t="s">
        <v>349</v>
      </c>
      <c r="D51" s="35">
        <f t="shared" ca="1" si="10"/>
        <v>46</v>
      </c>
      <c r="E51" s="35">
        <f t="shared" ca="1" si="11"/>
        <v>46</v>
      </c>
      <c r="F51" s="35"/>
      <c r="G51" s="17">
        <f t="shared" ca="1" si="9"/>
        <v>0.52830188679245282</v>
      </c>
      <c r="H51" s="17">
        <f t="shared" ca="1" si="9"/>
        <v>0.5357142857142857</v>
      </c>
      <c r="I51" s="17">
        <f t="shared" ca="1" si="9"/>
        <v>0.40579710144927539</v>
      </c>
      <c r="J51" s="17" t="str">
        <f t="shared" ca="1" si="9"/>
        <v>N/A</v>
      </c>
      <c r="K51" s="17" t="str">
        <f t="shared" ca="1" si="9"/>
        <v>N/A</v>
      </c>
      <c r="L51" s="17" t="str">
        <f t="shared" ca="1" si="9"/>
        <v>N/A</v>
      </c>
      <c r="M51" s="17" t="str">
        <f t="shared" ca="1" si="9"/>
        <v>N/A</v>
      </c>
      <c r="N51" s="17" t="str">
        <f t="shared" ca="1" si="9"/>
        <v>N/A</v>
      </c>
      <c r="O51" s="17" t="str">
        <f t="shared" ca="1" si="9"/>
        <v>N/A</v>
      </c>
      <c r="P51" s="17" t="str">
        <f t="shared" ca="1" si="9"/>
        <v>N/A</v>
      </c>
      <c r="Q51" s="17" t="str">
        <f t="shared" ca="1" si="9"/>
        <v>N/A</v>
      </c>
      <c r="R51" s="57"/>
      <c r="S51" s="57"/>
      <c r="T51" s="57"/>
    </row>
    <row r="52" spans="1:20" x14ac:dyDescent="0.2">
      <c r="A52" t="str">
        <f>IFERROR(INDEX('2018 Data (WP)'!$C$9:$C$73,MATCH($B52,'2018 Data (WP)'!$D$9:$D$73,0)),"")</f>
        <v>Electric Util. (Central)</v>
      </c>
      <c r="B52" t="s">
        <v>28</v>
      </c>
      <c r="C52" t="s">
        <v>68</v>
      </c>
      <c r="D52" s="35">
        <f t="shared" ca="1" si="10"/>
        <v>47</v>
      </c>
      <c r="E52" s="35">
        <f t="shared" ca="1" si="11"/>
        <v>47</v>
      </c>
      <c r="F52" s="35"/>
      <c r="G52" s="17">
        <f t="shared" ca="1" si="9"/>
        <v>0.78125</v>
      </c>
      <c r="H52" s="17">
        <f t="shared" ca="1" si="9"/>
        <v>0.78846153846153844</v>
      </c>
      <c r="I52" s="17">
        <f t="shared" ca="1" si="9"/>
        <v>0.78064516129032258</v>
      </c>
      <c r="J52" s="17">
        <f t="shared" ca="1" si="9"/>
        <v>0.86861313868613133</v>
      </c>
      <c r="K52" s="17">
        <f t="shared" ca="1" si="9"/>
        <v>1.1333333333333333</v>
      </c>
      <c r="L52" s="17">
        <f t="shared" ca="1" si="9"/>
        <v>2.6444444444444444</v>
      </c>
      <c r="M52" s="17">
        <f t="shared" ca="1" si="9"/>
        <v>3.1315789473684208</v>
      </c>
      <c r="N52" s="17">
        <f t="shared" ca="1" si="9"/>
        <v>1.676056338028169</v>
      </c>
      <c r="O52" s="17">
        <f t="shared" ca="1" si="9"/>
        <v>1.0917431192660549</v>
      </c>
      <c r="P52" s="17">
        <f t="shared" ca="1" si="9"/>
        <v>0.65730337078651679</v>
      </c>
      <c r="Q52" s="17">
        <f t="shared" ca="1" si="9"/>
        <v>0.68047337278106501</v>
      </c>
      <c r="R52" s="57"/>
      <c r="S52" s="57"/>
      <c r="T52" s="57"/>
    </row>
    <row r="53" spans="1:20" x14ac:dyDescent="0.2">
      <c r="A53" t="str">
        <f>IFERROR(INDEX('2018 Data (WP)'!$C$9:$C$73,MATCH($B53,'2018 Data (WP)'!$D$9:$D$73,0)),"")</f>
        <v/>
      </c>
      <c r="B53" t="s">
        <v>29</v>
      </c>
      <c r="C53" t="s">
        <v>73</v>
      </c>
      <c r="D53" s="35" t="e">
        <f t="shared" ca="1" si="10"/>
        <v>#N/A</v>
      </c>
      <c r="E53" s="35" t="e">
        <f t="shared" ca="1" si="11"/>
        <v>#N/A</v>
      </c>
      <c r="F53" s="35"/>
      <c r="G53" s="17" t="str">
        <f t="shared" ca="1" si="9"/>
        <v>N/A</v>
      </c>
      <c r="H53" s="17" t="str">
        <f t="shared" ca="1" si="9"/>
        <v>N/A</v>
      </c>
      <c r="I53" s="17" t="str">
        <f t="shared" ca="1" si="9"/>
        <v>N/A</v>
      </c>
      <c r="J53" s="17" t="str">
        <f t="shared" ca="1" si="9"/>
        <v>N/A</v>
      </c>
      <c r="K53" s="17" t="str">
        <f t="shared" ca="1" si="9"/>
        <v>N/A</v>
      </c>
      <c r="L53" s="17" t="str">
        <f t="shared" ca="1" si="9"/>
        <v>N/A</v>
      </c>
      <c r="M53" s="17" t="str">
        <f t="shared" ca="1" si="9"/>
        <v>N/A</v>
      </c>
      <c r="N53" s="17" t="str">
        <f t="shared" ca="1" si="9"/>
        <v>N/A</v>
      </c>
      <c r="O53" s="17" t="str">
        <f t="shared" ca="1" si="9"/>
        <v>N/A</v>
      </c>
      <c r="P53" s="17" t="str">
        <f t="shared" ca="1" si="9"/>
        <v>N/A</v>
      </c>
      <c r="Q53" s="17" t="str">
        <f t="shared" ca="1" si="9"/>
        <v>N/A</v>
      </c>
      <c r="R53" s="57"/>
      <c r="S53" s="57"/>
      <c r="T53" s="57"/>
    </row>
    <row r="54" spans="1:20" x14ac:dyDescent="0.2">
      <c r="A54" t="str">
        <f>IFERROR(INDEX('2018 Data (WP)'!$C$9:$C$73,MATCH($B54,'2018 Data (WP)'!$D$9:$D$73,0)),"")</f>
        <v>Electric Utility (West)</v>
      </c>
      <c r="B54" t="s">
        <v>30</v>
      </c>
      <c r="C54" t="s">
        <v>71</v>
      </c>
      <c r="D54" s="35">
        <f t="shared" ca="1" si="10"/>
        <v>48</v>
      </c>
      <c r="E54" s="35">
        <f t="shared" ca="1" si="11"/>
        <v>48</v>
      </c>
      <c r="F54" s="35"/>
      <c r="G54" s="17">
        <f t="shared" ca="1" si="9"/>
        <v>0.68021201413427557</v>
      </c>
      <c r="H54" s="17">
        <f t="shared" ca="1" si="9"/>
        <v>0.91</v>
      </c>
      <c r="I54" s="17">
        <f t="shared" ca="1" si="9"/>
        <v>0.59477124183006536</v>
      </c>
      <c r="J54" s="17">
        <f t="shared" ca="1" si="9"/>
        <v>0.99453551912568305</v>
      </c>
      <c r="K54" s="17">
        <f t="shared" ca="1" si="9"/>
        <v>0.87922705314009675</v>
      </c>
      <c r="L54" s="17">
        <f t="shared" ca="1" si="9"/>
        <v>0.65467625899280579</v>
      </c>
      <c r="M54" s="17">
        <f t="shared" ca="1" si="9"/>
        <v>0.64539007092198586</v>
      </c>
      <c r="N54" s="17">
        <f t="shared" ca="1" si="9"/>
        <v>0.5544554455445545</v>
      </c>
      <c r="O54" s="17">
        <f t="shared" ca="1" si="9"/>
        <v>0.48447204968944096</v>
      </c>
      <c r="P54" s="17">
        <f t="shared" ca="1" si="9"/>
        <v>0.51798561151079137</v>
      </c>
      <c r="Q54" s="17">
        <f t="shared" ca="1" si="9"/>
        <v>0.47826086956521746</v>
      </c>
      <c r="R54" s="57"/>
      <c r="S54" s="57"/>
      <c r="T54" s="57"/>
    </row>
    <row r="55" spans="1:20" x14ac:dyDescent="0.2">
      <c r="A55" t="str">
        <f>IFERROR(INDEX('2018 Data (WP)'!$C$9:$C$73,MATCH($B55,'2018 Data (WP)'!$D$9:$D$73,0)),"")</f>
        <v>Electric Utility (West)</v>
      </c>
      <c r="B55" t="s">
        <v>31</v>
      </c>
      <c r="C55" t="s">
        <v>72</v>
      </c>
      <c r="D55" s="35">
        <f t="shared" ca="1" si="10"/>
        <v>49</v>
      </c>
      <c r="E55" s="35">
        <f t="shared" ca="1" si="11"/>
        <v>49</v>
      </c>
      <c r="F55" s="35"/>
      <c r="G55" s="17">
        <f t="shared" ref="G55:Q64" ca="1" si="12">IFERROR(INDEX(Dividends,$D55,G$2)/INDEX(Earnings,$E55,G$2),"N/A")</f>
        <v>0.64810126582278482</v>
      </c>
      <c r="H55" s="17">
        <f t="shared" ca="1" si="12"/>
        <v>0.62244897959183676</v>
      </c>
      <c r="I55" s="17">
        <f t="shared" ca="1" si="12"/>
        <v>0.6494413407821229</v>
      </c>
      <c r="J55" s="17">
        <f t="shared" ca="1" si="12"/>
        <v>0.60792349726775952</v>
      </c>
      <c r="K55" s="17">
        <f t="shared" ca="1" si="12"/>
        <v>0.76285714285714279</v>
      </c>
      <c r="L55" s="17">
        <f t="shared" ca="1" si="12"/>
        <v>0.7023411371237458</v>
      </c>
      <c r="M55" s="17">
        <f t="shared" ca="1" si="12"/>
        <v>0.68181818181818188</v>
      </c>
      <c r="N55" s="17">
        <f t="shared" ca="1" si="12"/>
        <v>0.92920353982300896</v>
      </c>
      <c r="O55" s="17">
        <f t="shared" ca="1" si="12"/>
        <v>0.99056603773584906</v>
      </c>
      <c r="P55" s="17">
        <f t="shared" ca="1" si="12"/>
        <v>0.70945945945945954</v>
      </c>
      <c r="Q55" s="17">
        <f t="shared" ca="1" si="12"/>
        <v>0.63880126182965302</v>
      </c>
      <c r="R55" s="57"/>
      <c r="S55" s="57"/>
      <c r="T55" s="57"/>
    </row>
    <row r="56" spans="1:20" x14ac:dyDescent="0.2">
      <c r="A56" t="str">
        <f>IFERROR(INDEX('2018 Data (WP)'!$C$9:$C$73,MATCH($B56,'2018 Data (WP)'!$D$9:$D$73,0)),"")</f>
        <v>Electric Utility (West)</v>
      </c>
      <c r="B56" t="s">
        <v>32</v>
      </c>
      <c r="C56" t="s">
        <v>74</v>
      </c>
      <c r="D56" s="35">
        <f t="shared" ca="1" si="10"/>
        <v>50</v>
      </c>
      <c r="E56" s="35">
        <f t="shared" ca="1" si="11"/>
        <v>50</v>
      </c>
      <c r="F56" s="35"/>
      <c r="G56" s="17">
        <f t="shared" ca="1" si="12"/>
        <v>0.53333333333333333</v>
      </c>
      <c r="H56" s="17">
        <f t="shared" ca="1" si="12"/>
        <v>0.48780487804878053</v>
      </c>
      <c r="I56" s="17">
        <f t="shared" ca="1" si="12"/>
        <v>0.52068965517241383</v>
      </c>
      <c r="J56" s="17">
        <f t="shared" ca="1" si="12"/>
        <v>0.48226950354609938</v>
      </c>
      <c r="K56" s="17">
        <f t="shared" ca="1" si="12"/>
        <v>0.4427480916030534</v>
      </c>
      <c r="L56" s="17">
        <f t="shared" ca="1" si="12"/>
        <v>0.46296296296296291</v>
      </c>
      <c r="M56" s="17">
        <f t="shared" ca="1" si="12"/>
        <v>0.57471264367816088</v>
      </c>
      <c r="N56" s="17">
        <f t="shared" ca="1" si="12"/>
        <v>0.86206896551724144</v>
      </c>
      <c r="O56" s="17">
        <f t="shared" ca="1" si="12"/>
        <v>5.5</v>
      </c>
      <c r="P56" s="17">
        <f t="shared" ca="1" si="12"/>
        <v>1.1973684210526316</v>
      </c>
      <c r="Q56" s="17">
        <f t="shared" ca="1" si="12"/>
        <v>0.5</v>
      </c>
      <c r="R56" s="57"/>
      <c r="S56" s="57"/>
      <c r="T56" s="57"/>
    </row>
    <row r="57" spans="1:20" x14ac:dyDescent="0.2">
      <c r="A57" t="str">
        <f>IFERROR(INDEX('2018 Data (WP)'!$C$9:$C$73,MATCH($B57,'2018 Data (WP)'!$D$9:$D$73,0)),"")</f>
        <v>Electric Utility (West)</v>
      </c>
      <c r="B57" t="s">
        <v>33</v>
      </c>
      <c r="C57" t="s">
        <v>92</v>
      </c>
      <c r="D57" s="35">
        <f t="shared" ca="1" si="10"/>
        <v>51</v>
      </c>
      <c r="E57" s="35">
        <f t="shared" ca="1" si="11"/>
        <v>51</v>
      </c>
      <c r="F57" s="35"/>
      <c r="G57" s="17">
        <f t="shared" ca="1" si="12"/>
        <v>0.58333333333333326</v>
      </c>
      <c r="H57" s="17">
        <f t="shared" ca="1" si="12"/>
        <v>0.57843137254901955</v>
      </c>
      <c r="I57" s="17">
        <f t="shared" ca="1" si="12"/>
        <v>0.51146788990825687</v>
      </c>
      <c r="J57" s="17">
        <f t="shared" ca="1" si="12"/>
        <v>0.61864406779661019</v>
      </c>
      <c r="K57" s="17">
        <f t="shared" ca="1" si="12"/>
        <v>0.57486631016042777</v>
      </c>
      <c r="L57" s="17">
        <f t="shared" ca="1" si="12"/>
        <v>0.54102564102564099</v>
      </c>
      <c r="M57" s="17">
        <f t="shared" ca="1" si="12"/>
        <v>0.62349397590361444</v>
      </c>
      <c r="N57" s="17">
        <f t="shared" ca="1" si="12"/>
        <v>0.77099236641221369</v>
      </c>
      <c r="O57" s="17">
        <f t="shared" ca="1" si="12"/>
        <v>0.69784172661870503</v>
      </c>
      <c r="P57" s="17">
        <f t="shared" ca="1" si="12"/>
        <v>0.39914163090128757</v>
      </c>
      <c r="Q57" s="17">
        <f t="shared" ca="1" si="12"/>
        <v>0.5921052631578948</v>
      </c>
      <c r="R57" s="57"/>
      <c r="S57" s="57"/>
      <c r="T57" s="57"/>
    </row>
    <row r="58" spans="1:20" x14ac:dyDescent="0.2">
      <c r="A58" t="str">
        <f>IFERROR(INDEX('2018 Data (WP)'!$C$9:$C$73,MATCH($B58,'2018 Data (WP)'!$D$9:$D$73,0)),"")</f>
        <v>Electric Utility (East)</v>
      </c>
      <c r="B58" t="s">
        <v>34</v>
      </c>
      <c r="C58" t="s">
        <v>70</v>
      </c>
      <c r="D58" s="35">
        <f t="shared" ca="1" si="10"/>
        <v>52</v>
      </c>
      <c r="E58" s="35">
        <f t="shared" ca="1" si="11"/>
        <v>52</v>
      </c>
      <c r="F58" s="35"/>
      <c r="G58" s="17">
        <f t="shared" ca="1" si="12"/>
        <v>0.54480286738351258</v>
      </c>
      <c r="H58" s="17">
        <f t="shared" ca="1" si="12"/>
        <v>0.63291139240506322</v>
      </c>
      <c r="I58" s="17">
        <f t="shared" ca="1" si="12"/>
        <v>0.62605042016806722</v>
      </c>
      <c r="J58" s="17">
        <f t="shared" ca="1" si="12"/>
        <v>0.61764705882352944</v>
      </c>
      <c r="K58" s="17">
        <f t="shared" ca="1" si="12"/>
        <v>0.55172413793103448</v>
      </c>
      <c r="L58" s="17">
        <f t="shared" ca="1" si="12"/>
        <v>0.53639846743295017</v>
      </c>
      <c r="M58" s="17">
        <f t="shared" ca="1" si="12"/>
        <v>0.611353711790393</v>
      </c>
      <c r="N58" s="17">
        <f t="shared" ca="1" si="12"/>
        <v>1.1596638655462184</v>
      </c>
      <c r="O58" s="17">
        <f t="shared" ca="1" si="12"/>
        <v>0.54693877551020409</v>
      </c>
      <c r="P58" s="17">
        <f t="shared" ca="1" si="12"/>
        <v>0.46387832699619774</v>
      </c>
      <c r="Q58" s="17">
        <f t="shared" ca="1" si="12"/>
        <v>0.48034934497816595</v>
      </c>
      <c r="R58" s="57"/>
      <c r="S58" s="57"/>
      <c r="T58" s="57"/>
    </row>
    <row r="59" spans="1:20" x14ac:dyDescent="0.2">
      <c r="A59" t="str">
        <f>IFERROR(INDEX('2018 Data (WP)'!$C$9:$C$73,MATCH($B59,'2018 Data (WP)'!$D$9:$D$73,0)),"")</f>
        <v>Electric Utility (East)</v>
      </c>
      <c r="B59" t="s">
        <v>35</v>
      </c>
      <c r="C59" t="s">
        <v>75</v>
      </c>
      <c r="D59" s="35">
        <f t="shared" ca="1" si="10"/>
        <v>53</v>
      </c>
      <c r="E59" s="35">
        <f t="shared" ca="1" si="11"/>
        <v>53</v>
      </c>
      <c r="F59" s="35"/>
      <c r="G59" s="17">
        <f t="shared" ca="1" si="12"/>
        <v>0.57950530035335679</v>
      </c>
      <c r="H59" s="17">
        <f t="shared" ca="1" si="12"/>
        <v>0.47272727272727277</v>
      </c>
      <c r="I59" s="17">
        <f t="shared" ca="1" si="12"/>
        <v>0.49498327759197319</v>
      </c>
      <c r="J59" s="17">
        <f t="shared" ca="1" si="12"/>
        <v>0.58775510204081627</v>
      </c>
      <c r="K59" s="17">
        <f t="shared" ca="1" si="12"/>
        <v>0.58196721311475408</v>
      </c>
      <c r="L59" s="17">
        <f t="shared" ca="1" si="12"/>
        <v>0.44051446945337625</v>
      </c>
      <c r="M59" s="17">
        <f t="shared" ca="1" si="12"/>
        <v>0.44625407166123782</v>
      </c>
      <c r="N59" s="17">
        <f t="shared" ca="1" si="12"/>
        <v>0.43181818181818182</v>
      </c>
      <c r="O59" s="17">
        <f t="shared" ca="1" si="12"/>
        <v>0.44482758620689655</v>
      </c>
      <c r="P59" s="17">
        <f t="shared" ca="1" si="12"/>
        <v>0.45173745173745172</v>
      </c>
      <c r="Q59" s="17">
        <f t="shared" ca="1" si="12"/>
        <v>0.61788617886178854</v>
      </c>
      <c r="R59" s="57"/>
      <c r="S59" s="57"/>
      <c r="T59" s="57"/>
    </row>
    <row r="60" spans="1:20" x14ac:dyDescent="0.2">
      <c r="A60" t="str">
        <f>IFERROR(INDEX('2018 Data (WP)'!$C$9:$C$73,MATCH($B60,'2018 Data (WP)'!$D$9:$D$73,0)),"")</f>
        <v>Electric Utility (East)</v>
      </c>
      <c r="B60" t="s">
        <v>36</v>
      </c>
      <c r="C60" t="s">
        <v>76</v>
      </c>
      <c r="D60" s="35">
        <f t="shared" ca="1" si="10"/>
        <v>55</v>
      </c>
      <c r="E60" s="35">
        <f t="shared" ca="1" si="11"/>
        <v>55</v>
      </c>
      <c r="F60" s="35"/>
      <c r="G60" s="17">
        <f t="shared" ca="1" si="12"/>
        <v>0.55288461538461531</v>
      </c>
      <c r="H60" s="17">
        <f t="shared" ca="1" si="12"/>
        <v>0.57217847769028873</v>
      </c>
      <c r="I60" s="17">
        <f t="shared" ca="1" si="12"/>
        <v>0.55408970976253302</v>
      </c>
      <c r="J60" s="17">
        <f t="shared" ca="1" si="12"/>
        <v>0.59882005899705004</v>
      </c>
      <c r="K60" s="17">
        <f t="shared" ca="1" si="12"/>
        <v>0.62857142857142856</v>
      </c>
      <c r="L60" s="17">
        <f t="shared" ca="1" si="12"/>
        <v>0.65319865319865311</v>
      </c>
      <c r="M60" s="17">
        <f t="shared" ca="1" si="12"/>
        <v>0.63758389261744963</v>
      </c>
      <c r="N60" s="17">
        <f t="shared" ca="1" si="12"/>
        <v>0.65964912280701749</v>
      </c>
      <c r="O60" s="17">
        <f t="shared" ca="1" si="12"/>
        <v>0.62372881355932197</v>
      </c>
      <c r="P60" s="17">
        <f t="shared" ca="1" si="12"/>
        <v>0.64233576642335766</v>
      </c>
      <c r="Q60" s="17">
        <f t="shared" ca="1" si="12"/>
        <v>0.64864864864864868</v>
      </c>
      <c r="R60" s="57"/>
      <c r="S60" s="57"/>
      <c r="T60" s="57"/>
    </row>
    <row r="61" spans="1:20" x14ac:dyDescent="0.2">
      <c r="A61" t="str">
        <f>IFERROR(INDEX('2018 Data (WP)'!$C$9:$C$73,MATCH($B61,'2018 Data (WP)'!$D$9:$D$73,0)),"")</f>
        <v>Electric Utility (West)</v>
      </c>
      <c r="B61" t="s">
        <v>37</v>
      </c>
      <c r="C61" t="s">
        <v>54</v>
      </c>
      <c r="D61" s="35">
        <f t="shared" ca="1" si="10"/>
        <v>56</v>
      </c>
      <c r="E61" s="35">
        <f t="shared" ca="1" si="11"/>
        <v>56</v>
      </c>
      <c r="F61" s="35"/>
      <c r="G61" s="17">
        <f t="shared" ca="1" si="12"/>
        <v>0.71226415094339623</v>
      </c>
      <c r="H61" s="17">
        <f t="shared" ca="1" si="12"/>
        <v>0.53537284894837467</v>
      </c>
      <c r="I61" s="17">
        <f t="shared" ca="1" si="12"/>
        <v>0.57019438444924408</v>
      </c>
      <c r="J61" s="17">
        <f t="shared" ca="1" si="12"/>
        <v>0.59715639810426546</v>
      </c>
      <c r="K61" s="17">
        <f t="shared" ca="1" si="12"/>
        <v>0.55172413793103448</v>
      </c>
      <c r="L61" s="17">
        <f t="shared" ca="1" si="12"/>
        <v>0.42953020134228187</v>
      </c>
      <c r="M61" s="17">
        <f t="shared" ca="1" si="12"/>
        <v>0.38805970149253738</v>
      </c>
      <c r="N61" s="17">
        <f t="shared" ca="1" si="12"/>
        <v>0.32635983263598328</v>
      </c>
      <c r="O61" s="17">
        <f t="shared" ca="1" si="12"/>
        <v>0.30925507900677207</v>
      </c>
      <c r="P61" s="17">
        <f t="shared" ca="1" si="12"/>
        <v>0.29107981220657281</v>
      </c>
      <c r="Q61" s="17">
        <f t="shared" ca="1" si="12"/>
        <v>0.28368794326241131</v>
      </c>
    </row>
    <row r="62" spans="1:20" x14ac:dyDescent="0.2">
      <c r="A62" t="str">
        <f>IFERROR(INDEX('2018 Data (WP)'!$C$9:$C$73,MATCH($B62,'2018 Data (WP)'!$D$9:$D$73,0)),"")</f>
        <v/>
      </c>
      <c r="B62" t="s">
        <v>64</v>
      </c>
      <c r="C62" t="s">
        <v>63</v>
      </c>
      <c r="D62" s="35" t="e">
        <f t="shared" ca="1" si="10"/>
        <v>#N/A</v>
      </c>
      <c r="E62" s="35" t="e">
        <f t="shared" ca="1" si="11"/>
        <v>#N/A</v>
      </c>
      <c r="F62" s="35"/>
      <c r="G62" s="17" t="str">
        <f t="shared" ca="1" si="12"/>
        <v>N/A</v>
      </c>
      <c r="H62" s="17" t="str">
        <f t="shared" ca="1" si="12"/>
        <v>N/A</v>
      </c>
      <c r="I62" s="17" t="str">
        <f t="shared" ca="1" si="12"/>
        <v>N/A</v>
      </c>
      <c r="J62" s="17" t="str">
        <f t="shared" ca="1" si="12"/>
        <v>N/A</v>
      </c>
      <c r="K62" s="17" t="str">
        <f t="shared" ca="1" si="12"/>
        <v>N/A</v>
      </c>
      <c r="L62" s="17" t="str">
        <f t="shared" ca="1" si="12"/>
        <v>N/A</v>
      </c>
      <c r="M62" s="17" t="str">
        <f t="shared" ca="1" si="12"/>
        <v>N/A</v>
      </c>
      <c r="N62" s="17" t="str">
        <f t="shared" ca="1" si="12"/>
        <v>N/A</v>
      </c>
      <c r="O62" s="17" t="str">
        <f t="shared" ca="1" si="12"/>
        <v>N/A</v>
      </c>
      <c r="P62" s="17" t="str">
        <f t="shared" ca="1" si="12"/>
        <v>N/A</v>
      </c>
      <c r="Q62" s="17" t="str">
        <f t="shared" ca="1" si="12"/>
        <v>N/A</v>
      </c>
    </row>
    <row r="63" spans="1:20" x14ac:dyDescent="0.2">
      <c r="A63" t="str">
        <f>IFERROR(INDEX('2018 Data (WP)'!$C$9:$C$73,MATCH($B63,'2018 Data (WP)'!$D$9:$D$73,0)),"")</f>
        <v>Water Utility</v>
      </c>
      <c r="B63" s="31" t="s">
        <v>196</v>
      </c>
      <c r="C63" s="31" t="s">
        <v>195</v>
      </c>
      <c r="D63" s="35">
        <f t="shared" ca="1" si="10"/>
        <v>57</v>
      </c>
      <c r="E63" s="35">
        <f t="shared" ca="1" si="11"/>
        <v>57</v>
      </c>
      <c r="F63" s="35"/>
      <c r="G63" s="17">
        <f t="shared" ca="1" si="12"/>
        <v>0.31517509727626464</v>
      </c>
      <c r="H63" s="17">
        <f t="shared" ca="1" si="12"/>
        <v>0.42162162162162159</v>
      </c>
      <c r="I63" s="17">
        <f t="shared" ca="1" si="12"/>
        <v>0.29527559055118108</v>
      </c>
      <c r="J63" s="17">
        <f t="shared" ca="1" si="12"/>
        <v>0.65178571428571419</v>
      </c>
      <c r="K63" s="17">
        <f t="shared" ca="1" si="12"/>
        <v>0.60169491525423724</v>
      </c>
      <c r="L63" s="17">
        <f t="shared" ca="1" si="12"/>
        <v>0.62162162162162149</v>
      </c>
      <c r="M63" s="17">
        <f t="shared" ca="1" si="12"/>
        <v>0.80952380952380965</v>
      </c>
      <c r="N63" s="17">
        <f t="shared" ca="1" si="12"/>
        <v>0.81481481481481477</v>
      </c>
      <c r="O63" s="17">
        <f t="shared" ca="1" si="12"/>
        <v>0.59501845018450183</v>
      </c>
      <c r="P63" s="17">
        <f t="shared" ca="1" si="12"/>
        <v>0.58173076923076916</v>
      </c>
      <c r="Q63" s="17">
        <f t="shared" ca="1" si="12"/>
        <v>0.47478991596638653</v>
      </c>
    </row>
    <row r="64" spans="1:20" x14ac:dyDescent="0.2">
      <c r="A64" t="str">
        <f>IFERROR(INDEX('2018 Data (WP)'!$C$9:$C$73,MATCH($B64,'2018 Data (WP)'!$D$9:$D$73,0)),"")</f>
        <v>Natural Gas Utility</v>
      </c>
      <c r="B64" s="31" t="s">
        <v>198</v>
      </c>
      <c r="C64" s="31" t="s">
        <v>197</v>
      </c>
      <c r="D64" s="35">
        <f t="shared" ca="1" si="10"/>
        <v>58</v>
      </c>
      <c r="E64" s="35">
        <f t="shared" ca="1" si="11"/>
        <v>58</v>
      </c>
      <c r="F64" s="35"/>
      <c r="G64" s="17">
        <f t="shared" ca="1" si="12"/>
        <v>0.79104477611940294</v>
      </c>
      <c r="H64" s="17">
        <f t="shared" ca="1" si="12"/>
        <v>0.70833333333333337</v>
      </c>
      <c r="I64" s="17">
        <f t="shared" ca="1" si="12"/>
        <v>0.61341853035143767</v>
      </c>
      <c r="J64" s="17">
        <f t="shared" ca="1" si="12"/>
        <v>0.59405940594059414</v>
      </c>
      <c r="K64" s="17">
        <f t="shared" ca="1" si="12"/>
        <v>0.54455445544554459</v>
      </c>
      <c r="L64" s="17">
        <f t="shared" ca="1" si="12"/>
        <v>0.51903114186851207</v>
      </c>
      <c r="M64" s="17">
        <f t="shared" ca="1" si="12"/>
        <v>0.50370370370370365</v>
      </c>
      <c r="N64" s="17">
        <f t="shared" ca="1" si="12"/>
        <v>0.51260504201680679</v>
      </c>
      <c r="O64" s="17">
        <f t="shared" ca="1" si="12"/>
        <v>0.48898678414096919</v>
      </c>
      <c r="P64" s="17">
        <f t="shared" ca="1" si="12"/>
        <v>0.48325358851674644</v>
      </c>
      <c r="Q64" s="17">
        <f t="shared" ca="1" si="12"/>
        <v>0.37398373983739841</v>
      </c>
    </row>
    <row r="65" spans="1:17" x14ac:dyDescent="0.2">
      <c r="A65" t="str">
        <f>IFERROR(INDEX('2018 Data (WP)'!$C$9:$C$73,MATCH($B65,'2018 Data (WP)'!$D$9:$D$73,0)),"")</f>
        <v>Electric Utility (East)</v>
      </c>
      <c r="B65" t="s">
        <v>38</v>
      </c>
      <c r="C65" t="s">
        <v>77</v>
      </c>
      <c r="D65" s="35">
        <f t="shared" ca="1" si="10"/>
        <v>59</v>
      </c>
      <c r="E65" s="35">
        <f t="shared" ca="1" si="11"/>
        <v>59</v>
      </c>
      <c r="F65" s="35"/>
      <c r="G65" s="17">
        <f t="shared" ref="G65:Q74" ca="1" si="13">IFERROR(INDEX(Dividends,$D65,G$2)/INDEX(Earnings,$E65,G$2),"N/A")</f>
        <v>0.78551236749116604</v>
      </c>
      <c r="H65" s="17">
        <f t="shared" ca="1" si="13"/>
        <v>0.75809859154929582</v>
      </c>
      <c r="I65" s="17">
        <f t="shared" ca="1" si="13"/>
        <v>0.75198555956678703</v>
      </c>
      <c r="J65" s="17">
        <f t="shared" ca="1" si="13"/>
        <v>0.74555555555555542</v>
      </c>
      <c r="K65" s="17">
        <f t="shared" ca="1" si="13"/>
        <v>0.72771535580524349</v>
      </c>
      <c r="L65" s="17">
        <f t="shared" ca="1" si="13"/>
        <v>0.73450980392156873</v>
      </c>
      <c r="M65" s="17">
        <f t="shared" ca="1" si="13"/>
        <v>0.76398305084745766</v>
      </c>
      <c r="N65" s="17">
        <f t="shared" ca="1" si="13"/>
        <v>0.74698275862068975</v>
      </c>
      <c r="O65" s="17">
        <f t="shared" ca="1" si="13"/>
        <v>0.73911111111111116</v>
      </c>
      <c r="P65" s="17">
        <f t="shared" ca="1" si="13"/>
        <v>0.69956140350877194</v>
      </c>
      <c r="Q65" s="17">
        <f t="shared" ca="1" si="13"/>
        <v>0.73095238095238091</v>
      </c>
    </row>
    <row r="66" spans="1:17" x14ac:dyDescent="0.2">
      <c r="A66" t="str">
        <f>IFERROR(INDEX('2018 Data (WP)'!$C$9:$C$73,MATCH($B66,'2018 Data (WP)'!$D$9:$D$73,0)),"")</f>
        <v>Natural Gas Utility</v>
      </c>
      <c r="B66" s="31" t="s">
        <v>200</v>
      </c>
      <c r="C66" s="31" t="s">
        <v>199</v>
      </c>
      <c r="D66" s="35">
        <f t="shared" ca="1" si="10"/>
        <v>60</v>
      </c>
      <c r="E66" s="35">
        <f t="shared" ca="1" si="11"/>
        <v>60</v>
      </c>
      <c r="F66" s="35"/>
      <c r="G66" s="17">
        <f t="shared" ca="1" si="13"/>
        <v>0.56603773584905659</v>
      </c>
      <c r="H66" s="17">
        <f t="shared" ca="1" si="13"/>
        <v>0.5547945205479452</v>
      </c>
      <c r="I66" s="17">
        <f t="shared" ca="1" si="13"/>
        <v>0.4850498338870432</v>
      </c>
      <c r="J66" s="17">
        <f t="shared" ca="1" si="13"/>
        <v>0.42443729903536981</v>
      </c>
      <c r="K66" s="17">
        <f t="shared" ca="1" si="13"/>
        <v>0.41258741258741261</v>
      </c>
      <c r="L66" s="17">
        <f t="shared" ca="1" si="13"/>
        <v>0.43621399176954734</v>
      </c>
      <c r="M66" s="17">
        <f t="shared" ca="1" si="13"/>
        <v>0.44052863436123346</v>
      </c>
      <c r="N66" s="17">
        <f t="shared" ca="1" si="13"/>
        <v>0.48969072164948452</v>
      </c>
      <c r="O66" s="17">
        <f t="shared" ca="1" si="13"/>
        <v>0.64748201438848929</v>
      </c>
      <c r="P66" s="17">
        <f t="shared" ca="1" si="13"/>
        <v>0.44102564102564101</v>
      </c>
      <c r="Q66" s="17">
        <f t="shared" ca="1" si="13"/>
        <v>0.41414141414141414</v>
      </c>
    </row>
    <row r="67" spans="1:17" x14ac:dyDescent="0.2">
      <c r="A67" t="str">
        <f>IFERROR(INDEX('2018 Data (WP)'!$C$9:$C$73,MATCH($B67,'2018 Data (WP)'!$D$9:$D$73,0)),"")</f>
        <v>Natural Gas Utility</v>
      </c>
      <c r="B67" s="31" t="s">
        <v>244</v>
      </c>
      <c r="C67" s="31" t="s">
        <v>243</v>
      </c>
      <c r="D67" s="35">
        <f t="shared" ca="1" si="10"/>
        <v>61</v>
      </c>
      <c r="E67" s="35">
        <f t="shared" ca="1" si="11"/>
        <v>61</v>
      </c>
      <c r="F67" s="35"/>
      <c r="G67" s="17">
        <f t="shared" ca="1" si="13"/>
        <v>0.60493827160493818</v>
      </c>
      <c r="H67" s="17">
        <f t="shared" ca="1" si="13"/>
        <v>0.58227848101265822</v>
      </c>
      <c r="I67" s="17">
        <f t="shared" ca="1" si="13"/>
        <v>0.74893617021276593</v>
      </c>
      <c r="J67" s="17">
        <f t="shared" ca="1" si="13"/>
        <v>0.84158415841584155</v>
      </c>
      <c r="K67" s="17">
        <f t="shared" ca="1" si="13"/>
        <v>0.59498207885304655</v>
      </c>
      <c r="L67" s="17">
        <f t="shared" ca="1" si="13"/>
        <v>0.56293706293706303</v>
      </c>
      <c r="M67" s="17">
        <f t="shared" ca="1" si="13"/>
        <v>0.64609053497942381</v>
      </c>
      <c r="N67" s="17">
        <f t="shared" ca="1" si="13"/>
        <v>0.52397260273972601</v>
      </c>
      <c r="O67" s="17">
        <f t="shared" ca="1" si="13"/>
        <v>0.56439393939393934</v>
      </c>
      <c r="P67" s="17">
        <f t="shared" ca="1" si="13"/>
        <v>0.62770562770562766</v>
      </c>
      <c r="Q67" s="17">
        <f t="shared" ca="1" si="13"/>
        <v>0.59071729957805896</v>
      </c>
    </row>
    <row r="68" spans="1:17" x14ac:dyDescent="0.2">
      <c r="A68" t="str">
        <f>IFERROR(INDEX('2018 Data (WP)'!$C$9:$C$73,MATCH($B68,'2018 Data (WP)'!$D$9:$D$73,0)),"")</f>
        <v/>
      </c>
      <c r="B68" t="s">
        <v>39</v>
      </c>
      <c r="C68" t="s">
        <v>78</v>
      </c>
      <c r="D68" s="35" t="e">
        <f t="shared" ca="1" si="10"/>
        <v>#N/A</v>
      </c>
      <c r="E68" s="35" t="e">
        <f t="shared" ca="1" si="11"/>
        <v>#N/A</v>
      </c>
      <c r="F68" s="35"/>
      <c r="G68" s="17" t="str">
        <f t="shared" ca="1" si="13"/>
        <v>N/A</v>
      </c>
      <c r="H68" s="17" t="str">
        <f t="shared" ca="1" si="13"/>
        <v>N/A</v>
      </c>
      <c r="I68" s="17" t="str">
        <f t="shared" ca="1" si="13"/>
        <v>N/A</v>
      </c>
      <c r="J68" s="17" t="str">
        <f t="shared" ca="1" si="13"/>
        <v>N/A</v>
      </c>
      <c r="K68" s="17" t="str">
        <f t="shared" ca="1" si="13"/>
        <v>N/A</v>
      </c>
      <c r="L68" s="17" t="str">
        <f t="shared" ca="1" si="13"/>
        <v>N/A</v>
      </c>
      <c r="M68" s="17" t="str">
        <f t="shared" ca="1" si="13"/>
        <v>N/A</v>
      </c>
      <c r="N68" s="17" t="str">
        <f t="shared" ca="1" si="13"/>
        <v>N/A</v>
      </c>
      <c r="O68" s="17" t="str">
        <f t="shared" ca="1" si="13"/>
        <v>N/A</v>
      </c>
      <c r="P68" s="17" t="str">
        <f t="shared" ca="1" si="13"/>
        <v>N/A</v>
      </c>
      <c r="Q68" s="17" t="str">
        <f t="shared" ca="1" si="13"/>
        <v>N/A</v>
      </c>
    </row>
    <row r="69" spans="1:17" x14ac:dyDescent="0.2">
      <c r="A69" t="str">
        <f>IFERROR(INDEX('2018 Data (WP)'!$C$9:$C$73,MATCH($B69,'2018 Data (WP)'!$D$9:$D$73,0)),"")</f>
        <v>Natural Gas Utility</v>
      </c>
      <c r="B69" s="31" t="s">
        <v>204</v>
      </c>
      <c r="C69" s="31" t="s">
        <v>203</v>
      </c>
      <c r="D69" s="35">
        <f t="shared" ca="1" si="10"/>
        <v>63</v>
      </c>
      <c r="E69" s="35">
        <f t="shared" ca="1" si="11"/>
        <v>63</v>
      </c>
      <c r="F69" s="35"/>
      <c r="G69" s="17">
        <f t="shared" ca="1" si="13"/>
        <v>0.45365853658536592</v>
      </c>
      <c r="H69" s="17">
        <f t="shared" ca="1" si="13"/>
        <v>0.44278606965174133</v>
      </c>
      <c r="I69" s="17">
        <f t="shared" ca="1" si="13"/>
        <v>0.41197916666666667</v>
      </c>
      <c r="J69" s="17">
        <f t="shared" ca="1" si="13"/>
        <v>0.46453232893910862</v>
      </c>
      <c r="K69" s="17">
        <f t="shared" ca="1" si="13"/>
        <v>0.60272804774083544</v>
      </c>
      <c r="L69" s="17">
        <f t="shared" ca="1" si="13"/>
        <v>0.49526584122359801</v>
      </c>
      <c r="M69" s="17">
        <f t="shared" ca="1" si="13"/>
        <v>0.3780718336483932</v>
      </c>
      <c r="N69" s="17">
        <f t="shared" ca="1" si="13"/>
        <v>0.3324856961220598</v>
      </c>
      <c r="O69" s="17">
        <f t="shared" ca="1" si="13"/>
        <v>0.37905048982667672</v>
      </c>
      <c r="P69" s="17">
        <f t="shared" ca="1" si="13"/>
        <v>0.40762711864406781</v>
      </c>
      <c r="Q69" s="17">
        <f t="shared" ca="1" si="13"/>
        <v>0.41363636363636364</v>
      </c>
    </row>
    <row r="70" spans="1:17" x14ac:dyDescent="0.2">
      <c r="A70" t="str">
        <f>IFERROR(INDEX('2018 Data (WP)'!$C$9:$C$73,MATCH($B70,'2018 Data (WP)'!$D$9:$D$73,0)),"")</f>
        <v/>
      </c>
      <c r="B70" t="s">
        <v>40</v>
      </c>
      <c r="C70" t="s">
        <v>81</v>
      </c>
      <c r="D70" s="35" t="e">
        <f t="shared" ca="1" si="10"/>
        <v>#N/A</v>
      </c>
      <c r="E70" s="35" t="e">
        <f t="shared" ca="1" si="11"/>
        <v>#N/A</v>
      </c>
      <c r="F70" s="35"/>
      <c r="G70" s="17" t="str">
        <f t="shared" ca="1" si="13"/>
        <v>N/A</v>
      </c>
      <c r="H70" s="17" t="str">
        <f t="shared" ca="1" si="13"/>
        <v>N/A</v>
      </c>
      <c r="I70" s="17" t="str">
        <f t="shared" ca="1" si="13"/>
        <v>N/A</v>
      </c>
      <c r="J70" s="17" t="str">
        <f t="shared" ca="1" si="13"/>
        <v>N/A</v>
      </c>
      <c r="K70" s="17" t="str">
        <f t="shared" ca="1" si="13"/>
        <v>N/A</v>
      </c>
      <c r="L70" s="17" t="str">
        <f t="shared" ca="1" si="13"/>
        <v>N/A</v>
      </c>
      <c r="M70" s="17" t="str">
        <f t="shared" ca="1" si="13"/>
        <v>N/A</v>
      </c>
      <c r="N70" s="17" t="str">
        <f t="shared" ca="1" si="13"/>
        <v>N/A</v>
      </c>
      <c r="O70" s="17" t="str">
        <f t="shared" ca="1" si="13"/>
        <v>N/A</v>
      </c>
      <c r="P70" s="17" t="str">
        <f t="shared" ca="1" si="13"/>
        <v>N/A</v>
      </c>
      <c r="Q70" s="17" t="str">
        <f t="shared" ca="1" si="13"/>
        <v>N/A</v>
      </c>
    </row>
    <row r="71" spans="1:17" x14ac:dyDescent="0.2">
      <c r="A71" t="str">
        <f>IFERROR(INDEX('2018 Data (WP)'!$C$9:$C$73,MATCH($B71,'2018 Data (WP)'!$D$9:$D$73,0)),"")</f>
        <v/>
      </c>
      <c r="B71" t="s">
        <v>41</v>
      </c>
      <c r="C71" t="s">
        <v>79</v>
      </c>
      <c r="D71" s="35" t="e">
        <f t="shared" ca="1" si="10"/>
        <v>#N/A</v>
      </c>
      <c r="E71" s="35" t="e">
        <f t="shared" ca="1" si="11"/>
        <v>#N/A</v>
      </c>
      <c r="F71" s="35"/>
      <c r="G71" s="17" t="str">
        <f t="shared" ca="1" si="13"/>
        <v>N/A</v>
      </c>
      <c r="H71" s="17" t="str">
        <f t="shared" ca="1" si="13"/>
        <v>N/A</v>
      </c>
      <c r="I71" s="17" t="str">
        <f t="shared" ca="1" si="13"/>
        <v>N/A</v>
      </c>
      <c r="J71" s="17" t="str">
        <f t="shared" ca="1" si="13"/>
        <v>N/A</v>
      </c>
      <c r="K71" s="17" t="str">
        <f t="shared" ca="1" si="13"/>
        <v>N/A</v>
      </c>
      <c r="L71" s="17" t="str">
        <f t="shared" ca="1" si="13"/>
        <v>N/A</v>
      </c>
      <c r="M71" s="17" t="str">
        <f t="shared" ca="1" si="13"/>
        <v>N/A</v>
      </c>
      <c r="N71" s="17" t="str">
        <f t="shared" ca="1" si="13"/>
        <v>N/A</v>
      </c>
      <c r="O71" s="17" t="str">
        <f t="shared" ca="1" si="13"/>
        <v>N/A</v>
      </c>
      <c r="P71" s="17" t="str">
        <f t="shared" ca="1" si="13"/>
        <v>N/A</v>
      </c>
      <c r="Q71" s="17" t="str">
        <f t="shared" ca="1" si="13"/>
        <v>N/A</v>
      </c>
    </row>
    <row r="72" spans="1:17" x14ac:dyDescent="0.2">
      <c r="A72" t="str">
        <f>IFERROR(INDEX('2018 Data (WP)'!$C$9:$C$73,MATCH($B72,'2018 Data (WP)'!$D$9:$D$73,0)),"")</f>
        <v/>
      </c>
      <c r="B72" t="s">
        <v>83</v>
      </c>
      <c r="C72" t="s">
        <v>82</v>
      </c>
      <c r="D72" s="35">
        <f t="shared" ca="1" si="10"/>
        <v>64</v>
      </c>
      <c r="E72" s="35">
        <f t="shared" ca="1" si="11"/>
        <v>64</v>
      </c>
      <c r="F72" s="35"/>
      <c r="G72" s="17">
        <f t="shared" ca="1" si="13"/>
        <v>0.73195876288659789</v>
      </c>
      <c r="H72" s="17">
        <f t="shared" ca="1" si="13"/>
        <v>0.7407407407407407</v>
      </c>
      <c r="I72" s="17">
        <f t="shared" ca="1" si="13"/>
        <v>0.77374301675977653</v>
      </c>
      <c r="J72" s="17">
        <f t="shared" ca="1" si="13"/>
        <v>0.87898089171974514</v>
      </c>
      <c r="K72" s="17">
        <f t="shared" ca="1" si="13"/>
        <v>0.965034965034965</v>
      </c>
      <c r="L72" s="17">
        <f t="shared" ca="1" si="13"/>
        <v>0.91999999999999993</v>
      </c>
      <c r="M72" s="17">
        <f t="shared" ca="1" si="13"/>
        <v>1.5681818181818181</v>
      </c>
      <c r="N72" s="17">
        <f t="shared" ca="1" si="13"/>
        <v>1.3398058252427183</v>
      </c>
      <c r="O72" s="17">
        <f t="shared" ca="1" si="13"/>
        <v>0.83636363636363631</v>
      </c>
      <c r="P72" s="17">
        <f t="shared" ca="1" si="13"/>
        <v>0.9078947368421052</v>
      </c>
      <c r="Q72" s="17">
        <f t="shared" ca="1" si="13"/>
        <v>0.97872340425531912</v>
      </c>
    </row>
    <row r="73" spans="1:17" x14ac:dyDescent="0.2">
      <c r="A73" t="str">
        <f>IFERROR(INDEX('2018 Data (WP)'!$C$9:$C$73,MATCH($B73,'2018 Data (WP)'!$D$9:$D$73,0)),"")</f>
        <v>Electric Util. (Central)</v>
      </c>
      <c r="B73" t="s">
        <v>42</v>
      </c>
      <c r="C73" t="s">
        <v>89</v>
      </c>
      <c r="D73" s="35">
        <f t="shared" ca="1" si="10"/>
        <v>65</v>
      </c>
      <c r="E73" s="35">
        <f t="shared" ca="1" si="11"/>
        <v>65</v>
      </c>
      <c r="F73" s="35"/>
      <c r="G73" s="17">
        <f t="shared" ca="1" si="13"/>
        <v>0.6352941176470589</v>
      </c>
      <c r="H73" s="17">
        <f t="shared" ca="1" si="13"/>
        <v>0.64435146443514646</v>
      </c>
      <c r="I73" s="17">
        <f t="shared" ca="1" si="13"/>
        <v>0.72277227722772275</v>
      </c>
      <c r="J73" s="17">
        <f t="shared" ca="1" si="13"/>
        <v>0.85843373493975905</v>
      </c>
      <c r="K73" s="17">
        <f t="shared" ca="1" si="13"/>
        <v>0.72422680412371132</v>
      </c>
      <c r="L73" s="17">
        <f t="shared" ca="1" si="13"/>
        <v>0.80057803468208089</v>
      </c>
      <c r="M73" s="17">
        <f t="shared" ca="1" si="13"/>
        <v>0.83536585365853666</v>
      </c>
      <c r="N73" s="17">
        <f t="shared" ca="1" si="13"/>
        <v>0.75418994413407825</v>
      </c>
      <c r="O73" s="17">
        <f t="shared" ca="1" si="13"/>
        <v>0.80368098159509216</v>
      </c>
      <c r="P73" s="17">
        <f t="shared" ca="1" si="13"/>
        <v>0.69398907103825136</v>
      </c>
      <c r="Q73" s="17">
        <f t="shared" ca="1" si="13"/>
        <v>0.85416666666666674</v>
      </c>
    </row>
    <row r="74" spans="1:17" x14ac:dyDescent="0.2">
      <c r="A74" t="str">
        <f>IFERROR(INDEX('2018 Data (WP)'!$C$9:$C$73,MATCH($B74,'2018 Data (WP)'!$D$9:$D$73,0)),"")</f>
        <v>Electric Util. (Central)</v>
      </c>
      <c r="B74" t="s">
        <v>44</v>
      </c>
      <c r="C74" t="s">
        <v>217</v>
      </c>
      <c r="D74" s="35">
        <f t="shared" ca="1" si="10"/>
        <v>66</v>
      </c>
      <c r="E74" s="35">
        <f t="shared" ca="1" si="11"/>
        <v>66</v>
      </c>
      <c r="F74" s="35"/>
      <c r="G74" s="17">
        <f t="shared" ca="1" si="13"/>
        <v>0.66891891891891897</v>
      </c>
      <c r="H74" s="17">
        <f t="shared" ca="1" si="13"/>
        <v>0.74358974358974361</v>
      </c>
      <c r="I74" s="17">
        <f t="shared" ref="G74:Q78" ca="1" si="14">IFERROR(INDEX(Dividends,$D74,I$2)/INDEX(Earnings,$E74,I$2),"N/A")</f>
        <v>0.60231660231660233</v>
      </c>
      <c r="J74" s="17">
        <f t="shared" ca="1" si="14"/>
        <v>0.57569721115537853</v>
      </c>
      <c r="K74" s="17">
        <f t="shared" ca="1" si="14"/>
        <v>0.51063829787234039</v>
      </c>
      <c r="L74" s="17">
        <f t="shared" ca="1" si="14"/>
        <v>0.47706422018348621</v>
      </c>
      <c r="M74" s="17">
        <f t="shared" ca="1" si="14"/>
        <v>0.41666666666666669</v>
      </c>
      <c r="N74" s="17">
        <f t="shared" ca="1" si="14"/>
        <v>0.421875</v>
      </c>
      <c r="O74" s="17">
        <f t="shared" ca="1" si="14"/>
        <v>0.35643564356435647</v>
      </c>
      <c r="P74" s="17">
        <f t="shared" ca="1" si="14"/>
        <v>0.35211267605633806</v>
      </c>
      <c r="Q74" s="17">
        <f t="shared" ca="1" si="14"/>
        <v>0.34848484848484851</v>
      </c>
    </row>
    <row r="75" spans="1:17" x14ac:dyDescent="0.2">
      <c r="A75" t="str">
        <f>IFERROR(INDEX('2018 Data (WP)'!$C$9:$C$73,MATCH($B75,'2018 Data (WP)'!$D$9:$D$73,0)),"")</f>
        <v>Electric Util. (Central)</v>
      </c>
      <c r="B75" t="s">
        <v>43</v>
      </c>
      <c r="C75" t="s">
        <v>87</v>
      </c>
      <c r="D75" s="35">
        <f t="shared" ca="1" si="10"/>
        <v>67</v>
      </c>
      <c r="E75" s="35">
        <f t="shared" ca="1" si="11"/>
        <v>67</v>
      </c>
      <c r="F75" s="35"/>
      <c r="G75" s="17">
        <f t="shared" ca="1" si="14"/>
        <v>0.625514403292181</v>
      </c>
      <c r="H75" s="17">
        <f t="shared" ca="1" si="14"/>
        <v>0.68899521531100483</v>
      </c>
      <c r="I75" s="17">
        <f t="shared" ca="1" si="14"/>
        <v>0.5957446808510638</v>
      </c>
      <c r="J75" s="17">
        <f t="shared" ca="1" si="14"/>
        <v>0.59911894273127753</v>
      </c>
      <c r="K75" s="17">
        <f t="shared" ca="1" si="14"/>
        <v>0.61395348837209307</v>
      </c>
      <c r="L75" s="17">
        <f t="shared" ca="1" si="14"/>
        <v>0.71508379888268159</v>
      </c>
      <c r="M75" s="17">
        <f t="shared" ca="1" si="14"/>
        <v>0.68888888888888888</v>
      </c>
      <c r="N75" s="17">
        <f t="shared" ca="1" si="14"/>
        <v>0.9375</v>
      </c>
      <c r="O75" s="17">
        <f t="shared" ca="1" si="14"/>
        <v>0.88549618320610679</v>
      </c>
      <c r="P75" s="17">
        <f t="shared" ca="1" si="14"/>
        <v>0.58695652173913049</v>
      </c>
      <c r="Q75" s="17">
        <f t="shared" ca="1" si="14"/>
        <v>0.52127659574468088</v>
      </c>
    </row>
    <row r="76" spans="1:17" x14ac:dyDescent="0.2">
      <c r="A76" t="str">
        <f>IFERROR(INDEX('2018 Data (WP)'!$C$9:$C$73,MATCH($B76,'2018 Data (WP)'!$D$9:$D$73,0)),"")</f>
        <v>Natural Gas Utility</v>
      </c>
      <c r="B76" s="31" t="s">
        <v>206</v>
      </c>
      <c r="C76" s="31" t="s">
        <v>205</v>
      </c>
      <c r="D76" s="35">
        <f t="shared" ca="1" si="10"/>
        <v>68</v>
      </c>
      <c r="E76" s="35">
        <f t="shared" ca="1" si="11"/>
        <v>68</v>
      </c>
      <c r="F76" s="35"/>
      <c r="G76" s="17">
        <f t="shared" ca="1" si="14"/>
        <v>0.5902140672782874</v>
      </c>
      <c r="H76" s="17">
        <f t="shared" ca="1" si="14"/>
        <v>0.57911392405063289</v>
      </c>
      <c r="I76" s="17">
        <f t="shared" ca="1" si="14"/>
        <v>0.64179104477611937</v>
      </c>
      <c r="J76" s="17">
        <f t="shared" ca="1" si="14"/>
        <v>0.7186147186147186</v>
      </c>
      <c r="K76" s="17">
        <f t="shared" ca="1" si="14"/>
        <v>0.59328358208955223</v>
      </c>
      <c r="L76" s="17">
        <f t="shared" ca="1" si="14"/>
        <v>0.68888888888888888</v>
      </c>
      <c r="M76" s="17">
        <f t="shared" ca="1" si="14"/>
        <v>0.66079295154185025</v>
      </c>
      <c r="N76" s="17">
        <f t="shared" ca="1" si="14"/>
        <v>0.58102766798418981</v>
      </c>
      <c r="O76" s="17">
        <f t="shared" ca="1" si="14"/>
        <v>0.57704918032786878</v>
      </c>
      <c r="P76" s="17">
        <f t="shared" ca="1" si="14"/>
        <v>0.65311004784688997</v>
      </c>
      <c r="Q76" s="17">
        <f t="shared" ca="1" si="14"/>
        <v>0.69329896907216493</v>
      </c>
    </row>
    <row r="77" spans="1:17" x14ac:dyDescent="0.2">
      <c r="A77" t="str">
        <f>IFERROR(INDEX('2018 Data (WP)'!$C$9:$C$73,MATCH($B77,'2018 Data (WP)'!$D$9:$D$73,0)),"")</f>
        <v>Electric Utility (West)</v>
      </c>
      <c r="B77" t="s">
        <v>45</v>
      </c>
      <c r="C77" t="s">
        <v>65</v>
      </c>
      <c r="D77" s="35">
        <f t="shared" ca="1" si="10"/>
        <v>69</v>
      </c>
      <c r="E77" s="35">
        <f t="shared" ca="1" si="11"/>
        <v>69</v>
      </c>
      <c r="F77" s="35"/>
      <c r="G77" s="17">
        <f t="shared" ca="1" si="14"/>
        <v>0.61538461538461542</v>
      </c>
      <c r="H77" s="17">
        <f t="shared" ca="1" si="14"/>
        <v>0.60952380952380947</v>
      </c>
      <c r="I77" s="17">
        <f t="shared" ca="1" si="14"/>
        <v>0.59113300492610843</v>
      </c>
      <c r="J77" s="17">
        <f t="shared" ca="1" si="14"/>
        <v>0.5811518324607331</v>
      </c>
      <c r="K77" s="17">
        <f t="shared" ca="1" si="14"/>
        <v>0.57837837837837835</v>
      </c>
      <c r="L77" s="17">
        <f t="shared" ca="1" si="14"/>
        <v>0.59883720930232565</v>
      </c>
      <c r="M77" s="17">
        <f t="shared" ca="1" si="14"/>
        <v>0.64102564102564097</v>
      </c>
      <c r="N77" s="17">
        <f t="shared" ca="1" si="14"/>
        <v>0.65100671140939592</v>
      </c>
      <c r="O77" s="17">
        <f t="shared" ca="1" si="14"/>
        <v>0.64383561643835618</v>
      </c>
      <c r="P77" s="17">
        <f t="shared" ca="1" si="14"/>
        <v>0.67407407407407405</v>
      </c>
      <c r="Q77" s="17">
        <f t="shared" ca="1" si="14"/>
        <v>0.65185185185185179</v>
      </c>
    </row>
    <row r="78" spans="1:17" x14ac:dyDescent="0.2">
      <c r="A78" t="str">
        <f>IFERROR(INDEX('2018 Data (WP)'!$C$9:$C$73,MATCH($B78,'2018 Data (WP)'!$D$9:$D$73,0)),"")</f>
        <v>Water Utility</v>
      </c>
      <c r="B78" s="31" t="s">
        <v>208</v>
      </c>
      <c r="C78" s="31" t="s">
        <v>207</v>
      </c>
      <c r="D78" s="35">
        <f t="shared" ca="1" si="10"/>
        <v>70</v>
      </c>
      <c r="E78" s="35">
        <f t="shared" ca="1" si="11"/>
        <v>70</v>
      </c>
      <c r="F78" s="35"/>
      <c r="G78" s="17" t="str">
        <f t="shared" ca="1" si="14"/>
        <v>N/A</v>
      </c>
      <c r="H78" s="17">
        <f t="shared" ca="1" si="14"/>
        <v>0.61855670103092786</v>
      </c>
      <c r="I78" s="17">
        <f t="shared" ca="1" si="14"/>
        <v>0.64269662921348303</v>
      </c>
      <c r="J78" s="17">
        <f t="shared" ca="1" si="14"/>
        <v>0.7360000000000001</v>
      </c>
      <c r="K78" s="17">
        <f t="shared" ca="1" si="14"/>
        <v>0.74861111111111123</v>
      </c>
      <c r="L78" s="17">
        <f t="shared" ca="1" si="14"/>
        <v>0.74225352112676068</v>
      </c>
      <c r="M78" s="17">
        <f t="shared" ca="1" si="14"/>
        <v>0.72535211267605637</v>
      </c>
      <c r="N78" s="17">
        <f t="shared" ca="1" si="14"/>
        <v>0.79062500000000002</v>
      </c>
      <c r="O78" s="17">
        <f t="shared" ca="1" si="14"/>
        <v>0.85789473684210527</v>
      </c>
      <c r="P78" s="17">
        <f t="shared" ca="1" si="14"/>
        <v>0.83333333333333337</v>
      </c>
      <c r="Q78" s="17">
        <f t="shared" ca="1" si="14"/>
        <v>0.78275862068965529</v>
      </c>
    </row>
    <row r="79" spans="1:17" x14ac:dyDescent="0.2">
      <c r="B79" s="31"/>
      <c r="C79" s="31"/>
      <c r="D79" s="35"/>
      <c r="E79" s="35"/>
      <c r="F79" s="35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</row>
  </sheetData>
  <autoFilter ref="A4:T78"/>
  <pageMargins left="0.7" right="0.7" top="0.75" bottom="0.75" header="0.3" footer="0.3"/>
  <pageSetup fitToHeight="0" orientation="landscape" r:id="rId1"/>
  <headerFooter>
    <oddFooter>&amp;R&amp;A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1"/>
  <dimension ref="A1:T79"/>
  <sheetViews>
    <sheetView zoomScale="70" zoomScaleNormal="70" workbookViewId="0">
      <selection activeCell="G5" sqref="G5"/>
    </sheetView>
  </sheetViews>
  <sheetFormatPr defaultRowHeight="14.25" x14ac:dyDescent="0.2"/>
  <cols>
    <col min="1" max="1" width="13.25" customWidth="1"/>
    <col min="2" max="2" width="7.5" bestFit="1" customWidth="1"/>
    <col min="3" max="3" width="22.25" customWidth="1"/>
    <col min="4" max="4" width="3.25" bestFit="1" customWidth="1"/>
    <col min="5" max="5" width="2.875" bestFit="1" customWidth="1"/>
    <col min="6" max="6" width="2" customWidth="1"/>
    <col min="7" max="9" width="6.25" bestFit="1" customWidth="1"/>
    <col min="10" max="11" width="5" bestFit="1" customWidth="1"/>
    <col min="12" max="12" width="4.875" bestFit="1" customWidth="1"/>
    <col min="13" max="13" width="5" bestFit="1" customWidth="1"/>
    <col min="14" max="17" width="5.25" bestFit="1" customWidth="1"/>
    <col min="18" max="20" width="9.25" style="31" customWidth="1"/>
  </cols>
  <sheetData>
    <row r="1" spans="1:20" x14ac:dyDescent="0.2">
      <c r="A1" t="s">
        <v>322</v>
      </c>
    </row>
    <row r="2" spans="1:20" x14ac:dyDescent="0.2">
      <c r="E2" s="35"/>
      <c r="F2" s="35"/>
      <c r="G2" s="35">
        <f t="shared" ref="G2:Q2" ca="1" si="0">MATCH(G3,OFFSET(CapSpending,-2,0,1,),0)</f>
        <v>2</v>
      </c>
      <c r="H2" s="35">
        <f t="shared" ca="1" si="0"/>
        <v>3</v>
      </c>
      <c r="I2" s="35">
        <f t="shared" ca="1" si="0"/>
        <v>4</v>
      </c>
      <c r="J2" s="35">
        <f t="shared" ca="1" si="0"/>
        <v>5</v>
      </c>
      <c r="K2" s="35">
        <f t="shared" ca="1" si="0"/>
        <v>6</v>
      </c>
      <c r="L2" s="35">
        <f t="shared" ca="1" si="0"/>
        <v>7</v>
      </c>
      <c r="M2" s="35">
        <f t="shared" ca="1" si="0"/>
        <v>8</v>
      </c>
      <c r="N2" s="35">
        <f t="shared" ca="1" si="0"/>
        <v>9</v>
      </c>
      <c r="O2" s="35">
        <f t="shared" ca="1" si="0"/>
        <v>10</v>
      </c>
      <c r="P2" s="35">
        <f t="shared" ca="1" si="0"/>
        <v>11</v>
      </c>
      <c r="Q2" s="35">
        <f t="shared" ca="1" si="0"/>
        <v>12</v>
      </c>
      <c r="R2" s="55"/>
      <c r="S2" s="55"/>
      <c r="T2" s="55"/>
    </row>
    <row r="3" spans="1:20" ht="15.75" thickBot="1" x14ac:dyDescent="0.3">
      <c r="D3" s="35" t="s">
        <v>214</v>
      </c>
      <c r="E3" s="35" t="s">
        <v>323</v>
      </c>
      <c r="F3" s="35"/>
      <c r="G3" s="49">
        <v>2016</v>
      </c>
      <c r="H3" s="49">
        <v>2015</v>
      </c>
      <c r="I3" s="49">
        <v>2014</v>
      </c>
      <c r="J3" s="49">
        <v>2013</v>
      </c>
      <c r="K3" s="49">
        <v>2012</v>
      </c>
      <c r="L3" s="49">
        <v>2011</v>
      </c>
      <c r="M3" s="49">
        <v>2010</v>
      </c>
      <c r="N3" s="49">
        <v>2009</v>
      </c>
      <c r="O3" s="49">
        <v>2008</v>
      </c>
      <c r="P3" s="49">
        <v>2007</v>
      </c>
      <c r="Q3" s="49">
        <v>2006</v>
      </c>
      <c r="R3" s="56"/>
      <c r="S3" s="56"/>
      <c r="T3" s="56"/>
    </row>
    <row r="4" spans="1:20" x14ac:dyDescent="0.2">
      <c r="D4" s="35"/>
      <c r="E4" s="35"/>
      <c r="F4" s="35"/>
      <c r="G4" s="35"/>
      <c r="H4" s="35"/>
    </row>
    <row r="5" spans="1:20" x14ac:dyDescent="0.2">
      <c r="A5" t="str">
        <f>IFERROR(INDEX('2018 Data (WP)'!$C$9:$C$73,MATCH($B5,'2018 Data (WP)'!$D$9:$D$73,0)),"")</f>
        <v>Electric Util. (Central)</v>
      </c>
      <c r="B5" t="s">
        <v>0</v>
      </c>
      <c r="C5" t="s">
        <v>91</v>
      </c>
      <c r="D5" s="35">
        <f t="shared" ref="D5:D36" ca="1" si="1">MATCH(B5,OFFSET(CashFlow,0,0,,1),0)</f>
        <v>3</v>
      </c>
      <c r="E5" s="35">
        <f t="shared" ref="E5:E36" ca="1" si="2">MATCH(B5,OFFSET(CapSpending,0,0,,1),0)</f>
        <v>3</v>
      </c>
      <c r="F5" s="35"/>
      <c r="G5" s="17">
        <f ca="1">IFERROR(INDEX(CashFlow,$D5,G$2)/INDEX(CapSpending,$E5,G$2),"N/A")</f>
        <v>1.321942110177404</v>
      </c>
      <c r="H5" s="17">
        <f t="shared" ref="G5:Q14" ca="1" si="3">IFERROR(INDEX(CashFlow,$D5,H$2)/INDEX(CapSpending,$E5,H$2),"N/A")</f>
        <v>1.162472179421332</v>
      </c>
      <c r="I5" s="17">
        <f t="shared" ca="1" si="3"/>
        <v>0.45476400352592355</v>
      </c>
      <c r="J5" s="17">
        <f t="shared" ca="1" si="3"/>
        <v>0.67359798361688716</v>
      </c>
      <c r="K5" s="17">
        <f t="shared" ca="1" si="3"/>
        <v>0.48626080201961358</v>
      </c>
      <c r="L5" s="17">
        <f t="shared" ca="1" si="3"/>
        <v>0.77002664994513248</v>
      </c>
      <c r="M5" s="17">
        <f t="shared" ca="1" si="3"/>
        <v>0.62591687041564792</v>
      </c>
      <c r="N5" s="17">
        <f t="shared" ca="1" si="3"/>
        <v>0.39467285587975243</v>
      </c>
      <c r="O5" s="17">
        <f t="shared" ca="1" si="3"/>
        <v>0.45831528800346466</v>
      </c>
      <c r="P5" s="17">
        <f t="shared" ca="1" si="3"/>
        <v>0.64747252747252737</v>
      </c>
      <c r="Q5" s="17">
        <f t="shared" ca="1" si="3"/>
        <v>1.2317979197622584</v>
      </c>
      <c r="R5" s="57"/>
      <c r="S5" s="58"/>
      <c r="T5" s="58"/>
    </row>
    <row r="6" spans="1:20" x14ac:dyDescent="0.2">
      <c r="A6" t="str">
        <f>IFERROR(INDEX('2018 Data (WP)'!$C$9:$C$73,MATCH($B6,'2018 Data (WP)'!$D$9:$D$73,0)),"")</f>
        <v>Electric Util. (Central)</v>
      </c>
      <c r="B6" t="s">
        <v>1</v>
      </c>
      <c r="C6" t="s">
        <v>84</v>
      </c>
      <c r="D6" s="35">
        <f t="shared" ca="1" si="1"/>
        <v>4</v>
      </c>
      <c r="E6" s="35">
        <f t="shared" ca="1" si="2"/>
        <v>4</v>
      </c>
      <c r="F6" s="35"/>
      <c r="G6" s="17" t="str">
        <f t="shared" ca="1" si="3"/>
        <v>N/A</v>
      </c>
      <c r="H6" s="17">
        <f t="shared" ca="1" si="3"/>
        <v>0.81120527306967982</v>
      </c>
      <c r="I6" s="17">
        <f t="shared" ca="1" si="3"/>
        <v>0.91007669928590318</v>
      </c>
      <c r="J6" s="17">
        <f t="shared" ca="1" si="3"/>
        <v>1.0075369309617124</v>
      </c>
      <c r="K6" s="17">
        <f t="shared" ca="1" si="3"/>
        <v>0.56507571401188428</v>
      </c>
      <c r="L6" s="17">
        <f t="shared" ca="1" si="3"/>
        <v>0.90801186943620182</v>
      </c>
      <c r="M6" s="17">
        <f t="shared" ca="1" si="3"/>
        <v>0.66615502686108985</v>
      </c>
      <c r="N6" s="17">
        <f t="shared" ca="1" si="3"/>
        <v>0.3870077291129923</v>
      </c>
      <c r="O6" s="17">
        <f t="shared" ca="1" si="3"/>
        <v>0.57250565468710735</v>
      </c>
      <c r="P6" s="17">
        <f t="shared" ca="1" si="3"/>
        <v>1.0419381107491859</v>
      </c>
      <c r="Q6" s="17">
        <f t="shared" ca="1" si="3"/>
        <v>1.2653419053185271</v>
      </c>
      <c r="R6" s="57"/>
      <c r="S6" s="57"/>
      <c r="T6" s="57"/>
    </row>
    <row r="7" spans="1:20" x14ac:dyDescent="0.2">
      <c r="A7" t="str">
        <f>IFERROR(INDEX('2018 Data (WP)'!$C$9:$C$73,MATCH($B7,'2018 Data (WP)'!$D$9:$D$73,0)),"")</f>
        <v>Water Utility</v>
      </c>
      <c r="B7" s="31" t="s">
        <v>165</v>
      </c>
      <c r="C7" s="31" t="s">
        <v>164</v>
      </c>
      <c r="D7" s="35">
        <f t="shared" ca="1" si="1"/>
        <v>6</v>
      </c>
      <c r="E7" s="35">
        <f t="shared" ca="1" si="2"/>
        <v>6</v>
      </c>
      <c r="F7" s="35"/>
      <c r="G7" s="17">
        <f t="shared" ca="1" si="3"/>
        <v>0.76119402985074625</v>
      </c>
      <c r="H7" s="17">
        <f t="shared" ca="1" si="3"/>
        <v>1.1743311036789299</v>
      </c>
      <c r="I7" s="17">
        <f t="shared" ca="1" si="3"/>
        <v>1.4086589229144668</v>
      </c>
      <c r="J7" s="17">
        <f t="shared" ca="1" si="3"/>
        <v>1.0552683896620279</v>
      </c>
      <c r="K7" s="17">
        <f t="shared" ca="1" si="3"/>
        <v>1.4027149321266967</v>
      </c>
      <c r="L7" s="17">
        <f t="shared" ca="1" si="3"/>
        <v>1.0009389671361504</v>
      </c>
      <c r="M7" s="17">
        <f t="shared" ca="1" si="3"/>
        <v>0.9971711456859973</v>
      </c>
      <c r="N7" s="17">
        <f t="shared" ca="1" si="3"/>
        <v>0.81435406698564594</v>
      </c>
      <c r="O7" s="17">
        <f t="shared" ca="1" si="3"/>
        <v>0.75741239892183287</v>
      </c>
      <c r="P7" s="17">
        <f t="shared" ca="1" si="3"/>
        <v>1.1423635107118175</v>
      </c>
      <c r="Q7" s="17">
        <f t="shared" ca="1" si="3"/>
        <v>0.74091141833077323</v>
      </c>
      <c r="R7" s="57"/>
      <c r="S7" s="57"/>
      <c r="T7" s="57"/>
    </row>
    <row r="8" spans="1:20" x14ac:dyDescent="0.2">
      <c r="A8" t="str">
        <f>IFERROR(INDEX('2018 Data (WP)'!$C$9:$C$73,MATCH($B8,'2018 Data (WP)'!$D$9:$D$73,0)),"")</f>
        <v>Water Utility</v>
      </c>
      <c r="B8" s="31" t="s">
        <v>167</v>
      </c>
      <c r="C8" s="31" t="s">
        <v>166</v>
      </c>
      <c r="D8" s="35">
        <f t="shared" ca="1" si="1"/>
        <v>7</v>
      </c>
      <c r="E8" s="35">
        <f t="shared" ca="1" si="2"/>
        <v>7</v>
      </c>
      <c r="F8" s="35"/>
      <c r="G8" s="17">
        <f t="shared" ca="1" si="3"/>
        <v>0.71471267490830059</v>
      </c>
      <c r="H8" s="17">
        <f t="shared" ca="1" si="3"/>
        <v>0.78868910404180115</v>
      </c>
      <c r="I8" s="17">
        <f t="shared" ca="1" si="3"/>
        <v>0.89207957957957951</v>
      </c>
      <c r="J8" s="17">
        <f t="shared" ca="1" si="3"/>
        <v>0.79268957992362254</v>
      </c>
      <c r="K8" s="17">
        <f t="shared" ca="1" si="3"/>
        <v>0.81379836096817226</v>
      </c>
      <c r="L8" s="17">
        <f t="shared" ca="1" si="3"/>
        <v>0.70940170940170943</v>
      </c>
      <c r="M8" s="17">
        <f t="shared" ca="1" si="3"/>
        <v>0.81302857142857143</v>
      </c>
      <c r="N8" s="17">
        <f t="shared" ca="1" si="3"/>
        <v>0.64198354458527906</v>
      </c>
      <c r="O8" s="17">
        <f t="shared" ca="1" si="3"/>
        <v>0.45440126883425858</v>
      </c>
      <c r="P8" s="17">
        <f t="shared" ca="1" si="3"/>
        <v>-9.8713351613583647E-2</v>
      </c>
      <c r="Q8" s="17">
        <f t="shared" ca="1" si="3"/>
        <v>0.15005807200929153</v>
      </c>
      <c r="R8" s="57"/>
      <c r="S8" s="57"/>
      <c r="T8" s="57"/>
    </row>
    <row r="9" spans="1:20" x14ac:dyDescent="0.2">
      <c r="A9" t="str">
        <f>IFERROR(INDEX('2018 Data (WP)'!$C$9:$C$73,MATCH($B9,'2018 Data (WP)'!$D$9:$D$73,0)),"")</f>
        <v>Electric Util. (Central)</v>
      </c>
      <c r="B9" t="s">
        <v>3</v>
      </c>
      <c r="C9" t="s">
        <v>80</v>
      </c>
      <c r="D9" s="35">
        <f t="shared" ca="1" si="1"/>
        <v>8</v>
      </c>
      <c r="E9" s="35">
        <f t="shared" ca="1" si="2"/>
        <v>8</v>
      </c>
      <c r="F9" s="35"/>
      <c r="G9" s="17">
        <f t="shared" ca="1" si="3"/>
        <v>0.74985767960833438</v>
      </c>
      <c r="H9" s="17">
        <f t="shared" ca="1" si="3"/>
        <v>0.74910659272951319</v>
      </c>
      <c r="I9" s="17">
        <f t="shared" ca="1" si="3"/>
        <v>0.75306708431218994</v>
      </c>
      <c r="J9" s="17">
        <f t="shared" ca="1" si="3"/>
        <v>0.89401942409269042</v>
      </c>
      <c r="K9" s="17">
        <f t="shared" ca="1" si="3"/>
        <v>1.0705432008749545</v>
      </c>
      <c r="L9" s="17">
        <f t="shared" ca="1" si="3"/>
        <v>1.305043323705843</v>
      </c>
      <c r="M9" s="17">
        <f t="shared" ca="1" si="3"/>
        <v>1.3568518121381083</v>
      </c>
      <c r="N9" s="17">
        <f t="shared" ca="1" si="3"/>
        <v>0.8059880239520959</v>
      </c>
      <c r="O9" s="17">
        <f t="shared" ca="1" si="3"/>
        <v>0.66068130515083112</v>
      </c>
      <c r="P9" s="17">
        <f t="shared" ca="1" si="3"/>
        <v>0.97239792984473838</v>
      </c>
      <c r="Q9" s="17">
        <f t="shared" ca="1" si="3"/>
        <v>1.2056112224448898</v>
      </c>
      <c r="R9" s="57"/>
      <c r="S9" s="57"/>
      <c r="T9" s="57"/>
    </row>
    <row r="10" spans="1:20" x14ac:dyDescent="0.2">
      <c r="A10" t="str">
        <f>IFERROR(INDEX('2018 Data (WP)'!$C$9:$C$73,MATCH($B10,'2018 Data (WP)'!$D$9:$D$73,0)),"")</f>
        <v>Electric Util. (Central)</v>
      </c>
      <c r="B10" t="s">
        <v>2</v>
      </c>
      <c r="C10" t="s">
        <v>103</v>
      </c>
      <c r="D10" s="35">
        <f t="shared" ca="1" si="1"/>
        <v>5</v>
      </c>
      <c r="E10" s="35">
        <f t="shared" ca="1" si="2"/>
        <v>5</v>
      </c>
      <c r="F10" s="35"/>
      <c r="G10" s="17">
        <f t="shared" ca="1" si="3"/>
        <v>0.84817225838758137</v>
      </c>
      <c r="H10" s="17">
        <f t="shared" ca="1" si="3"/>
        <v>0.85172929120409901</v>
      </c>
      <c r="I10" s="17">
        <f t="shared" ca="1" si="3"/>
        <v>0.87229387379087986</v>
      </c>
      <c r="J10" s="17">
        <f t="shared" ca="1" si="3"/>
        <v>0.90613298902517747</v>
      </c>
      <c r="K10" s="17">
        <f t="shared" ca="1" si="3"/>
        <v>1.0730345790044968</v>
      </c>
      <c r="L10" s="17">
        <f t="shared" ca="1" si="3"/>
        <v>1.189198606271777</v>
      </c>
      <c r="M10" s="17">
        <f t="shared" ca="1" si="3"/>
        <v>1.2420055270430319</v>
      </c>
      <c r="N10" s="17">
        <f t="shared" ca="1" si="3"/>
        <v>1.0205037132709074</v>
      </c>
      <c r="O10" s="17">
        <f t="shared" ca="1" si="3"/>
        <v>0.69535143932458554</v>
      </c>
      <c r="P10" s="17">
        <f t="shared" ca="1" si="3"/>
        <v>0.7654543407273956</v>
      </c>
      <c r="Q10" s="17">
        <f t="shared" ca="1" si="3"/>
        <v>0.74971891162581517</v>
      </c>
      <c r="R10" s="57"/>
      <c r="S10" s="57"/>
      <c r="T10" s="57"/>
    </row>
    <row r="11" spans="1:20" x14ac:dyDescent="0.2">
      <c r="A11" t="str">
        <f>IFERROR(INDEX('2018 Data (WP)'!$C$9:$C$73,MATCH($B11,'2018 Data (WP)'!$D$9:$D$73,0)),"")</f>
        <v>Water Utility</v>
      </c>
      <c r="B11" s="31" t="s">
        <v>171</v>
      </c>
      <c r="C11" s="31" t="s">
        <v>170</v>
      </c>
      <c r="D11" s="35">
        <f t="shared" ca="1" si="1"/>
        <v>10</v>
      </c>
      <c r="E11" s="35">
        <f t="shared" ca="1" si="2"/>
        <v>10</v>
      </c>
      <c r="F11" s="35"/>
      <c r="G11" s="17">
        <f t="shared" ca="1" si="3"/>
        <v>0.95877721167207042</v>
      </c>
      <c r="H11" s="17">
        <f t="shared" ca="1" si="3"/>
        <v>0.90609874152952574</v>
      </c>
      <c r="I11" s="17">
        <f t="shared" ca="1" si="3"/>
        <v>1.0255434782608694</v>
      </c>
      <c r="J11" s="17">
        <f t="shared" ca="1" si="3"/>
        <v>1.0519630484988454</v>
      </c>
      <c r="K11" s="17">
        <f t="shared" ca="1" si="3"/>
        <v>0.76108870967741937</v>
      </c>
      <c r="L11" s="17">
        <f t="shared" ca="1" si="3"/>
        <v>0.76050420168067223</v>
      </c>
      <c r="M11" s="17">
        <f t="shared" ca="1" si="3"/>
        <v>0.75026399155227042</v>
      </c>
      <c r="N11" s="17">
        <f t="shared" ca="1" si="3"/>
        <v>0.77316486161251508</v>
      </c>
      <c r="O11" s="17">
        <f t="shared" ca="1" si="3"/>
        <v>0.71898734177215184</v>
      </c>
      <c r="P11" s="17">
        <f t="shared" ca="1" si="3"/>
        <v>0.76890756302521013</v>
      </c>
      <c r="Q11" s="17">
        <f t="shared" ca="1" si="3"/>
        <v>0.61472915398660988</v>
      </c>
      <c r="R11" s="57"/>
      <c r="S11" s="57"/>
      <c r="T11" s="57"/>
    </row>
    <row r="12" spans="1:20" x14ac:dyDescent="0.2">
      <c r="A12" t="str">
        <f>IFERROR(INDEX('2018 Data (WP)'!$C$9:$C$73,MATCH($B12,'2018 Data (WP)'!$D$9:$D$73,0)),"")</f>
        <v>Natural Gas Utility</v>
      </c>
      <c r="B12" s="31" t="s">
        <v>175</v>
      </c>
      <c r="C12" s="31" t="s">
        <v>174</v>
      </c>
      <c r="D12" s="35">
        <f t="shared" ca="1" si="1"/>
        <v>12</v>
      </c>
      <c r="E12" s="35">
        <f t="shared" ca="1" si="2"/>
        <v>12</v>
      </c>
      <c r="F12" s="35"/>
      <c r="G12" s="17">
        <f t="shared" ca="1" si="3"/>
        <v>0.5917957544463569</v>
      </c>
      <c r="H12" s="17">
        <f t="shared" ca="1" si="3"/>
        <v>0.60495368924966175</v>
      </c>
      <c r="I12" s="17">
        <f t="shared" ca="1" si="3"/>
        <v>0.6510817307692307</v>
      </c>
      <c r="J12" s="17">
        <f t="shared" ca="1" si="3"/>
        <v>0.55121741928563772</v>
      </c>
      <c r="K12" s="17">
        <f t="shared" ca="1" si="3"/>
        <v>0.58638098756310786</v>
      </c>
      <c r="L12" s="17">
        <f t="shared" ca="1" si="3"/>
        <v>0.68444702130743595</v>
      </c>
      <c r="M12" s="17">
        <f t="shared" ca="1" si="3"/>
        <v>0.77068793619142573</v>
      </c>
      <c r="N12" s="17">
        <f t="shared" ca="1" si="3"/>
        <v>0.77892824704813812</v>
      </c>
      <c r="O12" s="17">
        <f t="shared" ca="1" si="3"/>
        <v>0.80634615384615371</v>
      </c>
      <c r="P12" s="17">
        <f t="shared" ca="1" si="3"/>
        <v>0.94127020259503758</v>
      </c>
      <c r="Q12" s="17">
        <f t="shared" ca="1" si="3"/>
        <v>0.81798962137228526</v>
      </c>
      <c r="R12" s="57"/>
      <c r="S12" s="57"/>
      <c r="T12" s="57"/>
    </row>
    <row r="13" spans="1:20" x14ac:dyDescent="0.2">
      <c r="A13" t="str">
        <f>IFERROR(INDEX('2018 Data (WP)'!$C$9:$C$73,MATCH($B13,'2018 Data (WP)'!$D$9:$D$73,0)),"")</f>
        <v>Electric Utility (East)</v>
      </c>
      <c r="B13" t="s">
        <v>260</v>
      </c>
      <c r="C13" t="s">
        <v>261</v>
      </c>
      <c r="D13" s="35">
        <f t="shared" ca="1" si="1"/>
        <v>13</v>
      </c>
      <c r="E13" s="35">
        <f t="shared" ca="1" si="2"/>
        <v>13</v>
      </c>
      <c r="F13" s="35"/>
      <c r="G13" s="17">
        <f t="shared" ca="1" si="3"/>
        <v>0.85771180304127448</v>
      </c>
      <c r="H13" s="17">
        <f t="shared" ca="1" si="3"/>
        <v>0.88923779617470744</v>
      </c>
      <c r="I13" s="17" t="str">
        <f t="shared" ca="1" si="3"/>
        <v>N/A</v>
      </c>
      <c r="J13" s="17" t="str">
        <f t="shared" ca="1" si="3"/>
        <v>N/A</v>
      </c>
      <c r="K13" s="17" t="str">
        <f t="shared" ca="1" si="3"/>
        <v>N/A</v>
      </c>
      <c r="L13" s="17" t="str">
        <f t="shared" ca="1" si="3"/>
        <v>N/A</v>
      </c>
      <c r="M13" s="17" t="str">
        <f t="shared" ca="1" si="3"/>
        <v>N/A</v>
      </c>
      <c r="N13" s="17" t="str">
        <f t="shared" ca="1" si="3"/>
        <v>N/A</v>
      </c>
      <c r="O13" s="17" t="str">
        <f t="shared" ca="1" si="3"/>
        <v>N/A</v>
      </c>
      <c r="P13" s="17" t="str">
        <f t="shared" ca="1" si="3"/>
        <v>N/A</v>
      </c>
      <c r="Q13" s="17" t="str">
        <f t="shared" ca="1" si="3"/>
        <v>N/A</v>
      </c>
      <c r="R13" s="57"/>
      <c r="S13" s="57"/>
      <c r="T13" s="57"/>
    </row>
    <row r="14" spans="1:20" x14ac:dyDescent="0.2">
      <c r="A14" t="str">
        <f>IFERROR(INDEX('2018 Data (WP)'!$C$9:$C$73,MATCH($B14,'2018 Data (WP)'!$D$9:$D$73,0)),"")</f>
        <v>Electric Utility (West)</v>
      </c>
      <c r="B14" t="s">
        <v>4</v>
      </c>
      <c r="C14" t="s">
        <v>86</v>
      </c>
      <c r="D14" s="35">
        <f t="shared" ca="1" si="1"/>
        <v>14</v>
      </c>
      <c r="E14" s="35">
        <f t="shared" ca="1" si="2"/>
        <v>14</v>
      </c>
      <c r="F14" s="35"/>
      <c r="G14" s="17">
        <f t="shared" ca="1" si="3"/>
        <v>0.83504179151553382</v>
      </c>
      <c r="H14" s="17">
        <f t="shared" ca="1" si="3"/>
        <v>0.76183844011142066</v>
      </c>
      <c r="I14" s="17">
        <f t="shared" ca="1" si="3"/>
        <v>0.79576178297405908</v>
      </c>
      <c r="J14" s="17">
        <f t="shared" ca="1" si="3"/>
        <v>0.86422200198216059</v>
      </c>
      <c r="K14" s="17">
        <f t="shared" ca="1" si="3"/>
        <v>0.80212397052449069</v>
      </c>
      <c r="L14" s="17">
        <f t="shared" ca="1" si="3"/>
        <v>0.89938154138915327</v>
      </c>
      <c r="M14" s="17">
        <f t="shared" ca="1" si="3"/>
        <v>0.99450851180669964</v>
      </c>
      <c r="N14" s="17">
        <f t="shared" ca="1" si="3"/>
        <v>1.1526697770865733</v>
      </c>
      <c r="O14" s="17">
        <f t="shared" ca="1" si="3"/>
        <v>0.97333007095669211</v>
      </c>
      <c r="P14" s="17">
        <f t="shared" ca="1" si="3"/>
        <v>0.72531551596139565</v>
      </c>
      <c r="Q14" s="17">
        <f t="shared" ca="1" si="3"/>
        <v>1.3584605597964376</v>
      </c>
      <c r="R14" s="57"/>
      <c r="S14" s="57"/>
      <c r="T14" s="57"/>
    </row>
    <row r="15" spans="1:20" x14ac:dyDescent="0.2">
      <c r="A15" t="str">
        <f>IFERROR(INDEX('2018 Data (WP)'!$C$9:$C$73,MATCH($B15,'2018 Data (WP)'!$D$9:$D$73,0)),"")</f>
        <v>Electric Utility (West)</v>
      </c>
      <c r="B15" t="s">
        <v>5</v>
      </c>
      <c r="C15" t="s">
        <v>46</v>
      </c>
      <c r="D15" s="35">
        <f t="shared" ca="1" si="1"/>
        <v>15</v>
      </c>
      <c r="E15" s="35">
        <f t="shared" ca="1" si="2"/>
        <v>15</v>
      </c>
      <c r="F15" s="35"/>
      <c r="G15" s="17">
        <f t="shared" ref="G15:Q24" ca="1" si="4">IFERROR(INDEX(CashFlow,$D15,G$2)/INDEX(CapSpending,$E15,G$2),"N/A")</f>
        <v>0.70665617270069714</v>
      </c>
      <c r="H15" s="17">
        <f t="shared" ca="1" si="4"/>
        <v>0.63673148252219847</v>
      </c>
      <c r="I15" s="17">
        <f t="shared" ca="1" si="4"/>
        <v>0.70011210762331844</v>
      </c>
      <c r="J15" s="17">
        <f t="shared" ca="1" si="4"/>
        <v>0.74372804816859006</v>
      </c>
      <c r="K15" s="17">
        <f t="shared" ca="1" si="4"/>
        <v>0.70777412003038742</v>
      </c>
      <c r="L15" s="17">
        <f t="shared" ca="1" si="4"/>
        <v>0.39928236818498958</v>
      </c>
      <c r="M15" s="17">
        <f t="shared" ca="1" si="4"/>
        <v>0.4050843233363795</v>
      </c>
      <c r="N15" s="17">
        <f t="shared" ca="1" si="4"/>
        <v>0.60813391753735535</v>
      </c>
      <c r="O15" s="17">
        <f t="shared" ca="1" si="4"/>
        <v>0.34688124045577351</v>
      </c>
      <c r="P15" s="17">
        <f t="shared" ca="1" si="4"/>
        <v>0.76456977584960228</v>
      </c>
      <c r="Q15" s="17">
        <f t="shared" ca="1" si="4"/>
        <v>0.54500216356555609</v>
      </c>
      <c r="R15" s="57"/>
      <c r="S15" s="57"/>
      <c r="T15" s="57"/>
    </row>
    <row r="16" spans="1:20" x14ac:dyDescent="0.2">
      <c r="A16" t="str">
        <f>IFERROR(INDEX('2018 Data (WP)'!$C$9:$C$73,MATCH($B16,'2018 Data (WP)'!$D$9:$D$73,0)),"")</f>
        <v>Water Utility</v>
      </c>
      <c r="B16" s="31" t="s">
        <v>177</v>
      </c>
      <c r="C16" s="31" t="s">
        <v>176</v>
      </c>
      <c r="D16" s="35">
        <f t="shared" ca="1" si="1"/>
        <v>16</v>
      </c>
      <c r="E16" s="35">
        <f t="shared" ca="1" si="2"/>
        <v>16</v>
      </c>
      <c r="F16" s="35"/>
      <c r="G16" s="17">
        <f t="shared" ca="1" si="4"/>
        <v>0.49046721139744404</v>
      </c>
      <c r="H16" s="17">
        <f t="shared" ca="1" si="4"/>
        <v>0.60097455332972394</v>
      </c>
      <c r="I16" s="17">
        <f t="shared" ca="1" si="4"/>
        <v>0.89351684172401302</v>
      </c>
      <c r="J16" s="17">
        <f t="shared" ca="1" si="4"/>
        <v>0.858307453416149</v>
      </c>
      <c r="K16" s="17">
        <f t="shared" ca="1" si="4"/>
        <v>0.76224926011180538</v>
      </c>
      <c r="L16" s="17">
        <f t="shared" ca="1" si="4"/>
        <v>0.72996823155665369</v>
      </c>
      <c r="M16" s="17">
        <f t="shared" ca="1" si="4"/>
        <v>0.64963012777404161</v>
      </c>
      <c r="N16" s="17">
        <f t="shared" ca="1" si="4"/>
        <v>0.7262485918137439</v>
      </c>
      <c r="O16" s="17">
        <f t="shared" ca="1" si="4"/>
        <v>0.77187888842803809</v>
      </c>
      <c r="P16" s="17">
        <f t="shared" ca="1" si="4"/>
        <v>0.84937466014138119</v>
      </c>
      <c r="Q16" s="17">
        <f t="shared" ca="1" si="4"/>
        <v>0.63440860215053774</v>
      </c>
      <c r="R16" s="57"/>
      <c r="S16" s="57"/>
      <c r="T16" s="57"/>
    </row>
    <row r="17" spans="1:20" x14ac:dyDescent="0.2">
      <c r="A17" t="str">
        <f>IFERROR(INDEX('2018 Data (WP)'!$C$9:$C$73,MATCH($B17,'2018 Data (WP)'!$D$9:$D$73,0)),"")</f>
        <v>Electric Util. (Central)</v>
      </c>
      <c r="B17" t="s">
        <v>6</v>
      </c>
      <c r="C17" t="s">
        <v>90</v>
      </c>
      <c r="D17" s="35">
        <f t="shared" ca="1" si="1"/>
        <v>17</v>
      </c>
      <c r="E17" s="35">
        <f t="shared" ca="1" si="2"/>
        <v>17</v>
      </c>
      <c r="F17" s="35"/>
      <c r="G17" s="17">
        <f t="shared" ca="1" si="4"/>
        <v>1.1203167834297898</v>
      </c>
      <c r="H17" s="17">
        <f t="shared" ca="1" si="4"/>
        <v>0.92290988056460366</v>
      </c>
      <c r="I17" s="17">
        <f t="shared" ca="1" si="4"/>
        <v>1.2041901188242652</v>
      </c>
      <c r="J17" s="17">
        <f t="shared" ca="1" si="4"/>
        <v>1.1817878585723816</v>
      </c>
      <c r="K17" s="17">
        <f t="shared" ca="1" si="4"/>
        <v>1.3724867724867724</v>
      </c>
      <c r="L17" s="17">
        <f t="shared" ca="1" si="4"/>
        <v>1.1223021582733814</v>
      </c>
      <c r="M17" s="17">
        <f t="shared" ca="1" si="4"/>
        <v>0.88347875035181533</v>
      </c>
      <c r="N17" s="17">
        <f t="shared" ca="1" si="4"/>
        <v>0.99324552516041875</v>
      </c>
      <c r="O17" s="17">
        <f t="shared" ca="1" si="4"/>
        <v>1.1598235493722431</v>
      </c>
      <c r="P17" s="17">
        <f t="shared" ca="1" si="4"/>
        <v>0.98290845886442635</v>
      </c>
      <c r="Q17" s="17">
        <f t="shared" ca="1" si="4"/>
        <v>1.0794145126128933</v>
      </c>
      <c r="R17" s="57"/>
      <c r="S17" s="57"/>
      <c r="T17" s="57"/>
    </row>
    <row r="18" spans="1:20" x14ac:dyDescent="0.2">
      <c r="A18" t="str">
        <f>IFERROR(INDEX('2018 Data (WP)'!$C$9:$C$73,MATCH($B18,'2018 Data (WP)'!$D$9:$D$73,0)),"")</f>
        <v/>
      </c>
      <c r="B18" t="s">
        <v>7</v>
      </c>
      <c r="C18" t="s">
        <v>48</v>
      </c>
      <c r="D18" s="35" t="e">
        <f t="shared" ca="1" si="1"/>
        <v>#N/A</v>
      </c>
      <c r="E18" s="35" t="e">
        <f t="shared" ca="1" si="2"/>
        <v>#N/A</v>
      </c>
      <c r="F18" s="35"/>
      <c r="G18" s="17" t="str">
        <f t="shared" ca="1" si="4"/>
        <v>N/A</v>
      </c>
      <c r="H18" s="17" t="str">
        <f t="shared" ca="1" si="4"/>
        <v>N/A</v>
      </c>
      <c r="I18" s="17" t="str">
        <f t="shared" ca="1" si="4"/>
        <v>N/A</v>
      </c>
      <c r="J18" s="17" t="str">
        <f t="shared" ca="1" si="4"/>
        <v>N/A</v>
      </c>
      <c r="K18" s="17" t="str">
        <f t="shared" ca="1" si="4"/>
        <v>N/A</v>
      </c>
      <c r="L18" s="17" t="str">
        <f t="shared" ca="1" si="4"/>
        <v>N/A</v>
      </c>
      <c r="M18" s="17" t="str">
        <f t="shared" ca="1" si="4"/>
        <v>N/A</v>
      </c>
      <c r="N18" s="17" t="str">
        <f t="shared" ca="1" si="4"/>
        <v>N/A</v>
      </c>
      <c r="O18" s="17" t="str">
        <f t="shared" ca="1" si="4"/>
        <v>N/A</v>
      </c>
      <c r="P18" s="17" t="str">
        <f t="shared" ca="1" si="4"/>
        <v>N/A</v>
      </c>
      <c r="Q18" s="17" t="str">
        <f t="shared" ca="1" si="4"/>
        <v>N/A</v>
      </c>
      <c r="R18" s="57"/>
      <c r="S18" s="57"/>
      <c r="T18" s="57"/>
    </row>
    <row r="19" spans="1:20" x14ac:dyDescent="0.2">
      <c r="A19" t="str">
        <f>IFERROR(INDEX('2018 Data (WP)'!$C$9:$C$73,MATCH($B19,'2018 Data (WP)'!$D$9:$D$73,0)),"")</f>
        <v>Natural Gas Utility</v>
      </c>
      <c r="B19" s="31" t="s">
        <v>178</v>
      </c>
      <c r="C19" s="31" t="s">
        <v>215</v>
      </c>
      <c r="D19" s="35">
        <f t="shared" ca="1" si="1"/>
        <v>18</v>
      </c>
      <c r="E19" s="35">
        <f t="shared" ca="1" si="2"/>
        <v>18</v>
      </c>
      <c r="F19" s="35"/>
      <c r="G19" s="17">
        <f t="shared" ca="1" si="4"/>
        <v>0.4955369997120645</v>
      </c>
      <c r="H19" s="17">
        <f t="shared" ca="1" si="4"/>
        <v>0.53347412882787748</v>
      </c>
      <c r="I19" s="17">
        <f t="shared" ca="1" si="4"/>
        <v>0.71006006006006006</v>
      </c>
      <c r="J19" s="17">
        <f t="shared" ca="1" si="4"/>
        <v>0.64736528728788334</v>
      </c>
      <c r="K19" s="17">
        <f t="shared" ca="1" si="4"/>
        <v>0.79048380647740912</v>
      </c>
      <c r="L19" s="17">
        <f t="shared" ca="1" si="4"/>
        <v>1.1244661378889567</v>
      </c>
      <c r="M19" s="17">
        <f t="shared" ca="1" si="4"/>
        <v>1.0997168921044354</v>
      </c>
      <c r="N19" s="17">
        <f t="shared" ca="1" si="4"/>
        <v>1.1377118644067798</v>
      </c>
      <c r="O19" s="17">
        <f t="shared" ca="1" si="4"/>
        <v>0.83250083250083251</v>
      </c>
      <c r="P19" s="17">
        <f t="shared" ca="1" si="4"/>
        <v>0.81897952551186226</v>
      </c>
      <c r="Q19" s="17">
        <f t="shared" ca="1" si="4"/>
        <v>0.44731977818853974</v>
      </c>
      <c r="R19" s="58"/>
      <c r="S19" s="58"/>
      <c r="T19" s="58"/>
    </row>
    <row r="20" spans="1:20" x14ac:dyDescent="0.2">
      <c r="A20" t="str">
        <f>IFERROR(INDEX('2018 Data (WP)'!$C$9:$C$73,MATCH($B20,'2018 Data (WP)'!$D$9:$D$73,0)),"")</f>
        <v/>
      </c>
      <c r="B20" t="s">
        <v>8</v>
      </c>
      <c r="C20" t="s">
        <v>49</v>
      </c>
      <c r="D20" s="35" t="e">
        <f t="shared" ca="1" si="1"/>
        <v>#N/A</v>
      </c>
      <c r="E20" s="35" t="e">
        <f t="shared" ca="1" si="2"/>
        <v>#N/A</v>
      </c>
      <c r="F20" s="35"/>
      <c r="G20" s="17" t="str">
        <f t="shared" ca="1" si="4"/>
        <v>N/A</v>
      </c>
      <c r="H20" s="17" t="str">
        <f t="shared" ca="1" si="4"/>
        <v>N/A</v>
      </c>
      <c r="I20" s="17" t="str">
        <f t="shared" ca="1" si="4"/>
        <v>N/A</v>
      </c>
      <c r="J20" s="17" t="str">
        <f t="shared" ca="1" si="4"/>
        <v>N/A</v>
      </c>
      <c r="K20" s="17" t="str">
        <f t="shared" ca="1" si="4"/>
        <v>N/A</v>
      </c>
      <c r="L20" s="17" t="str">
        <f t="shared" ca="1" si="4"/>
        <v>N/A</v>
      </c>
      <c r="M20" s="17" t="str">
        <f t="shared" ca="1" si="4"/>
        <v>N/A</v>
      </c>
      <c r="N20" s="17" t="str">
        <f t="shared" ca="1" si="4"/>
        <v>N/A</v>
      </c>
      <c r="O20" s="17" t="str">
        <f t="shared" ca="1" si="4"/>
        <v>N/A</v>
      </c>
      <c r="P20" s="17" t="str">
        <f t="shared" ca="1" si="4"/>
        <v>N/A</v>
      </c>
      <c r="Q20" s="17" t="str">
        <f t="shared" ca="1" si="4"/>
        <v>N/A</v>
      </c>
      <c r="R20" s="57"/>
      <c r="S20" s="57"/>
      <c r="T20" s="57"/>
    </row>
    <row r="21" spans="1:20" x14ac:dyDescent="0.2">
      <c r="A21" t="str">
        <f>IFERROR(INDEX('2018 Data (WP)'!$C$9:$C$73,MATCH($B21,'2018 Data (WP)'!$D$9:$D$73,0)),"")</f>
        <v>Electric Util. (Central)</v>
      </c>
      <c r="B21" t="s">
        <v>9</v>
      </c>
      <c r="C21" t="s">
        <v>47</v>
      </c>
      <c r="D21" s="35">
        <f t="shared" ca="1" si="1"/>
        <v>19</v>
      </c>
      <c r="E21" s="35">
        <f t="shared" ca="1" si="2"/>
        <v>19</v>
      </c>
      <c r="F21" s="35"/>
      <c r="G21" s="17">
        <f t="shared" ca="1" si="4"/>
        <v>0.81462925851703405</v>
      </c>
      <c r="H21" s="17">
        <f t="shared" ca="1" si="4"/>
        <v>0.81392876129718239</v>
      </c>
      <c r="I21" s="17">
        <f t="shared" ca="1" si="4"/>
        <v>0.73682373472949392</v>
      </c>
      <c r="J21" s="17">
        <f t="shared" ca="1" si="4"/>
        <v>0.81522394055031133</v>
      </c>
      <c r="K21" s="17">
        <f t="shared" ca="1" si="4"/>
        <v>0.8224278949634094</v>
      </c>
      <c r="L21" s="17">
        <f t="shared" ca="1" si="4"/>
        <v>1.052146355517142</v>
      </c>
      <c r="M21" s="17">
        <f t="shared" ca="1" si="4"/>
        <v>1.1255700820918211</v>
      </c>
      <c r="N21" s="17">
        <f t="shared" ca="1" si="4"/>
        <v>0.96600724435775986</v>
      </c>
      <c r="O21" s="17">
        <f t="shared" ca="1" si="4"/>
        <v>1.1086335048599198</v>
      </c>
      <c r="P21" s="17">
        <f t="shared" ca="1" si="4"/>
        <v>0.54937611408199638</v>
      </c>
      <c r="Q21" s="17">
        <f t="shared" ca="1" si="4"/>
        <v>1.0718323910874625</v>
      </c>
      <c r="R21" s="57"/>
      <c r="S21" s="57"/>
      <c r="T21" s="57"/>
    </row>
    <row r="22" spans="1:20" x14ac:dyDescent="0.2">
      <c r="A22" t="str">
        <f>IFERROR(INDEX('2018 Data (WP)'!$C$9:$C$73,MATCH($B22,'2018 Data (WP)'!$D$9:$D$73,0)),"")</f>
        <v>Water Utility</v>
      </c>
      <c r="B22" s="31" t="s">
        <v>180</v>
      </c>
      <c r="C22" s="31" t="s">
        <v>179</v>
      </c>
      <c r="D22" s="35">
        <f t="shared" ca="1" si="1"/>
        <v>20</v>
      </c>
      <c r="E22" s="35">
        <f t="shared" ca="1" si="2"/>
        <v>20</v>
      </c>
      <c r="F22" s="35"/>
      <c r="G22" s="17">
        <f t="shared" ca="1" si="4"/>
        <v>0.55861022094788326</v>
      </c>
      <c r="H22" s="17">
        <f t="shared" ca="1" si="4"/>
        <v>0.74108599394080632</v>
      </c>
      <c r="I22" s="17">
        <f t="shared" ca="1" si="4"/>
        <v>0.72399512789281351</v>
      </c>
      <c r="J22" s="17">
        <f t="shared" ca="1" si="4"/>
        <v>0.87139542591978791</v>
      </c>
      <c r="K22" s="17">
        <f t="shared" ca="1" si="4"/>
        <v>0.94867193108399128</v>
      </c>
      <c r="L22" s="17">
        <f t="shared" ca="1" si="4"/>
        <v>0.80620451934124848</v>
      </c>
      <c r="M22" s="17">
        <f t="shared" ca="1" si="4"/>
        <v>0.66699378475629711</v>
      </c>
      <c r="N22" s="17">
        <f t="shared" ca="1" si="4"/>
        <v>0.58950899664531875</v>
      </c>
      <c r="O22" s="17">
        <f t="shared" ca="1" si="4"/>
        <v>0.79885057471264365</v>
      </c>
      <c r="P22" s="17">
        <f t="shared" ca="1" si="4"/>
        <v>0.84852546916890081</v>
      </c>
      <c r="Q22" s="17">
        <f t="shared" ca="1" si="4"/>
        <v>0.77488514548238896</v>
      </c>
      <c r="R22" s="57"/>
      <c r="S22" s="57"/>
      <c r="T22" s="57"/>
    </row>
    <row r="23" spans="1:20" x14ac:dyDescent="0.2">
      <c r="A23" t="str">
        <f>IFERROR(INDEX('2018 Data (WP)'!$C$9:$C$73,MATCH($B23,'2018 Data (WP)'!$D$9:$D$73,0)),"")</f>
        <v>Electric Utility (East)</v>
      </c>
      <c r="B23" t="s">
        <v>10</v>
      </c>
      <c r="C23" t="s">
        <v>50</v>
      </c>
      <c r="D23" s="35">
        <f t="shared" ca="1" si="1"/>
        <v>21</v>
      </c>
      <c r="E23" s="35">
        <f t="shared" ca="1" si="2"/>
        <v>21</v>
      </c>
      <c r="F23" s="35"/>
      <c r="G23" s="17">
        <f t="shared" ca="1" si="4"/>
        <v>0.65348914304657713</v>
      </c>
      <c r="H23" s="17">
        <f t="shared" ca="1" si="4"/>
        <v>0.76062553967187951</v>
      </c>
      <c r="I23" s="17">
        <f t="shared" ca="1" si="4"/>
        <v>0.88352100738588202</v>
      </c>
      <c r="J23" s="17">
        <f t="shared" ca="1" si="4"/>
        <v>0.85933533348719127</v>
      </c>
      <c r="K23" s="17">
        <f t="shared" ca="1" si="4"/>
        <v>1.0114649681528662</v>
      </c>
      <c r="L23" s="17">
        <f t="shared" ca="1" si="4"/>
        <v>0.98377010125074449</v>
      </c>
      <c r="M23" s="17">
        <f t="shared" ca="1" si="4"/>
        <v>0.89752802529462483</v>
      </c>
      <c r="N23" s="17">
        <f t="shared" ca="1" si="4"/>
        <v>0.75144212280476863</v>
      </c>
      <c r="O23" s="17">
        <f t="shared" ca="1" si="4"/>
        <v>0.70463638503177228</v>
      </c>
      <c r="P23" s="17">
        <f t="shared" ca="1" si="4"/>
        <v>0.81433408577878108</v>
      </c>
      <c r="Q23" s="17">
        <f t="shared" ca="1" si="4"/>
        <v>0.73585168664622247</v>
      </c>
      <c r="R23" s="57"/>
      <c r="S23" s="57"/>
      <c r="T23" s="57"/>
    </row>
    <row r="24" spans="1:20" x14ac:dyDescent="0.2">
      <c r="A24" t="str">
        <f>IFERROR(INDEX('2018 Data (WP)'!$C$9:$C$73,MATCH($B24,'2018 Data (WP)'!$D$9:$D$73,0)),"")</f>
        <v>Water Utility</v>
      </c>
      <c r="B24" s="31" t="s">
        <v>182</v>
      </c>
      <c r="C24" s="31" t="s">
        <v>181</v>
      </c>
      <c r="D24" s="35">
        <f t="shared" ca="1" si="1"/>
        <v>22</v>
      </c>
      <c r="E24" s="35">
        <f t="shared" ca="1" si="2"/>
        <v>22</v>
      </c>
      <c r="F24" s="35"/>
      <c r="G24" s="17">
        <f t="shared" ca="1" si="4"/>
        <v>4.0944206008583688</v>
      </c>
      <c r="H24" s="17">
        <f t="shared" ca="1" si="4"/>
        <v>4.2227488151658772</v>
      </c>
      <c r="I24" s="17">
        <f t="shared" ca="1" si="4"/>
        <v>2.4922118380062308</v>
      </c>
      <c r="J24" s="17">
        <f t="shared" ca="1" si="4"/>
        <v>3.2551020408163267</v>
      </c>
      <c r="K24" s="17">
        <f t="shared" ca="1" si="4"/>
        <v>3.7284345047923324</v>
      </c>
      <c r="L24" s="17">
        <f t="shared" ca="1" si="4"/>
        <v>0.86743215031315235</v>
      </c>
      <c r="M24" s="17">
        <f t="shared" ca="1" si="4"/>
        <v>9.931034482758621</v>
      </c>
      <c r="N24" s="17">
        <f t="shared" ca="1" si="4"/>
        <v>6.7045454545454541</v>
      </c>
      <c r="O24" s="17">
        <f t="shared" ca="1" si="4"/>
        <v>2.0765864332603936</v>
      </c>
      <c r="P24" s="17">
        <f t="shared" ca="1" si="4"/>
        <v>2.2300556586270868</v>
      </c>
      <c r="Q24" s="17">
        <f t="shared" ca="1" si="4"/>
        <v>0.47489082969432311</v>
      </c>
      <c r="R24" s="57"/>
      <c r="S24" s="57"/>
      <c r="T24" s="57"/>
    </row>
    <row r="25" spans="1:20" x14ac:dyDescent="0.2">
      <c r="A25" t="str">
        <f>IFERROR(INDEX('2018 Data (WP)'!$C$9:$C$73,MATCH($B25,'2018 Data (WP)'!$D$9:$D$73,0)),"")</f>
        <v>Electric Utility (East)</v>
      </c>
      <c r="B25" t="s">
        <v>11</v>
      </c>
      <c r="C25" t="s">
        <v>52</v>
      </c>
      <c r="D25" s="35">
        <f t="shared" ca="1" si="1"/>
        <v>24</v>
      </c>
      <c r="E25" s="35">
        <f t="shared" ca="1" si="2"/>
        <v>24</v>
      </c>
      <c r="F25" s="35"/>
      <c r="G25" s="17">
        <f t="shared" ref="G25:Q34" ca="1" si="5">IFERROR(INDEX(CashFlow,$D25,G$2)/INDEX(CapSpending,$E25,G$2),"N/A")</f>
        <v>0.65273909006499542</v>
      </c>
      <c r="H25" s="17">
        <f t="shared" ca="1" si="5"/>
        <v>0.6400684565194138</v>
      </c>
      <c r="I25" s="17">
        <f t="shared" ca="1" si="5"/>
        <v>0.62527376259307932</v>
      </c>
      <c r="J25" s="17">
        <f t="shared" ca="1" si="5"/>
        <v>0.77458203457069985</v>
      </c>
      <c r="K25" s="17">
        <f t="shared" ca="1" si="5"/>
        <v>0.72883947185545517</v>
      </c>
      <c r="L25" s="17">
        <f t="shared" ca="1" si="5"/>
        <v>0.78705148205928233</v>
      </c>
      <c r="M25" s="17">
        <f t="shared" ca="1" si="5"/>
        <v>0.86642905634758993</v>
      </c>
      <c r="N25" s="17">
        <f t="shared" ca="1" si="5"/>
        <v>0.75238244024371193</v>
      </c>
      <c r="O25" s="17">
        <f t="shared" ca="1" si="5"/>
        <v>0.83147358057105347</v>
      </c>
      <c r="P25" s="17">
        <f t="shared" ca="1" si="5"/>
        <v>0.73787394713912291</v>
      </c>
      <c r="Q25" s="17">
        <f t="shared" ca="1" si="5"/>
        <v>0.84582256675279943</v>
      </c>
      <c r="R25" s="57"/>
      <c r="S25" s="57"/>
      <c r="T25" s="57"/>
    </row>
    <row r="26" spans="1:20" x14ac:dyDescent="0.2">
      <c r="A26" t="str">
        <f>IFERROR(INDEX('2018 Data (WP)'!$C$9:$C$73,MATCH($B26,'2018 Data (WP)'!$D$9:$D$73,0)),"")</f>
        <v>Electric Util. (Central)</v>
      </c>
      <c r="B26" t="s">
        <v>12</v>
      </c>
      <c r="C26" t="s">
        <v>51</v>
      </c>
      <c r="D26" s="35">
        <f t="shared" ca="1" si="1"/>
        <v>25</v>
      </c>
      <c r="E26" s="35">
        <f t="shared" ca="1" si="2"/>
        <v>25</v>
      </c>
      <c r="F26" s="35"/>
      <c r="G26" s="17">
        <f t="shared" ca="1" si="5"/>
        <v>0.93006931648679469</v>
      </c>
      <c r="H26" s="17">
        <f t="shared" ca="1" si="5"/>
        <v>0.83864948911594839</v>
      </c>
      <c r="I26" s="17">
        <f t="shared" ca="1" si="5"/>
        <v>1.023926751317267</v>
      </c>
      <c r="J26" s="17">
        <f t="shared" ca="1" si="5"/>
        <v>0.9557296582971494</v>
      </c>
      <c r="K26" s="17">
        <f t="shared" ca="1" si="5"/>
        <v>0.92528409090909092</v>
      </c>
      <c r="L26" s="17">
        <f t="shared" ca="1" si="5"/>
        <v>1.0910127737226278</v>
      </c>
      <c r="M26" s="17">
        <f t="shared" ca="1" si="5"/>
        <v>1.5076306459071989</v>
      </c>
      <c r="N26" s="17">
        <f t="shared" ca="1" si="5"/>
        <v>1.4993608181527642</v>
      </c>
      <c r="O26" s="17">
        <f t="shared" ca="1" si="5"/>
        <v>0.98040845404891941</v>
      </c>
      <c r="P26" s="17">
        <f t="shared" ca="1" si="5"/>
        <v>1.0662226690123147</v>
      </c>
      <c r="Q26" s="17">
        <f t="shared" ca="1" si="5"/>
        <v>1.0342171717171718</v>
      </c>
      <c r="R26" s="57"/>
      <c r="S26" s="57"/>
      <c r="T26" s="57"/>
    </row>
    <row r="27" spans="1:20" x14ac:dyDescent="0.2">
      <c r="A27" t="str">
        <f>IFERROR(INDEX('2018 Data (WP)'!$C$9:$C$73,MATCH($B27,'2018 Data (WP)'!$D$9:$D$73,0)),"")</f>
        <v>Electric Utility (East)</v>
      </c>
      <c r="B27" t="s">
        <v>13</v>
      </c>
      <c r="C27" t="s">
        <v>93</v>
      </c>
      <c r="D27" s="35">
        <f t="shared" ca="1" si="1"/>
        <v>26</v>
      </c>
      <c r="E27" s="35">
        <f t="shared" ca="1" si="2"/>
        <v>26</v>
      </c>
      <c r="F27" s="35"/>
      <c r="G27" s="17">
        <f t="shared" ca="1" si="5"/>
        <v>0.81509701426419767</v>
      </c>
      <c r="H27" s="17">
        <f t="shared" ca="1" si="5"/>
        <v>0.95586739882041905</v>
      </c>
      <c r="I27" s="17">
        <f t="shared" ca="1" si="5"/>
        <v>1.196323046618516</v>
      </c>
      <c r="J27" s="17">
        <f t="shared" ca="1" si="5"/>
        <v>1.0933946595119459</v>
      </c>
      <c r="K27" s="17">
        <f t="shared" ca="1" si="5"/>
        <v>0.86997696442283079</v>
      </c>
      <c r="L27" s="17">
        <f t="shared" ca="1" si="5"/>
        <v>0.8858950806286997</v>
      </c>
      <c r="M27" s="17">
        <f t="shared" ca="1" si="5"/>
        <v>0.78262473485197825</v>
      </c>
      <c r="N27" s="17">
        <f t="shared" ca="1" si="5"/>
        <v>0.76977759723773742</v>
      </c>
      <c r="O27" s="17">
        <f t="shared" ca="1" si="5"/>
        <v>0.70981150314161423</v>
      </c>
      <c r="P27" s="17">
        <f t="shared" ca="1" si="5"/>
        <v>1.0912639655404495</v>
      </c>
      <c r="Q27" s="17">
        <f t="shared" ca="1" si="5"/>
        <v>0.97459727385377937</v>
      </c>
      <c r="R27" s="57"/>
      <c r="S27" s="57"/>
      <c r="T27" s="57"/>
    </row>
    <row r="28" spans="1:20" x14ac:dyDescent="0.2">
      <c r="A28" t="str">
        <f>IFERROR(INDEX('2018 Data (WP)'!$C$9:$C$73,MATCH($B28,'2018 Data (WP)'!$D$9:$D$73,0)),"")</f>
        <v>Electric Utility (West)</v>
      </c>
      <c r="B28" t="s">
        <v>14</v>
      </c>
      <c r="C28" t="s">
        <v>53</v>
      </c>
      <c r="D28" s="35">
        <f t="shared" ca="1" si="1"/>
        <v>27</v>
      </c>
      <c r="E28" s="35">
        <f t="shared" ca="1" si="2"/>
        <v>27</v>
      </c>
      <c r="F28" s="35"/>
      <c r="G28" s="17">
        <f t="shared" ca="1" si="5"/>
        <v>0.90969374400139602</v>
      </c>
      <c r="H28" s="17">
        <f t="shared" ca="1" si="5"/>
        <v>0.79811844540407151</v>
      </c>
      <c r="I28" s="17">
        <f t="shared" ca="1" si="5"/>
        <v>0.83001084327300023</v>
      </c>
      <c r="J28" s="17">
        <f t="shared" ca="1" si="5"/>
        <v>0.79639688575049805</v>
      </c>
      <c r="K28" s="17">
        <f t="shared" ca="1" si="5"/>
        <v>0.75608606879220985</v>
      </c>
      <c r="L28" s="17">
        <f t="shared" ca="1" si="5"/>
        <v>0.61191299044521241</v>
      </c>
      <c r="M28" s="17">
        <f t="shared" ca="1" si="5"/>
        <v>0.60334193918531265</v>
      </c>
      <c r="N28" s="17">
        <f t="shared" ca="1" si="5"/>
        <v>0.79072768787848702</v>
      </c>
      <c r="O28" s="17">
        <f t="shared" ca="1" si="5"/>
        <v>0.9326257498846332</v>
      </c>
      <c r="P28" s="17">
        <f t="shared" ca="1" si="5"/>
        <v>0.87572054415494582</v>
      </c>
      <c r="Q28" s="17">
        <f t="shared" ca="1" si="5"/>
        <v>0.93178314491264136</v>
      </c>
      <c r="R28" s="57"/>
      <c r="S28" s="57"/>
      <c r="T28" s="57"/>
    </row>
    <row r="29" spans="1:20" x14ac:dyDescent="0.2">
      <c r="A29" t="str">
        <f>IFERROR(INDEX('2018 Data (WP)'!$C$9:$C$73,MATCH($B29,'2018 Data (WP)'!$D$9:$D$73,0)),"")</f>
        <v>Electric Utility (West)</v>
      </c>
      <c r="B29" t="s">
        <v>15</v>
      </c>
      <c r="C29" t="s">
        <v>88</v>
      </c>
      <c r="D29" s="35">
        <f t="shared" ca="1" si="1"/>
        <v>28</v>
      </c>
      <c r="E29" s="35">
        <f t="shared" ca="1" si="2"/>
        <v>28</v>
      </c>
      <c r="F29" s="35"/>
      <c r="G29" s="17">
        <f t="shared" ca="1" si="5"/>
        <v>0.8503130335799659</v>
      </c>
      <c r="H29" s="17">
        <f t="shared" ca="1" si="5"/>
        <v>0.67220014028524666</v>
      </c>
      <c r="I29" s="17">
        <f t="shared" ca="1" si="5"/>
        <v>0.6908598988354312</v>
      </c>
      <c r="J29" s="17">
        <f t="shared" ca="1" si="5"/>
        <v>0.78566457898399444</v>
      </c>
      <c r="K29" s="17">
        <f t="shared" ca="1" si="5"/>
        <v>0.84505150022391395</v>
      </c>
      <c r="L29" s="17">
        <f t="shared" ca="1" si="5"/>
        <v>1.0254237288135593</v>
      </c>
      <c r="M29" s="17">
        <f t="shared" ca="1" si="5"/>
        <v>0.97835580026580582</v>
      </c>
      <c r="N29" s="17">
        <f t="shared" ca="1" si="5"/>
        <v>0.68398923646148679</v>
      </c>
      <c r="O29" s="17">
        <f t="shared" ca="1" si="5"/>
        <v>0.77665732959850597</v>
      </c>
      <c r="P29" s="17">
        <f t="shared" ca="1" si="5"/>
        <v>0.83531445861249198</v>
      </c>
      <c r="Q29" s="17">
        <f t="shared" ca="1" si="5"/>
        <v>1.2583241858763263</v>
      </c>
      <c r="R29" s="57"/>
      <c r="S29" s="57"/>
      <c r="T29" s="57"/>
    </row>
    <row r="30" spans="1:20" x14ac:dyDescent="0.2">
      <c r="A30" t="str">
        <f>IFERROR(INDEX('2018 Data (WP)'!$C$9:$C$73,MATCH($B30,'2018 Data (WP)'!$D$9:$D$73,0)),"")</f>
        <v/>
      </c>
      <c r="B30" t="s">
        <v>16</v>
      </c>
      <c r="C30" t="s">
        <v>102</v>
      </c>
      <c r="D30" s="35">
        <f t="shared" ca="1" si="1"/>
        <v>29</v>
      </c>
      <c r="E30" s="35" t="e">
        <f t="shared" ca="1" si="2"/>
        <v>#N/A</v>
      </c>
      <c r="F30" s="35"/>
      <c r="G30" s="17" t="str">
        <f t="shared" ca="1" si="5"/>
        <v>N/A</v>
      </c>
      <c r="H30" s="17" t="str">
        <f t="shared" ca="1" si="5"/>
        <v>N/A</v>
      </c>
      <c r="I30" s="17" t="str">
        <f t="shared" ca="1" si="5"/>
        <v>N/A</v>
      </c>
      <c r="J30" s="17" t="str">
        <f t="shared" ca="1" si="5"/>
        <v>N/A</v>
      </c>
      <c r="K30" s="17" t="str">
        <f t="shared" ca="1" si="5"/>
        <v>N/A</v>
      </c>
      <c r="L30" s="17" t="str">
        <f t="shared" ca="1" si="5"/>
        <v>N/A</v>
      </c>
      <c r="M30" s="17" t="str">
        <f t="shared" ca="1" si="5"/>
        <v>N/A</v>
      </c>
      <c r="N30" s="17" t="str">
        <f t="shared" ca="1" si="5"/>
        <v>N/A</v>
      </c>
      <c r="O30" s="17" t="str">
        <f t="shared" ca="1" si="5"/>
        <v>N/A</v>
      </c>
      <c r="P30" s="17" t="str">
        <f t="shared" ca="1" si="5"/>
        <v>N/A</v>
      </c>
      <c r="Q30" s="17" t="str">
        <f t="shared" ca="1" si="5"/>
        <v>N/A</v>
      </c>
      <c r="R30" s="57"/>
      <c r="S30" s="57"/>
      <c r="T30" s="57"/>
    </row>
    <row r="31" spans="1:20" x14ac:dyDescent="0.2">
      <c r="A31" t="str">
        <f>IFERROR(INDEX('2018 Data (WP)'!$C$9:$C$73,MATCH($B31,'2018 Data (WP)'!$D$9:$D$73,0)),"")</f>
        <v>Electric Util. (Central)</v>
      </c>
      <c r="B31" t="s">
        <v>17</v>
      </c>
      <c r="C31" t="s">
        <v>55</v>
      </c>
      <c r="D31" s="35">
        <f t="shared" ca="1" si="1"/>
        <v>30</v>
      </c>
      <c r="E31" s="35">
        <f t="shared" ca="1" si="2"/>
        <v>29</v>
      </c>
      <c r="F31" s="35"/>
      <c r="G31" s="17">
        <f t="shared" ca="1" si="5"/>
        <v>1.0836902419261489</v>
      </c>
      <c r="H31" s="17">
        <f t="shared" ca="1" si="5"/>
        <v>1.0548075777433574</v>
      </c>
      <c r="I31" s="17">
        <f t="shared" ca="1" si="5"/>
        <v>1.1925516124679529</v>
      </c>
      <c r="J31" s="17">
        <f t="shared" ca="1" si="5"/>
        <v>1.0329348931841302</v>
      </c>
      <c r="K31" s="17">
        <f t="shared" ca="1" si="5"/>
        <v>0.87893289328932889</v>
      </c>
      <c r="L31" s="17">
        <f t="shared" ca="1" si="5"/>
        <v>1.1530417625780993</v>
      </c>
      <c r="M31" s="17">
        <f t="shared" ca="1" si="5"/>
        <v>1.2408074440942518</v>
      </c>
      <c r="N31" s="17">
        <f t="shared" ca="1" si="5"/>
        <v>1.0229407236335644</v>
      </c>
      <c r="O31" s="17">
        <f t="shared" ca="1" si="5"/>
        <v>0.92587271943686256</v>
      </c>
      <c r="P31" s="17">
        <f t="shared" ca="1" si="5"/>
        <v>1.1403576982892689</v>
      </c>
      <c r="Q31" s="17">
        <f t="shared" ca="1" si="5"/>
        <v>1.1333333333333333</v>
      </c>
      <c r="R31" s="57"/>
      <c r="S31" s="57"/>
      <c r="T31" s="57"/>
    </row>
    <row r="32" spans="1:20" x14ac:dyDescent="0.2">
      <c r="A32" t="str">
        <f>IFERROR(INDEX('2018 Data (WP)'!$C$9:$C$73,MATCH($B32,'2018 Data (WP)'!$D$9:$D$73,0)),"")</f>
        <v>Electric Utility (East)</v>
      </c>
      <c r="B32" t="s">
        <v>211</v>
      </c>
      <c r="C32" t="s">
        <v>212</v>
      </c>
      <c r="D32" s="35">
        <f t="shared" ca="1" si="1"/>
        <v>31</v>
      </c>
      <c r="E32" s="35">
        <f t="shared" ca="1" si="2"/>
        <v>30</v>
      </c>
      <c r="F32" s="35"/>
      <c r="G32" s="17">
        <f t="shared" ca="1" si="5"/>
        <v>0.87495992305226034</v>
      </c>
      <c r="H32" s="17">
        <f t="shared" ca="1" si="5"/>
        <v>0.90857247976453281</v>
      </c>
      <c r="I32" s="17">
        <f t="shared" ca="1" si="5"/>
        <v>0.90096857086380699</v>
      </c>
      <c r="J32" s="17">
        <f t="shared" ca="1" si="5"/>
        <v>1.1296256221597056</v>
      </c>
      <c r="K32" s="17">
        <f t="shared" ca="1" si="5"/>
        <v>0.86049488054607515</v>
      </c>
      <c r="L32" s="17">
        <f t="shared" ca="1" si="5"/>
        <v>0.80223757815070751</v>
      </c>
      <c r="M32" s="17">
        <f t="shared" ca="1" si="5"/>
        <v>1.0493621741541874</v>
      </c>
      <c r="N32" s="17">
        <f t="shared" ca="1" si="5"/>
        <v>0.9590021272481144</v>
      </c>
      <c r="O32" s="17">
        <f t="shared" ca="1" si="5"/>
        <v>0.76501986097318775</v>
      </c>
      <c r="P32" s="17">
        <f t="shared" ca="1" si="5"/>
        <v>0.67544843049327352</v>
      </c>
      <c r="Q32" s="17">
        <f t="shared" ca="1" si="5"/>
        <v>0.67219387755102034</v>
      </c>
      <c r="R32" s="57"/>
      <c r="S32" s="57"/>
      <c r="T32" s="57"/>
    </row>
    <row r="33" spans="1:20" x14ac:dyDescent="0.2">
      <c r="A33" t="str">
        <f>IFERROR(INDEX('2018 Data (WP)'!$C$9:$C$73,MATCH($B33,'2018 Data (WP)'!$D$9:$D$73,0)),"")</f>
        <v>Electric Utility (East)</v>
      </c>
      <c r="B33" t="s">
        <v>18</v>
      </c>
      <c r="C33" t="s">
        <v>69</v>
      </c>
      <c r="D33" s="35">
        <f t="shared" ca="1" si="1"/>
        <v>32</v>
      </c>
      <c r="E33" s="35">
        <f t="shared" ca="1" si="2"/>
        <v>31</v>
      </c>
      <c r="F33" s="35"/>
      <c r="G33" s="17">
        <f t="shared" ca="1" si="5"/>
        <v>0.75680639585133969</v>
      </c>
      <c r="H33" s="17">
        <f t="shared" ca="1" si="5"/>
        <v>0.82058397683397688</v>
      </c>
      <c r="I33" s="17">
        <f t="shared" ca="1" si="5"/>
        <v>0.93477645727221292</v>
      </c>
      <c r="J33" s="17">
        <f t="shared" ca="1" si="5"/>
        <v>1.0686477037978706</v>
      </c>
      <c r="K33" s="17">
        <f t="shared" ca="1" si="5"/>
        <v>0.9754873006497341</v>
      </c>
      <c r="L33" s="17">
        <f t="shared" ca="1" si="5"/>
        <v>1.1872640735269981</v>
      </c>
      <c r="M33" s="17">
        <f t="shared" ca="1" si="5"/>
        <v>1.6555223880597016</v>
      </c>
      <c r="N33" s="17">
        <f t="shared" ca="1" si="5"/>
        <v>1.6623664583753275</v>
      </c>
      <c r="O33" s="17">
        <f t="shared" ca="1" si="5"/>
        <v>1.6121199324324325</v>
      </c>
      <c r="P33" s="17">
        <f t="shared" ca="1" si="5"/>
        <v>1.8358872960949084</v>
      </c>
      <c r="Q33" s="17">
        <f t="shared" ca="1" si="5"/>
        <v>1.8601108033240998</v>
      </c>
      <c r="R33" s="57"/>
      <c r="S33" s="57"/>
      <c r="T33" s="57"/>
    </row>
    <row r="34" spans="1:20" x14ac:dyDescent="0.2">
      <c r="A34" t="str">
        <f>IFERROR(INDEX('2018 Data (WP)'!$C$9:$C$73,MATCH($B34,'2018 Data (WP)'!$D$9:$D$73,0)),"")</f>
        <v>Electric Utility (East)</v>
      </c>
      <c r="B34" t="s">
        <v>19</v>
      </c>
      <c r="C34" t="s">
        <v>66</v>
      </c>
      <c r="D34" s="35">
        <f t="shared" ca="1" si="1"/>
        <v>33</v>
      </c>
      <c r="E34" s="35">
        <f t="shared" ca="1" si="2"/>
        <v>32</v>
      </c>
      <c r="F34" s="35"/>
      <c r="G34" s="17">
        <f t="shared" ca="1" si="5"/>
        <v>0.94188058840496103</v>
      </c>
      <c r="H34" s="17">
        <f t="shared" ca="1" si="5"/>
        <v>0.92594760720035119</v>
      </c>
      <c r="I34" s="17">
        <f t="shared" ca="1" si="5"/>
        <v>0.54050843430743645</v>
      </c>
      <c r="J34" s="17">
        <f t="shared" ca="1" si="5"/>
        <v>0.91346571966951728</v>
      </c>
      <c r="K34" s="17">
        <f t="shared" ca="1" si="5"/>
        <v>0.8542401580358403</v>
      </c>
      <c r="L34" s="17">
        <f t="shared" ca="1" si="5"/>
        <v>1.054892601431981</v>
      </c>
      <c r="M34" s="17">
        <f t="shared" ca="1" si="5"/>
        <v>1.3203416149068323</v>
      </c>
      <c r="N34" s="17">
        <f t="shared" ca="1" si="5"/>
        <v>1.2173792721737926</v>
      </c>
      <c r="O34" s="17">
        <f t="shared" ca="1" si="5"/>
        <v>0.95429596791218074</v>
      </c>
      <c r="P34" s="17">
        <f t="shared" ca="1" si="5"/>
        <v>1.5572148590629085</v>
      </c>
      <c r="Q34" s="17">
        <f t="shared" ca="1" si="5"/>
        <v>1.7526699029126214</v>
      </c>
      <c r="R34" s="57"/>
      <c r="S34" s="57"/>
      <c r="T34" s="57"/>
    </row>
    <row r="35" spans="1:20" x14ac:dyDescent="0.2">
      <c r="A35" t="str">
        <f>IFERROR(INDEX('2018 Data (WP)'!$C$9:$C$73,MATCH($B35,'2018 Data (WP)'!$D$9:$D$73,0)),"")</f>
        <v>Electric Util. (Central)</v>
      </c>
      <c r="B35" t="s">
        <v>266</v>
      </c>
      <c r="C35" t="s">
        <v>265</v>
      </c>
      <c r="D35" s="35">
        <f t="shared" ca="1" si="1"/>
        <v>34</v>
      </c>
      <c r="E35" s="35">
        <f t="shared" ca="1" si="2"/>
        <v>33</v>
      </c>
      <c r="F35" s="35"/>
      <c r="G35" s="17">
        <f t="shared" ref="G35:Q44" ca="1" si="6">IFERROR(INDEX(CashFlow,$D35,G$2)/INDEX(CapSpending,$E35,G$2),"N/A")</f>
        <v>0.76076368595363331</v>
      </c>
      <c r="H35" s="17">
        <f t="shared" ca="1" si="6"/>
        <v>0.65453175997991464</v>
      </c>
      <c r="I35" s="17">
        <f t="shared" ca="1" si="6"/>
        <v>0.60383333333333333</v>
      </c>
      <c r="J35" s="17">
        <f t="shared" ca="1" si="6"/>
        <v>0.77089201877934277</v>
      </c>
      <c r="K35" s="17">
        <f t="shared" ca="1" si="6"/>
        <v>0.72235915492957747</v>
      </c>
      <c r="L35" s="17">
        <f t="shared" ca="1" si="6"/>
        <v>0.66040609137055839</v>
      </c>
      <c r="M35" s="17">
        <f t="shared" ca="1" si="6"/>
        <v>0.67668534555951765</v>
      </c>
      <c r="N35" s="17">
        <f t="shared" ca="1" si="6"/>
        <v>0.63104281767955794</v>
      </c>
      <c r="O35" s="17">
        <f t="shared" ca="1" si="6"/>
        <v>0.6559985027138312</v>
      </c>
      <c r="P35" s="17">
        <f t="shared" ca="1" si="6"/>
        <v>0.57389114855704049</v>
      </c>
      <c r="Q35" s="17">
        <f t="shared" ca="1" si="6"/>
        <v>0.63397876327295444</v>
      </c>
      <c r="R35" s="57"/>
      <c r="S35" s="57"/>
      <c r="T35" s="57"/>
    </row>
    <row r="36" spans="1:20" x14ac:dyDescent="0.2">
      <c r="A36" t="str">
        <f>IFERROR(INDEX('2018 Data (WP)'!$C$9:$C$73,MATCH($B36,'2018 Data (WP)'!$D$9:$D$73,0)),"")</f>
        <v/>
      </c>
      <c r="B36" t="s">
        <v>57</v>
      </c>
      <c r="C36" t="s">
        <v>56</v>
      </c>
      <c r="D36" s="35" t="e">
        <f t="shared" ca="1" si="1"/>
        <v>#N/A</v>
      </c>
      <c r="E36" s="35" t="e">
        <f t="shared" ca="1" si="2"/>
        <v>#N/A</v>
      </c>
      <c r="F36" s="35"/>
      <c r="G36" s="17" t="str">
        <f t="shared" ca="1" si="6"/>
        <v>N/A</v>
      </c>
      <c r="H36" s="17" t="str">
        <f t="shared" ca="1" si="6"/>
        <v>N/A</v>
      </c>
      <c r="I36" s="17" t="str">
        <f t="shared" ca="1" si="6"/>
        <v>N/A</v>
      </c>
      <c r="J36" s="17" t="str">
        <f t="shared" ca="1" si="6"/>
        <v>N/A</v>
      </c>
      <c r="K36" s="17" t="str">
        <f t="shared" ca="1" si="6"/>
        <v>N/A</v>
      </c>
      <c r="L36" s="17" t="str">
        <f t="shared" ca="1" si="6"/>
        <v>N/A</v>
      </c>
      <c r="M36" s="17" t="str">
        <f t="shared" ca="1" si="6"/>
        <v>N/A</v>
      </c>
      <c r="N36" s="17" t="str">
        <f t="shared" ca="1" si="6"/>
        <v>N/A</v>
      </c>
      <c r="O36" s="17" t="str">
        <f t="shared" ca="1" si="6"/>
        <v>N/A</v>
      </c>
      <c r="P36" s="17" t="str">
        <f t="shared" ca="1" si="6"/>
        <v>N/A</v>
      </c>
      <c r="Q36" s="17" t="str">
        <f t="shared" ca="1" si="6"/>
        <v>N/A</v>
      </c>
      <c r="R36" s="57"/>
      <c r="S36" s="57"/>
      <c r="T36" s="57"/>
    </row>
    <row r="37" spans="1:20" x14ac:dyDescent="0.2">
      <c r="A37" t="str">
        <f>IFERROR(INDEX('2018 Data (WP)'!$C$9:$C$73,MATCH($B37,'2018 Data (WP)'!$D$9:$D$73,0)),"")</f>
        <v>Electric Util. (Central)</v>
      </c>
      <c r="B37" t="s">
        <v>20</v>
      </c>
      <c r="C37" t="s">
        <v>104</v>
      </c>
      <c r="D37" s="35">
        <f t="shared" ref="D37:D46" ca="1" si="7">MATCH(B37,OFFSET(CashFlow,0,0,,1),0)</f>
        <v>36</v>
      </c>
      <c r="E37" s="35">
        <f t="shared" ref="E37:E46" ca="1" si="8">MATCH(B37,OFFSET(CapSpending,0,0,,1),0)</f>
        <v>35</v>
      </c>
      <c r="F37" s="35"/>
      <c r="G37" s="17">
        <f t="shared" ca="1" si="6"/>
        <v>1.1726668996854246</v>
      </c>
      <c r="H37" s="17">
        <f t="shared" ca="1" si="6"/>
        <v>0.9002939181550984</v>
      </c>
      <c r="I37" s="17">
        <f t="shared" ca="1" si="6"/>
        <v>0.78561630413482275</v>
      </c>
      <c r="J37" s="17">
        <f t="shared" ca="1" si="6"/>
        <v>0.90598870056497183</v>
      </c>
      <c r="K37" s="17">
        <f t="shared" ca="1" si="6"/>
        <v>0.85931653778997241</v>
      </c>
      <c r="L37" s="17">
        <f t="shared" ca="1" si="6"/>
        <v>1.0335689045936396</v>
      </c>
      <c r="M37" s="17">
        <f t="shared" ca="1" si="6"/>
        <v>0.86481947942905124</v>
      </c>
      <c r="N37" s="17">
        <f t="shared" ca="1" si="6"/>
        <v>0.50315919247958085</v>
      </c>
      <c r="O37" s="17">
        <f t="shared" ca="1" si="6"/>
        <v>0.34909706546275399</v>
      </c>
      <c r="P37" s="17">
        <f t="shared" ca="1" si="6"/>
        <v>0.68931880994960171</v>
      </c>
      <c r="Q37" s="17">
        <f t="shared" ca="1" si="6"/>
        <v>0.63843863711544813</v>
      </c>
      <c r="R37" s="57"/>
      <c r="S37" s="58"/>
      <c r="T37" s="58"/>
    </row>
    <row r="38" spans="1:20" x14ac:dyDescent="0.2">
      <c r="A38" t="str">
        <f>IFERROR(INDEX('2018 Data (WP)'!$C$9:$C$73,MATCH($B38,'2018 Data (WP)'!$D$9:$D$73,0)),"")</f>
        <v>Electric Utility (West)</v>
      </c>
      <c r="B38" t="s">
        <v>21</v>
      </c>
      <c r="C38" t="s">
        <v>58</v>
      </c>
      <c r="D38" s="35">
        <f t="shared" ca="1" si="7"/>
        <v>37</v>
      </c>
      <c r="E38" s="35">
        <f t="shared" ca="1" si="8"/>
        <v>36</v>
      </c>
      <c r="F38" s="35"/>
      <c r="G38" s="17">
        <f t="shared" ca="1" si="6"/>
        <v>1.3723684210526315</v>
      </c>
      <c r="H38" s="17">
        <f t="shared" ca="1" si="6"/>
        <v>0.97725258493353029</v>
      </c>
      <c r="I38" s="17">
        <f t="shared" ca="1" si="6"/>
        <v>1.0289855072463769</v>
      </c>
      <c r="J38" s="17">
        <f t="shared" ca="1" si="6"/>
        <v>0.92188841201716731</v>
      </c>
      <c r="K38" s="17">
        <f t="shared" ca="1" si="6"/>
        <v>0.9873646209386282</v>
      </c>
      <c r="L38" s="17">
        <f t="shared" ca="1" si="6"/>
        <v>1.3002450980392157</v>
      </c>
      <c r="M38" s="17">
        <f t="shared" ca="1" si="6"/>
        <v>1.4976599063962557</v>
      </c>
      <c r="N38" s="17">
        <f t="shared" ca="1" si="6"/>
        <v>0.78658166363084403</v>
      </c>
      <c r="O38" s="17">
        <f t="shared" ca="1" si="6"/>
        <v>0.87355584082156612</v>
      </c>
      <c r="P38" s="17">
        <f t="shared" ca="1" si="6"/>
        <v>1.1521406727828745</v>
      </c>
      <c r="Q38" s="17">
        <f t="shared" ca="1" si="6"/>
        <v>1.234907120743034</v>
      </c>
      <c r="R38" s="57"/>
      <c r="S38" s="57"/>
      <c r="T38" s="57"/>
    </row>
    <row r="39" spans="1:20" x14ac:dyDescent="0.2">
      <c r="A39" t="str">
        <f>IFERROR(INDEX('2018 Data (WP)'!$C$9:$C$73,MATCH($B39,'2018 Data (WP)'!$D$9:$D$73,0)),"")</f>
        <v>Electric Utility (West)</v>
      </c>
      <c r="B39" t="s">
        <v>22</v>
      </c>
      <c r="C39" t="s">
        <v>59</v>
      </c>
      <c r="D39" s="35">
        <f t="shared" ca="1" si="7"/>
        <v>38</v>
      </c>
      <c r="E39" s="35">
        <f t="shared" ca="1" si="8"/>
        <v>37</v>
      </c>
      <c r="F39" s="35"/>
      <c r="G39" s="17">
        <f t="shared" ca="1" si="6"/>
        <v>1.1637813985064493</v>
      </c>
      <c r="H39" s="17">
        <f t="shared" ca="1" si="6"/>
        <v>1.1470638589282658</v>
      </c>
      <c r="I39" s="17">
        <f t="shared" ca="1" si="6"/>
        <v>1.2061628760088041</v>
      </c>
      <c r="J39" s="17">
        <f t="shared" ca="1" si="6"/>
        <v>1.3439368061485908</v>
      </c>
      <c r="K39" s="17">
        <f t="shared" ca="1" si="6"/>
        <v>1.2410041841004185</v>
      </c>
      <c r="L39" s="17">
        <f t="shared" ca="1" si="6"/>
        <v>0.86305826678497499</v>
      </c>
      <c r="M39" s="17">
        <f t="shared" ca="1" si="6"/>
        <v>0.78147823546596551</v>
      </c>
      <c r="N39" s="17">
        <f t="shared" ca="1" si="6"/>
        <v>0.96444866920152106</v>
      </c>
      <c r="O39" s="17">
        <f t="shared" ca="1" si="6"/>
        <v>0.82315546137545748</v>
      </c>
      <c r="P39" s="17">
        <f t="shared" ca="1" si="6"/>
        <v>0.64406514249921709</v>
      </c>
      <c r="Q39" s="17">
        <f t="shared" ca="1" si="6"/>
        <v>0.88832880961613014</v>
      </c>
      <c r="R39" s="57"/>
      <c r="S39" s="57"/>
      <c r="T39" s="57"/>
    </row>
    <row r="40" spans="1:20" x14ac:dyDescent="0.2">
      <c r="A40" t="str">
        <f>IFERROR(INDEX('2018 Data (WP)'!$C$9:$C$73,MATCH($B40,'2018 Data (WP)'!$D$9:$D$73,0)),"")</f>
        <v/>
      </c>
      <c r="B40" t="s">
        <v>23</v>
      </c>
      <c r="C40" t="s">
        <v>85</v>
      </c>
      <c r="D40" s="35" t="e">
        <f t="shared" ca="1" si="7"/>
        <v>#N/A</v>
      </c>
      <c r="E40" s="35" t="e">
        <f t="shared" ca="1" si="8"/>
        <v>#N/A</v>
      </c>
      <c r="F40" s="35"/>
      <c r="G40" s="17" t="str">
        <f t="shared" ca="1" si="6"/>
        <v>N/A</v>
      </c>
      <c r="H40" s="17" t="str">
        <f t="shared" ca="1" si="6"/>
        <v>N/A</v>
      </c>
      <c r="I40" s="17" t="str">
        <f t="shared" ca="1" si="6"/>
        <v>N/A</v>
      </c>
      <c r="J40" s="17" t="str">
        <f t="shared" ca="1" si="6"/>
        <v>N/A</v>
      </c>
      <c r="K40" s="17" t="str">
        <f t="shared" ca="1" si="6"/>
        <v>N/A</v>
      </c>
      <c r="L40" s="17" t="str">
        <f t="shared" ca="1" si="6"/>
        <v>N/A</v>
      </c>
      <c r="M40" s="17" t="str">
        <f t="shared" ca="1" si="6"/>
        <v>N/A</v>
      </c>
      <c r="N40" s="17" t="str">
        <f t="shared" ca="1" si="6"/>
        <v>N/A</v>
      </c>
      <c r="O40" s="17" t="str">
        <f t="shared" ca="1" si="6"/>
        <v>N/A</v>
      </c>
      <c r="P40" s="17" t="str">
        <f t="shared" ca="1" si="6"/>
        <v>N/A</v>
      </c>
      <c r="Q40" s="17" t="str">
        <f t="shared" ca="1" si="6"/>
        <v>N/A</v>
      </c>
      <c r="R40" s="57"/>
      <c r="S40" s="57"/>
      <c r="T40" s="57"/>
    </row>
    <row r="41" spans="1:20" x14ac:dyDescent="0.2">
      <c r="A41" t="str">
        <f>IFERROR(INDEX('2018 Data (WP)'!$C$9:$C$73,MATCH($B41,'2018 Data (WP)'!$D$9:$D$73,0)),"")</f>
        <v/>
      </c>
      <c r="B41" t="s">
        <v>161</v>
      </c>
      <c r="C41" t="s">
        <v>160</v>
      </c>
      <c r="D41" s="35" t="e">
        <f t="shared" ca="1" si="7"/>
        <v>#N/A</v>
      </c>
      <c r="E41" s="35" t="e">
        <f t="shared" ca="1" si="8"/>
        <v>#N/A</v>
      </c>
      <c r="F41" s="35"/>
      <c r="G41" s="17" t="str">
        <f t="shared" ca="1" si="6"/>
        <v>N/A</v>
      </c>
      <c r="H41" s="17" t="str">
        <f t="shared" ca="1" si="6"/>
        <v>N/A</v>
      </c>
      <c r="I41" s="17" t="str">
        <f t="shared" ca="1" si="6"/>
        <v>N/A</v>
      </c>
      <c r="J41" s="17" t="str">
        <f t="shared" ca="1" si="6"/>
        <v>N/A</v>
      </c>
      <c r="K41" s="17" t="str">
        <f t="shared" ca="1" si="6"/>
        <v>N/A</v>
      </c>
      <c r="L41" s="17" t="str">
        <f t="shared" ca="1" si="6"/>
        <v>N/A</v>
      </c>
      <c r="M41" s="17" t="str">
        <f t="shared" ca="1" si="6"/>
        <v>N/A</v>
      </c>
      <c r="N41" s="17" t="str">
        <f t="shared" ca="1" si="6"/>
        <v>N/A</v>
      </c>
      <c r="O41" s="17" t="str">
        <f t="shared" ca="1" si="6"/>
        <v>N/A</v>
      </c>
      <c r="P41" s="17" t="str">
        <f t="shared" ca="1" si="6"/>
        <v>N/A</v>
      </c>
      <c r="Q41" s="17" t="str">
        <f t="shared" ca="1" si="6"/>
        <v>N/A</v>
      </c>
      <c r="R41" s="57"/>
      <c r="S41" s="57"/>
      <c r="T41" s="57"/>
    </row>
    <row r="42" spans="1:20" x14ac:dyDescent="0.2">
      <c r="A42" t="str">
        <f>IFERROR(INDEX('2018 Data (WP)'!$C$9:$C$73,MATCH($B42,'2018 Data (WP)'!$D$9:$D$73,0)),"")</f>
        <v/>
      </c>
      <c r="B42" t="s">
        <v>24</v>
      </c>
      <c r="C42" t="s">
        <v>60</v>
      </c>
      <c r="D42" s="35" t="e">
        <f t="shared" ca="1" si="7"/>
        <v>#N/A</v>
      </c>
      <c r="E42" s="35" t="e">
        <f t="shared" ca="1" si="8"/>
        <v>#N/A</v>
      </c>
      <c r="F42" s="35"/>
      <c r="G42" s="17" t="str">
        <f t="shared" ca="1" si="6"/>
        <v>N/A</v>
      </c>
      <c r="H42" s="17" t="str">
        <f t="shared" ca="1" si="6"/>
        <v>N/A</v>
      </c>
      <c r="I42" s="17" t="str">
        <f t="shared" ca="1" si="6"/>
        <v>N/A</v>
      </c>
      <c r="J42" s="17" t="str">
        <f t="shared" ca="1" si="6"/>
        <v>N/A</v>
      </c>
      <c r="K42" s="17" t="str">
        <f t="shared" ca="1" si="6"/>
        <v>N/A</v>
      </c>
      <c r="L42" s="17" t="str">
        <f t="shared" ca="1" si="6"/>
        <v>N/A</v>
      </c>
      <c r="M42" s="17" t="str">
        <f t="shared" ca="1" si="6"/>
        <v>N/A</v>
      </c>
      <c r="N42" s="17" t="str">
        <f t="shared" ca="1" si="6"/>
        <v>N/A</v>
      </c>
      <c r="O42" s="17" t="str">
        <f t="shared" ca="1" si="6"/>
        <v>N/A</v>
      </c>
      <c r="P42" s="17" t="str">
        <f t="shared" ca="1" si="6"/>
        <v>N/A</v>
      </c>
      <c r="Q42" s="17" t="str">
        <f t="shared" ca="1" si="6"/>
        <v>N/A</v>
      </c>
      <c r="R42" s="57"/>
      <c r="S42" s="57"/>
      <c r="T42" s="57"/>
    </row>
    <row r="43" spans="1:20" x14ac:dyDescent="0.2">
      <c r="A43" t="str">
        <f>IFERROR(INDEX('2018 Data (WP)'!$C$9:$C$73,MATCH($B43,'2018 Data (WP)'!$D$9:$D$73,0)),"")</f>
        <v>Electric Util. (Central)</v>
      </c>
      <c r="B43" t="s">
        <v>25</v>
      </c>
      <c r="C43" t="s">
        <v>61</v>
      </c>
      <c r="D43" s="35">
        <f t="shared" ca="1" si="7"/>
        <v>39</v>
      </c>
      <c r="E43" s="35">
        <f t="shared" ca="1" si="8"/>
        <v>38</v>
      </c>
      <c r="F43" s="35"/>
      <c r="G43" s="17">
        <f t="shared" ca="1" si="6"/>
        <v>1.4368006630750105</v>
      </c>
      <c r="H43" s="17">
        <f t="shared" ca="1" si="6"/>
        <v>1.6044273339749762</v>
      </c>
      <c r="I43" s="17">
        <f t="shared" ca="1" si="6"/>
        <v>1.3060231949120837</v>
      </c>
      <c r="J43" s="17">
        <f t="shared" ca="1" si="6"/>
        <v>0.95544554455445541</v>
      </c>
      <c r="K43" s="17">
        <f t="shared" ca="1" si="6"/>
        <v>1.0479041916167664</v>
      </c>
      <c r="L43" s="17">
        <f t="shared" ca="1" si="6"/>
        <v>1.5627659574468087</v>
      </c>
      <c r="M43" s="17">
        <f t="shared" ca="1" si="6"/>
        <v>1.5711845102505695</v>
      </c>
      <c r="N43" s="17">
        <f t="shared" ca="1" si="6"/>
        <v>1.1282922684791843</v>
      </c>
      <c r="O43" s="17">
        <f t="shared" ca="1" si="6"/>
        <v>0.87008769080870396</v>
      </c>
      <c r="P43" s="17">
        <f t="shared" ca="1" si="6"/>
        <v>0.59473175447075877</v>
      </c>
      <c r="Q43" s="17">
        <f t="shared" ca="1" si="6"/>
        <v>0.79673691366417398</v>
      </c>
      <c r="R43" s="57"/>
      <c r="S43" s="57"/>
      <c r="T43" s="57"/>
    </row>
    <row r="44" spans="1:20" x14ac:dyDescent="0.2">
      <c r="A44" t="str">
        <f>IFERROR(INDEX('2018 Data (WP)'!$C$9:$C$73,MATCH($B44,'2018 Data (WP)'!$D$9:$D$73,0)),"")</f>
        <v>Water Utility</v>
      </c>
      <c r="B44" s="31" t="s">
        <v>188</v>
      </c>
      <c r="C44" s="31" t="s">
        <v>187</v>
      </c>
      <c r="D44" s="35">
        <f t="shared" ca="1" si="7"/>
        <v>40</v>
      </c>
      <c r="E44" s="35">
        <f t="shared" ca="1" si="8"/>
        <v>39</v>
      </c>
      <c r="F44" s="35"/>
      <c r="G44" s="17">
        <f t="shared" ca="1" si="6"/>
        <v>0.74716202270381837</v>
      </c>
      <c r="H44" s="17">
        <f t="shared" ca="1" si="6"/>
        <v>1.2392947103274559</v>
      </c>
      <c r="I44" s="17">
        <f t="shared" ca="1" si="6"/>
        <v>1.3162027123483226</v>
      </c>
      <c r="J44" s="17">
        <f t="shared" ca="1" si="6"/>
        <v>1.3656597774244832</v>
      </c>
      <c r="K44" s="17">
        <f t="shared" ca="1" si="6"/>
        <v>1.1400293255131964</v>
      </c>
      <c r="L44" s="17">
        <f t="shared" ca="1" si="6"/>
        <v>0.97599999999999998</v>
      </c>
      <c r="M44" s="17">
        <f t="shared" ca="1" si="6"/>
        <v>0.81335436382755</v>
      </c>
      <c r="N44" s="17">
        <f t="shared" ca="1" si="6"/>
        <v>0.94291470785762244</v>
      </c>
      <c r="O44" s="17">
        <f t="shared" ca="1" si="6"/>
        <v>0.72182932578972181</v>
      </c>
      <c r="P44" s="17">
        <f t="shared" ca="1" si="6"/>
        <v>0.90157004830917886</v>
      </c>
      <c r="Q44" s="17">
        <f t="shared" ca="1" si="6"/>
        <v>0.57805724197745012</v>
      </c>
      <c r="R44" s="58"/>
      <c r="S44" s="58"/>
      <c r="T44" s="58"/>
    </row>
    <row r="45" spans="1:20" x14ac:dyDescent="0.2">
      <c r="A45" t="str">
        <f>IFERROR(INDEX('2018 Data (WP)'!$C$9:$C$73,MATCH($B45,'2018 Data (WP)'!$D$9:$D$73,0)),"")</f>
        <v>Natural Gas Utility</v>
      </c>
      <c r="B45" s="31" t="s">
        <v>190</v>
      </c>
      <c r="C45" s="31" t="s">
        <v>189</v>
      </c>
      <c r="D45" s="35">
        <f t="shared" ca="1" si="7"/>
        <v>41</v>
      </c>
      <c r="E45" s="35">
        <f t="shared" ca="1" si="8"/>
        <v>40</v>
      </c>
      <c r="F45" s="35"/>
      <c r="G45" s="17">
        <f t="shared" ref="G45:Q54" ca="1" si="9">IFERROR(INDEX(CashFlow,$D45,G$2)/INDEX(CapSpending,$E45,G$2),"N/A")</f>
        <v>0.59213699951760734</v>
      </c>
      <c r="H45" s="17">
        <f t="shared" ca="1" si="9"/>
        <v>0.67207878626563744</v>
      </c>
      <c r="I45" s="17">
        <f t="shared" ca="1" si="9"/>
        <v>1.7905449770190414</v>
      </c>
      <c r="J45" s="17">
        <f t="shared" ca="1" si="9"/>
        <v>1.4577677224736048</v>
      </c>
      <c r="K45" s="17">
        <f t="shared" ca="1" si="9"/>
        <v>1.4769108280254777</v>
      </c>
      <c r="L45" s="17">
        <f t="shared" ca="1" si="9"/>
        <v>1.5057573073516386</v>
      </c>
      <c r="M45" s="17">
        <f t="shared" ca="1" si="9"/>
        <v>1.547528517110266</v>
      </c>
      <c r="N45" s="17">
        <f t="shared" ca="1" si="9"/>
        <v>1.7486157253599113</v>
      </c>
      <c r="O45" s="17">
        <f t="shared" ca="1" si="9"/>
        <v>2.1058139534883722</v>
      </c>
      <c r="P45" s="17">
        <f t="shared" ca="1" si="9"/>
        <v>1.6712328767123288</v>
      </c>
      <c r="Q45" s="17">
        <f t="shared" ca="1" si="9"/>
        <v>2.1359374999999998</v>
      </c>
      <c r="R45" s="57"/>
      <c r="S45" s="57"/>
      <c r="T45" s="57"/>
    </row>
    <row r="46" spans="1:20" x14ac:dyDescent="0.2">
      <c r="A46" t="str">
        <f>IFERROR(INDEX('2018 Data (WP)'!$C$9:$C$73,MATCH($B46,'2018 Data (WP)'!$D$9:$D$73,0)),"")</f>
        <v>Electric Utility (East)</v>
      </c>
      <c r="B46" t="s">
        <v>141</v>
      </c>
      <c r="C46" t="s">
        <v>209</v>
      </c>
      <c r="D46" s="35">
        <f t="shared" ca="1" si="7"/>
        <v>42</v>
      </c>
      <c r="E46" s="35">
        <f t="shared" ca="1" si="8"/>
        <v>41</v>
      </c>
      <c r="F46" s="35"/>
      <c r="G46" s="17">
        <f t="shared" ca="1" si="9"/>
        <v>0.62991743564837299</v>
      </c>
      <c r="H46" s="17">
        <f t="shared" ca="1" si="9"/>
        <v>0.71091299323097246</v>
      </c>
      <c r="I46" s="17">
        <f t="shared" ca="1" si="9"/>
        <v>0.76401515151515154</v>
      </c>
      <c r="J46" s="17">
        <f t="shared" ca="1" si="9"/>
        <v>0.68589284551786989</v>
      </c>
      <c r="K46" s="17">
        <f t="shared" ca="1" si="9"/>
        <v>0.38926234650891817</v>
      </c>
      <c r="L46" s="17">
        <f t="shared" ca="1" si="9"/>
        <v>0.58312935417058942</v>
      </c>
      <c r="M46" s="17">
        <f t="shared" ca="1" si="9"/>
        <v>0.69260672377798582</v>
      </c>
      <c r="N46" s="17">
        <f t="shared" ca="1" si="9"/>
        <v>0.60261707988980717</v>
      </c>
      <c r="O46" s="17">
        <f t="shared" ca="1" si="9"/>
        <v>0.6267864115579852</v>
      </c>
      <c r="P46" s="17">
        <f t="shared" ca="1" si="9"/>
        <v>0.55612369125882644</v>
      </c>
      <c r="Q46" s="17">
        <f t="shared" ca="1" si="9"/>
        <v>0.73392605442914449</v>
      </c>
      <c r="R46" s="57"/>
      <c r="S46" s="57"/>
      <c r="T46" s="57"/>
    </row>
    <row r="47" spans="1:20" x14ac:dyDescent="0.2">
      <c r="A47" t="str">
        <f>IFERROR(INDEX('2018 Data (WP)'!$C$9:$C$73,MATCH($B47,'2018 Data (WP)'!$D$9:$D$73,0)),"")</f>
        <v>Natural Gas Utility</v>
      </c>
      <c r="B47" t="s">
        <v>26</v>
      </c>
      <c r="C47" t="s">
        <v>62</v>
      </c>
      <c r="D47" s="35">
        <f t="shared" ref="D47:D78" ca="1" si="10">MATCH(B47,OFFSET(CashFlow,0,0,,1),0)</f>
        <v>43</v>
      </c>
      <c r="E47" s="35">
        <f t="shared" ref="E47:E78" ca="1" si="11">MATCH(B47,OFFSET(CapSpending,0,0,,1),0)</f>
        <v>42</v>
      </c>
      <c r="F47" s="35"/>
      <c r="G47" s="17">
        <f t="shared" ca="1" si="9"/>
        <v>0.59320920043811609</v>
      </c>
      <c r="H47" s="17">
        <f t="shared" ca="1" si="9"/>
        <v>0.53142589118198869</v>
      </c>
      <c r="I47" s="17">
        <f t="shared" ca="1" si="9"/>
        <v>0.56005608350210323</v>
      </c>
      <c r="J47" s="17">
        <f t="shared" ca="1" si="9"/>
        <v>0.56816285666611044</v>
      </c>
      <c r="K47" s="17">
        <f t="shared" ca="1" si="9"/>
        <v>0.64886128364389228</v>
      </c>
      <c r="L47" s="17">
        <f t="shared" ca="1" si="9"/>
        <v>0.74824473420260784</v>
      </c>
      <c r="M47" s="17">
        <f t="shared" ca="1" si="9"/>
        <v>1.108408617095205</v>
      </c>
      <c r="N47" s="17">
        <f t="shared" ca="1" si="9"/>
        <v>1.0551994301994303</v>
      </c>
      <c r="O47" s="17">
        <f t="shared" ca="1" si="9"/>
        <v>0.93834841628959276</v>
      </c>
      <c r="P47" s="17">
        <f t="shared" ca="1" si="9"/>
        <v>1.1144347826086958</v>
      </c>
      <c r="Q47" s="17">
        <f t="shared" ca="1" si="9"/>
        <v>1.3658222413052812</v>
      </c>
      <c r="R47" s="57"/>
      <c r="S47" s="57"/>
      <c r="T47" s="57"/>
    </row>
    <row r="48" spans="1:20" x14ac:dyDescent="0.2">
      <c r="A48" t="str">
        <f>IFERROR(INDEX('2018 Data (WP)'!$C$9:$C$73,MATCH($B48,'2018 Data (WP)'!$D$9:$D$73,0)),"")</f>
        <v>Natural Gas Utility</v>
      </c>
      <c r="B48" s="31" t="s">
        <v>192</v>
      </c>
      <c r="C48" s="31" t="s">
        <v>191</v>
      </c>
      <c r="D48" s="35">
        <f t="shared" ca="1" si="10"/>
        <v>44</v>
      </c>
      <c r="E48" s="35">
        <f t="shared" ca="1" si="11"/>
        <v>43</v>
      </c>
      <c r="F48" s="35"/>
      <c r="G48" s="17">
        <f t="shared" ca="1" si="9"/>
        <v>1.0119023189000615</v>
      </c>
      <c r="H48" s="17">
        <f t="shared" ca="1" si="9"/>
        <v>1.1233409610983982</v>
      </c>
      <c r="I48" s="17">
        <f t="shared" ca="1" si="9"/>
        <v>1.1481144934120855</v>
      </c>
      <c r="J48" s="17">
        <f t="shared" ca="1" si="9"/>
        <v>0.98206977197427392</v>
      </c>
      <c r="K48" s="17">
        <f t="shared" ca="1" si="9"/>
        <v>1.0063200815494393</v>
      </c>
      <c r="L48" s="17">
        <f t="shared" ca="1" si="9"/>
        <v>1.3321799307958477</v>
      </c>
      <c r="M48" s="17">
        <f t="shared" ca="1" si="9"/>
        <v>0.55448615121377387</v>
      </c>
      <c r="N48" s="17">
        <f t="shared" ca="1" si="9"/>
        <v>1.0208128804241114</v>
      </c>
      <c r="O48" s="17">
        <f t="shared" ca="1" si="9"/>
        <v>1.3524464831804281</v>
      </c>
      <c r="P48" s="17">
        <f t="shared" ca="1" si="9"/>
        <v>1.2081751172660262</v>
      </c>
      <c r="Q48" s="17">
        <f t="shared" ca="1" si="9"/>
        <v>1.3355780022446688</v>
      </c>
      <c r="R48" s="57"/>
      <c r="S48" s="57"/>
      <c r="T48" s="57"/>
    </row>
    <row r="49" spans="1:20" x14ac:dyDescent="0.2">
      <c r="A49" t="str">
        <f>IFERROR(INDEX('2018 Data (WP)'!$C$9:$C$73,MATCH($B49,'2018 Data (WP)'!$D$9:$D$73,0)),"")</f>
        <v>Electric Utility (West)</v>
      </c>
      <c r="B49" t="str">
        <f>"NWE"</f>
        <v>NWE</v>
      </c>
      <c r="C49" t="s">
        <v>94</v>
      </c>
      <c r="D49" s="35">
        <f t="shared" ca="1" si="10"/>
        <v>45</v>
      </c>
      <c r="E49" s="35">
        <f t="shared" ca="1" si="11"/>
        <v>44</v>
      </c>
      <c r="F49" s="35"/>
      <c r="G49" s="17">
        <f t="shared" ca="1" si="9"/>
        <v>1.130938391807957</v>
      </c>
      <c r="H49" s="17">
        <f t="shared" ca="1" si="9"/>
        <v>1.0059432840889795</v>
      </c>
      <c r="I49" s="17">
        <f t="shared" ca="1" si="9"/>
        <v>0.93492972410203024</v>
      </c>
      <c r="J49" s="17">
        <f t="shared" ca="1" si="9"/>
        <v>0.91661062542030924</v>
      </c>
      <c r="K49" s="17">
        <f t="shared" ca="1" si="9"/>
        <v>0.87979626485568774</v>
      </c>
      <c r="L49" s="17">
        <f t="shared" ca="1" si="9"/>
        <v>1.0420991926182239</v>
      </c>
      <c r="M49" s="17">
        <f t="shared" ca="1" si="9"/>
        <v>0.75583055687767731</v>
      </c>
      <c r="N49" s="17">
        <f t="shared" ca="1" si="9"/>
        <v>0.87811370983076631</v>
      </c>
      <c r="O49" s="17">
        <f t="shared" ca="1" si="9"/>
        <v>1.2699740409576001</v>
      </c>
      <c r="P49" s="17">
        <f t="shared" ca="1" si="9"/>
        <v>1.2330226364846872</v>
      </c>
      <c r="Q49" s="17">
        <f t="shared" ca="1" si="9"/>
        <v>1.2883588465646136</v>
      </c>
      <c r="R49" s="57"/>
      <c r="S49" s="57"/>
      <c r="T49" s="57"/>
    </row>
    <row r="50" spans="1:20" x14ac:dyDescent="0.2">
      <c r="A50" t="str">
        <f>IFERROR(INDEX('2018 Data (WP)'!$C$9:$C$73,MATCH($B50,'2018 Data (WP)'!$D$9:$D$73,0)),"")</f>
        <v>Electric Util. (Central)</v>
      </c>
      <c r="B50" t="s">
        <v>27</v>
      </c>
      <c r="C50" t="s">
        <v>67</v>
      </c>
      <c r="D50" s="35">
        <f t="shared" ca="1" si="10"/>
        <v>46</v>
      </c>
      <c r="E50" s="35">
        <f t="shared" ca="1" si="11"/>
        <v>45</v>
      </c>
      <c r="F50" s="35"/>
      <c r="G50" s="17">
        <f t="shared" ca="1" si="9"/>
        <v>1.0012102874432678</v>
      </c>
      <c r="H50" s="17">
        <f t="shared" ca="1" si="9"/>
        <v>1.178271965001823</v>
      </c>
      <c r="I50" s="17">
        <f t="shared" ca="1" si="9"/>
        <v>1.1894921190893171</v>
      </c>
      <c r="J50" s="17">
        <f t="shared" ca="1" si="9"/>
        <v>0.69278557114228456</v>
      </c>
      <c r="K50" s="17">
        <f t="shared" ca="1" si="9"/>
        <v>0.63085070037581137</v>
      </c>
      <c r="L50" s="17">
        <f t="shared" ca="1" si="9"/>
        <v>0.51166023166023167</v>
      </c>
      <c r="M50" s="17">
        <f t="shared" ca="1" si="9"/>
        <v>0.69012147604859042</v>
      </c>
      <c r="N50" s="17">
        <f t="shared" ca="1" si="9"/>
        <v>0.61441647597254001</v>
      </c>
      <c r="O50" s="17">
        <f t="shared" ca="1" si="9"/>
        <v>0.59860383944153572</v>
      </c>
      <c r="P50" s="17">
        <f t="shared" ca="1" si="9"/>
        <v>0.78801843317972364</v>
      </c>
      <c r="Q50" s="17">
        <f t="shared" ca="1" si="9"/>
        <v>0.83733133433283358</v>
      </c>
      <c r="R50" s="57"/>
      <c r="S50" s="57"/>
      <c r="T50" s="57"/>
    </row>
    <row r="51" spans="1:20" x14ac:dyDescent="0.2">
      <c r="A51" t="str">
        <f>IFERROR(INDEX('2018 Data (WP)'!$C$9:$C$73,MATCH($B51,'2018 Data (WP)'!$D$9:$D$73,0)),"")</f>
        <v>Natural Gas Utility</v>
      </c>
      <c r="B51" t="s">
        <v>346</v>
      </c>
      <c r="C51" t="s">
        <v>349</v>
      </c>
      <c r="D51" s="35">
        <f t="shared" ca="1" si="10"/>
        <v>47</v>
      </c>
      <c r="E51" s="35">
        <f t="shared" ca="1" si="11"/>
        <v>46</v>
      </c>
      <c r="F51" s="35"/>
      <c r="G51" s="17">
        <f t="shared" ca="1" si="9"/>
        <v>0.91864005412719896</v>
      </c>
      <c r="H51" s="17">
        <f t="shared" ca="1" si="9"/>
        <v>0.85635653409090917</v>
      </c>
      <c r="I51" s="17">
        <f t="shared" ca="1" si="9"/>
        <v>0.79277699859747552</v>
      </c>
      <c r="J51" s="17" t="str">
        <f t="shared" ca="1" si="9"/>
        <v>N/A</v>
      </c>
      <c r="K51" s="17" t="str">
        <f t="shared" ca="1" si="9"/>
        <v>N/A</v>
      </c>
      <c r="L51" s="17" t="str">
        <f t="shared" ca="1" si="9"/>
        <v>N/A</v>
      </c>
      <c r="M51" s="17" t="str">
        <f t="shared" ca="1" si="9"/>
        <v>N/A</v>
      </c>
      <c r="N51" s="17" t="str">
        <f t="shared" ca="1" si="9"/>
        <v>N/A</v>
      </c>
      <c r="O51" s="17" t="str">
        <f t="shared" ca="1" si="9"/>
        <v>N/A</v>
      </c>
      <c r="P51" s="17" t="str">
        <f t="shared" ca="1" si="9"/>
        <v>N/A</v>
      </c>
      <c r="Q51" s="17" t="str">
        <f t="shared" ca="1" si="9"/>
        <v>N/A</v>
      </c>
      <c r="R51" s="57"/>
      <c r="S51" s="57"/>
      <c r="T51" s="57"/>
    </row>
    <row r="52" spans="1:20" x14ac:dyDescent="0.2">
      <c r="A52" t="str">
        <f>IFERROR(INDEX('2018 Data (WP)'!$C$9:$C$73,MATCH($B52,'2018 Data (WP)'!$D$9:$D$73,0)),"")</f>
        <v>Electric Util. (Central)</v>
      </c>
      <c r="B52" t="s">
        <v>28</v>
      </c>
      <c r="C52" t="s">
        <v>68</v>
      </c>
      <c r="D52" s="35">
        <f t="shared" ca="1" si="10"/>
        <v>48</v>
      </c>
      <c r="E52" s="35">
        <f t="shared" ca="1" si="11"/>
        <v>47</v>
      </c>
      <c r="F52" s="35"/>
      <c r="G52" s="17">
        <f t="shared" ca="1" si="9"/>
        <v>0.84016593460224509</v>
      </c>
      <c r="H52" s="17">
        <f t="shared" ca="1" si="9"/>
        <v>0.74296524000945852</v>
      </c>
      <c r="I52" s="17">
        <f t="shared" ca="1" si="9"/>
        <v>0.70284414106939708</v>
      </c>
      <c r="J52" s="17">
        <f t="shared" ca="1" si="9"/>
        <v>0.66607851786501993</v>
      </c>
      <c r="K52" s="17">
        <f t="shared" ca="1" si="9"/>
        <v>0.84629803186504216</v>
      </c>
      <c r="L52" s="17">
        <f t="shared" ca="1" si="9"/>
        <v>1.1582557569818717</v>
      </c>
      <c r="M52" s="17">
        <f t="shared" ca="1" si="9"/>
        <v>1.0921329406815314</v>
      </c>
      <c r="N52" s="17">
        <f t="shared" ca="1" si="9"/>
        <v>0.55843105539830173</v>
      </c>
      <c r="O52" s="17">
        <f t="shared" ca="1" si="9"/>
        <v>0.37410167686984291</v>
      </c>
      <c r="P52" s="17">
        <f t="shared" ca="1" si="9"/>
        <v>0.65468951538603282</v>
      </c>
      <c r="Q52" s="17">
        <f t="shared" ca="1" si="9"/>
        <v>1.4400510204081634</v>
      </c>
      <c r="R52" s="60"/>
      <c r="S52" s="60"/>
      <c r="T52" s="57"/>
    </row>
    <row r="53" spans="1:20" x14ac:dyDescent="0.2">
      <c r="A53" t="str">
        <f>IFERROR(INDEX('2018 Data (WP)'!$C$9:$C$73,MATCH($B53,'2018 Data (WP)'!$D$9:$D$73,0)),"")</f>
        <v/>
      </c>
      <c r="B53" t="s">
        <v>29</v>
      </c>
      <c r="C53" t="s">
        <v>73</v>
      </c>
      <c r="D53" s="35" t="e">
        <f t="shared" ca="1" si="10"/>
        <v>#N/A</v>
      </c>
      <c r="E53" s="35" t="e">
        <f t="shared" ca="1" si="11"/>
        <v>#N/A</v>
      </c>
      <c r="F53" s="35"/>
      <c r="G53" s="17" t="str">
        <f t="shared" ca="1" si="9"/>
        <v>N/A</v>
      </c>
      <c r="H53" s="17" t="str">
        <f t="shared" ca="1" si="9"/>
        <v>N/A</v>
      </c>
      <c r="I53" s="17" t="str">
        <f t="shared" ca="1" si="9"/>
        <v>N/A</v>
      </c>
      <c r="J53" s="17" t="str">
        <f t="shared" ca="1" si="9"/>
        <v>N/A</v>
      </c>
      <c r="K53" s="17" t="str">
        <f t="shared" ca="1" si="9"/>
        <v>N/A</v>
      </c>
      <c r="L53" s="17" t="str">
        <f t="shared" ca="1" si="9"/>
        <v>N/A</v>
      </c>
      <c r="M53" s="17" t="str">
        <f t="shared" ca="1" si="9"/>
        <v>N/A</v>
      </c>
      <c r="N53" s="17" t="str">
        <f t="shared" ca="1" si="9"/>
        <v>N/A</v>
      </c>
      <c r="O53" s="17" t="str">
        <f t="shared" ca="1" si="9"/>
        <v>N/A</v>
      </c>
      <c r="P53" s="17" t="str">
        <f t="shared" ca="1" si="9"/>
        <v>N/A</v>
      </c>
      <c r="Q53" s="17" t="str">
        <f t="shared" ca="1" si="9"/>
        <v>N/A</v>
      </c>
      <c r="R53" s="57"/>
      <c r="S53" s="57"/>
      <c r="T53" s="57"/>
    </row>
    <row r="54" spans="1:20" x14ac:dyDescent="0.2">
      <c r="A54" t="str">
        <f>IFERROR(INDEX('2018 Data (WP)'!$C$9:$C$73,MATCH($B54,'2018 Data (WP)'!$D$9:$D$73,0)),"")</f>
        <v>Electric Utility (West)</v>
      </c>
      <c r="B54" t="s">
        <v>30</v>
      </c>
      <c r="C54" t="s">
        <v>71</v>
      </c>
      <c r="D54" s="35">
        <f t="shared" ca="1" si="10"/>
        <v>49</v>
      </c>
      <c r="E54" s="35">
        <f t="shared" ca="1" si="11"/>
        <v>48</v>
      </c>
      <c r="F54" s="35"/>
      <c r="G54" s="17">
        <f t="shared" ca="1" si="9"/>
        <v>0.73079996448548346</v>
      </c>
      <c r="H54" s="17">
        <f t="shared" ca="1" si="9"/>
        <v>0.69317101008179571</v>
      </c>
      <c r="I54" s="17">
        <f t="shared" ca="1" si="9"/>
        <v>0.80059084194977859</v>
      </c>
      <c r="J54" s="17">
        <f t="shared" ca="1" si="9"/>
        <v>0.55525346430450806</v>
      </c>
      <c r="K54" s="17">
        <f t="shared" ca="1" si="9"/>
        <v>0.6814456035767511</v>
      </c>
      <c r="L54" s="17">
        <f t="shared" ca="1" si="9"/>
        <v>0.82542113323124056</v>
      </c>
      <c r="M54" s="17">
        <f t="shared" ca="1" si="9"/>
        <v>0.8547817047817049</v>
      </c>
      <c r="N54" s="17">
        <f t="shared" ca="1" si="9"/>
        <v>0.78342696629213493</v>
      </c>
      <c r="O54" s="17">
        <f t="shared" ca="1" si="9"/>
        <v>0.83986863057324845</v>
      </c>
      <c r="P54" s="17">
        <f t="shared" ca="1" si="9"/>
        <v>1.0245273377618804</v>
      </c>
      <c r="Q54" s="17">
        <f t="shared" ca="1" si="9"/>
        <v>1.1240579710144927</v>
      </c>
      <c r="R54" s="57"/>
      <c r="S54" s="57"/>
      <c r="T54" s="57"/>
    </row>
    <row r="55" spans="1:20" x14ac:dyDescent="0.2">
      <c r="A55" t="str">
        <f>IFERROR(INDEX('2018 Data (WP)'!$C$9:$C$73,MATCH($B55,'2018 Data (WP)'!$D$9:$D$73,0)),"")</f>
        <v>Electric Utility (West)</v>
      </c>
      <c r="B55" t="s">
        <v>31</v>
      </c>
      <c r="C55" t="s">
        <v>72</v>
      </c>
      <c r="D55" s="35">
        <f t="shared" ca="1" si="10"/>
        <v>50</v>
      </c>
      <c r="E55" s="35">
        <f t="shared" ca="1" si="11"/>
        <v>49</v>
      </c>
      <c r="F55" s="35"/>
      <c r="G55" s="17">
        <f t="shared" ref="G55:Q64" ca="1" si="12">IFERROR(INDEX(CashFlow,$D55,G$2)/INDEX(CapSpending,$E55,G$2),"N/A")</f>
        <v>0.80687580575848727</v>
      </c>
      <c r="H55" s="17">
        <f t="shared" ca="1" si="12"/>
        <v>0.92360052829421913</v>
      </c>
      <c r="I55" s="17">
        <f t="shared" ca="1" si="12"/>
        <v>0.96537726838586446</v>
      </c>
      <c r="J55" s="17">
        <f t="shared" ca="1" si="12"/>
        <v>0.871246928090608</v>
      </c>
      <c r="K55" s="17">
        <f t="shared" ca="1" si="12"/>
        <v>0.96032516379519528</v>
      </c>
      <c r="L55" s="17">
        <f t="shared" ca="1" si="12"/>
        <v>0.91056517003509618</v>
      </c>
      <c r="M55" s="17">
        <f t="shared" ca="1" si="12"/>
        <v>0.97356076759061838</v>
      </c>
      <c r="N55" s="17">
        <f t="shared" ca="1" si="12"/>
        <v>1.0567765567765566</v>
      </c>
      <c r="O55" s="17">
        <f t="shared" ca="1" si="12"/>
        <v>0.85983086680761101</v>
      </c>
      <c r="P55" s="17">
        <f t="shared" ca="1" si="12"/>
        <v>0.99167644861807691</v>
      </c>
      <c r="Q55" s="17">
        <f t="shared" ca="1" si="12"/>
        <v>1.2773020682387037</v>
      </c>
      <c r="R55" s="57"/>
      <c r="S55" s="57"/>
      <c r="T55" s="57"/>
    </row>
    <row r="56" spans="1:20" x14ac:dyDescent="0.2">
      <c r="A56" t="str">
        <f>IFERROR(INDEX('2018 Data (WP)'!$C$9:$C$73,MATCH($B56,'2018 Data (WP)'!$D$9:$D$73,0)),"")</f>
        <v>Electric Utility (West)</v>
      </c>
      <c r="B56" t="s">
        <v>32</v>
      </c>
      <c r="C56" t="s">
        <v>74</v>
      </c>
      <c r="D56" s="35">
        <f t="shared" ca="1" si="10"/>
        <v>51</v>
      </c>
      <c r="E56" s="35">
        <f t="shared" ca="1" si="11"/>
        <v>50</v>
      </c>
      <c r="F56" s="35"/>
      <c r="G56" s="17">
        <f t="shared" ca="1" si="12"/>
        <v>0.5682240509689408</v>
      </c>
      <c r="H56" s="17">
        <f t="shared" ca="1" si="12"/>
        <v>0.56723228290317984</v>
      </c>
      <c r="I56" s="17">
        <f t="shared" ca="1" si="12"/>
        <v>0.62597267854054983</v>
      </c>
      <c r="J56" s="17">
        <f t="shared" ca="1" si="12"/>
        <v>0.80407415884641797</v>
      </c>
      <c r="K56" s="17">
        <f t="shared" ca="1" si="12"/>
        <v>0.87158329035585347</v>
      </c>
      <c r="L56" s="17">
        <f t="shared" ca="1" si="12"/>
        <v>0.7743664717348927</v>
      </c>
      <c r="M56" s="17">
        <f t="shared" ca="1" si="12"/>
        <v>0.82112068965517226</v>
      </c>
      <c r="N56" s="17">
        <f t="shared" ca="1" si="12"/>
        <v>0.69756244357508279</v>
      </c>
      <c r="O56" s="17">
        <f t="shared" ca="1" si="12"/>
        <v>0.44054189663823379</v>
      </c>
      <c r="P56" s="17">
        <f t="shared" ca="1" si="12"/>
        <v>0.42772911051212942</v>
      </c>
      <c r="Q56" s="17">
        <f t="shared" ca="1" si="12"/>
        <v>0.88550185873605947</v>
      </c>
      <c r="R56" s="57"/>
      <c r="S56" s="57"/>
      <c r="T56" s="57"/>
    </row>
    <row r="57" spans="1:20" x14ac:dyDescent="0.2">
      <c r="A57" t="str">
        <f>IFERROR(INDEX('2018 Data (WP)'!$C$9:$C$73,MATCH($B57,'2018 Data (WP)'!$D$9:$D$73,0)),"")</f>
        <v>Electric Utility (West)</v>
      </c>
      <c r="B57" t="s">
        <v>33</v>
      </c>
      <c r="C57" t="s">
        <v>92</v>
      </c>
      <c r="D57" s="35">
        <f t="shared" ca="1" si="10"/>
        <v>52</v>
      </c>
      <c r="E57" s="35">
        <f t="shared" ca="1" si="11"/>
        <v>51</v>
      </c>
      <c r="F57" s="35"/>
      <c r="G57" s="17">
        <f t="shared" ca="1" si="12"/>
        <v>0.88014011574779172</v>
      </c>
      <c r="H57" s="17">
        <f t="shared" ca="1" si="12"/>
        <v>0.7976243504083147</v>
      </c>
      <c r="I57" s="17">
        <f t="shared" ca="1" si="12"/>
        <v>0.47269478753981203</v>
      </c>
      <c r="J57" s="17">
        <f t="shared" ca="1" si="12"/>
        <v>0.58683490060707055</v>
      </c>
      <c r="K57" s="17">
        <f t="shared" ca="1" si="12"/>
        <v>1.283790523690773</v>
      </c>
      <c r="L57" s="17">
        <f t="shared" ca="1" si="12"/>
        <v>1.2466716905300177</v>
      </c>
      <c r="M57" s="17">
        <f t="shared" ca="1" si="12"/>
        <v>0.80669456066945622</v>
      </c>
      <c r="N57" s="17">
        <f t="shared" ca="1" si="12"/>
        <v>0.43970175059433758</v>
      </c>
      <c r="O57" s="17">
        <f t="shared" ca="1" si="12"/>
        <v>0.77013559875837279</v>
      </c>
      <c r="P57" s="17">
        <f t="shared" ca="1" si="12"/>
        <v>0.71650405386835236</v>
      </c>
      <c r="Q57" s="17">
        <f t="shared" ca="1" si="12"/>
        <v>0.78167115902964956</v>
      </c>
      <c r="R57" s="57"/>
      <c r="S57" s="57"/>
      <c r="T57" s="57"/>
    </row>
    <row r="58" spans="1:20" x14ac:dyDescent="0.2">
      <c r="A58" t="str">
        <f>IFERROR(INDEX('2018 Data (WP)'!$C$9:$C$73,MATCH($B58,'2018 Data (WP)'!$D$9:$D$73,0)),"")</f>
        <v>Electric Utility (East)</v>
      </c>
      <c r="B58" t="s">
        <v>34</v>
      </c>
      <c r="C58" t="s">
        <v>70</v>
      </c>
      <c r="D58" s="35">
        <f t="shared" ca="1" si="10"/>
        <v>53</v>
      </c>
      <c r="E58" s="35">
        <f t="shared" ca="1" si="11"/>
        <v>52</v>
      </c>
      <c r="F58" s="35"/>
      <c r="G58" s="17">
        <f t="shared" ca="1" si="12"/>
        <v>0.99581005586592164</v>
      </c>
      <c r="H58" s="17">
        <f t="shared" ca="1" si="12"/>
        <v>0.72038909021552544</v>
      </c>
      <c r="I58" s="17">
        <f t="shared" ca="1" si="12"/>
        <v>0.74523848282598082</v>
      </c>
      <c r="J58" s="17">
        <f t="shared" ca="1" si="12"/>
        <v>0.69425321759952108</v>
      </c>
      <c r="K58" s="17">
        <f t="shared" ca="1" si="12"/>
        <v>0.90742128935532218</v>
      </c>
      <c r="L58" s="17">
        <f t="shared" ca="1" si="12"/>
        <v>1.0674418604651164</v>
      </c>
      <c r="M58" s="17">
        <f t="shared" ca="1" si="12"/>
        <v>1.1077481840193706</v>
      </c>
      <c r="N58" s="17">
        <f t="shared" ca="1" si="12"/>
        <v>1.0668103448275861</v>
      </c>
      <c r="O58" s="17">
        <f t="shared" ca="1" si="12"/>
        <v>1.245377707342842</v>
      </c>
      <c r="P58" s="17">
        <f t="shared" ca="1" si="12"/>
        <v>1.1300398759415151</v>
      </c>
      <c r="Q58" s="17">
        <f t="shared" ca="1" si="12"/>
        <v>1.1765193370165747</v>
      </c>
      <c r="R58" s="57"/>
      <c r="S58" s="57"/>
      <c r="T58" s="57"/>
    </row>
    <row r="59" spans="1:20" x14ac:dyDescent="0.2">
      <c r="A59" t="str">
        <f>IFERROR(INDEX('2018 Data (WP)'!$C$9:$C$73,MATCH($B59,'2018 Data (WP)'!$D$9:$D$73,0)),"")</f>
        <v>Electric Utility (East)</v>
      </c>
      <c r="B59" t="s">
        <v>35</v>
      </c>
      <c r="C59" t="s">
        <v>75</v>
      </c>
      <c r="D59" s="35">
        <f t="shared" ca="1" si="10"/>
        <v>54</v>
      </c>
      <c r="E59" s="35">
        <f t="shared" ca="1" si="11"/>
        <v>53</v>
      </c>
      <c r="F59" s="35"/>
      <c r="G59" s="17">
        <f t="shared" ca="1" si="12"/>
        <v>0.60971504148130329</v>
      </c>
      <c r="H59" s="17">
        <f t="shared" ca="1" si="12"/>
        <v>0.80405493786788762</v>
      </c>
      <c r="I59" s="17">
        <f t="shared" ca="1" si="12"/>
        <v>1.0443049327354259</v>
      </c>
      <c r="J59" s="17">
        <f t="shared" ca="1" si="12"/>
        <v>0.92945834083138379</v>
      </c>
      <c r="K59" s="17">
        <f t="shared" ca="1" si="12"/>
        <v>0.95813679245283012</v>
      </c>
      <c r="L59" s="17">
        <f t="shared" ca="1" si="12"/>
        <v>1.3019188729657518</v>
      </c>
      <c r="M59" s="17">
        <f t="shared" ca="1" si="12"/>
        <v>1.2347153900210821</v>
      </c>
      <c r="N59" s="17">
        <f t="shared" ca="1" si="12"/>
        <v>1.4055273547659335</v>
      </c>
      <c r="O59" s="17">
        <f t="shared" ca="1" si="12"/>
        <v>1.3365714285714285</v>
      </c>
      <c r="P59" s="17">
        <f t="shared" ca="1" si="12"/>
        <v>1.6439079592606562</v>
      </c>
      <c r="Q59" s="17">
        <f t="shared" ca="1" si="12"/>
        <v>1.944748631159781</v>
      </c>
      <c r="R59" s="57"/>
      <c r="S59" s="57"/>
      <c r="T59" s="57"/>
    </row>
    <row r="60" spans="1:20" x14ac:dyDescent="0.2">
      <c r="A60" t="str">
        <f>IFERROR(INDEX('2018 Data (WP)'!$C$9:$C$73,MATCH($B60,'2018 Data (WP)'!$D$9:$D$73,0)),"")</f>
        <v>Electric Utility (East)</v>
      </c>
      <c r="B60" t="s">
        <v>36</v>
      </c>
      <c r="C60" t="s">
        <v>76</v>
      </c>
      <c r="D60" s="35">
        <f t="shared" ca="1" si="10"/>
        <v>56</v>
      </c>
      <c r="E60" s="35">
        <f t="shared" ca="1" si="11"/>
        <v>55</v>
      </c>
      <c r="F60" s="35"/>
      <c r="G60" s="17">
        <f t="shared" ca="1" si="12"/>
        <v>0.6592760180995475</v>
      </c>
      <c r="H60" s="17">
        <f t="shared" ca="1" si="12"/>
        <v>0.83083405626471674</v>
      </c>
      <c r="I60" s="17">
        <f t="shared" ca="1" si="12"/>
        <v>0.90303188708834292</v>
      </c>
      <c r="J60" s="17">
        <f t="shared" ca="1" si="12"/>
        <v>0.83273839877613465</v>
      </c>
      <c r="K60" s="17">
        <f t="shared" ca="1" si="12"/>
        <v>0.77261583721500371</v>
      </c>
      <c r="L60" s="17">
        <f t="shared" ca="1" si="12"/>
        <v>0.88348516015280631</v>
      </c>
      <c r="M60" s="17">
        <f t="shared" ca="1" si="12"/>
        <v>0.85947046843177199</v>
      </c>
      <c r="N60" s="17">
        <f t="shared" ca="1" si="12"/>
        <v>0.76045883940620773</v>
      </c>
      <c r="O60" s="17">
        <f t="shared" ca="1" si="12"/>
        <v>0.76325732899022802</v>
      </c>
      <c r="P60" s="17">
        <f t="shared" ca="1" si="12"/>
        <v>0.92275506919858374</v>
      </c>
      <c r="Q60" s="17">
        <f t="shared" ca="1" si="12"/>
        <v>1.2581359309276068</v>
      </c>
      <c r="R60" s="57"/>
      <c r="S60" s="57"/>
      <c r="T60" s="57"/>
    </row>
    <row r="61" spans="1:20" x14ac:dyDescent="0.2">
      <c r="A61" t="str">
        <f>IFERROR(INDEX('2018 Data (WP)'!$C$9:$C$73,MATCH($B61,'2018 Data (WP)'!$D$9:$D$73,0)),"")</f>
        <v>Electric Utility (West)</v>
      </c>
      <c r="B61" t="s">
        <v>37</v>
      </c>
      <c r="C61" t="s">
        <v>54</v>
      </c>
      <c r="D61" s="35">
        <f t="shared" ca="1" si="10"/>
        <v>57</v>
      </c>
      <c r="E61" s="35">
        <f t="shared" ca="1" si="11"/>
        <v>56</v>
      </c>
      <c r="F61" s="35"/>
      <c r="G61" s="17">
        <f t="shared" ca="1" si="12"/>
        <v>0.56381336815861327</v>
      </c>
      <c r="H61" s="17">
        <f t="shared" ca="1" si="12"/>
        <v>0.8120525529069309</v>
      </c>
      <c r="I61" s="17">
        <f t="shared" ca="1" si="12"/>
        <v>0.74191512856917496</v>
      </c>
      <c r="J61" s="17">
        <f t="shared" ca="1" si="12"/>
        <v>0.84288565725691467</v>
      </c>
      <c r="K61" s="17">
        <f t="shared" ca="1" si="12"/>
        <v>0.73171531649721222</v>
      </c>
      <c r="L61" s="17">
        <f t="shared" ca="1" si="12"/>
        <v>0.72361427486712226</v>
      </c>
      <c r="M61" s="17">
        <f t="shared" ca="1" si="12"/>
        <v>0.90438432835820892</v>
      </c>
      <c r="N61" s="17">
        <f t="shared" ca="1" si="12"/>
        <v>1.0241103661681279</v>
      </c>
      <c r="O61" s="17">
        <f t="shared" ca="1" si="12"/>
        <v>0.87343565525383693</v>
      </c>
      <c r="P61" s="17">
        <f t="shared" ca="1" si="12"/>
        <v>0.90050655929341472</v>
      </c>
      <c r="Q61" s="17">
        <f t="shared" ca="1" si="12"/>
        <v>0.92552899148117618</v>
      </c>
    </row>
    <row r="62" spans="1:20" x14ac:dyDescent="0.2">
      <c r="A62" t="str">
        <f>IFERROR(INDEX('2018 Data (WP)'!$C$9:$C$73,MATCH($B62,'2018 Data (WP)'!$D$9:$D$73,0)),"")</f>
        <v/>
      </c>
      <c r="B62" t="s">
        <v>64</v>
      </c>
      <c r="C62" t="s">
        <v>63</v>
      </c>
      <c r="D62" s="35" t="e">
        <f t="shared" ca="1" si="10"/>
        <v>#N/A</v>
      </c>
      <c r="E62" s="35" t="e">
        <f t="shared" ca="1" si="11"/>
        <v>#N/A</v>
      </c>
      <c r="F62" s="35"/>
      <c r="G62" s="17" t="str">
        <f t="shared" ca="1" si="12"/>
        <v>N/A</v>
      </c>
      <c r="H62" s="17" t="str">
        <f t="shared" ca="1" si="12"/>
        <v>N/A</v>
      </c>
      <c r="I62" s="17" t="str">
        <f t="shared" ca="1" si="12"/>
        <v>N/A</v>
      </c>
      <c r="J62" s="17" t="str">
        <f t="shared" ca="1" si="12"/>
        <v>N/A</v>
      </c>
      <c r="K62" s="17" t="str">
        <f t="shared" ca="1" si="12"/>
        <v>N/A</v>
      </c>
      <c r="L62" s="17" t="str">
        <f t="shared" ca="1" si="12"/>
        <v>N/A</v>
      </c>
      <c r="M62" s="17" t="str">
        <f t="shared" ca="1" si="12"/>
        <v>N/A</v>
      </c>
      <c r="N62" s="17" t="str">
        <f t="shared" ca="1" si="12"/>
        <v>N/A</v>
      </c>
      <c r="O62" s="17" t="str">
        <f t="shared" ca="1" si="12"/>
        <v>N/A</v>
      </c>
      <c r="P62" s="17" t="str">
        <f t="shared" ca="1" si="12"/>
        <v>N/A</v>
      </c>
      <c r="Q62" s="17" t="str">
        <f t="shared" ca="1" si="12"/>
        <v>N/A</v>
      </c>
    </row>
    <row r="63" spans="1:20" x14ac:dyDescent="0.2">
      <c r="A63" t="str">
        <f>IFERROR(INDEX('2018 Data (WP)'!$C$9:$C$73,MATCH($B63,'2018 Data (WP)'!$D$9:$D$73,0)),"")</f>
        <v>Water Utility</v>
      </c>
      <c r="B63" s="31" t="s">
        <v>196</v>
      </c>
      <c r="C63" s="31" t="s">
        <v>195</v>
      </c>
      <c r="D63" s="35">
        <f t="shared" ca="1" si="10"/>
        <v>58</v>
      </c>
      <c r="E63" s="35">
        <f t="shared" ca="1" si="11"/>
        <v>57</v>
      </c>
      <c r="F63" s="35"/>
      <c r="G63" s="17">
        <f t="shared" ca="1" si="12"/>
        <v>0.68541426927502869</v>
      </c>
      <c r="H63" s="17">
        <f t="shared" ca="1" si="12"/>
        <v>0.73620920022905145</v>
      </c>
      <c r="I63" s="17">
        <f t="shared" ca="1" si="12"/>
        <v>0.88087649402390444</v>
      </c>
      <c r="J63" s="17">
        <f t="shared" ca="1" si="12"/>
        <v>0.62005559119093434</v>
      </c>
      <c r="K63" s="17">
        <f t="shared" ca="1" si="12"/>
        <v>0.52364149611856037</v>
      </c>
      <c r="L63" s="17">
        <f t="shared" ca="1" si="12"/>
        <v>0.74673420421221015</v>
      </c>
      <c r="M63" s="17">
        <f t="shared" ca="1" si="12"/>
        <v>0.42103399433427768</v>
      </c>
      <c r="N63" s="17">
        <f t="shared" ca="1" si="12"/>
        <v>0.69589905362776028</v>
      </c>
      <c r="O63" s="17">
        <f t="shared" ca="1" si="12"/>
        <v>0.6422356973372001</v>
      </c>
      <c r="P63" s="17">
        <f t="shared" ca="1" si="12"/>
        <v>0.3472411186696901</v>
      </c>
      <c r="Q63" s="17">
        <f t="shared" ca="1" si="12"/>
        <v>0.61524547803617569</v>
      </c>
    </row>
    <row r="64" spans="1:20" x14ac:dyDescent="0.2">
      <c r="A64" t="str">
        <f>IFERROR(INDEX('2018 Data (WP)'!$C$9:$C$73,MATCH($B64,'2018 Data (WP)'!$D$9:$D$73,0)),"")</f>
        <v>Natural Gas Utility</v>
      </c>
      <c r="B64" s="31" t="s">
        <v>198</v>
      </c>
      <c r="C64" s="31" t="s">
        <v>197</v>
      </c>
      <c r="D64" s="35">
        <f t="shared" ca="1" si="10"/>
        <v>59</v>
      </c>
      <c r="E64" s="35">
        <f t="shared" ca="1" si="11"/>
        <v>58</v>
      </c>
      <c r="F64" s="35"/>
      <c r="G64" s="17">
        <f t="shared" ca="1" si="12"/>
        <v>0.76472269868496279</v>
      </c>
      <c r="H64" s="17">
        <f t="shared" ca="1" si="12"/>
        <v>0.49609856262833674</v>
      </c>
      <c r="I64" s="17">
        <f t="shared" ca="1" si="12"/>
        <v>0.53281468182724911</v>
      </c>
      <c r="J64" s="17">
        <f t="shared" ca="1" si="12"/>
        <v>0.51167596610870014</v>
      </c>
      <c r="K64" s="17">
        <f t="shared" ca="1" si="12"/>
        <v>0.5845386533665835</v>
      </c>
      <c r="L64" s="17">
        <f t="shared" ca="1" si="12"/>
        <v>0.69774718397997493</v>
      </c>
      <c r="M64" s="17">
        <f t="shared" ca="1" si="12"/>
        <v>0.753042233357194</v>
      </c>
      <c r="N64" s="17">
        <f t="shared" ca="1" si="12"/>
        <v>1.0136314067611778</v>
      </c>
      <c r="O64" s="17">
        <f t="shared" ca="1" si="12"/>
        <v>1.6679462571976966</v>
      </c>
      <c r="P64" s="17">
        <f t="shared" ca="1" si="12"/>
        <v>1.7046908315565032</v>
      </c>
      <c r="Q64" s="17">
        <f t="shared" ca="1" si="12"/>
        <v>1.395700636942675</v>
      </c>
    </row>
    <row r="65" spans="1:17" x14ac:dyDescent="0.2">
      <c r="A65" t="str">
        <f>IFERROR(INDEX('2018 Data (WP)'!$C$9:$C$73,MATCH($B65,'2018 Data (WP)'!$D$9:$D$73,0)),"")</f>
        <v>Electric Utility (East)</v>
      </c>
      <c r="B65" t="s">
        <v>38</v>
      </c>
      <c r="C65" t="s">
        <v>77</v>
      </c>
      <c r="D65" s="35">
        <f t="shared" ca="1" si="10"/>
        <v>60</v>
      </c>
      <c r="E65" s="35">
        <f t="shared" ca="1" si="11"/>
        <v>59</v>
      </c>
      <c r="F65" s="35"/>
      <c r="G65" s="17">
        <f t="shared" ref="G65:Q74" ca="1" si="13">IFERROR(INDEX(CashFlow,$D65,G$2)/INDEX(CapSpending,$E65,G$2),"N/A")</f>
        <v>0.77089825226934028</v>
      </c>
      <c r="H65" s="17">
        <f t="shared" ca="1" si="13"/>
        <v>0.8791579623975575</v>
      </c>
      <c r="I65" s="17">
        <f t="shared" ca="1" si="13"/>
        <v>0.80179222357229651</v>
      </c>
      <c r="J65" s="17">
        <f t="shared" ca="1" si="13"/>
        <v>0.85514777525170504</v>
      </c>
      <c r="K65" s="17">
        <f t="shared" ca="1" si="13"/>
        <v>0.9346806207145435</v>
      </c>
      <c r="L65" s="17">
        <f t="shared" ca="1" si="13"/>
        <v>0.93957934990439762</v>
      </c>
      <c r="M65" s="17">
        <f t="shared" ca="1" si="13"/>
        <v>0.93147574819401446</v>
      </c>
      <c r="N65" s="17">
        <f t="shared" ca="1" si="13"/>
        <v>0.77781677781677783</v>
      </c>
      <c r="O65" s="17">
        <f t="shared" ca="1" si="13"/>
        <v>0.86992348440258971</v>
      </c>
      <c r="P65" s="17">
        <f t="shared" ca="1" si="13"/>
        <v>0.90830822212656048</v>
      </c>
      <c r="Q65" s="17">
        <f t="shared" ca="1" si="13"/>
        <v>1.0002492522432702</v>
      </c>
    </row>
    <row r="66" spans="1:17" x14ac:dyDescent="0.2">
      <c r="A66" t="str">
        <f>IFERROR(INDEX('2018 Data (WP)'!$C$9:$C$73,MATCH($B66,'2018 Data (WP)'!$D$9:$D$73,0)),"")</f>
        <v>Natural Gas Utility</v>
      </c>
      <c r="B66" s="31" t="s">
        <v>200</v>
      </c>
      <c r="C66" s="31" t="s">
        <v>199</v>
      </c>
      <c r="D66" s="35">
        <f t="shared" ca="1" si="10"/>
        <v>61</v>
      </c>
      <c r="E66" s="35">
        <f t="shared" ca="1" si="11"/>
        <v>60</v>
      </c>
      <c r="F66" s="35"/>
      <c r="G66" s="17">
        <f t="shared" ca="1" si="13"/>
        <v>0.83312410329985664</v>
      </c>
      <c r="H66" s="17">
        <f t="shared" ca="1" si="13"/>
        <v>0.83699029126213587</v>
      </c>
      <c r="I66" s="17">
        <f t="shared" ca="1" si="13"/>
        <v>0.99308404641894255</v>
      </c>
      <c r="J66" s="17">
        <f t="shared" ca="1" si="13"/>
        <v>1.0491219139730212</v>
      </c>
      <c r="K66" s="17">
        <f t="shared" ca="1" si="13"/>
        <v>0.9015743440233237</v>
      </c>
      <c r="L66" s="17">
        <f t="shared" ca="1" si="13"/>
        <v>0.82098914354644159</v>
      </c>
      <c r="M66" s="17">
        <f t="shared" ca="1" si="13"/>
        <v>1.3662507929794883</v>
      </c>
      <c r="N66" s="17">
        <f t="shared" ca="1" si="13"/>
        <v>1.2793017456359101</v>
      </c>
      <c r="O66" s="17">
        <f t="shared" ca="1" si="13"/>
        <v>0.84824845451869302</v>
      </c>
      <c r="P66" s="17">
        <f t="shared" ca="1" si="13"/>
        <v>0.77973125706392055</v>
      </c>
      <c r="Q66" s="17">
        <f t="shared" ca="1" si="13"/>
        <v>0.72226926333615582</v>
      </c>
    </row>
    <row r="67" spans="1:17" x14ac:dyDescent="0.2">
      <c r="A67" t="str">
        <f>IFERROR(INDEX('2018 Data (WP)'!$C$9:$C$73,MATCH($B67,'2018 Data (WP)'!$D$9:$D$73,0)),"")</f>
        <v>Natural Gas Utility</v>
      </c>
      <c r="B67" s="31" t="s">
        <v>244</v>
      </c>
      <c r="C67" s="31" t="s">
        <v>243</v>
      </c>
      <c r="D67" s="35">
        <f t="shared" ca="1" si="10"/>
        <v>62</v>
      </c>
      <c r="E67" s="35">
        <f t="shared" ca="1" si="11"/>
        <v>61</v>
      </c>
      <c r="F67" s="35"/>
      <c r="G67" s="17">
        <f t="shared" ca="1" si="13"/>
        <v>0.95844357976653705</v>
      </c>
      <c r="H67" s="17">
        <f t="shared" ca="1" si="13"/>
        <v>0.92070616397366845</v>
      </c>
      <c r="I67" s="17">
        <f t="shared" ca="1" si="13"/>
        <v>0.97651515151515156</v>
      </c>
      <c r="J67" s="17">
        <f t="shared" ca="1" si="13"/>
        <v>0.78025</v>
      </c>
      <c r="K67" s="17">
        <f t="shared" ca="1" si="13"/>
        <v>0.94985495234148365</v>
      </c>
      <c r="L67" s="17">
        <f t="shared" ca="1" si="13"/>
        <v>1.5316749585406302</v>
      </c>
      <c r="M67" s="17">
        <f t="shared" ca="1" si="13"/>
        <v>1.6069612827532265</v>
      </c>
      <c r="N67" s="17">
        <f t="shared" ca="1" si="13"/>
        <v>1.9284807448159123</v>
      </c>
      <c r="O67" s="17">
        <f t="shared" ca="1" si="13"/>
        <v>1.63986013986014</v>
      </c>
      <c r="P67" s="17">
        <f t="shared" ca="1" si="13"/>
        <v>1.424264705882353</v>
      </c>
      <c r="Q67" s="17">
        <f t="shared" ca="1" si="13"/>
        <v>1.2829235432805659</v>
      </c>
    </row>
    <row r="68" spans="1:17" x14ac:dyDescent="0.2">
      <c r="A68" t="str">
        <f>IFERROR(INDEX('2018 Data (WP)'!$C$9:$C$73,MATCH($B68,'2018 Data (WP)'!$D$9:$D$73,0)),"")</f>
        <v/>
      </c>
      <c r="B68" t="s">
        <v>39</v>
      </c>
      <c r="C68" t="s">
        <v>78</v>
      </c>
      <c r="D68" s="35" t="e">
        <f t="shared" ca="1" si="10"/>
        <v>#N/A</v>
      </c>
      <c r="E68" s="35" t="e">
        <f t="shared" ca="1" si="11"/>
        <v>#N/A</v>
      </c>
      <c r="F68" s="35"/>
      <c r="G68" s="17" t="str">
        <f t="shared" ca="1" si="13"/>
        <v>N/A</v>
      </c>
      <c r="H68" s="17" t="str">
        <f t="shared" ca="1" si="13"/>
        <v>N/A</v>
      </c>
      <c r="I68" s="17" t="str">
        <f t="shared" ca="1" si="13"/>
        <v>N/A</v>
      </c>
      <c r="J68" s="17" t="str">
        <f t="shared" ca="1" si="13"/>
        <v>N/A</v>
      </c>
      <c r="K68" s="17" t="str">
        <f t="shared" ca="1" si="13"/>
        <v>N/A</v>
      </c>
      <c r="L68" s="17" t="str">
        <f t="shared" ca="1" si="13"/>
        <v>N/A</v>
      </c>
      <c r="M68" s="17" t="str">
        <f t="shared" ca="1" si="13"/>
        <v>N/A</v>
      </c>
      <c r="N68" s="17" t="str">
        <f t="shared" ca="1" si="13"/>
        <v>N/A</v>
      </c>
      <c r="O68" s="17" t="str">
        <f t="shared" ca="1" si="13"/>
        <v>N/A</v>
      </c>
      <c r="P68" s="17" t="str">
        <f t="shared" ca="1" si="13"/>
        <v>N/A</v>
      </c>
      <c r="Q68" s="17" t="str">
        <f t="shared" ca="1" si="13"/>
        <v>N/A</v>
      </c>
    </row>
    <row r="69" spans="1:17" x14ac:dyDescent="0.2">
      <c r="A69" t="str">
        <f>IFERROR(INDEX('2018 Data (WP)'!$C$9:$C$73,MATCH($B69,'2018 Data (WP)'!$D$9:$D$73,0)),"")</f>
        <v>Natural Gas Utility</v>
      </c>
      <c r="B69" s="31" t="s">
        <v>204</v>
      </c>
      <c r="C69" s="31" t="s">
        <v>203</v>
      </c>
      <c r="D69" s="35">
        <f t="shared" ca="1" si="10"/>
        <v>64</v>
      </c>
      <c r="E69" s="35">
        <f t="shared" ca="1" si="11"/>
        <v>63</v>
      </c>
      <c r="F69" s="35"/>
      <c r="G69" s="17">
        <f t="shared" ca="1" si="13"/>
        <v>1.3495085995085996</v>
      </c>
      <c r="H69" s="17">
        <f t="shared" ca="1" si="13"/>
        <v>1.4837685250529287</v>
      </c>
      <c r="I69" s="17">
        <f t="shared" ca="1" si="13"/>
        <v>1.5323251417769377</v>
      </c>
      <c r="J69" s="17">
        <f t="shared" ca="1" si="13"/>
        <v>1.319268635724332</v>
      </c>
      <c r="K69" s="17">
        <f t="shared" ca="1" si="13"/>
        <v>1.518426294820717</v>
      </c>
      <c r="L69" s="17">
        <f t="shared" ca="1" si="13"/>
        <v>1.2776744186046511</v>
      </c>
      <c r="M69" s="17">
        <f t="shared" ca="1" si="13"/>
        <v>1.3563653573118788</v>
      </c>
      <c r="N69" s="17">
        <f t="shared" ca="1" si="13"/>
        <v>1.5229357798165137</v>
      </c>
      <c r="O69" s="17">
        <f t="shared" ca="1" si="13"/>
        <v>1.7224149895905623</v>
      </c>
      <c r="P69" s="17">
        <f t="shared" ca="1" si="13"/>
        <v>1.6179211469534052</v>
      </c>
      <c r="Q69" s="17">
        <f t="shared" ca="1" si="13"/>
        <v>1.6947194719471945</v>
      </c>
    </row>
    <row r="70" spans="1:17" x14ac:dyDescent="0.2">
      <c r="A70" t="str">
        <f>IFERROR(INDEX('2018 Data (WP)'!$C$9:$C$73,MATCH($B70,'2018 Data (WP)'!$D$9:$D$73,0)),"")</f>
        <v/>
      </c>
      <c r="B70" t="s">
        <v>40</v>
      </c>
      <c r="C70" t="s">
        <v>81</v>
      </c>
      <c r="D70" s="35" t="e">
        <f t="shared" ca="1" si="10"/>
        <v>#N/A</v>
      </c>
      <c r="E70" s="35" t="e">
        <f t="shared" ca="1" si="11"/>
        <v>#N/A</v>
      </c>
      <c r="F70" s="35"/>
      <c r="G70" s="17" t="str">
        <f t="shared" ca="1" si="13"/>
        <v>N/A</v>
      </c>
      <c r="H70" s="17" t="str">
        <f t="shared" ca="1" si="13"/>
        <v>N/A</v>
      </c>
      <c r="I70" s="17" t="str">
        <f t="shared" ca="1" si="13"/>
        <v>N/A</v>
      </c>
      <c r="J70" s="17" t="str">
        <f t="shared" ca="1" si="13"/>
        <v>N/A</v>
      </c>
      <c r="K70" s="17" t="str">
        <f t="shared" ca="1" si="13"/>
        <v>N/A</v>
      </c>
      <c r="L70" s="17" t="str">
        <f t="shared" ca="1" si="13"/>
        <v>N/A</v>
      </c>
      <c r="M70" s="17" t="str">
        <f t="shared" ca="1" si="13"/>
        <v>N/A</v>
      </c>
      <c r="N70" s="17" t="str">
        <f t="shared" ca="1" si="13"/>
        <v>N/A</v>
      </c>
      <c r="O70" s="17" t="str">
        <f t="shared" ca="1" si="13"/>
        <v>N/A</v>
      </c>
      <c r="P70" s="17" t="str">
        <f t="shared" ca="1" si="13"/>
        <v>N/A</v>
      </c>
      <c r="Q70" s="17" t="str">
        <f t="shared" ca="1" si="13"/>
        <v>N/A</v>
      </c>
    </row>
    <row r="71" spans="1:17" x14ac:dyDescent="0.2">
      <c r="A71" t="str">
        <f>IFERROR(INDEX('2018 Data (WP)'!$C$9:$C$73,MATCH($B71,'2018 Data (WP)'!$D$9:$D$73,0)),"")</f>
        <v/>
      </c>
      <c r="B71" t="s">
        <v>41</v>
      </c>
      <c r="C71" t="s">
        <v>79</v>
      </c>
      <c r="D71" s="35" t="e">
        <f t="shared" ca="1" si="10"/>
        <v>#N/A</v>
      </c>
      <c r="E71" s="35" t="e">
        <f t="shared" ca="1" si="11"/>
        <v>#N/A</v>
      </c>
      <c r="F71" s="35"/>
      <c r="G71" s="17" t="str">
        <f t="shared" ca="1" si="13"/>
        <v>N/A</v>
      </c>
      <c r="H71" s="17" t="str">
        <f t="shared" ca="1" si="13"/>
        <v>N/A</v>
      </c>
      <c r="I71" s="17" t="str">
        <f t="shared" ca="1" si="13"/>
        <v>N/A</v>
      </c>
      <c r="J71" s="17" t="str">
        <f t="shared" ca="1" si="13"/>
        <v>N/A</v>
      </c>
      <c r="K71" s="17" t="str">
        <f t="shared" ca="1" si="13"/>
        <v>N/A</v>
      </c>
      <c r="L71" s="17" t="str">
        <f t="shared" ca="1" si="13"/>
        <v>N/A</v>
      </c>
      <c r="M71" s="17" t="str">
        <f t="shared" ca="1" si="13"/>
        <v>N/A</v>
      </c>
      <c r="N71" s="17" t="str">
        <f t="shared" ca="1" si="13"/>
        <v>N/A</v>
      </c>
      <c r="O71" s="17" t="str">
        <f t="shared" ca="1" si="13"/>
        <v>N/A</v>
      </c>
      <c r="P71" s="17" t="str">
        <f t="shared" ca="1" si="13"/>
        <v>N/A</v>
      </c>
      <c r="Q71" s="17" t="str">
        <f t="shared" ca="1" si="13"/>
        <v>N/A</v>
      </c>
    </row>
    <row r="72" spans="1:17" x14ac:dyDescent="0.2">
      <c r="A72" t="str">
        <f>IFERROR(INDEX('2018 Data (WP)'!$C$9:$C$73,MATCH($B72,'2018 Data (WP)'!$D$9:$D$73,0)),"")</f>
        <v/>
      </c>
      <c r="B72" t="s">
        <v>83</v>
      </c>
      <c r="C72" t="s">
        <v>82</v>
      </c>
      <c r="D72" s="35">
        <f t="shared" ca="1" si="10"/>
        <v>65</v>
      </c>
      <c r="E72" s="35">
        <f t="shared" ca="1" si="11"/>
        <v>64</v>
      </c>
      <c r="F72" s="35"/>
      <c r="G72" s="17">
        <f t="shared" ca="1" si="13"/>
        <v>0.75125448028673847</v>
      </c>
      <c r="H72" s="17">
        <f t="shared" ca="1" si="13"/>
        <v>0.69297064368435224</v>
      </c>
      <c r="I72" s="17">
        <f t="shared" ca="1" si="13"/>
        <v>0.72137060414788101</v>
      </c>
      <c r="J72" s="17">
        <f t="shared" ca="1" si="13"/>
        <v>0.66254253015774822</v>
      </c>
      <c r="K72" s="17">
        <f t="shared" ca="1" si="13"/>
        <v>0.7765037215851941</v>
      </c>
      <c r="L72" s="17">
        <f t="shared" ca="1" si="13"/>
        <v>0.79800498753117211</v>
      </c>
      <c r="M72" s="17">
        <f t="shared" ca="1" si="13"/>
        <v>0.7734357848518113</v>
      </c>
      <c r="N72" s="17">
        <f t="shared" ca="1" si="13"/>
        <v>0.63540705187373092</v>
      </c>
      <c r="O72" s="17">
        <f t="shared" ca="1" si="13"/>
        <v>1.0140418502202642</v>
      </c>
      <c r="P72" s="17">
        <f t="shared" ca="1" si="13"/>
        <v>0.81225715294948786</v>
      </c>
      <c r="Q72" s="17">
        <f t="shared" ca="1" si="13"/>
        <v>0.71649311387302661</v>
      </c>
    </row>
    <row r="73" spans="1:17" x14ac:dyDescent="0.2">
      <c r="A73" t="str">
        <f>IFERROR(INDEX('2018 Data (WP)'!$C$9:$C$73,MATCH($B73,'2018 Data (WP)'!$D$9:$D$73,0)),"")</f>
        <v>Electric Util. (Central)</v>
      </c>
      <c r="B73" t="s">
        <v>42</v>
      </c>
      <c r="C73" t="s">
        <v>89</v>
      </c>
      <c r="D73" s="35">
        <f t="shared" ca="1" si="10"/>
        <v>66</v>
      </c>
      <c r="E73" s="35">
        <f t="shared" ca="1" si="11"/>
        <v>65</v>
      </c>
      <c r="F73" s="35"/>
      <c r="G73" s="17">
        <f t="shared" ca="1" si="13"/>
        <v>0.87014377485469563</v>
      </c>
      <c r="H73" s="17">
        <f t="shared" ca="1" si="13"/>
        <v>0.95104166666666667</v>
      </c>
      <c r="I73" s="17">
        <f t="shared" ca="1" si="13"/>
        <v>0.98231066887783325</v>
      </c>
      <c r="J73" s="17">
        <f t="shared" ca="1" si="13"/>
        <v>1.053414327607876</v>
      </c>
      <c r="K73" s="17">
        <f t="shared" ca="1" si="13"/>
        <v>1.1307865168539326</v>
      </c>
      <c r="L73" s="17">
        <f t="shared" ca="1" si="13"/>
        <v>1.2011215906194239</v>
      </c>
      <c r="M73" s="17">
        <f t="shared" ca="1" si="13"/>
        <v>1.3088712054229297</v>
      </c>
      <c r="N73" s="17">
        <f t="shared" ca="1" si="13"/>
        <v>0.82616857518302977</v>
      </c>
      <c r="O73" s="17">
        <f t="shared" ca="1" si="13"/>
        <v>0.82159138002486531</v>
      </c>
      <c r="P73" s="17">
        <f t="shared" ca="1" si="13"/>
        <v>0.9801415202008672</v>
      </c>
      <c r="Q73" s="17">
        <f t="shared" ca="1" si="13"/>
        <v>0.99891833423472143</v>
      </c>
    </row>
    <row r="74" spans="1:17" x14ac:dyDescent="0.2">
      <c r="A74" t="str">
        <f>IFERROR(INDEX('2018 Data (WP)'!$C$9:$C$73,MATCH($B74,'2018 Data (WP)'!$D$9:$D$73,0)),"")</f>
        <v>Electric Util. (Central)</v>
      </c>
      <c r="B74" t="s">
        <v>44</v>
      </c>
      <c r="C74" t="s">
        <v>217</v>
      </c>
      <c r="D74" s="35">
        <f t="shared" ca="1" si="10"/>
        <v>67</v>
      </c>
      <c r="E74" s="35">
        <f t="shared" ca="1" si="11"/>
        <v>66</v>
      </c>
      <c r="F74" s="35"/>
      <c r="G74" s="17">
        <f t="shared" ca="1" si="13"/>
        <v>1.1950786965196187</v>
      </c>
      <c r="H74" s="17">
        <f t="shared" ca="1" si="13"/>
        <v>0.96509598603839442</v>
      </c>
      <c r="I74" s="17">
        <f t="shared" ref="G74:Q78" ca="1" si="14">IFERROR(INDEX(CashFlow,$D74,I$2)/INDEX(CapSpending,$E74,I$2),"N/A")</f>
        <v>1.3688725490196079</v>
      </c>
      <c r="J74" s="17">
        <f t="shared" ca="1" si="14"/>
        <v>1.4220907297830374</v>
      </c>
      <c r="K74" s="17">
        <f t="shared" ca="1" si="14"/>
        <v>1.2983479105928084</v>
      </c>
      <c r="L74" s="17">
        <f t="shared" ca="1" si="14"/>
        <v>1.0219140083217753</v>
      </c>
      <c r="M74" s="17">
        <f t="shared" ca="1" si="14"/>
        <v>0.96719390743995315</v>
      </c>
      <c r="N74" s="17">
        <f t="shared" ca="1" si="14"/>
        <v>0.88876179582499293</v>
      </c>
      <c r="O74" s="17">
        <f t="shared" ca="1" si="14"/>
        <v>0.6076495990129549</v>
      </c>
      <c r="P74" s="17">
        <f t="shared" ca="1" si="14"/>
        <v>0.56474820143884896</v>
      </c>
      <c r="Q74" s="17">
        <f t="shared" ca="1" si="14"/>
        <v>0.69429803545759461</v>
      </c>
    </row>
    <row r="75" spans="1:17" x14ac:dyDescent="0.2">
      <c r="A75" t="str">
        <f>IFERROR(INDEX('2018 Data (WP)'!$C$9:$C$73,MATCH($B75,'2018 Data (WP)'!$D$9:$D$73,0)),"")</f>
        <v>Electric Util. (Central)</v>
      </c>
      <c r="B75" t="s">
        <v>43</v>
      </c>
      <c r="C75" t="s">
        <v>87</v>
      </c>
      <c r="D75" s="35">
        <f t="shared" ca="1" si="10"/>
        <v>68</v>
      </c>
      <c r="E75" s="35">
        <f t="shared" ca="1" si="11"/>
        <v>67</v>
      </c>
      <c r="F75" s="35"/>
      <c r="G75" s="17">
        <f t="shared" ca="1" si="14"/>
        <v>0.63031567962431512</v>
      </c>
      <c r="H75" s="17">
        <f t="shared" ca="1" si="14"/>
        <v>0.86051675413807027</v>
      </c>
      <c r="I75" s="17">
        <f t="shared" ca="1" si="14"/>
        <v>0.70386398763523961</v>
      </c>
      <c r="J75" s="17">
        <f t="shared" ca="1" si="14"/>
        <v>0.72443275238408411</v>
      </c>
      <c r="K75" s="17">
        <f t="shared" ca="1" si="14"/>
        <v>0.67135050741608115</v>
      </c>
      <c r="L75" s="17">
        <f t="shared" ca="1" si="14"/>
        <v>0.71454316092989723</v>
      </c>
      <c r="M75" s="17">
        <f t="shared" ca="1" si="14"/>
        <v>0.87917791156321368</v>
      </c>
      <c r="N75" s="17">
        <f t="shared" ca="1" si="14"/>
        <v>0.68346965950161698</v>
      </c>
      <c r="O75" s="17">
        <f t="shared" ca="1" si="14"/>
        <v>0.36230209176008316</v>
      </c>
      <c r="P75" s="17">
        <f t="shared" ca="1" si="14"/>
        <v>0.48156182212581344</v>
      </c>
      <c r="Q75" s="17">
        <f t="shared" ca="1" si="14"/>
        <v>0.99898631525595538</v>
      </c>
    </row>
    <row r="76" spans="1:17" x14ac:dyDescent="0.2">
      <c r="A76" t="str">
        <f>IFERROR(INDEX('2018 Data (WP)'!$C$9:$C$73,MATCH($B76,'2018 Data (WP)'!$D$9:$D$73,0)),"")</f>
        <v>Natural Gas Utility</v>
      </c>
      <c r="B76" s="31" t="s">
        <v>206</v>
      </c>
      <c r="C76" s="31" t="s">
        <v>205</v>
      </c>
      <c r="D76" s="35">
        <f t="shared" ca="1" si="10"/>
        <v>69</v>
      </c>
      <c r="E76" s="35">
        <f t="shared" ca="1" si="11"/>
        <v>68</v>
      </c>
      <c r="F76" s="35"/>
      <c r="G76" s="17">
        <f t="shared" ca="1" si="14"/>
        <v>0.55874092009685239</v>
      </c>
      <c r="H76" s="17">
        <f t="shared" ca="1" si="14"/>
        <v>0.60057902637786831</v>
      </c>
      <c r="I76" s="17">
        <f t="shared" ca="1" si="14"/>
        <v>0.62934312311524843</v>
      </c>
      <c r="J76" s="17">
        <f t="shared" ca="1" si="14"/>
        <v>0.70953326713008935</v>
      </c>
      <c r="K76" s="17">
        <f t="shared" ca="1" si="14"/>
        <v>0.93003693065244164</v>
      </c>
      <c r="L76" s="17">
        <f t="shared" ca="1" si="14"/>
        <v>1.0193040386080772</v>
      </c>
      <c r="M76" s="17">
        <f t="shared" ca="1" si="14"/>
        <v>1.5971250971250972</v>
      </c>
      <c r="N76" s="17">
        <f t="shared" ca="1" si="14"/>
        <v>1.6039711191335739</v>
      </c>
      <c r="O76" s="17">
        <f t="shared" ca="1" si="14"/>
        <v>1.6046597633136095</v>
      </c>
      <c r="P76" s="17">
        <f t="shared" ca="1" si="14"/>
        <v>1.1683198076345056</v>
      </c>
      <c r="Q76" s="17">
        <f t="shared" ca="1" si="14"/>
        <v>1.1753365973072216</v>
      </c>
    </row>
    <row r="77" spans="1:17" x14ac:dyDescent="0.2">
      <c r="A77" t="str">
        <f>IFERROR(INDEX('2018 Data (WP)'!$C$9:$C$73,MATCH($B77,'2018 Data (WP)'!$D$9:$D$73,0)),"")</f>
        <v>Electric Utility (West)</v>
      </c>
      <c r="B77" t="s">
        <v>45</v>
      </c>
      <c r="C77" t="s">
        <v>65</v>
      </c>
      <c r="D77" s="35">
        <f t="shared" ca="1" si="10"/>
        <v>70</v>
      </c>
      <c r="E77" s="35">
        <f t="shared" ca="1" si="11"/>
        <v>69</v>
      </c>
      <c r="F77" s="35"/>
      <c r="G77" s="17">
        <f t="shared" ca="1" si="14"/>
        <v>0.78575880336553439</v>
      </c>
      <c r="H77" s="17">
        <f t="shared" ca="1" si="14"/>
        <v>0.62794543199669295</v>
      </c>
      <c r="I77" s="17">
        <f t="shared" ca="1" si="14"/>
        <v>0.67725620357199312</v>
      </c>
      <c r="J77" s="17">
        <f t="shared" ca="1" si="14"/>
        <v>0.60149603989439726</v>
      </c>
      <c r="K77" s="17">
        <f t="shared" ca="1" si="14"/>
        <v>0.75963546610973987</v>
      </c>
      <c r="L77" s="17">
        <f t="shared" ca="1" si="14"/>
        <v>0.83480370533745041</v>
      </c>
      <c r="M77" s="17">
        <f t="shared" ca="1" si="14"/>
        <v>0.76397650641722858</v>
      </c>
      <c r="N77" s="17">
        <f t="shared" ca="1" si="14"/>
        <v>0.89016897081413204</v>
      </c>
      <c r="O77" s="17">
        <f t="shared" ca="1" si="14"/>
        <v>0.75198625724715473</v>
      </c>
      <c r="P77" s="17">
        <f t="shared" ca="1" si="14"/>
        <v>0.70633946830265859</v>
      </c>
      <c r="Q77" s="17">
        <f t="shared" ca="1" si="14"/>
        <v>0.90265265265265271</v>
      </c>
    </row>
    <row r="78" spans="1:17" x14ac:dyDescent="0.2">
      <c r="A78" t="str">
        <f>IFERROR(INDEX('2018 Data (WP)'!$C$9:$C$73,MATCH($B78,'2018 Data (WP)'!$D$9:$D$73,0)),"")</f>
        <v>Water Utility</v>
      </c>
      <c r="B78" s="31" t="s">
        <v>208</v>
      </c>
      <c r="C78" s="31" t="s">
        <v>207</v>
      </c>
      <c r="D78" s="35">
        <f t="shared" ca="1" si="10"/>
        <v>71</v>
      </c>
      <c r="E78" s="35">
        <f t="shared" ca="1" si="11"/>
        <v>70</v>
      </c>
      <c r="F78" s="35"/>
      <c r="G78" s="17" t="str">
        <f t="shared" ca="1" si="14"/>
        <v>N/A</v>
      </c>
      <c r="H78" s="17">
        <f t="shared" ca="1" si="14"/>
        <v>1.3131768953068592</v>
      </c>
      <c r="I78" s="17">
        <f t="shared" ca="1" si="14"/>
        <v>1.2313974591651542</v>
      </c>
      <c r="J78" s="17">
        <f t="shared" ca="1" si="14"/>
        <v>1.5625823451910408</v>
      </c>
      <c r="K78" s="17">
        <f t="shared" ca="1" si="14"/>
        <v>1.1851851851851853</v>
      </c>
      <c r="L78" s="17">
        <f t="shared" ca="1" si="14"/>
        <v>1.4783783783783786</v>
      </c>
      <c r="M78" s="17">
        <f t="shared" ca="1" si="14"/>
        <v>1.2815884476534296</v>
      </c>
      <c r="N78" s="17">
        <f t="shared" ca="1" si="14"/>
        <v>0.80697278911564629</v>
      </c>
      <c r="O78" s="17">
        <f t="shared" ca="1" si="14"/>
        <v>0.40681086056143578</v>
      </c>
      <c r="P78" s="17">
        <f t="shared" ca="1" si="14"/>
        <v>0.50620934358367831</v>
      </c>
      <c r="Q78" s="17">
        <f t="shared" ca="1" si="14"/>
        <v>0.41657638136511377</v>
      </c>
    </row>
    <row r="79" spans="1:17" x14ac:dyDescent="0.2">
      <c r="B79" s="31"/>
      <c r="C79" s="31"/>
      <c r="D79" s="35"/>
      <c r="E79" s="35"/>
      <c r="F79" s="35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</row>
  </sheetData>
  <autoFilter ref="A4:T78"/>
  <pageMargins left="0.7" right="0.7" top="0.75" bottom="0.75" header="0.3" footer="0.3"/>
  <pageSetup fitToHeight="0" orientation="landscape" r:id="rId1"/>
  <headerFooter>
    <oddFooter>&amp;R&amp;A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pageSetUpPr fitToPage="1"/>
  </sheetPr>
  <dimension ref="A1:Y68"/>
  <sheetViews>
    <sheetView view="pageBreakPreview" zoomScale="60" zoomScaleNormal="100" workbookViewId="0">
      <selection activeCell="B2" sqref="B2:J2"/>
    </sheetView>
  </sheetViews>
  <sheetFormatPr defaultRowHeight="14.25" x14ac:dyDescent="0.2"/>
  <cols>
    <col min="1" max="1" width="24.625" customWidth="1"/>
    <col min="3" max="10" width="9.375" customWidth="1"/>
  </cols>
  <sheetData>
    <row r="1" spans="1:25" x14ac:dyDescent="0.2">
      <c r="A1" s="125">
        <v>43290</v>
      </c>
      <c r="B1" t="s">
        <v>376</v>
      </c>
    </row>
    <row r="2" spans="1:25" x14ac:dyDescent="0.2">
      <c r="B2" s="120">
        <f>COLUMN()-1</f>
        <v>1</v>
      </c>
      <c r="C2" s="120">
        <f t="shared" ref="C2:J2" si="0">COLUMN()-1</f>
        <v>2</v>
      </c>
      <c r="D2" s="120">
        <f t="shared" si="0"/>
        <v>3</v>
      </c>
      <c r="E2" s="120">
        <f t="shared" si="0"/>
        <v>4</v>
      </c>
      <c r="F2" s="120">
        <f t="shared" si="0"/>
        <v>5</v>
      </c>
      <c r="G2" s="120">
        <f t="shared" si="0"/>
        <v>6</v>
      </c>
      <c r="H2" s="120">
        <f t="shared" si="0"/>
        <v>7</v>
      </c>
      <c r="I2" s="120">
        <f t="shared" si="0"/>
        <v>8</v>
      </c>
      <c r="J2" s="120">
        <f t="shared" si="0"/>
        <v>9</v>
      </c>
    </row>
    <row r="3" spans="1:25" ht="42.75" x14ac:dyDescent="0.2">
      <c r="A3" t="s">
        <v>117</v>
      </c>
      <c r="B3" t="s">
        <v>118</v>
      </c>
      <c r="C3" s="119" t="s">
        <v>364</v>
      </c>
      <c r="D3" s="119" t="s">
        <v>365</v>
      </c>
      <c r="E3" s="119" t="s">
        <v>366</v>
      </c>
      <c r="F3" s="119" t="s">
        <v>367</v>
      </c>
      <c r="G3" s="119" t="s">
        <v>368</v>
      </c>
      <c r="H3" s="119" t="s">
        <v>369</v>
      </c>
      <c r="I3" s="119" t="s">
        <v>370</v>
      </c>
      <c r="J3" s="119" t="s">
        <v>371</v>
      </c>
      <c r="R3" s="119"/>
      <c r="S3" s="119"/>
      <c r="T3" s="119"/>
      <c r="U3" s="119"/>
      <c r="V3" s="119"/>
      <c r="W3" s="119"/>
      <c r="X3" s="119"/>
      <c r="Y3" s="119"/>
    </row>
    <row r="4" spans="1:25" x14ac:dyDescent="0.2">
      <c r="A4" t="s">
        <v>435</v>
      </c>
      <c r="B4" t="s">
        <v>163</v>
      </c>
      <c r="C4">
        <v>0.627</v>
      </c>
      <c r="G4">
        <v>3.11</v>
      </c>
    </row>
    <row r="5" spans="1:25" x14ac:dyDescent="0.2">
      <c r="A5" t="s">
        <v>91</v>
      </c>
      <c r="B5" t="s">
        <v>0</v>
      </c>
      <c r="C5">
        <v>4.08</v>
      </c>
      <c r="D5">
        <v>6.3</v>
      </c>
      <c r="E5">
        <v>6.9</v>
      </c>
      <c r="F5">
        <v>6.75</v>
      </c>
      <c r="G5">
        <v>6.5890000000000004</v>
      </c>
      <c r="H5">
        <v>6.85</v>
      </c>
      <c r="I5">
        <v>7.2</v>
      </c>
      <c r="J5">
        <v>8.5</v>
      </c>
    </row>
    <row r="6" spans="1:25" x14ac:dyDescent="0.2">
      <c r="A6" t="s">
        <v>84</v>
      </c>
      <c r="B6" t="s">
        <v>1</v>
      </c>
      <c r="C6">
        <v>6.3410000000000002</v>
      </c>
      <c r="D6">
        <v>6.75</v>
      </c>
      <c r="E6">
        <v>7.1</v>
      </c>
      <c r="F6">
        <v>5.3</v>
      </c>
      <c r="G6">
        <v>3.1019999999999999</v>
      </c>
      <c r="H6">
        <v>4.25</v>
      </c>
      <c r="I6">
        <v>4.45</v>
      </c>
      <c r="J6">
        <v>5</v>
      </c>
    </row>
    <row r="7" spans="1:25" x14ac:dyDescent="0.2">
      <c r="A7" t="s">
        <v>436</v>
      </c>
      <c r="B7" t="s">
        <v>2</v>
      </c>
      <c r="C7">
        <v>11.787000000000001</v>
      </c>
      <c r="D7">
        <v>12.5</v>
      </c>
      <c r="E7">
        <v>12.95</v>
      </c>
      <c r="F7">
        <v>11.25</v>
      </c>
      <c r="G7">
        <v>7.9459999999999997</v>
      </c>
      <c r="H7">
        <v>8.4499999999999993</v>
      </c>
      <c r="I7">
        <v>8.9</v>
      </c>
      <c r="J7">
        <v>10.25</v>
      </c>
    </row>
    <row r="8" spans="1:25" x14ac:dyDescent="0.2">
      <c r="A8" t="s">
        <v>437</v>
      </c>
      <c r="B8" t="s">
        <v>165</v>
      </c>
      <c r="C8">
        <v>3.0840000000000001</v>
      </c>
      <c r="D8">
        <v>3.4</v>
      </c>
      <c r="E8">
        <v>3.4</v>
      </c>
      <c r="F8">
        <v>3.25</v>
      </c>
      <c r="G8">
        <v>2.9550000000000001</v>
      </c>
      <c r="H8">
        <v>3.05</v>
      </c>
      <c r="I8">
        <v>3.25</v>
      </c>
      <c r="J8">
        <v>4</v>
      </c>
    </row>
    <row r="9" spans="1:25" x14ac:dyDescent="0.2">
      <c r="A9" t="s">
        <v>438</v>
      </c>
      <c r="B9" t="s">
        <v>167</v>
      </c>
      <c r="C9">
        <v>8.0359999999999996</v>
      </c>
      <c r="D9">
        <v>9.6</v>
      </c>
      <c r="E9">
        <v>9.5500000000000007</v>
      </c>
      <c r="F9">
        <v>9.1999999999999993</v>
      </c>
      <c r="G9">
        <v>5.14</v>
      </c>
      <c r="H9">
        <v>5.8</v>
      </c>
      <c r="I9">
        <v>6.3</v>
      </c>
      <c r="J9">
        <v>7.7</v>
      </c>
    </row>
    <row r="10" spans="1:25" x14ac:dyDescent="0.2">
      <c r="A10" t="s">
        <v>80</v>
      </c>
      <c r="B10" t="s">
        <v>3</v>
      </c>
      <c r="C10">
        <v>9.0470000000000006</v>
      </c>
      <c r="D10">
        <v>9.8000000000000007</v>
      </c>
      <c r="E10">
        <v>11.25</v>
      </c>
      <c r="F10">
        <v>9.5</v>
      </c>
      <c r="G10">
        <v>6.8040000000000003</v>
      </c>
      <c r="H10">
        <v>7.4</v>
      </c>
      <c r="I10">
        <v>7.9</v>
      </c>
      <c r="J10">
        <v>9.5</v>
      </c>
    </row>
    <row r="11" spans="1:25" x14ac:dyDescent="0.2">
      <c r="A11" t="s">
        <v>439</v>
      </c>
      <c r="B11" t="s">
        <v>169</v>
      </c>
      <c r="C11">
        <v>1.056</v>
      </c>
      <c r="D11">
        <v>1.2</v>
      </c>
      <c r="E11">
        <v>1.25</v>
      </c>
      <c r="F11">
        <v>1.45</v>
      </c>
      <c r="G11">
        <v>3.7930000000000001</v>
      </c>
      <c r="H11">
        <v>4</v>
      </c>
      <c r="I11">
        <v>4.2</v>
      </c>
      <c r="J11">
        <v>4.7</v>
      </c>
    </row>
    <row r="12" spans="1:25" x14ac:dyDescent="0.2">
      <c r="A12" t="s">
        <v>440</v>
      </c>
      <c r="B12" t="s">
        <v>171</v>
      </c>
      <c r="C12">
        <v>2.69</v>
      </c>
      <c r="D12">
        <v>2.65</v>
      </c>
      <c r="E12">
        <v>2.65</v>
      </c>
      <c r="F12">
        <v>2.1</v>
      </c>
      <c r="G12">
        <v>2.1179999999999999</v>
      </c>
      <c r="H12">
        <v>2.2000000000000002</v>
      </c>
      <c r="I12">
        <v>2.4</v>
      </c>
      <c r="J12">
        <v>2.9</v>
      </c>
    </row>
    <row r="13" spans="1:25" x14ac:dyDescent="0.2">
      <c r="A13" t="s">
        <v>441</v>
      </c>
      <c r="B13" t="s">
        <v>173</v>
      </c>
      <c r="C13">
        <v>4.4589999999999996</v>
      </c>
      <c r="G13">
        <v>2.5539999999999998</v>
      </c>
    </row>
    <row r="14" spans="1:25" x14ac:dyDescent="0.2">
      <c r="A14" t="s">
        <v>442</v>
      </c>
      <c r="B14" t="s">
        <v>175</v>
      </c>
      <c r="C14">
        <v>10.717000000000001</v>
      </c>
      <c r="D14">
        <v>12.3</v>
      </c>
      <c r="E14">
        <v>13</v>
      </c>
      <c r="F14">
        <v>14.2</v>
      </c>
      <c r="G14">
        <v>6.6180000000000003</v>
      </c>
      <c r="H14">
        <v>7.15</v>
      </c>
      <c r="I14">
        <v>7.5</v>
      </c>
      <c r="J14">
        <v>8.6</v>
      </c>
    </row>
    <row r="15" spans="1:25" x14ac:dyDescent="0.2">
      <c r="A15" t="s">
        <v>443</v>
      </c>
      <c r="B15" t="s">
        <v>260</v>
      </c>
      <c r="C15">
        <v>7.819</v>
      </c>
      <c r="D15">
        <v>7.75</v>
      </c>
      <c r="E15">
        <v>7.75</v>
      </c>
      <c r="F15">
        <v>7.75</v>
      </c>
      <c r="G15">
        <v>4.4889999999999999</v>
      </c>
      <c r="H15">
        <v>5.2</v>
      </c>
      <c r="I15">
        <v>5.6</v>
      </c>
      <c r="J15">
        <v>6.75</v>
      </c>
    </row>
    <row r="16" spans="1:25" x14ac:dyDescent="0.2">
      <c r="A16" t="s">
        <v>86</v>
      </c>
      <c r="B16" t="s">
        <v>4</v>
      </c>
      <c r="C16">
        <v>6.2960000000000003</v>
      </c>
      <c r="D16">
        <v>6.15</v>
      </c>
      <c r="E16">
        <v>6.05</v>
      </c>
      <c r="F16">
        <v>6.25</v>
      </c>
      <c r="G16">
        <v>4.8739999999999997</v>
      </c>
      <c r="H16">
        <v>5.0999999999999996</v>
      </c>
      <c r="I16">
        <v>5.4</v>
      </c>
      <c r="J16">
        <v>6.5</v>
      </c>
    </row>
    <row r="17" spans="1:10" x14ac:dyDescent="0.2">
      <c r="A17" t="s">
        <v>46</v>
      </c>
      <c r="B17" t="s">
        <v>5</v>
      </c>
      <c r="C17">
        <v>6.0890000000000004</v>
      </c>
      <c r="D17">
        <v>7.25</v>
      </c>
      <c r="E17">
        <v>8.5</v>
      </c>
      <c r="F17">
        <v>6.75</v>
      </c>
      <c r="G17">
        <v>7.1539999999999999</v>
      </c>
      <c r="H17">
        <v>6.75</v>
      </c>
      <c r="I17">
        <v>7.25</v>
      </c>
      <c r="J17">
        <v>8.5</v>
      </c>
    </row>
    <row r="18" spans="1:10" x14ac:dyDescent="0.2">
      <c r="A18" t="s">
        <v>444</v>
      </c>
      <c r="B18" t="s">
        <v>177</v>
      </c>
      <c r="C18">
        <v>5.399</v>
      </c>
      <c r="D18">
        <v>4.3499999999999996</v>
      </c>
      <c r="E18">
        <v>3.95</v>
      </c>
      <c r="F18">
        <v>3.65</v>
      </c>
      <c r="G18">
        <v>2.9990000000000001</v>
      </c>
      <c r="H18">
        <v>2.8</v>
      </c>
      <c r="I18">
        <v>3</v>
      </c>
      <c r="J18">
        <v>3.3</v>
      </c>
    </row>
    <row r="19" spans="1:10" x14ac:dyDescent="0.2">
      <c r="A19" t="s">
        <v>90</v>
      </c>
      <c r="B19" t="s">
        <v>6</v>
      </c>
      <c r="C19">
        <v>3.3079999999999998</v>
      </c>
      <c r="D19">
        <v>3.85</v>
      </c>
      <c r="E19">
        <v>3.75</v>
      </c>
      <c r="F19">
        <v>3.75</v>
      </c>
      <c r="G19">
        <v>4.0339999999999998</v>
      </c>
      <c r="H19">
        <v>4.25</v>
      </c>
      <c r="I19">
        <v>4.5</v>
      </c>
      <c r="J19">
        <v>5.25</v>
      </c>
    </row>
    <row r="20" spans="1:10" x14ac:dyDescent="0.2">
      <c r="A20" t="s">
        <v>445</v>
      </c>
      <c r="B20" t="s">
        <v>178</v>
      </c>
      <c r="C20">
        <v>10.727</v>
      </c>
      <c r="D20">
        <v>10.7</v>
      </c>
      <c r="E20">
        <v>10.8</v>
      </c>
      <c r="F20">
        <v>11.8</v>
      </c>
      <c r="G20">
        <v>5.4169999999999998</v>
      </c>
      <c r="H20">
        <v>6.2</v>
      </c>
      <c r="I20">
        <v>6.55</v>
      </c>
      <c r="J20">
        <v>8.25</v>
      </c>
    </row>
    <row r="21" spans="1:10" x14ac:dyDescent="0.2">
      <c r="A21" t="s">
        <v>47</v>
      </c>
      <c r="B21" t="s">
        <v>9</v>
      </c>
      <c r="C21">
        <v>5.9119999999999999</v>
      </c>
      <c r="D21">
        <v>7.4</v>
      </c>
      <c r="E21">
        <v>8.4</v>
      </c>
      <c r="F21">
        <v>6.5</v>
      </c>
      <c r="G21">
        <v>5.2869999999999999</v>
      </c>
      <c r="H21">
        <v>5.65</v>
      </c>
      <c r="I21">
        <v>5.95</v>
      </c>
      <c r="J21">
        <v>7</v>
      </c>
    </row>
    <row r="22" spans="1:10" x14ac:dyDescent="0.2">
      <c r="A22" t="s">
        <v>446</v>
      </c>
      <c r="B22" t="s">
        <v>180</v>
      </c>
      <c r="C22">
        <v>4.3949999999999996</v>
      </c>
      <c r="D22">
        <v>4.45</v>
      </c>
      <c r="E22">
        <v>4</v>
      </c>
      <c r="F22">
        <v>3.35</v>
      </c>
      <c r="G22">
        <v>3.3919999999999999</v>
      </c>
      <c r="H22">
        <v>3.35</v>
      </c>
      <c r="I22">
        <v>3.85</v>
      </c>
      <c r="J22">
        <v>4.5</v>
      </c>
    </row>
    <row r="23" spans="1:10" x14ac:dyDescent="0.2">
      <c r="A23" t="s">
        <v>50</v>
      </c>
      <c r="B23" t="s">
        <v>10</v>
      </c>
      <c r="C23">
        <v>11.106</v>
      </c>
      <c r="D23">
        <v>12.5</v>
      </c>
      <c r="E23">
        <v>11.15</v>
      </c>
      <c r="F23">
        <v>11.25</v>
      </c>
      <c r="G23">
        <v>8.41</v>
      </c>
      <c r="H23">
        <v>8.75</v>
      </c>
      <c r="I23">
        <v>9.15</v>
      </c>
      <c r="J23">
        <v>10.5</v>
      </c>
    </row>
    <row r="24" spans="1:10" x14ac:dyDescent="0.2">
      <c r="A24" t="s">
        <v>447</v>
      </c>
      <c r="B24" t="s">
        <v>182</v>
      </c>
      <c r="C24">
        <v>0.307</v>
      </c>
      <c r="D24">
        <v>0.2</v>
      </c>
      <c r="E24">
        <v>0.2</v>
      </c>
      <c r="F24">
        <v>1.9</v>
      </c>
      <c r="G24">
        <v>1.117</v>
      </c>
      <c r="H24">
        <v>1.05</v>
      </c>
      <c r="I24">
        <v>1.1499999999999999</v>
      </c>
      <c r="J24">
        <v>1.9</v>
      </c>
    </row>
    <row r="25" spans="1:10" x14ac:dyDescent="0.2">
      <c r="A25" t="s">
        <v>448</v>
      </c>
      <c r="B25" t="s">
        <v>11</v>
      </c>
      <c r="C25">
        <v>8.5389999999999997</v>
      </c>
      <c r="D25">
        <v>7.35</v>
      </c>
      <c r="E25">
        <v>6.95</v>
      </c>
      <c r="F25">
        <v>7.5</v>
      </c>
      <c r="G25">
        <v>6.8970000000000002</v>
      </c>
      <c r="H25">
        <v>7.15</v>
      </c>
      <c r="I25">
        <v>8.0500000000000007</v>
      </c>
      <c r="J25">
        <v>9.5</v>
      </c>
    </row>
    <row r="26" spans="1:10" x14ac:dyDescent="0.2">
      <c r="A26" t="s">
        <v>51</v>
      </c>
      <c r="B26" t="s">
        <v>12</v>
      </c>
      <c r="C26">
        <v>12.542999999999999</v>
      </c>
      <c r="D26">
        <v>19.5</v>
      </c>
      <c r="E26">
        <v>13.3</v>
      </c>
      <c r="F26">
        <v>13.25</v>
      </c>
      <c r="G26">
        <v>11.773</v>
      </c>
      <c r="H26">
        <v>12.35</v>
      </c>
      <c r="I26">
        <v>12.8</v>
      </c>
      <c r="J26">
        <v>15.75</v>
      </c>
    </row>
    <row r="27" spans="1:10" x14ac:dyDescent="0.2">
      <c r="A27" t="s">
        <v>93</v>
      </c>
      <c r="B27" t="s">
        <v>13</v>
      </c>
      <c r="C27">
        <v>11.503</v>
      </c>
      <c r="D27">
        <v>15.05</v>
      </c>
      <c r="E27">
        <v>15</v>
      </c>
      <c r="F27">
        <v>11.75</v>
      </c>
      <c r="G27">
        <v>10.013</v>
      </c>
      <c r="H27">
        <v>11.15</v>
      </c>
      <c r="I27">
        <v>11.7</v>
      </c>
      <c r="J27">
        <v>13.25</v>
      </c>
    </row>
    <row r="28" spans="1:10" x14ac:dyDescent="0.2">
      <c r="A28" t="s">
        <v>53</v>
      </c>
      <c r="B28" t="s">
        <v>14</v>
      </c>
      <c r="C28">
        <v>11.749000000000001</v>
      </c>
      <c r="D28">
        <v>13.3</v>
      </c>
      <c r="E28">
        <v>15.05</v>
      </c>
      <c r="F28">
        <v>15.75</v>
      </c>
      <c r="G28">
        <v>11.031000000000001</v>
      </c>
      <c r="H28">
        <v>11.45</v>
      </c>
      <c r="I28">
        <v>12.05</v>
      </c>
      <c r="J28">
        <v>14.25</v>
      </c>
    </row>
    <row r="29" spans="1:10" x14ac:dyDescent="0.2">
      <c r="A29" t="s">
        <v>88</v>
      </c>
      <c r="B29" t="s">
        <v>15</v>
      </c>
      <c r="C29">
        <v>5.9089999999999998</v>
      </c>
      <c r="D29">
        <v>6.8</v>
      </c>
      <c r="E29">
        <v>6.85</v>
      </c>
      <c r="F29">
        <v>7.25</v>
      </c>
      <c r="G29">
        <v>6.173</v>
      </c>
      <c r="H29">
        <v>6.35</v>
      </c>
      <c r="I29">
        <v>6.6</v>
      </c>
      <c r="J29">
        <v>7.5</v>
      </c>
    </row>
    <row r="30" spans="1:10" x14ac:dyDescent="0.2">
      <c r="A30" t="s">
        <v>55</v>
      </c>
      <c r="B30" t="s">
        <v>17</v>
      </c>
      <c r="C30">
        <v>22.074999999999999</v>
      </c>
      <c r="D30">
        <v>21.4</v>
      </c>
      <c r="E30">
        <v>18.850000000000001</v>
      </c>
      <c r="F30">
        <v>17.5</v>
      </c>
      <c r="G30">
        <v>16.704999999999998</v>
      </c>
      <c r="H30">
        <v>15.55</v>
      </c>
      <c r="I30">
        <v>16.45</v>
      </c>
      <c r="J30">
        <v>19.5</v>
      </c>
    </row>
    <row r="31" spans="1:10" x14ac:dyDescent="0.2">
      <c r="A31" t="s">
        <v>449</v>
      </c>
      <c r="B31" t="s">
        <v>211</v>
      </c>
      <c r="C31">
        <v>7.41</v>
      </c>
      <c r="D31">
        <v>9.6</v>
      </c>
      <c r="E31">
        <v>9.4499999999999993</v>
      </c>
      <c r="F31">
        <v>6.25</v>
      </c>
      <c r="G31">
        <v>5.8440000000000003</v>
      </c>
      <c r="H31">
        <v>6.45</v>
      </c>
      <c r="I31">
        <v>6.8</v>
      </c>
      <c r="J31">
        <v>8</v>
      </c>
    </row>
    <row r="32" spans="1:10" x14ac:dyDescent="0.2">
      <c r="A32" t="s">
        <v>69</v>
      </c>
      <c r="B32" t="s">
        <v>18</v>
      </c>
      <c r="C32">
        <v>7.8730000000000002</v>
      </c>
      <c r="D32">
        <v>8.15</v>
      </c>
      <c r="E32">
        <v>7.2</v>
      </c>
      <c r="F32">
        <v>7.25</v>
      </c>
      <c r="G32">
        <v>8.3699999999999992</v>
      </c>
      <c r="H32">
        <v>8.9499999999999993</v>
      </c>
      <c r="I32">
        <v>9.9</v>
      </c>
      <c r="J32">
        <v>11.75</v>
      </c>
    </row>
    <row r="33" spans="1:10" x14ac:dyDescent="0.2">
      <c r="A33" t="s">
        <v>66</v>
      </c>
      <c r="B33" t="s">
        <v>19</v>
      </c>
      <c r="C33">
        <v>6.3789999999999996</v>
      </c>
      <c r="D33">
        <v>5.85</v>
      </c>
      <c r="E33">
        <v>4.6500000000000004</v>
      </c>
      <c r="F33">
        <v>5</v>
      </c>
      <c r="G33">
        <v>6.5410000000000004</v>
      </c>
      <c r="H33">
        <v>3.45</v>
      </c>
      <c r="I33">
        <v>4.3</v>
      </c>
      <c r="J33">
        <v>5.25</v>
      </c>
    </row>
    <row r="34" spans="1:10" x14ac:dyDescent="0.2">
      <c r="A34" t="s">
        <v>450</v>
      </c>
      <c r="B34" t="s">
        <v>266</v>
      </c>
      <c r="C34">
        <v>7.181</v>
      </c>
      <c r="D34">
        <v>7.5</v>
      </c>
      <c r="E34">
        <v>6.95</v>
      </c>
      <c r="F34">
        <v>7</v>
      </c>
      <c r="G34">
        <v>5.4329999999999998</v>
      </c>
      <c r="H34">
        <v>5.6</v>
      </c>
      <c r="I34">
        <v>5.8</v>
      </c>
      <c r="J34">
        <v>6.75</v>
      </c>
    </row>
    <row r="35" spans="1:10" x14ac:dyDescent="0.2">
      <c r="A35" t="s">
        <v>58</v>
      </c>
      <c r="B35" t="s">
        <v>21</v>
      </c>
      <c r="C35">
        <v>4.5519999999999996</v>
      </c>
      <c r="D35">
        <v>4.1500000000000004</v>
      </c>
      <c r="E35">
        <v>3.85</v>
      </c>
      <c r="F35">
        <v>4.5</v>
      </c>
      <c r="G35">
        <v>3.6829999999999998</v>
      </c>
      <c r="H35">
        <v>4</v>
      </c>
      <c r="I35">
        <v>4.1500000000000004</v>
      </c>
      <c r="J35">
        <v>4.75</v>
      </c>
    </row>
    <row r="36" spans="1:10" x14ac:dyDescent="0.2">
      <c r="A36" t="s">
        <v>59</v>
      </c>
      <c r="B36" t="s">
        <v>22</v>
      </c>
      <c r="C36">
        <v>5.6619999999999999</v>
      </c>
      <c r="D36">
        <v>6.25</v>
      </c>
      <c r="E36">
        <v>6.4</v>
      </c>
      <c r="F36">
        <v>6.75</v>
      </c>
      <c r="G36">
        <v>7.5039999999999996</v>
      </c>
      <c r="H36">
        <v>7.65</v>
      </c>
      <c r="I36">
        <v>8.0500000000000007</v>
      </c>
      <c r="J36">
        <v>9.25</v>
      </c>
    </row>
    <row r="37" spans="1:10" x14ac:dyDescent="0.2">
      <c r="A37" t="s">
        <v>61</v>
      </c>
      <c r="B37" t="s">
        <v>25</v>
      </c>
      <c r="C37">
        <v>3.1190000000000002</v>
      </c>
      <c r="D37">
        <v>3.55</v>
      </c>
      <c r="E37">
        <v>4</v>
      </c>
      <c r="F37">
        <v>4.8499999999999996</v>
      </c>
      <c r="G37">
        <v>3.726</v>
      </c>
      <c r="H37">
        <v>3.9</v>
      </c>
      <c r="I37">
        <v>4.2</v>
      </c>
      <c r="J37">
        <v>5.55</v>
      </c>
    </row>
    <row r="38" spans="1:10" x14ac:dyDescent="0.2">
      <c r="A38" t="s">
        <v>451</v>
      </c>
      <c r="B38" t="s">
        <v>188</v>
      </c>
      <c r="C38">
        <v>3.0760000000000001</v>
      </c>
      <c r="D38">
        <v>3.05</v>
      </c>
      <c r="E38">
        <v>3</v>
      </c>
      <c r="F38">
        <v>2.5</v>
      </c>
      <c r="G38">
        <v>2.2370000000000001</v>
      </c>
      <c r="H38">
        <v>2.4</v>
      </c>
      <c r="I38">
        <v>2.5499999999999998</v>
      </c>
      <c r="J38">
        <v>3.15</v>
      </c>
    </row>
    <row r="39" spans="1:10" x14ac:dyDescent="0.2">
      <c r="A39" t="s">
        <v>452</v>
      </c>
      <c r="B39" t="s">
        <v>190</v>
      </c>
      <c r="C39">
        <v>3.8010000000000002</v>
      </c>
      <c r="D39">
        <v>2.2000000000000002</v>
      </c>
      <c r="E39">
        <v>2.25</v>
      </c>
      <c r="F39">
        <v>2.35</v>
      </c>
      <c r="G39">
        <v>2.6789999999999998</v>
      </c>
      <c r="H39">
        <v>3.65</v>
      </c>
      <c r="I39">
        <v>3.8</v>
      </c>
      <c r="J39">
        <v>4.2</v>
      </c>
    </row>
    <row r="40" spans="1:10" x14ac:dyDescent="0.2">
      <c r="A40" t="s">
        <v>453</v>
      </c>
      <c r="B40" t="s">
        <v>141</v>
      </c>
      <c r="C40">
        <v>22.803000000000001</v>
      </c>
      <c r="D40">
        <v>20</v>
      </c>
      <c r="E40">
        <v>18.7</v>
      </c>
      <c r="F40">
        <v>18.75</v>
      </c>
      <c r="G40">
        <v>12.108000000000001</v>
      </c>
      <c r="H40">
        <v>15.2</v>
      </c>
      <c r="I40">
        <v>15.65</v>
      </c>
      <c r="J40">
        <v>19</v>
      </c>
    </row>
    <row r="41" spans="1:10" x14ac:dyDescent="0.2">
      <c r="A41" t="s">
        <v>62</v>
      </c>
      <c r="B41" t="s">
        <v>26</v>
      </c>
      <c r="C41">
        <v>5.032</v>
      </c>
      <c r="D41">
        <v>4.95</v>
      </c>
      <c r="E41">
        <v>5.2</v>
      </c>
      <c r="F41">
        <v>5.7</v>
      </c>
      <c r="G41">
        <v>2.0739999999999998</v>
      </c>
      <c r="H41">
        <v>3.05</v>
      </c>
      <c r="I41">
        <v>3</v>
      </c>
      <c r="J41">
        <v>3.45</v>
      </c>
    </row>
    <row r="42" spans="1:10" x14ac:dyDescent="0.2">
      <c r="A42" t="s">
        <v>454</v>
      </c>
      <c r="B42" t="s">
        <v>192</v>
      </c>
      <c r="C42">
        <v>7.4329999999999998</v>
      </c>
      <c r="D42">
        <v>6.8</v>
      </c>
      <c r="E42">
        <v>6.65</v>
      </c>
      <c r="F42">
        <v>6.25</v>
      </c>
      <c r="G42">
        <v>1.042</v>
      </c>
      <c r="H42">
        <v>4.8499999999999996</v>
      </c>
      <c r="I42">
        <v>5.65</v>
      </c>
      <c r="J42">
        <v>6.35</v>
      </c>
    </row>
    <row r="43" spans="1:10" x14ac:dyDescent="0.2">
      <c r="A43" t="s">
        <v>455</v>
      </c>
      <c r="B43" t="s">
        <v>144</v>
      </c>
      <c r="C43">
        <v>5.5990000000000002</v>
      </c>
      <c r="D43">
        <v>5.7</v>
      </c>
      <c r="E43">
        <v>6.7</v>
      </c>
      <c r="F43">
        <v>6.25</v>
      </c>
      <c r="G43">
        <v>6.7569999999999997</v>
      </c>
      <c r="H43">
        <v>6.95</v>
      </c>
      <c r="I43">
        <v>7.3</v>
      </c>
      <c r="J43">
        <v>8.25</v>
      </c>
    </row>
    <row r="44" spans="1:10" x14ac:dyDescent="0.2">
      <c r="A44" t="s">
        <v>67</v>
      </c>
      <c r="B44" t="s">
        <v>27</v>
      </c>
      <c r="C44">
        <v>4.1269999999999998</v>
      </c>
      <c r="D44">
        <v>3.15</v>
      </c>
      <c r="E44">
        <v>3.15</v>
      </c>
      <c r="F44">
        <v>2.75</v>
      </c>
      <c r="G44">
        <v>3.3439999999999999</v>
      </c>
      <c r="H44">
        <v>3.55</v>
      </c>
      <c r="I44">
        <v>4</v>
      </c>
      <c r="J44">
        <v>4.75</v>
      </c>
    </row>
    <row r="45" spans="1:10" x14ac:dyDescent="0.2">
      <c r="A45" t="s">
        <v>456</v>
      </c>
      <c r="B45" t="s">
        <v>346</v>
      </c>
      <c r="C45">
        <v>6.8120000000000003</v>
      </c>
      <c r="D45">
        <v>7.15</v>
      </c>
      <c r="E45">
        <v>7.3</v>
      </c>
      <c r="F45">
        <v>7.35</v>
      </c>
      <c r="G45">
        <v>5.96</v>
      </c>
      <c r="H45">
        <v>6.15</v>
      </c>
      <c r="I45">
        <v>6.45</v>
      </c>
      <c r="J45">
        <v>7.9</v>
      </c>
    </row>
    <row r="46" spans="1:10" x14ac:dyDescent="0.2">
      <c r="A46" t="s">
        <v>68</v>
      </c>
      <c r="B46" t="s">
        <v>28</v>
      </c>
      <c r="C46">
        <v>3.36</v>
      </c>
      <c r="D46">
        <v>2.75</v>
      </c>
      <c r="E46">
        <v>9.65</v>
      </c>
      <c r="F46">
        <v>2.4500000000000002</v>
      </c>
      <c r="G46">
        <v>3.7010000000000001</v>
      </c>
      <c r="H46">
        <v>4.05</v>
      </c>
      <c r="I46">
        <v>4.2</v>
      </c>
      <c r="J46">
        <v>5.0999999999999996</v>
      </c>
    </row>
    <row r="47" spans="1:10" x14ac:dyDescent="0.2">
      <c r="A47" t="s">
        <v>71</v>
      </c>
      <c r="B47" t="s">
        <v>30</v>
      </c>
      <c r="C47">
        <v>10.959</v>
      </c>
      <c r="D47">
        <v>12.1</v>
      </c>
      <c r="E47">
        <v>11.4</v>
      </c>
      <c r="F47">
        <v>11.5</v>
      </c>
      <c r="G47">
        <v>9.0280000000000005</v>
      </c>
      <c r="H47">
        <v>9.25</v>
      </c>
      <c r="I47">
        <v>9.4499999999999993</v>
      </c>
      <c r="J47">
        <v>10.75</v>
      </c>
    </row>
    <row r="48" spans="1:10" x14ac:dyDescent="0.2">
      <c r="A48" t="s">
        <v>72</v>
      </c>
      <c r="B48" t="s">
        <v>31</v>
      </c>
      <c r="C48">
        <v>12.804</v>
      </c>
      <c r="D48">
        <v>11.25</v>
      </c>
      <c r="E48">
        <v>10.8</v>
      </c>
      <c r="F48">
        <v>11</v>
      </c>
      <c r="G48">
        <v>9.7859999999999996</v>
      </c>
      <c r="H48">
        <v>10.1</v>
      </c>
      <c r="I48">
        <v>10.65</v>
      </c>
      <c r="J48">
        <v>12.75</v>
      </c>
    </row>
    <row r="49" spans="1:10" x14ac:dyDescent="0.2">
      <c r="A49" t="s">
        <v>74</v>
      </c>
      <c r="B49" t="s">
        <v>32</v>
      </c>
      <c r="C49">
        <v>6.2830000000000004</v>
      </c>
      <c r="D49">
        <v>6.3</v>
      </c>
      <c r="E49">
        <v>6.6</v>
      </c>
      <c r="F49">
        <v>8.25</v>
      </c>
      <c r="G49">
        <v>5.2990000000000004</v>
      </c>
      <c r="H49">
        <v>5.55</v>
      </c>
      <c r="I49">
        <v>6.15</v>
      </c>
      <c r="J49">
        <v>7.25</v>
      </c>
    </row>
    <row r="50" spans="1:10" x14ac:dyDescent="0.2">
      <c r="A50" t="s">
        <v>92</v>
      </c>
      <c r="B50" t="s">
        <v>33</v>
      </c>
      <c r="C50">
        <v>5.7679999999999998</v>
      </c>
      <c r="D50">
        <v>6.35</v>
      </c>
      <c r="E50">
        <v>5.0999999999999996</v>
      </c>
      <c r="F50">
        <v>5</v>
      </c>
      <c r="G50">
        <v>6.1609999999999996</v>
      </c>
      <c r="H50">
        <v>6.4</v>
      </c>
      <c r="I50">
        <v>6.85</v>
      </c>
      <c r="J50">
        <v>8</v>
      </c>
    </row>
    <row r="51" spans="1:10" x14ac:dyDescent="0.2">
      <c r="A51" t="s">
        <v>70</v>
      </c>
      <c r="B51" t="s">
        <v>34</v>
      </c>
      <c r="C51">
        <v>4.5179999999999998</v>
      </c>
      <c r="D51">
        <v>4.75</v>
      </c>
      <c r="E51">
        <v>4.3499999999999996</v>
      </c>
      <c r="F51">
        <v>3.25</v>
      </c>
      <c r="G51">
        <v>3.6829999999999998</v>
      </c>
      <c r="H51">
        <v>3.7</v>
      </c>
      <c r="I51">
        <v>4</v>
      </c>
      <c r="J51">
        <v>4.75</v>
      </c>
    </row>
    <row r="52" spans="1:10" x14ac:dyDescent="0.2">
      <c r="A52" t="s">
        <v>75</v>
      </c>
      <c r="B52" t="s">
        <v>35</v>
      </c>
      <c r="C52">
        <v>8.2970000000000006</v>
      </c>
      <c r="D52">
        <v>6.35</v>
      </c>
      <c r="E52">
        <v>5.35</v>
      </c>
      <c r="F52">
        <v>5.25</v>
      </c>
      <c r="G52">
        <v>5.3029999999999999</v>
      </c>
      <c r="H52">
        <v>5.8</v>
      </c>
      <c r="I52">
        <v>6.1</v>
      </c>
      <c r="J52">
        <v>7.5</v>
      </c>
    </row>
    <row r="53" spans="1:10" x14ac:dyDescent="0.2">
      <c r="A53" t="s">
        <v>457</v>
      </c>
      <c r="B53" t="s">
        <v>194</v>
      </c>
      <c r="C53">
        <v>2.8660000000000001</v>
      </c>
      <c r="G53">
        <v>1.7250000000000001</v>
      </c>
    </row>
    <row r="54" spans="1:10" x14ac:dyDescent="0.2">
      <c r="A54" t="s">
        <v>76</v>
      </c>
      <c r="B54" t="s">
        <v>36</v>
      </c>
      <c r="C54">
        <v>8.5660000000000007</v>
      </c>
      <c r="D54">
        <v>6.2</v>
      </c>
      <c r="E54">
        <v>6.05</v>
      </c>
      <c r="F54">
        <v>6.5</v>
      </c>
      <c r="G54">
        <v>7.35</v>
      </c>
      <c r="H54">
        <v>7</v>
      </c>
      <c r="I54">
        <v>7.25</v>
      </c>
      <c r="J54">
        <v>8.25</v>
      </c>
    </row>
    <row r="55" spans="1:10" x14ac:dyDescent="0.2">
      <c r="A55" t="s">
        <v>54</v>
      </c>
      <c r="B55" t="s">
        <v>37</v>
      </c>
      <c r="C55">
        <v>15.711</v>
      </c>
      <c r="D55">
        <v>9.5</v>
      </c>
      <c r="E55">
        <v>9.5500000000000007</v>
      </c>
      <c r="F55">
        <v>9.25</v>
      </c>
      <c r="G55">
        <v>10.574999999999999</v>
      </c>
      <c r="H55">
        <v>11</v>
      </c>
      <c r="I55">
        <v>11.75</v>
      </c>
      <c r="J55">
        <v>14.25</v>
      </c>
    </row>
    <row r="56" spans="1:10" x14ac:dyDescent="0.2">
      <c r="A56" t="s">
        <v>458</v>
      </c>
      <c r="B56" t="s">
        <v>196</v>
      </c>
      <c r="C56">
        <v>7.2640000000000002</v>
      </c>
      <c r="D56">
        <v>5.5</v>
      </c>
      <c r="E56">
        <v>5.25</v>
      </c>
      <c r="F56">
        <v>5</v>
      </c>
      <c r="G56">
        <v>5.2380000000000004</v>
      </c>
      <c r="H56">
        <v>5</v>
      </c>
      <c r="I56">
        <v>5.25</v>
      </c>
      <c r="J56">
        <v>5.65</v>
      </c>
    </row>
    <row r="57" spans="1:10" x14ac:dyDescent="0.2">
      <c r="A57" t="s">
        <v>459</v>
      </c>
      <c r="B57" t="s">
        <v>198</v>
      </c>
      <c r="C57">
        <v>3.431</v>
      </c>
      <c r="D57">
        <v>2.65</v>
      </c>
      <c r="E57">
        <v>3.1</v>
      </c>
      <c r="F57">
        <v>4.75</v>
      </c>
      <c r="G57">
        <v>2.7850000000000001</v>
      </c>
      <c r="H57">
        <v>2.85</v>
      </c>
      <c r="I57">
        <v>2.8</v>
      </c>
      <c r="J57">
        <v>3.6</v>
      </c>
    </row>
    <row r="58" spans="1:10" x14ac:dyDescent="0.2">
      <c r="A58" t="s">
        <v>77</v>
      </c>
      <c r="B58" t="s">
        <v>38</v>
      </c>
      <c r="C58">
        <v>7.367</v>
      </c>
      <c r="D58">
        <v>8.4499999999999993</v>
      </c>
      <c r="E58">
        <v>7.15</v>
      </c>
      <c r="F58">
        <v>7.25</v>
      </c>
      <c r="G58">
        <v>6.6379999999999999</v>
      </c>
      <c r="H58">
        <v>6.35</v>
      </c>
      <c r="I58">
        <v>6.6</v>
      </c>
      <c r="J58">
        <v>7.5</v>
      </c>
    </row>
    <row r="59" spans="1:10" x14ac:dyDescent="0.2">
      <c r="A59" t="s">
        <v>460</v>
      </c>
      <c r="B59" t="s">
        <v>200</v>
      </c>
      <c r="C59">
        <v>12.968</v>
      </c>
      <c r="D59">
        <v>12.75</v>
      </c>
      <c r="E59">
        <v>13.5</v>
      </c>
      <c r="F59">
        <v>15.55</v>
      </c>
      <c r="G59">
        <v>8.8330000000000002</v>
      </c>
      <c r="H59">
        <v>9.1</v>
      </c>
      <c r="I59">
        <v>10</v>
      </c>
      <c r="J59">
        <v>13.5</v>
      </c>
    </row>
    <row r="60" spans="1:10" x14ac:dyDescent="0.2">
      <c r="A60" t="s">
        <v>461</v>
      </c>
      <c r="B60" t="s">
        <v>244</v>
      </c>
      <c r="C60">
        <v>9.077</v>
      </c>
      <c r="D60">
        <v>9.3000000000000007</v>
      </c>
      <c r="E60">
        <v>9.1999999999999993</v>
      </c>
      <c r="F60">
        <v>10</v>
      </c>
      <c r="G60">
        <v>6.5410000000000004</v>
      </c>
      <c r="H60">
        <v>7.3</v>
      </c>
      <c r="I60">
        <v>7.25</v>
      </c>
      <c r="J60">
        <v>8.25</v>
      </c>
    </row>
    <row r="61" spans="1:10" x14ac:dyDescent="0.2">
      <c r="A61" t="s">
        <v>462</v>
      </c>
      <c r="B61" t="s">
        <v>202</v>
      </c>
      <c r="C61">
        <v>0.216</v>
      </c>
      <c r="G61">
        <v>0.97499999999999998</v>
      </c>
    </row>
    <row r="62" spans="1:10" x14ac:dyDescent="0.2">
      <c r="A62" t="s">
        <v>463</v>
      </c>
      <c r="B62" t="s">
        <v>204</v>
      </c>
      <c r="C62">
        <v>3.6720000000000002</v>
      </c>
      <c r="D62">
        <v>3.75</v>
      </c>
      <c r="E62">
        <v>3.9</v>
      </c>
      <c r="F62">
        <v>4.3499999999999996</v>
      </c>
      <c r="G62">
        <v>4.7290000000000001</v>
      </c>
      <c r="H62">
        <v>5.3</v>
      </c>
      <c r="I62">
        <v>5.4</v>
      </c>
      <c r="J62">
        <v>5.9</v>
      </c>
    </row>
    <row r="63" spans="1:10" x14ac:dyDescent="0.2">
      <c r="A63" t="s">
        <v>464</v>
      </c>
      <c r="B63" t="s">
        <v>83</v>
      </c>
      <c r="C63">
        <v>8.0519999999999996</v>
      </c>
      <c r="G63">
        <v>5.1230000000000002</v>
      </c>
    </row>
    <row r="64" spans="1:10" x14ac:dyDescent="0.2">
      <c r="A64" t="s">
        <v>89</v>
      </c>
      <c r="B64" t="s">
        <v>42</v>
      </c>
      <c r="C64">
        <v>7.26</v>
      </c>
      <c r="D64">
        <v>7.5</v>
      </c>
      <c r="E64">
        <v>8.0500000000000007</v>
      </c>
      <c r="F64">
        <v>9.9</v>
      </c>
      <c r="G64">
        <v>5.93</v>
      </c>
      <c r="H64">
        <v>6.35</v>
      </c>
      <c r="I64">
        <v>6.65</v>
      </c>
      <c r="J64">
        <v>8</v>
      </c>
    </row>
    <row r="65" spans="1:10" x14ac:dyDescent="0.2">
      <c r="A65" t="s">
        <v>465</v>
      </c>
      <c r="B65" t="s">
        <v>44</v>
      </c>
      <c r="C65">
        <v>6.2089999999999996</v>
      </c>
      <c r="D65">
        <v>7.9</v>
      </c>
      <c r="E65">
        <v>6.35</v>
      </c>
      <c r="F65">
        <v>7</v>
      </c>
      <c r="G65">
        <v>5.69</v>
      </c>
      <c r="H65">
        <v>6.05</v>
      </c>
      <c r="I65">
        <v>6.35</v>
      </c>
      <c r="J65">
        <v>7.5</v>
      </c>
    </row>
    <row r="66" spans="1:10" x14ac:dyDescent="0.2">
      <c r="A66" t="s">
        <v>466</v>
      </c>
      <c r="B66" t="s">
        <v>206</v>
      </c>
      <c r="C66">
        <v>10.087999999999999</v>
      </c>
      <c r="D66">
        <v>10.85</v>
      </c>
      <c r="E66">
        <v>11.1</v>
      </c>
      <c r="F66">
        <v>11.8</v>
      </c>
      <c r="G66">
        <v>6.1139999999999999</v>
      </c>
      <c r="H66">
        <v>7.05</v>
      </c>
      <c r="I66">
        <v>7.2</v>
      </c>
      <c r="J66">
        <v>7.7</v>
      </c>
    </row>
    <row r="67" spans="1:10" x14ac:dyDescent="0.2">
      <c r="A67" t="s">
        <v>65</v>
      </c>
      <c r="B67" t="s">
        <v>45</v>
      </c>
      <c r="C67">
        <v>6.5369999999999999</v>
      </c>
      <c r="D67">
        <v>8.25</v>
      </c>
      <c r="E67">
        <v>7.95</v>
      </c>
      <c r="F67">
        <v>6.75</v>
      </c>
      <c r="G67">
        <v>5.4649999999999999</v>
      </c>
      <c r="H67">
        <v>5.9</v>
      </c>
      <c r="I67">
        <v>6.15</v>
      </c>
      <c r="J67">
        <v>7.25</v>
      </c>
    </row>
    <row r="68" spans="1:10" x14ac:dyDescent="0.2">
      <c r="A68" t="s">
        <v>467</v>
      </c>
      <c r="B68" t="s">
        <v>208</v>
      </c>
      <c r="C68">
        <v>1.948</v>
      </c>
      <c r="D68">
        <v>1.5</v>
      </c>
      <c r="E68">
        <v>1.25</v>
      </c>
      <c r="F68">
        <v>1.25</v>
      </c>
      <c r="G68">
        <v>1.534</v>
      </c>
      <c r="H68">
        <v>1.65</v>
      </c>
      <c r="I68">
        <v>1.75</v>
      </c>
      <c r="J68">
        <v>2.25</v>
      </c>
    </row>
  </sheetData>
  <autoFilter ref="A3:J71"/>
  <pageMargins left="0.7" right="0.7" top="0.75" bottom="0.75" header="0.3" footer="0.3"/>
  <pageSetup scale="95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 filterMode="1">
    <tabColor rgb="FF7030A0"/>
    <pageSetUpPr fitToPage="1"/>
  </sheetPr>
  <dimension ref="A1:AK88"/>
  <sheetViews>
    <sheetView topLeftCell="A4" zoomScaleNormal="100" workbookViewId="0">
      <selection activeCell="D42" sqref="D42"/>
    </sheetView>
  </sheetViews>
  <sheetFormatPr defaultRowHeight="14.25" x14ac:dyDescent="0.2"/>
  <cols>
    <col min="1" max="2" width="3.125" customWidth="1"/>
    <col min="3" max="3" width="17.75" bestFit="1" customWidth="1"/>
    <col min="4" max="4" width="8.75" bestFit="1" customWidth="1"/>
    <col min="5" max="5" width="19.375" customWidth="1"/>
    <col min="6" max="6" width="9.75" customWidth="1"/>
    <col min="7" max="7" width="6.375" customWidth="1"/>
    <col min="8" max="8" width="7.5" bestFit="1" customWidth="1"/>
    <col min="9" max="9" width="8.75" hidden="1" customWidth="1"/>
    <col min="10" max="10" width="7.625" customWidth="1"/>
    <col min="11" max="11" width="9.75" customWidth="1"/>
    <col min="12" max="12" width="10.125" customWidth="1"/>
    <col min="13" max="13" width="10.5" customWidth="1"/>
    <col min="14" max="18" width="8.5" customWidth="1"/>
    <col min="19" max="19" width="10.125" customWidth="1"/>
    <col min="20" max="22" width="8.375" bestFit="1" customWidth="1"/>
    <col min="23" max="23" width="9" bestFit="1" customWidth="1"/>
    <col min="24" max="28" width="9.25" customWidth="1"/>
  </cols>
  <sheetData>
    <row r="1" spans="1:37" x14ac:dyDescent="0.2">
      <c r="C1" t="s">
        <v>352</v>
      </c>
      <c r="D1" s="90" t="s">
        <v>518</v>
      </c>
      <c r="T1" s="2"/>
    </row>
    <row r="2" spans="1:37" x14ac:dyDescent="0.2">
      <c r="C2" t="s">
        <v>353</v>
      </c>
      <c r="D2" s="90" t="s">
        <v>514</v>
      </c>
    </row>
    <row r="3" spans="1:37" x14ac:dyDescent="0.2">
      <c r="C3" t="s">
        <v>354</v>
      </c>
      <c r="D3" s="90" t="s">
        <v>486</v>
      </c>
    </row>
    <row r="4" spans="1:37" ht="15" x14ac:dyDescent="0.25">
      <c r="F4" s="50" t="s">
        <v>115</v>
      </c>
      <c r="G4" s="50"/>
      <c r="H4" s="50"/>
      <c r="I4" s="50"/>
    </row>
    <row r="5" spans="1:37" ht="75" x14ac:dyDescent="0.25">
      <c r="C5" s="48" t="s">
        <v>267</v>
      </c>
      <c r="F5" s="25">
        <v>2018</v>
      </c>
      <c r="G5" s="240" t="str">
        <f>F5&amp;" Stock Price"</f>
        <v>2018 Stock Price</v>
      </c>
      <c r="H5" s="240"/>
      <c r="I5" s="240"/>
      <c r="J5" s="48" t="str">
        <f>$F$5&amp;CHAR(10)&amp;"Cash Flow"&amp;CHAR(10)&amp;"/Share"</f>
        <v>2018
Cash Flow
/Share</v>
      </c>
      <c r="K5" s="48" t="str">
        <f>$F$5&amp;CHAR(10)&amp;"Earnings"&amp;CHAR(10)&amp;"/Share"</f>
        <v>2018
Earnings
/Share</v>
      </c>
      <c r="L5" s="48" t="str">
        <f>$F$5&amp;CHAR(10)&amp;"Div'd Decl'd"&amp;CHAR(10)&amp;"/Share"</f>
        <v>2018
Div'd Decl'd
/Share</v>
      </c>
      <c r="M5" s="48" t="str">
        <f>$F$5&amp;CHAR(10)&amp;"Cap'l Spending"&amp;CHAR(10)&amp;"/Share"</f>
        <v>2018
Cap'l Spending
/Share</v>
      </c>
      <c r="N5" s="48" t="str">
        <f>$F$5&amp;CHAR(10)&amp;"Book Value"&amp;CHAR(10)&amp;"/Share"</f>
        <v>2018
Book Value
/Share</v>
      </c>
      <c r="O5" s="48" t="str">
        <f>($F$5+1)&amp;CHAR(10)&amp;"Cash Flow"&amp;CHAR(10)&amp;"/Share"</f>
        <v>2019
Cash Flow
/Share</v>
      </c>
      <c r="P5" s="48" t="str">
        <f>($F$5+1)&amp;CHAR(10)&amp;"Cap'l Spending"&amp;CHAR(10)&amp;"/Share"</f>
        <v>2019
Cap'l Spending
/Share</v>
      </c>
      <c r="Q5" s="48" t="s">
        <v>469</v>
      </c>
      <c r="R5" s="48" t="s">
        <v>470</v>
      </c>
      <c r="S5" s="74" t="s">
        <v>324</v>
      </c>
      <c r="T5" s="25">
        <f>F5</f>
        <v>2018</v>
      </c>
      <c r="U5" s="25">
        <f>$F$5</f>
        <v>2018</v>
      </c>
      <c r="V5" s="25">
        <f t="shared" ref="V5:Y5" si="0">$F$5</f>
        <v>2018</v>
      </c>
      <c r="W5" s="25">
        <f t="shared" si="0"/>
        <v>2018</v>
      </c>
      <c r="X5" s="25">
        <f t="shared" si="0"/>
        <v>2018</v>
      </c>
      <c r="Y5" s="100">
        <f t="shared" si="0"/>
        <v>2018</v>
      </c>
      <c r="Z5" s="194">
        <f>$F$5+1</f>
        <v>2019</v>
      </c>
      <c r="AA5" s="194"/>
      <c r="AB5" s="194"/>
    </row>
    <row r="6" spans="1:37" ht="30.75" thickBot="1" x14ac:dyDescent="0.3">
      <c r="F6" s="24" t="s">
        <v>113</v>
      </c>
      <c r="G6" s="24" t="s">
        <v>110</v>
      </c>
      <c r="H6" s="24" t="s">
        <v>111</v>
      </c>
      <c r="I6" s="24" t="s">
        <v>112</v>
      </c>
      <c r="J6" s="49"/>
      <c r="K6" s="49"/>
      <c r="L6" s="49"/>
      <c r="M6" s="49"/>
      <c r="N6" s="49"/>
      <c r="O6" s="49"/>
      <c r="P6" s="49"/>
      <c r="Q6" s="49"/>
      <c r="R6" s="49"/>
      <c r="S6" s="49"/>
      <c r="T6" s="24" t="s">
        <v>114</v>
      </c>
      <c r="U6" s="24" t="s">
        <v>245</v>
      </c>
      <c r="V6" s="24" t="s">
        <v>350</v>
      </c>
      <c r="W6" s="24" t="s">
        <v>325</v>
      </c>
      <c r="X6" s="86" t="s">
        <v>326</v>
      </c>
      <c r="Y6" s="24" t="s">
        <v>382</v>
      </c>
      <c r="Z6" s="86" t="s">
        <v>326</v>
      </c>
      <c r="AA6" s="86"/>
      <c r="AB6" s="86"/>
      <c r="AD6" s="24" t="s">
        <v>344</v>
      </c>
    </row>
    <row r="7" spans="1:37" ht="15" customHeight="1" x14ac:dyDescent="0.2">
      <c r="F7" s="40" t="s">
        <v>116</v>
      </c>
      <c r="G7" s="40" t="s">
        <v>116</v>
      </c>
      <c r="H7" s="40" t="s">
        <v>116</v>
      </c>
      <c r="J7" s="40" t="s">
        <v>116</v>
      </c>
      <c r="K7" s="40" t="s">
        <v>116</v>
      </c>
      <c r="L7" s="40" t="s">
        <v>116</v>
      </c>
      <c r="M7" s="40" t="s">
        <v>116</v>
      </c>
      <c r="N7" s="40" t="s">
        <v>116</v>
      </c>
      <c r="O7" s="40" t="s">
        <v>116</v>
      </c>
      <c r="P7" s="40" t="s">
        <v>116</v>
      </c>
      <c r="Q7" s="40"/>
      <c r="R7" s="40"/>
      <c r="S7" s="40" t="s">
        <v>116</v>
      </c>
      <c r="W7" s="40"/>
    </row>
    <row r="8" spans="1:37" x14ac:dyDescent="0.2">
      <c r="D8" s="54">
        <v>1</v>
      </c>
      <c r="E8" s="54">
        <v>2</v>
      </c>
      <c r="F8" s="54">
        <v>3</v>
      </c>
      <c r="G8" s="54">
        <v>4</v>
      </c>
      <c r="H8" s="54">
        <v>5</v>
      </c>
      <c r="I8" s="54">
        <v>6</v>
      </c>
      <c r="J8" s="54">
        <v>7</v>
      </c>
      <c r="K8" s="54">
        <v>8</v>
      </c>
      <c r="L8" s="54">
        <v>9</v>
      </c>
      <c r="M8" s="54">
        <v>10</v>
      </c>
      <c r="N8" s="54">
        <v>11</v>
      </c>
      <c r="O8" s="54">
        <v>12</v>
      </c>
      <c r="P8" s="54">
        <v>13</v>
      </c>
      <c r="Q8" s="54">
        <v>14</v>
      </c>
      <c r="R8" s="54">
        <v>15</v>
      </c>
      <c r="S8" s="54">
        <v>16</v>
      </c>
      <c r="T8" s="54">
        <v>17</v>
      </c>
      <c r="U8" s="54">
        <v>18</v>
      </c>
      <c r="V8" s="54">
        <v>19</v>
      </c>
      <c r="W8" s="54">
        <v>20</v>
      </c>
      <c r="X8" s="54">
        <v>21</v>
      </c>
      <c r="Y8" s="54">
        <v>22</v>
      </c>
      <c r="Z8" s="54">
        <v>23</v>
      </c>
      <c r="AA8" s="54"/>
      <c r="AB8" s="54"/>
    </row>
    <row r="9" spans="1:37" x14ac:dyDescent="0.2">
      <c r="A9">
        <f>IF(OR(B9="E",B9="N"),1,"")</f>
        <v>1</v>
      </c>
      <c r="B9" t="str">
        <f>LEFT(C9,1)</f>
        <v>E</v>
      </c>
      <c r="C9" t="s">
        <v>343</v>
      </c>
      <c r="D9" s="13" t="s">
        <v>0</v>
      </c>
      <c r="E9" t="str">
        <f>VLOOKUP(D9,'MP-CF (WP)'!$B$4:$U$81,2,FALSE)</f>
        <v xml:space="preserve">ALLETE                        </v>
      </c>
      <c r="F9" s="180">
        <v>23.2</v>
      </c>
      <c r="G9" s="66">
        <v>82.8</v>
      </c>
      <c r="H9" s="66">
        <v>66.599999999999994</v>
      </c>
      <c r="I9" s="2">
        <f t="shared" ref="I9:I31" si="1">IFERROR(AVERAGE(G9:H9),"")</f>
        <v>74.699999999999989</v>
      </c>
      <c r="J9" s="67">
        <v>6.85</v>
      </c>
      <c r="K9" s="67">
        <v>3.35</v>
      </c>
      <c r="L9" s="67">
        <v>2.2400000000000002</v>
      </c>
      <c r="M9" s="67">
        <v>6.3</v>
      </c>
      <c r="N9" s="67">
        <v>41.65</v>
      </c>
      <c r="O9" s="67">
        <v>7.15</v>
      </c>
      <c r="P9" s="67">
        <v>6.9</v>
      </c>
      <c r="Q9" s="67">
        <v>8.25</v>
      </c>
      <c r="R9" s="67">
        <v>6.75</v>
      </c>
      <c r="S9" s="75">
        <v>43448</v>
      </c>
      <c r="T9" s="2">
        <f>IFERROR(I9/J9,"")</f>
        <v>10.905109489051094</v>
      </c>
      <c r="U9" s="53">
        <f>IFERROR(I9/N9,"")</f>
        <v>1.7935174069627848</v>
      </c>
      <c r="V9" s="87">
        <f>IFERROR(L9/N9,"")</f>
        <v>5.3781512605042027E-2</v>
      </c>
      <c r="W9" s="53">
        <f>IFERROR(L9/K9,"")</f>
        <v>0.66865671641791047</v>
      </c>
      <c r="X9" s="53">
        <f>IFERROR(J9/M9,"")</f>
        <v>1.0873015873015872</v>
      </c>
      <c r="Y9" s="87">
        <f>IFERROR(L9/I9,"")</f>
        <v>2.9986613119143246E-2</v>
      </c>
      <c r="Z9" s="53">
        <f>IFERROR(O9/P9,"")</f>
        <v>1.036231884057971</v>
      </c>
      <c r="AA9" s="53">
        <f>IFERROR(Q9/R9,"")</f>
        <v>1.2222222222222223</v>
      </c>
      <c r="AB9" s="53"/>
      <c r="AD9" s="33">
        <f>ABS(SUM(F9:H9,J9:N9))</f>
        <v>232.99</v>
      </c>
    </row>
    <row r="10" spans="1:37" x14ac:dyDescent="0.2">
      <c r="A10">
        <f t="shared" ref="A10:A73" si="2">IF(OR(B10="E",B10="N"),1,"")</f>
        <v>1</v>
      </c>
      <c r="B10" t="str">
        <f t="shared" ref="B10:B73" si="3">LEFT(C10,1)</f>
        <v>E</v>
      </c>
      <c r="C10" t="s">
        <v>343</v>
      </c>
      <c r="D10" s="13" t="s">
        <v>1</v>
      </c>
      <c r="E10" t="str">
        <f>VLOOKUP(D10,'MP-CF (WP)'!$B$4:$U$81,2,FALSE)</f>
        <v xml:space="preserve">Alliant Energy                </v>
      </c>
      <c r="F10" s="180">
        <v>21.1</v>
      </c>
      <c r="G10" s="66">
        <v>46.6</v>
      </c>
      <c r="H10" s="66">
        <v>36.799999999999997</v>
      </c>
      <c r="I10" s="2">
        <f t="shared" si="1"/>
        <v>41.7</v>
      </c>
      <c r="J10" s="67">
        <v>4.3</v>
      </c>
      <c r="K10" s="67">
        <v>2.15</v>
      </c>
      <c r="L10" s="67">
        <v>1.34</v>
      </c>
      <c r="M10" s="67">
        <v>7.35</v>
      </c>
      <c r="N10" s="67">
        <v>20.2</v>
      </c>
      <c r="O10" s="67">
        <v>4.45</v>
      </c>
      <c r="P10" s="67">
        <v>6.7</v>
      </c>
      <c r="Q10" s="67">
        <v>5</v>
      </c>
      <c r="R10" s="67">
        <v>5.35</v>
      </c>
      <c r="S10" s="75">
        <v>43448</v>
      </c>
      <c r="T10" s="2">
        <f>IFERROR(I10/J10,"")</f>
        <v>9.6976744186046524</v>
      </c>
      <c r="U10" s="53">
        <f t="shared" ref="U10:U73" si="4">IFERROR(I10/N10,"")</f>
        <v>2.0643564356435644</v>
      </c>
      <c r="V10" s="87">
        <f t="shared" ref="V10:V73" si="5">IFERROR(L10/N10,"")</f>
        <v>6.633663366336634E-2</v>
      </c>
      <c r="W10" s="53">
        <f t="shared" ref="W10:W73" si="6">IFERROR(L10/K10,"")</f>
        <v>0.62325581395348839</v>
      </c>
      <c r="X10" s="53">
        <f t="shared" ref="X10:X73" si="7">IFERROR(J10/M10,"")</f>
        <v>0.58503401360544216</v>
      </c>
      <c r="Y10" s="87">
        <f t="shared" ref="Y10:Y73" si="8">IFERROR(L10/I10,"")</f>
        <v>3.2134292565947242E-2</v>
      </c>
      <c r="Z10" s="53">
        <f t="shared" ref="Z10:Z31" si="9">IFERROR(O10/P10,"")</f>
        <v>0.66417910447761197</v>
      </c>
      <c r="AA10" s="53">
        <f t="shared" ref="AA10:AA74" si="10">IFERROR(Q10/R10,"")</f>
        <v>0.93457943925233655</v>
      </c>
      <c r="AB10" s="53"/>
      <c r="AD10" s="33">
        <f t="shared" ref="AD10:AD73" si="11">ABS(SUM(F10:H10,J10:N10))</f>
        <v>139.84</v>
      </c>
      <c r="AE10" s="2"/>
      <c r="AK10" s="26"/>
    </row>
    <row r="11" spans="1:37" hidden="1" x14ac:dyDescent="0.2">
      <c r="A11" t="str">
        <f t="shared" si="2"/>
        <v/>
      </c>
      <c r="B11" t="str">
        <f t="shared" si="3"/>
        <v>W</v>
      </c>
      <c r="C11" t="s">
        <v>270</v>
      </c>
      <c r="D11" s="13" t="s">
        <v>165</v>
      </c>
      <c r="E11" t="str">
        <f ca="1">INDEX(nameLU,MATCH(D11,tickerLU,0))</f>
        <v>Amer. States Water</v>
      </c>
      <c r="F11" s="66">
        <v>34.299999999999997</v>
      </c>
      <c r="G11" s="66">
        <v>61.7</v>
      </c>
      <c r="H11" s="66">
        <v>50.1</v>
      </c>
      <c r="I11" s="2">
        <f t="shared" si="1"/>
        <v>55.900000000000006</v>
      </c>
      <c r="J11" s="67">
        <v>2.75</v>
      </c>
      <c r="K11" s="67">
        <v>1.65</v>
      </c>
      <c r="L11" s="67">
        <v>1.08</v>
      </c>
      <c r="M11" s="67">
        <v>3.4</v>
      </c>
      <c r="N11" s="67">
        <v>15.2</v>
      </c>
      <c r="O11" s="67">
        <v>3.25</v>
      </c>
      <c r="P11" s="67">
        <v>3.4</v>
      </c>
      <c r="Q11" s="67">
        <v>4</v>
      </c>
      <c r="R11" s="67">
        <v>3.25</v>
      </c>
      <c r="S11" s="75">
        <v>43385</v>
      </c>
      <c r="T11" s="2">
        <f t="shared" ref="T11:T73" si="12">IFERROR(I11/J11,"")</f>
        <v>20.327272727272728</v>
      </c>
      <c r="U11" s="53">
        <f t="shared" si="4"/>
        <v>3.677631578947369</v>
      </c>
      <c r="V11" s="87">
        <f t="shared" si="5"/>
        <v>7.1052631578947381E-2</v>
      </c>
      <c r="W11" s="53">
        <f t="shared" si="6"/>
        <v>0.65454545454545465</v>
      </c>
      <c r="X11" s="53">
        <f t="shared" si="7"/>
        <v>0.80882352941176472</v>
      </c>
      <c r="Y11" s="87">
        <f t="shared" si="8"/>
        <v>1.9320214669051879E-2</v>
      </c>
      <c r="Z11" s="53">
        <f t="shared" si="9"/>
        <v>0.95588235294117652</v>
      </c>
      <c r="AA11" s="53">
        <f t="shared" si="10"/>
        <v>1.2307692307692308</v>
      </c>
      <c r="AB11" s="53"/>
      <c r="AD11" s="33">
        <f t="shared" si="11"/>
        <v>170.18</v>
      </c>
      <c r="AE11" s="2"/>
      <c r="AK11" s="26"/>
    </row>
    <row r="12" spans="1:37" hidden="1" x14ac:dyDescent="0.2">
      <c r="A12" t="str">
        <f t="shared" si="2"/>
        <v/>
      </c>
      <c r="B12" t="str">
        <f t="shared" si="3"/>
        <v>W</v>
      </c>
      <c r="C12" t="s">
        <v>270</v>
      </c>
      <c r="D12" s="13" t="s">
        <v>167</v>
      </c>
      <c r="E12" t="str">
        <f ca="1">INDEX(nameLU,MATCH(D12,tickerLU,0))</f>
        <v>Amer. Water Works</v>
      </c>
      <c r="F12" s="66">
        <v>26.7</v>
      </c>
      <c r="G12" s="66">
        <v>91.5</v>
      </c>
      <c r="H12" s="66">
        <v>76</v>
      </c>
      <c r="I12" s="2">
        <f t="shared" si="1"/>
        <v>83.75</v>
      </c>
      <c r="J12" s="67">
        <v>5.8</v>
      </c>
      <c r="K12" s="67">
        <v>3.3</v>
      </c>
      <c r="L12" s="67">
        <v>1.78</v>
      </c>
      <c r="M12" s="67">
        <v>9.6</v>
      </c>
      <c r="N12" s="67">
        <v>31.75</v>
      </c>
      <c r="O12" s="67">
        <v>6.3</v>
      </c>
      <c r="P12" s="67">
        <v>9.5500000000000007</v>
      </c>
      <c r="Q12" s="67">
        <v>7.7</v>
      </c>
      <c r="R12" s="67">
        <v>9.1999999999999993</v>
      </c>
      <c r="S12" s="75">
        <v>43385</v>
      </c>
      <c r="T12" s="2">
        <f t="shared" si="12"/>
        <v>14.439655172413794</v>
      </c>
      <c r="U12" s="53">
        <f t="shared" si="4"/>
        <v>2.6377952755905514</v>
      </c>
      <c r="V12" s="87">
        <f t="shared" si="5"/>
        <v>5.606299212598425E-2</v>
      </c>
      <c r="W12" s="53">
        <f t="shared" si="6"/>
        <v>0.53939393939393943</v>
      </c>
      <c r="X12" s="53">
        <f t="shared" si="7"/>
        <v>0.60416666666666663</v>
      </c>
      <c r="Y12" s="87">
        <f t="shared" si="8"/>
        <v>2.1253731343283584E-2</v>
      </c>
      <c r="Z12" s="53">
        <f t="shared" si="9"/>
        <v>0.65968586387434547</v>
      </c>
      <c r="AA12" s="53">
        <f t="shared" si="10"/>
        <v>0.83695652173913049</v>
      </c>
      <c r="AB12" s="53"/>
      <c r="AD12" s="33">
        <f t="shared" si="11"/>
        <v>246.43</v>
      </c>
      <c r="AE12" s="2"/>
      <c r="AK12" s="26"/>
    </row>
    <row r="13" spans="1:37" x14ac:dyDescent="0.2">
      <c r="A13">
        <f t="shared" si="2"/>
        <v>1</v>
      </c>
      <c r="B13" t="str">
        <f t="shared" si="3"/>
        <v>E</v>
      </c>
      <c r="C13" t="s">
        <v>343</v>
      </c>
      <c r="D13" s="13" t="s">
        <v>3</v>
      </c>
      <c r="E13" t="str">
        <f>VLOOKUP(D13,'MP-CF (WP)'!$B$4:$U$81,2,FALSE)</f>
        <v xml:space="preserve">Ameren Corp.                  </v>
      </c>
      <c r="F13" s="180">
        <v>22.2</v>
      </c>
      <c r="G13" s="66">
        <v>70.900000000000006</v>
      </c>
      <c r="H13" s="66">
        <v>51.9</v>
      </c>
      <c r="I13" s="2">
        <f t="shared" si="1"/>
        <v>61.400000000000006</v>
      </c>
      <c r="J13" s="67">
        <v>7.7</v>
      </c>
      <c r="K13" s="67">
        <v>3.35</v>
      </c>
      <c r="L13" s="67">
        <v>1.85</v>
      </c>
      <c r="M13" s="67">
        <v>9.8000000000000007</v>
      </c>
      <c r="N13" s="67">
        <v>31.3</v>
      </c>
      <c r="O13" s="67">
        <v>8</v>
      </c>
      <c r="P13" s="67">
        <v>11.8</v>
      </c>
      <c r="Q13" s="67">
        <v>9.75</v>
      </c>
      <c r="R13" s="67">
        <v>10.5</v>
      </c>
      <c r="S13" s="75">
        <v>43448</v>
      </c>
      <c r="T13" s="2">
        <f t="shared" si="12"/>
        <v>7.9740259740259747</v>
      </c>
      <c r="U13" s="53">
        <f t="shared" si="4"/>
        <v>1.9616613418530353</v>
      </c>
      <c r="V13" s="87">
        <f t="shared" si="5"/>
        <v>5.9105431309904158E-2</v>
      </c>
      <c r="W13" s="53">
        <f t="shared" si="6"/>
        <v>0.55223880597014929</v>
      </c>
      <c r="X13" s="53">
        <f t="shared" si="7"/>
        <v>0.7857142857142857</v>
      </c>
      <c r="Y13" s="87">
        <f t="shared" si="8"/>
        <v>3.013029315960912E-2</v>
      </c>
      <c r="Z13" s="53">
        <f t="shared" si="9"/>
        <v>0.67796610169491522</v>
      </c>
      <c r="AA13" s="53">
        <f t="shared" si="10"/>
        <v>0.9285714285714286</v>
      </c>
      <c r="AB13" s="53"/>
      <c r="AD13" s="33">
        <f t="shared" si="11"/>
        <v>199</v>
      </c>
      <c r="AE13" s="2"/>
      <c r="AK13" s="26"/>
    </row>
    <row r="14" spans="1:37" x14ac:dyDescent="0.2">
      <c r="A14">
        <f t="shared" si="2"/>
        <v>1</v>
      </c>
      <c r="B14" t="str">
        <f t="shared" si="3"/>
        <v>E</v>
      </c>
      <c r="C14" t="s">
        <v>343</v>
      </c>
      <c r="D14" s="13" t="s">
        <v>2</v>
      </c>
      <c r="E14" t="str">
        <f>VLOOKUP(D14,'MP-CF (WP)'!$B$4:$U$81,2,FALSE)</f>
        <v>American Electric Power</v>
      </c>
      <c r="F14" s="180">
        <v>20.6</v>
      </c>
      <c r="G14" s="66">
        <v>79.3</v>
      </c>
      <c r="H14" s="66">
        <v>62.7</v>
      </c>
      <c r="I14" s="2">
        <f t="shared" si="1"/>
        <v>71</v>
      </c>
      <c r="J14" s="67">
        <v>8.6</v>
      </c>
      <c r="K14" s="67">
        <v>3.9</v>
      </c>
      <c r="L14" s="67">
        <v>2.5299999999999998</v>
      </c>
      <c r="M14" s="67">
        <v>12.5</v>
      </c>
      <c r="N14" s="67">
        <v>38.65</v>
      </c>
      <c r="O14" s="67">
        <v>9.0500000000000007</v>
      </c>
      <c r="P14" s="67">
        <v>13.55</v>
      </c>
      <c r="Q14" s="67">
        <v>10.5</v>
      </c>
      <c r="R14" s="67">
        <v>13.75</v>
      </c>
      <c r="S14" s="75">
        <v>43448</v>
      </c>
      <c r="T14" s="2">
        <f t="shared" si="12"/>
        <v>8.2558139534883725</v>
      </c>
      <c r="U14" s="53">
        <f t="shared" si="4"/>
        <v>1.8369987063389392</v>
      </c>
      <c r="V14" s="87">
        <f t="shared" si="5"/>
        <v>6.545924967658473E-2</v>
      </c>
      <c r="W14" s="53">
        <f t="shared" si="6"/>
        <v>0.64871794871794863</v>
      </c>
      <c r="X14" s="53">
        <f t="shared" si="7"/>
        <v>0.68799999999999994</v>
      </c>
      <c r="Y14" s="87">
        <f t="shared" si="8"/>
        <v>3.5633802816901407E-2</v>
      </c>
      <c r="Z14" s="53">
        <f t="shared" si="9"/>
        <v>0.66789667896678973</v>
      </c>
      <c r="AA14" s="53">
        <f t="shared" si="10"/>
        <v>0.76363636363636367</v>
      </c>
      <c r="AB14" s="53"/>
      <c r="AD14" s="33">
        <f t="shared" si="11"/>
        <v>228.78000000000003</v>
      </c>
      <c r="AE14" s="2"/>
      <c r="AK14" s="26"/>
    </row>
    <row r="15" spans="1:37" hidden="1" x14ac:dyDescent="0.2">
      <c r="A15" t="str">
        <f t="shared" si="2"/>
        <v/>
      </c>
      <c r="B15" t="str">
        <f t="shared" si="3"/>
        <v>W</v>
      </c>
      <c r="C15" t="s">
        <v>270</v>
      </c>
      <c r="D15" s="13" t="s">
        <v>171</v>
      </c>
      <c r="E15" t="str">
        <f ca="1">INDEX(nameLU,MATCH(D15,tickerLU,0))</f>
        <v>Aqua America</v>
      </c>
      <c r="F15" s="66">
        <v>26</v>
      </c>
      <c r="G15" s="66">
        <v>39.4</v>
      </c>
      <c r="H15" s="66">
        <v>32.4</v>
      </c>
      <c r="I15" s="2">
        <f t="shared" si="1"/>
        <v>35.9</v>
      </c>
      <c r="J15" s="67">
        <v>2.2000000000000002</v>
      </c>
      <c r="K15" s="67">
        <v>1.4</v>
      </c>
      <c r="L15" s="67">
        <v>0.85</v>
      </c>
      <c r="M15" s="67">
        <v>2.65</v>
      </c>
      <c r="N15" s="67">
        <v>11</v>
      </c>
      <c r="O15" s="67">
        <v>2.4</v>
      </c>
      <c r="P15" s="67">
        <v>2.65</v>
      </c>
      <c r="Q15" s="67">
        <v>2.9</v>
      </c>
      <c r="R15" s="67">
        <v>2.1</v>
      </c>
      <c r="S15" s="75">
        <v>43385</v>
      </c>
      <c r="T15" s="2">
        <f t="shared" si="12"/>
        <v>16.318181818181817</v>
      </c>
      <c r="U15" s="53">
        <f t="shared" si="4"/>
        <v>3.2636363636363637</v>
      </c>
      <c r="V15" s="87">
        <f t="shared" si="5"/>
        <v>7.7272727272727271E-2</v>
      </c>
      <c r="W15" s="53">
        <f t="shared" si="6"/>
        <v>0.60714285714285721</v>
      </c>
      <c r="X15" s="53">
        <f t="shared" si="7"/>
        <v>0.83018867924528317</v>
      </c>
      <c r="Y15" s="87">
        <f t="shared" si="8"/>
        <v>2.3676880222841225E-2</v>
      </c>
      <c r="Z15" s="53">
        <f t="shared" si="9"/>
        <v>0.90566037735849059</v>
      </c>
      <c r="AA15" s="53">
        <f t="shared" si="10"/>
        <v>1.3809523809523809</v>
      </c>
      <c r="AB15" s="53"/>
      <c r="AD15" s="33">
        <f t="shared" si="11"/>
        <v>115.90000000000002</v>
      </c>
      <c r="AE15" s="2"/>
      <c r="AK15" s="26"/>
    </row>
    <row r="16" spans="1:37" hidden="1" x14ac:dyDescent="0.2">
      <c r="A16">
        <f t="shared" si="2"/>
        <v>1</v>
      </c>
      <c r="B16" t="str">
        <f t="shared" si="3"/>
        <v>N</v>
      </c>
      <c r="C16" t="s">
        <v>271</v>
      </c>
      <c r="D16" s="13" t="s">
        <v>175</v>
      </c>
      <c r="E16" t="str">
        <f ca="1">INDEX(OFFSET(CashFlow,0,-1,,1),MATCH(D16,OFFSET(CashFlow,0,0,,1),0))</f>
        <v>Atmos Energy</v>
      </c>
      <c r="F16" s="66">
        <v>23.5</v>
      </c>
      <c r="G16" s="66">
        <v>99.8</v>
      </c>
      <c r="H16" s="66">
        <v>76.5</v>
      </c>
      <c r="I16" s="2">
        <f t="shared" si="1"/>
        <v>88.15</v>
      </c>
      <c r="J16" s="67">
        <v>7.15</v>
      </c>
      <c r="K16" s="67">
        <v>4</v>
      </c>
      <c r="L16" s="67">
        <v>1.94</v>
      </c>
      <c r="M16" s="67">
        <v>13.2</v>
      </c>
      <c r="N16" s="67">
        <v>42.85</v>
      </c>
      <c r="O16" s="67">
        <v>7.7</v>
      </c>
      <c r="P16" s="67">
        <v>14.65</v>
      </c>
      <c r="Q16" s="67">
        <v>8.6</v>
      </c>
      <c r="R16" s="67">
        <v>14.2</v>
      </c>
      <c r="S16" s="75">
        <v>43434</v>
      </c>
      <c r="T16" s="2">
        <f t="shared" si="12"/>
        <v>12.328671328671328</v>
      </c>
      <c r="U16" s="53">
        <f t="shared" si="4"/>
        <v>2.057176196032672</v>
      </c>
      <c r="V16" s="87">
        <f t="shared" si="5"/>
        <v>4.5274212368728119E-2</v>
      </c>
      <c r="W16" s="53">
        <f t="shared" si="6"/>
        <v>0.48499999999999999</v>
      </c>
      <c r="X16" s="53">
        <f t="shared" si="7"/>
        <v>0.54166666666666674</v>
      </c>
      <c r="Y16" s="87">
        <f t="shared" si="8"/>
        <v>2.2007941009642651E-2</v>
      </c>
      <c r="Z16" s="53">
        <f t="shared" si="9"/>
        <v>0.52559726962457343</v>
      </c>
      <c r="AA16" s="53">
        <f t="shared" si="10"/>
        <v>0.60563380281690138</v>
      </c>
      <c r="AB16" s="53"/>
      <c r="AD16" s="33">
        <f t="shared" si="11"/>
        <v>268.94</v>
      </c>
      <c r="AE16" s="2"/>
      <c r="AK16" s="26"/>
    </row>
    <row r="17" spans="1:37" hidden="1" x14ac:dyDescent="0.2">
      <c r="A17">
        <f t="shared" si="2"/>
        <v>1</v>
      </c>
      <c r="B17" t="str">
        <f t="shared" si="3"/>
        <v>E</v>
      </c>
      <c r="C17" t="s">
        <v>268</v>
      </c>
      <c r="D17" s="13" t="s">
        <v>260</v>
      </c>
      <c r="E17" t="str">
        <f>VLOOKUP(D17,'MP-CF (WP)'!$B$4:$U$81,2,FALSE)</f>
        <v>Avangrid, Inc.</v>
      </c>
      <c r="F17" s="66">
        <v>19.899999999999999</v>
      </c>
      <c r="G17" s="66">
        <v>54.6</v>
      </c>
      <c r="H17" s="66">
        <v>45.2</v>
      </c>
      <c r="I17" s="2">
        <f t="shared" si="1"/>
        <v>49.900000000000006</v>
      </c>
      <c r="J17" s="67">
        <v>5.0999999999999996</v>
      </c>
      <c r="K17" s="67">
        <v>2.2000000000000002</v>
      </c>
      <c r="L17" s="67">
        <v>1.74</v>
      </c>
      <c r="M17" s="67">
        <v>7.75</v>
      </c>
      <c r="N17" s="67">
        <v>49.25</v>
      </c>
      <c r="O17" s="67">
        <v>5.6</v>
      </c>
      <c r="P17" s="67">
        <v>7.75</v>
      </c>
      <c r="Q17" s="67">
        <v>6.75</v>
      </c>
      <c r="R17" s="67">
        <v>7.75</v>
      </c>
      <c r="S17" s="75">
        <v>43420</v>
      </c>
      <c r="T17" s="2">
        <f t="shared" si="12"/>
        <v>9.7843137254901986</v>
      </c>
      <c r="U17" s="53">
        <f t="shared" si="4"/>
        <v>1.0131979695431472</v>
      </c>
      <c r="V17" s="87">
        <f t="shared" si="5"/>
        <v>3.5329949238578677E-2</v>
      </c>
      <c r="W17" s="53">
        <f t="shared" si="6"/>
        <v>0.79090909090909089</v>
      </c>
      <c r="X17" s="53">
        <f t="shared" si="7"/>
        <v>0.65806451612903216</v>
      </c>
      <c r="Y17" s="87">
        <f t="shared" si="8"/>
        <v>3.4869739478957912E-2</v>
      </c>
      <c r="Z17" s="53">
        <f t="shared" si="9"/>
        <v>0.72258064516129028</v>
      </c>
      <c r="AA17" s="53">
        <f t="shared" si="10"/>
        <v>0.87096774193548387</v>
      </c>
      <c r="AB17" s="53"/>
      <c r="AD17" s="33">
        <f t="shared" si="11"/>
        <v>185.74</v>
      </c>
    </row>
    <row r="18" spans="1:37" hidden="1" x14ac:dyDescent="0.2">
      <c r="A18">
        <f t="shared" si="2"/>
        <v>1</v>
      </c>
      <c r="B18" t="str">
        <f t="shared" si="3"/>
        <v>E</v>
      </c>
      <c r="C18" t="s">
        <v>269</v>
      </c>
      <c r="D18" s="13" t="s">
        <v>4</v>
      </c>
      <c r="E18" t="str">
        <f>VLOOKUP(D18,'MP-CF (WP)'!$B$4:$U$81,2,FALSE)</f>
        <v xml:space="preserve">Avista Corp.                  </v>
      </c>
      <c r="F18" s="66">
        <v>25.9</v>
      </c>
      <c r="G18" s="66">
        <v>52.9</v>
      </c>
      <c r="H18" s="66">
        <v>47.5</v>
      </c>
      <c r="I18" s="2">
        <f t="shared" si="1"/>
        <v>50.2</v>
      </c>
      <c r="J18" s="67">
        <v>5</v>
      </c>
      <c r="K18" s="67">
        <v>1.9</v>
      </c>
      <c r="L18" s="67">
        <v>1.49</v>
      </c>
      <c r="M18" s="67">
        <v>6.1</v>
      </c>
      <c r="N18" s="67">
        <v>27.3</v>
      </c>
      <c r="O18" s="67">
        <v>5.35</v>
      </c>
      <c r="P18" s="67">
        <v>6.05</v>
      </c>
      <c r="Q18" s="67">
        <v>6.5</v>
      </c>
      <c r="R18" s="67">
        <v>6.25</v>
      </c>
      <c r="S18" s="75">
        <v>43399</v>
      </c>
      <c r="T18" s="2">
        <f t="shared" si="12"/>
        <v>10.040000000000001</v>
      </c>
      <c r="U18" s="53">
        <f t="shared" si="4"/>
        <v>1.838827838827839</v>
      </c>
      <c r="V18" s="87">
        <f t="shared" si="5"/>
        <v>5.4578754578754579E-2</v>
      </c>
      <c r="W18" s="53">
        <f t="shared" si="6"/>
        <v>0.78421052631578947</v>
      </c>
      <c r="X18" s="53">
        <f t="shared" si="7"/>
        <v>0.81967213114754101</v>
      </c>
      <c r="Y18" s="87">
        <f t="shared" si="8"/>
        <v>2.9681274900398406E-2</v>
      </c>
      <c r="Z18" s="53">
        <f t="shared" si="9"/>
        <v>0.88429752066115697</v>
      </c>
      <c r="AA18" s="53">
        <f t="shared" si="10"/>
        <v>1.04</v>
      </c>
      <c r="AB18" s="53"/>
      <c r="AD18" s="33">
        <f t="shared" si="11"/>
        <v>168.09000000000003</v>
      </c>
    </row>
    <row r="19" spans="1:37" hidden="1" x14ac:dyDescent="0.2">
      <c r="A19">
        <f t="shared" si="2"/>
        <v>1</v>
      </c>
      <c r="B19" t="str">
        <f t="shared" si="3"/>
        <v>E</v>
      </c>
      <c r="C19" t="s">
        <v>269</v>
      </c>
      <c r="D19" s="13" t="s">
        <v>5</v>
      </c>
      <c r="E19" t="str">
        <f>VLOOKUP(D19,'MP-CF (WP)'!$B$4:$U$81,2,FALSE)</f>
        <v xml:space="preserve">Black Hills                   </v>
      </c>
      <c r="F19" s="66">
        <v>18.100000000000001</v>
      </c>
      <c r="G19" s="66">
        <v>64.099999999999994</v>
      </c>
      <c r="H19" s="66">
        <v>50.5</v>
      </c>
      <c r="I19" s="2">
        <f t="shared" si="1"/>
        <v>57.3</v>
      </c>
      <c r="J19" s="67">
        <v>6.7</v>
      </c>
      <c r="K19" s="67">
        <v>3.45</v>
      </c>
      <c r="L19" s="67">
        <v>1.9</v>
      </c>
      <c r="M19" s="67">
        <v>8</v>
      </c>
      <c r="N19" s="67">
        <v>35.75</v>
      </c>
      <c r="O19" s="67">
        <v>7.25</v>
      </c>
      <c r="P19" s="67">
        <v>9.9499999999999993</v>
      </c>
      <c r="Q19" s="67">
        <v>8.5</v>
      </c>
      <c r="R19" s="67">
        <v>7.25</v>
      </c>
      <c r="S19" s="75">
        <v>43399</v>
      </c>
      <c r="T19" s="2">
        <f t="shared" si="12"/>
        <v>8.5522388059701484</v>
      </c>
      <c r="U19" s="53">
        <f t="shared" si="4"/>
        <v>1.6027972027972026</v>
      </c>
      <c r="V19" s="87">
        <f t="shared" si="5"/>
        <v>5.3146853146853142E-2</v>
      </c>
      <c r="W19" s="53">
        <f t="shared" si="6"/>
        <v>0.55072463768115931</v>
      </c>
      <c r="X19" s="53">
        <f t="shared" si="7"/>
        <v>0.83750000000000002</v>
      </c>
      <c r="Y19" s="87">
        <f t="shared" si="8"/>
        <v>3.3158813263525308E-2</v>
      </c>
      <c r="Z19" s="53">
        <f t="shared" si="9"/>
        <v>0.72864321608040206</v>
      </c>
      <c r="AA19" s="53">
        <f t="shared" si="10"/>
        <v>1.1724137931034482</v>
      </c>
      <c r="AB19" s="53"/>
      <c r="AD19" s="33">
        <f t="shared" si="11"/>
        <v>188.49999999999997</v>
      </c>
    </row>
    <row r="20" spans="1:37" hidden="1" x14ac:dyDescent="0.2">
      <c r="A20" t="str">
        <f t="shared" si="2"/>
        <v/>
      </c>
      <c r="B20" t="str">
        <f t="shared" si="3"/>
        <v>W</v>
      </c>
      <c r="C20" t="s">
        <v>270</v>
      </c>
      <c r="D20" s="13" t="s">
        <v>177</v>
      </c>
      <c r="E20" t="str">
        <f ca="1">INDEX(nameLU,MATCH(D20,tickerLU,0))</f>
        <v>California Water</v>
      </c>
      <c r="F20" s="66">
        <v>28.7</v>
      </c>
      <c r="G20" s="66">
        <v>45.8</v>
      </c>
      <c r="H20" s="66">
        <v>35.299999999999997</v>
      </c>
      <c r="I20" s="2">
        <f t="shared" si="1"/>
        <v>40.549999999999997</v>
      </c>
      <c r="J20" s="67">
        <v>2.65</v>
      </c>
      <c r="K20" s="67">
        <v>1.3</v>
      </c>
      <c r="L20" s="67">
        <v>0.75</v>
      </c>
      <c r="M20" s="67">
        <v>4.3499999999999996</v>
      </c>
      <c r="N20" s="67">
        <v>14.45</v>
      </c>
      <c r="O20" s="67">
        <v>2.95</v>
      </c>
      <c r="P20" s="67">
        <v>3.95</v>
      </c>
      <c r="Q20" s="67">
        <v>3.3</v>
      </c>
      <c r="R20" s="67">
        <v>3.65</v>
      </c>
      <c r="S20" s="75">
        <v>43385</v>
      </c>
      <c r="T20" s="2">
        <f t="shared" si="12"/>
        <v>15.30188679245283</v>
      </c>
      <c r="U20" s="53">
        <f t="shared" si="4"/>
        <v>2.8062283737024223</v>
      </c>
      <c r="V20" s="87">
        <f t="shared" si="5"/>
        <v>5.1903114186851215E-2</v>
      </c>
      <c r="W20" s="53">
        <f t="shared" si="6"/>
        <v>0.57692307692307687</v>
      </c>
      <c r="X20" s="53">
        <f t="shared" si="7"/>
        <v>0.60919540229885061</v>
      </c>
      <c r="Y20" s="87">
        <f t="shared" si="8"/>
        <v>1.8495684340320593E-2</v>
      </c>
      <c r="Z20" s="53">
        <f t="shared" si="9"/>
        <v>0.74683544303797467</v>
      </c>
      <c r="AA20" s="53">
        <f t="shared" si="10"/>
        <v>0.90410958904109584</v>
      </c>
      <c r="AB20" s="53"/>
      <c r="AD20" s="33">
        <f t="shared" si="11"/>
        <v>133.29999999999998</v>
      </c>
    </row>
    <row r="21" spans="1:37" x14ac:dyDescent="0.2">
      <c r="A21">
        <f t="shared" si="2"/>
        <v>1</v>
      </c>
      <c r="B21" t="str">
        <f t="shared" si="3"/>
        <v>E</v>
      </c>
      <c r="C21" t="s">
        <v>343</v>
      </c>
      <c r="D21" s="13" t="s">
        <v>6</v>
      </c>
      <c r="E21" t="str">
        <f>VLOOKUP(D21,'MP-CF (WP)'!$B$4:$U$81,2,FALSE)</f>
        <v xml:space="preserve">CenterPoint Energy            </v>
      </c>
      <c r="F21" s="180">
        <v>23</v>
      </c>
      <c r="G21" s="66">
        <v>29.1</v>
      </c>
      <c r="H21" s="66">
        <v>24.8</v>
      </c>
      <c r="I21" s="2">
        <f t="shared" si="1"/>
        <v>26.950000000000003</v>
      </c>
      <c r="J21" s="67">
        <v>3.6</v>
      </c>
      <c r="K21" s="67">
        <v>0.9</v>
      </c>
      <c r="L21" s="67">
        <v>1.1100000000000001</v>
      </c>
      <c r="M21" s="67">
        <v>3.3</v>
      </c>
      <c r="N21" s="67">
        <v>12.9</v>
      </c>
      <c r="O21" s="67">
        <v>4</v>
      </c>
      <c r="P21" s="67">
        <v>3.25</v>
      </c>
      <c r="Q21" s="67">
        <v>4.5</v>
      </c>
      <c r="R21" s="67">
        <v>3</v>
      </c>
      <c r="S21" s="75">
        <v>43448</v>
      </c>
      <c r="T21" s="2">
        <f t="shared" si="12"/>
        <v>7.4861111111111116</v>
      </c>
      <c r="U21" s="53">
        <f t="shared" si="4"/>
        <v>2.0891472868217056</v>
      </c>
      <c r="V21" s="87">
        <f t="shared" si="5"/>
        <v>8.6046511627906982E-2</v>
      </c>
      <c r="W21" s="53">
        <f t="shared" si="6"/>
        <v>1.2333333333333334</v>
      </c>
      <c r="X21" s="53">
        <f t="shared" si="7"/>
        <v>1.0909090909090911</v>
      </c>
      <c r="Y21" s="87">
        <f t="shared" si="8"/>
        <v>4.1187384044526903E-2</v>
      </c>
      <c r="Z21" s="53">
        <f t="shared" si="9"/>
        <v>1.2307692307692308</v>
      </c>
      <c r="AA21" s="53">
        <f t="shared" si="10"/>
        <v>1.5</v>
      </c>
      <c r="AB21" s="53"/>
      <c r="AD21" s="33">
        <f t="shared" si="11"/>
        <v>98.710000000000008</v>
      </c>
    </row>
    <row r="22" spans="1:37" hidden="1" x14ac:dyDescent="0.2">
      <c r="A22">
        <f t="shared" si="2"/>
        <v>1</v>
      </c>
      <c r="B22" t="str">
        <f t="shared" si="3"/>
        <v>N</v>
      </c>
      <c r="C22" t="s">
        <v>271</v>
      </c>
      <c r="D22" s="13" t="s">
        <v>178</v>
      </c>
      <c r="E22" t="str">
        <f ca="1">INDEX(OFFSET(CashFlow,0,-1,,1),MATCH(D22,OFFSET(CashFlow,0,0,,1),0))</f>
        <v>Chesapeake Utilities</v>
      </c>
      <c r="F22" s="66">
        <v>26.2</v>
      </c>
      <c r="G22" s="66">
        <v>93.1</v>
      </c>
      <c r="H22" s="66">
        <v>66.400000000000006</v>
      </c>
      <c r="I22" s="2">
        <f t="shared" si="1"/>
        <v>79.75</v>
      </c>
      <c r="J22" s="67">
        <v>6.1</v>
      </c>
      <c r="K22" s="67">
        <v>3.15</v>
      </c>
      <c r="L22" s="67">
        <v>1.39</v>
      </c>
      <c r="M22" s="67">
        <v>12.75</v>
      </c>
      <c r="N22" s="67">
        <v>31.8</v>
      </c>
      <c r="O22" s="67">
        <v>6.45</v>
      </c>
      <c r="P22" s="67">
        <v>10.8</v>
      </c>
      <c r="Q22" s="67">
        <v>8.25</v>
      </c>
      <c r="R22" s="67">
        <v>11.8</v>
      </c>
      <c r="S22" s="75">
        <v>43434</v>
      </c>
      <c r="T22" s="2">
        <f t="shared" si="12"/>
        <v>13.073770491803279</v>
      </c>
      <c r="U22" s="53">
        <f t="shared" si="4"/>
        <v>2.507861635220126</v>
      </c>
      <c r="V22" s="87">
        <f t="shared" si="5"/>
        <v>4.3710691823899368E-2</v>
      </c>
      <c r="W22" s="53">
        <f t="shared" si="6"/>
        <v>0.44126984126984126</v>
      </c>
      <c r="X22" s="53">
        <f t="shared" si="7"/>
        <v>0.47843137254901957</v>
      </c>
      <c r="Y22" s="87">
        <f t="shared" si="8"/>
        <v>1.7429467084639497E-2</v>
      </c>
      <c r="Z22" s="53">
        <f t="shared" si="9"/>
        <v>0.59722222222222221</v>
      </c>
      <c r="AA22" s="53">
        <f t="shared" si="10"/>
        <v>0.69915254237288127</v>
      </c>
      <c r="AB22" s="53"/>
      <c r="AD22" s="33">
        <f t="shared" si="11"/>
        <v>240.89</v>
      </c>
    </row>
    <row r="23" spans="1:37" x14ac:dyDescent="0.2">
      <c r="A23">
        <f t="shared" si="2"/>
        <v>1</v>
      </c>
      <c r="B23" t="str">
        <f t="shared" si="3"/>
        <v>E</v>
      </c>
      <c r="C23" t="s">
        <v>343</v>
      </c>
      <c r="D23" s="13" t="s">
        <v>9</v>
      </c>
      <c r="E23" t="str">
        <f>VLOOKUP(D23,'MP-CF (WP)'!$B$4:$U$81,2,FALSE)</f>
        <v xml:space="preserve">CMS Energy Corp.              </v>
      </c>
      <c r="F23" s="180">
        <v>22.9</v>
      </c>
      <c r="G23" s="66">
        <v>53.3</v>
      </c>
      <c r="H23" s="66">
        <v>40.5</v>
      </c>
      <c r="I23" s="2">
        <f t="shared" si="1"/>
        <v>46.9</v>
      </c>
      <c r="J23" s="67">
        <v>5.65</v>
      </c>
      <c r="K23" s="67">
        <v>2.35</v>
      </c>
      <c r="L23" s="67">
        <v>1.43</v>
      </c>
      <c r="M23" s="67">
        <v>7.4</v>
      </c>
      <c r="N23" s="67">
        <v>16.95</v>
      </c>
      <c r="O23" s="67">
        <v>5.95</v>
      </c>
      <c r="P23" s="67">
        <v>8.4</v>
      </c>
      <c r="Q23" s="67">
        <v>7.25</v>
      </c>
      <c r="R23" s="67">
        <v>6.5</v>
      </c>
      <c r="S23" s="75">
        <v>43448</v>
      </c>
      <c r="T23" s="2">
        <f t="shared" si="12"/>
        <v>8.3008849557522115</v>
      </c>
      <c r="U23" s="53">
        <f t="shared" si="4"/>
        <v>2.7669616519174043</v>
      </c>
      <c r="V23" s="87">
        <f t="shared" si="5"/>
        <v>8.4365781710914453E-2</v>
      </c>
      <c r="W23" s="53">
        <f t="shared" si="6"/>
        <v>0.60851063829787233</v>
      </c>
      <c r="X23" s="53">
        <f t="shared" si="7"/>
        <v>0.76351351351351349</v>
      </c>
      <c r="Y23" s="87">
        <f t="shared" si="8"/>
        <v>3.0490405117270789E-2</v>
      </c>
      <c r="Z23" s="53">
        <f t="shared" si="9"/>
        <v>0.70833333333333337</v>
      </c>
      <c r="AA23" s="53">
        <f t="shared" si="10"/>
        <v>1.1153846153846154</v>
      </c>
      <c r="AB23" s="53"/>
      <c r="AD23" s="33">
        <f t="shared" si="11"/>
        <v>150.47999999999999</v>
      </c>
    </row>
    <row r="24" spans="1:37" hidden="1" x14ac:dyDescent="0.2">
      <c r="A24" t="str">
        <f t="shared" si="2"/>
        <v/>
      </c>
      <c r="B24" t="str">
        <f t="shared" si="3"/>
        <v>W</v>
      </c>
      <c r="C24" t="s">
        <v>270</v>
      </c>
      <c r="D24" s="13" t="s">
        <v>180</v>
      </c>
      <c r="E24" t="str">
        <f ca="1">INDEX(nameLU,MATCH(D24,tickerLU,0))</f>
        <v>Conn. Water Services</v>
      </c>
      <c r="F24" s="66">
        <v>32.5</v>
      </c>
      <c r="G24" s="66">
        <v>69.8</v>
      </c>
      <c r="H24" s="66">
        <v>48.9</v>
      </c>
      <c r="I24" s="2">
        <f t="shared" si="1"/>
        <v>59.349999999999994</v>
      </c>
      <c r="J24" s="67">
        <v>3.15</v>
      </c>
      <c r="K24" s="67">
        <v>1.65</v>
      </c>
      <c r="L24" s="67">
        <v>1.24</v>
      </c>
      <c r="M24" s="67">
        <v>4.45</v>
      </c>
      <c r="N24" s="67">
        <v>24.7</v>
      </c>
      <c r="O24" s="67">
        <v>3.95</v>
      </c>
      <c r="P24" s="67">
        <v>4</v>
      </c>
      <c r="Q24" s="67">
        <v>4.5</v>
      </c>
      <c r="R24" s="67">
        <v>3.35</v>
      </c>
      <c r="S24" s="75">
        <v>43385</v>
      </c>
      <c r="T24" s="2">
        <f t="shared" si="12"/>
        <v>18.841269841269838</v>
      </c>
      <c r="U24" s="53">
        <f t="shared" si="4"/>
        <v>2.402834008097166</v>
      </c>
      <c r="V24" s="87">
        <f t="shared" si="5"/>
        <v>5.020242914979757E-2</v>
      </c>
      <c r="W24" s="53">
        <f t="shared" si="6"/>
        <v>0.75151515151515158</v>
      </c>
      <c r="X24" s="53">
        <f t="shared" si="7"/>
        <v>0.7078651685393258</v>
      </c>
      <c r="Y24" s="87">
        <f t="shared" si="8"/>
        <v>2.0893007582139852E-2</v>
      </c>
      <c r="Z24" s="53">
        <f t="shared" si="9"/>
        <v>0.98750000000000004</v>
      </c>
      <c r="AA24" s="53">
        <f t="shared" si="10"/>
        <v>1.3432835820895521</v>
      </c>
      <c r="AB24" s="53"/>
      <c r="AD24" s="33">
        <f t="shared" si="11"/>
        <v>186.39</v>
      </c>
    </row>
    <row r="25" spans="1:37" hidden="1" x14ac:dyDescent="0.2">
      <c r="A25">
        <f t="shared" si="2"/>
        <v>1</v>
      </c>
      <c r="B25" t="str">
        <f t="shared" si="3"/>
        <v>E</v>
      </c>
      <c r="C25" t="s">
        <v>268</v>
      </c>
      <c r="D25" s="13" t="s">
        <v>10</v>
      </c>
      <c r="E25" t="str">
        <f>VLOOKUP(D25,'MP-CF (WP)'!$B$4:$U$81,2,FALSE)</f>
        <v xml:space="preserve">Consol. Edison                </v>
      </c>
      <c r="F25" s="66">
        <v>18</v>
      </c>
      <c r="G25" s="66">
        <v>84.9</v>
      </c>
      <c r="H25" s="66">
        <v>71.099999999999994</v>
      </c>
      <c r="I25" s="2">
        <f t="shared" si="1"/>
        <v>78</v>
      </c>
      <c r="J25" s="67">
        <v>8.65</v>
      </c>
      <c r="K25" s="67">
        <v>4.2</v>
      </c>
      <c r="L25" s="67">
        <v>2.86</v>
      </c>
      <c r="M25" s="67">
        <v>12.5</v>
      </c>
      <c r="N25" s="67">
        <v>51.5</v>
      </c>
      <c r="O25" s="67">
        <v>9.15</v>
      </c>
      <c r="P25" s="67">
        <v>12.5</v>
      </c>
      <c r="Q25" s="67">
        <v>10.5</v>
      </c>
      <c r="R25" s="67">
        <v>11.25</v>
      </c>
      <c r="S25" s="75">
        <v>43420</v>
      </c>
      <c r="T25" s="2">
        <f t="shared" si="12"/>
        <v>9.0173410404624281</v>
      </c>
      <c r="U25" s="53">
        <f t="shared" si="4"/>
        <v>1.5145631067961165</v>
      </c>
      <c r="V25" s="87">
        <f t="shared" si="5"/>
        <v>5.5533980582524269E-2</v>
      </c>
      <c r="W25" s="53">
        <f t="shared" si="6"/>
        <v>0.68095238095238086</v>
      </c>
      <c r="X25" s="53">
        <f t="shared" si="7"/>
        <v>0.69200000000000006</v>
      </c>
      <c r="Y25" s="87">
        <f t="shared" si="8"/>
        <v>3.6666666666666667E-2</v>
      </c>
      <c r="Z25" s="53">
        <f t="shared" si="9"/>
        <v>0.73199999999999998</v>
      </c>
      <c r="AA25" s="53">
        <f t="shared" si="10"/>
        <v>0.93333333333333335</v>
      </c>
      <c r="AB25" s="53"/>
      <c r="AD25" s="33">
        <f t="shared" si="11"/>
        <v>253.71</v>
      </c>
    </row>
    <row r="26" spans="1:37" hidden="1" x14ac:dyDescent="0.2">
      <c r="A26" t="str">
        <f t="shared" si="2"/>
        <v/>
      </c>
      <c r="B26" t="str">
        <f t="shared" si="3"/>
        <v>W</v>
      </c>
      <c r="C26" t="s">
        <v>270</v>
      </c>
      <c r="D26" s="13" t="s">
        <v>182</v>
      </c>
      <c r="E26" t="str">
        <f ca="1">INDEX(nameLU,MATCH(D26,tickerLU,0))</f>
        <v>Consolidated Water</v>
      </c>
      <c r="F26" s="66">
        <v>20.8</v>
      </c>
      <c r="G26" s="66">
        <v>15.4</v>
      </c>
      <c r="H26" s="66">
        <v>12</v>
      </c>
      <c r="I26" s="2">
        <f t="shared" si="1"/>
        <v>13.7</v>
      </c>
      <c r="J26" s="67">
        <v>1.05</v>
      </c>
      <c r="K26" s="67">
        <v>0.6</v>
      </c>
      <c r="L26" s="67">
        <v>0.35</v>
      </c>
      <c r="M26" s="67">
        <v>0.2</v>
      </c>
      <c r="N26" s="67">
        <v>10.45</v>
      </c>
      <c r="O26" s="67">
        <v>1.1499999999999999</v>
      </c>
      <c r="P26" s="67">
        <v>0.2</v>
      </c>
      <c r="Q26" s="67">
        <v>1.9</v>
      </c>
      <c r="R26" s="67">
        <v>1.9</v>
      </c>
      <c r="S26" s="75">
        <v>43385</v>
      </c>
      <c r="T26" s="2">
        <f t="shared" si="12"/>
        <v>13.047619047619046</v>
      </c>
      <c r="U26" s="53">
        <f t="shared" si="4"/>
        <v>1.3110047846889952</v>
      </c>
      <c r="V26" s="87">
        <f t="shared" si="5"/>
        <v>3.3492822966507178E-2</v>
      </c>
      <c r="W26" s="53">
        <f t="shared" si="6"/>
        <v>0.58333333333333337</v>
      </c>
      <c r="X26" s="53">
        <f t="shared" si="7"/>
        <v>5.25</v>
      </c>
      <c r="Y26" s="87">
        <f t="shared" si="8"/>
        <v>2.5547445255474453E-2</v>
      </c>
      <c r="Z26" s="53">
        <f t="shared" si="9"/>
        <v>5.7499999999999991</v>
      </c>
      <c r="AA26" s="53">
        <f t="shared" si="10"/>
        <v>1</v>
      </c>
      <c r="AB26" s="53"/>
      <c r="AD26" s="33">
        <f t="shared" si="11"/>
        <v>60.850000000000009</v>
      </c>
    </row>
    <row r="27" spans="1:37" hidden="1" x14ac:dyDescent="0.2">
      <c r="A27">
        <f t="shared" si="2"/>
        <v>1</v>
      </c>
      <c r="B27" t="str">
        <f t="shared" si="3"/>
        <v>E</v>
      </c>
      <c r="C27" t="s">
        <v>268</v>
      </c>
      <c r="D27" s="13" t="s">
        <v>11</v>
      </c>
      <c r="E27" t="str">
        <f>VLOOKUP(D27,'MP-CF (WP)'!$B$4:$U$81,2,FALSE)</f>
        <v xml:space="preserve">Dominion Resources            </v>
      </c>
      <c r="F27" s="180">
        <v>16.600000000000001</v>
      </c>
      <c r="G27" s="66">
        <v>81.7</v>
      </c>
      <c r="H27" s="66">
        <v>61.5</v>
      </c>
      <c r="I27" s="2">
        <f t="shared" si="1"/>
        <v>71.599999999999994</v>
      </c>
      <c r="J27" s="67">
        <v>7.25</v>
      </c>
      <c r="K27" s="67">
        <v>3.75</v>
      </c>
      <c r="L27" s="67">
        <v>3.34</v>
      </c>
      <c r="M27" s="67">
        <v>7.35</v>
      </c>
      <c r="N27" s="67">
        <v>29.15</v>
      </c>
      <c r="O27" s="67">
        <v>8.1</v>
      </c>
      <c r="P27" s="67">
        <v>6.95</v>
      </c>
      <c r="Q27" s="67">
        <v>9.5</v>
      </c>
      <c r="R27" s="67">
        <v>7.5</v>
      </c>
      <c r="S27" s="75">
        <v>43420</v>
      </c>
      <c r="T27" s="2">
        <f t="shared" si="12"/>
        <v>9.8758620689655157</v>
      </c>
      <c r="U27" s="53">
        <f t="shared" si="4"/>
        <v>2.4562607204116635</v>
      </c>
      <c r="V27" s="87">
        <f t="shared" si="5"/>
        <v>0.11457975986277873</v>
      </c>
      <c r="W27" s="53">
        <f t="shared" si="6"/>
        <v>0.89066666666666661</v>
      </c>
      <c r="X27" s="53">
        <f t="shared" si="7"/>
        <v>0.98639455782312935</v>
      </c>
      <c r="Y27" s="87">
        <f t="shared" si="8"/>
        <v>4.664804469273743E-2</v>
      </c>
      <c r="Z27" s="53">
        <f t="shared" si="9"/>
        <v>1.1654676258992804</v>
      </c>
      <c r="AA27" s="53">
        <f t="shared" si="10"/>
        <v>1.2666666666666666</v>
      </c>
      <c r="AB27" s="53"/>
      <c r="AD27" s="33">
        <f t="shared" si="11"/>
        <v>210.64000000000001</v>
      </c>
    </row>
    <row r="28" spans="1:37" x14ac:dyDescent="0.2">
      <c r="A28">
        <f t="shared" si="2"/>
        <v>1</v>
      </c>
      <c r="B28" t="str">
        <f t="shared" si="3"/>
        <v>E</v>
      </c>
      <c r="C28" t="s">
        <v>343</v>
      </c>
      <c r="D28" s="13" t="s">
        <v>12</v>
      </c>
      <c r="E28" t="str">
        <f>VLOOKUP(D28,'MP-CF (WP)'!$B$4:$U$81,2,FALSE)</f>
        <v xml:space="preserve">DTE Energy                    </v>
      </c>
      <c r="F28" s="180">
        <v>19.7</v>
      </c>
      <c r="G28" s="66">
        <v>121</v>
      </c>
      <c r="H28" s="66">
        <v>94.3</v>
      </c>
      <c r="I28" s="2">
        <f t="shared" si="1"/>
        <v>107.65</v>
      </c>
      <c r="J28" s="67">
        <v>12.7</v>
      </c>
      <c r="K28" s="67">
        <v>6.15</v>
      </c>
      <c r="L28" s="67">
        <v>3.59</v>
      </c>
      <c r="M28" s="67">
        <v>19.55</v>
      </c>
      <c r="N28" s="67">
        <v>56.2</v>
      </c>
      <c r="O28" s="67">
        <v>12.85</v>
      </c>
      <c r="P28" s="67">
        <v>13.3</v>
      </c>
      <c r="Q28" s="67">
        <v>16</v>
      </c>
      <c r="R28" s="67">
        <v>13.25</v>
      </c>
      <c r="S28" s="75">
        <v>43448</v>
      </c>
      <c r="T28" s="2">
        <f t="shared" si="12"/>
        <v>8.4763779527559056</v>
      </c>
      <c r="U28" s="53">
        <f t="shared" si="4"/>
        <v>1.9154804270462633</v>
      </c>
      <c r="V28" s="87">
        <f t="shared" si="5"/>
        <v>6.3879003558718853E-2</v>
      </c>
      <c r="W28" s="53">
        <f t="shared" si="6"/>
        <v>0.58373983739837387</v>
      </c>
      <c r="X28" s="53">
        <f t="shared" si="7"/>
        <v>0.64961636828644498</v>
      </c>
      <c r="Y28" s="87">
        <f t="shared" si="8"/>
        <v>3.3348815606130976E-2</v>
      </c>
      <c r="Z28" s="53">
        <f t="shared" si="9"/>
        <v>0.96616541353383456</v>
      </c>
      <c r="AA28" s="53">
        <f t="shared" si="10"/>
        <v>1.2075471698113207</v>
      </c>
      <c r="AB28" s="53"/>
      <c r="AD28" s="33">
        <f t="shared" si="11"/>
        <v>333.19</v>
      </c>
    </row>
    <row r="29" spans="1:37" hidden="1" x14ac:dyDescent="0.2">
      <c r="A29">
        <f t="shared" si="2"/>
        <v>1</v>
      </c>
      <c r="B29" t="str">
        <f t="shared" si="3"/>
        <v>E</v>
      </c>
      <c r="C29" t="s">
        <v>268</v>
      </c>
      <c r="D29" s="13" t="s">
        <v>13</v>
      </c>
      <c r="E29" t="str">
        <f>VLOOKUP(D29,'MP-CF (WP)'!$B$4:$U$81,2,FALSE)</f>
        <v xml:space="preserve">Duke Energy                   </v>
      </c>
      <c r="F29" s="66">
        <v>17.7</v>
      </c>
      <c r="G29" s="66">
        <v>85.1</v>
      </c>
      <c r="H29" s="66">
        <v>72</v>
      </c>
      <c r="I29" s="2">
        <f t="shared" si="1"/>
        <v>78.55</v>
      </c>
      <c r="J29" s="67">
        <v>10.75</v>
      </c>
      <c r="K29" s="67">
        <v>4.4000000000000004</v>
      </c>
      <c r="L29" s="67">
        <v>3.64</v>
      </c>
      <c r="M29" s="67">
        <v>15.15</v>
      </c>
      <c r="N29" s="67">
        <v>60.55</v>
      </c>
      <c r="O29" s="67">
        <v>11.6</v>
      </c>
      <c r="P29" s="67">
        <v>15.15</v>
      </c>
      <c r="Q29" s="67">
        <v>13.25</v>
      </c>
      <c r="R29" s="67">
        <v>11.75</v>
      </c>
      <c r="S29" s="75">
        <v>43420</v>
      </c>
      <c r="T29" s="2">
        <f t="shared" si="12"/>
        <v>7.3069767441860458</v>
      </c>
      <c r="U29" s="53">
        <f t="shared" si="4"/>
        <v>1.2972749793559042</v>
      </c>
      <c r="V29" s="87">
        <f t="shared" si="5"/>
        <v>6.011560693641619E-2</v>
      </c>
      <c r="W29" s="53">
        <f t="shared" si="6"/>
        <v>0.82727272727272727</v>
      </c>
      <c r="X29" s="53">
        <f t="shared" si="7"/>
        <v>0.70957095709570961</v>
      </c>
      <c r="Y29" s="87">
        <f t="shared" si="8"/>
        <v>4.6339910884786763E-2</v>
      </c>
      <c r="Z29" s="53">
        <f t="shared" si="9"/>
        <v>0.76567656765676562</v>
      </c>
      <c r="AA29" s="53">
        <f t="shared" si="10"/>
        <v>1.1276595744680851</v>
      </c>
      <c r="AB29" s="53"/>
      <c r="AD29" s="33">
        <f t="shared" si="11"/>
        <v>269.29000000000002</v>
      </c>
    </row>
    <row r="30" spans="1:37" hidden="1" x14ac:dyDescent="0.2">
      <c r="A30">
        <f t="shared" si="2"/>
        <v>1</v>
      </c>
      <c r="B30" t="str">
        <f t="shared" si="3"/>
        <v>E</v>
      </c>
      <c r="C30" t="s">
        <v>269</v>
      </c>
      <c r="D30" s="13" t="s">
        <v>14</v>
      </c>
      <c r="E30" t="str">
        <f>VLOOKUP(D30,'MP-CF (WP)'!$B$4:$U$81,2,FALSE)</f>
        <v xml:space="preserve">Edison Int'l                  </v>
      </c>
      <c r="F30" s="66">
        <v>14.8</v>
      </c>
      <c r="G30" s="66">
        <v>71</v>
      </c>
      <c r="H30" s="66">
        <v>57.6</v>
      </c>
      <c r="I30" s="2">
        <f t="shared" si="1"/>
        <v>64.3</v>
      </c>
      <c r="J30" s="67">
        <v>11.25</v>
      </c>
      <c r="K30" s="67">
        <v>4.3499999999999996</v>
      </c>
      <c r="L30" s="67">
        <v>2.4500000000000002</v>
      </c>
      <c r="M30" s="67">
        <v>13.3</v>
      </c>
      <c r="N30" s="67">
        <v>37</v>
      </c>
      <c r="O30" s="67">
        <v>12</v>
      </c>
      <c r="P30" s="67">
        <v>15.05</v>
      </c>
      <c r="Q30" s="67">
        <v>14.25</v>
      </c>
      <c r="R30" s="67">
        <v>15.75</v>
      </c>
      <c r="S30" s="75">
        <v>43399</v>
      </c>
      <c r="T30" s="2">
        <f t="shared" si="12"/>
        <v>5.7155555555555555</v>
      </c>
      <c r="U30" s="53">
        <f t="shared" si="4"/>
        <v>1.7378378378378379</v>
      </c>
      <c r="V30" s="87">
        <f t="shared" si="5"/>
        <v>6.621621621621622E-2</v>
      </c>
      <c r="W30" s="53">
        <f t="shared" si="6"/>
        <v>0.56321839080459779</v>
      </c>
      <c r="X30" s="53">
        <f t="shared" si="7"/>
        <v>0.84586466165413532</v>
      </c>
      <c r="Y30" s="87">
        <f t="shared" si="8"/>
        <v>3.8102643856920686E-2</v>
      </c>
      <c r="Z30" s="53">
        <f t="shared" si="9"/>
        <v>0.79734219269102991</v>
      </c>
      <c r="AA30" s="53">
        <f t="shared" si="10"/>
        <v>0.90476190476190477</v>
      </c>
      <c r="AB30" s="53"/>
      <c r="AD30" s="33">
        <f t="shared" si="11"/>
        <v>211.75</v>
      </c>
      <c r="AE30" s="2"/>
      <c r="AK30" s="26"/>
    </row>
    <row r="31" spans="1:37" hidden="1" x14ac:dyDescent="0.2">
      <c r="A31">
        <f t="shared" si="2"/>
        <v>1</v>
      </c>
      <c r="B31" t="str">
        <f t="shared" si="3"/>
        <v>E</v>
      </c>
      <c r="C31" t="s">
        <v>269</v>
      </c>
      <c r="D31" s="13" t="s">
        <v>15</v>
      </c>
      <c r="E31" t="str">
        <f>VLOOKUP(D31,'MP-CF (WP)'!$B$4:$U$81,2,FALSE)</f>
        <v xml:space="preserve">El Paso Electric              </v>
      </c>
      <c r="F31" s="66">
        <v>22.5</v>
      </c>
      <c r="G31" s="66">
        <v>64.400000000000006</v>
      </c>
      <c r="H31" s="66">
        <v>48.1</v>
      </c>
      <c r="I31" s="2">
        <f t="shared" si="1"/>
        <v>56.25</v>
      </c>
      <c r="J31" s="67">
        <v>6.45</v>
      </c>
      <c r="K31" s="67">
        <v>2.5499999999999998</v>
      </c>
      <c r="L31" s="67">
        <v>1.42</v>
      </c>
      <c r="M31" s="67">
        <v>6.8</v>
      </c>
      <c r="N31" s="67">
        <v>29.3</v>
      </c>
      <c r="O31" s="67">
        <v>6.65</v>
      </c>
      <c r="P31" s="67">
        <v>6.85</v>
      </c>
      <c r="Q31" s="67">
        <v>7.75</v>
      </c>
      <c r="R31" s="67">
        <v>7.25</v>
      </c>
      <c r="S31" s="75">
        <v>43399</v>
      </c>
      <c r="T31" s="2">
        <f t="shared" si="12"/>
        <v>8.720930232558139</v>
      </c>
      <c r="U31" s="53">
        <f t="shared" si="4"/>
        <v>1.9197952218430034</v>
      </c>
      <c r="V31" s="87">
        <f t="shared" si="5"/>
        <v>4.8464163822525594E-2</v>
      </c>
      <c r="W31" s="53">
        <f t="shared" si="6"/>
        <v>0.55686274509803924</v>
      </c>
      <c r="X31" s="53">
        <f t="shared" si="7"/>
        <v>0.94852941176470595</v>
      </c>
      <c r="Y31" s="87">
        <f t="shared" si="8"/>
        <v>2.5244444444444444E-2</v>
      </c>
      <c r="Z31" s="53">
        <f t="shared" si="9"/>
        <v>0.97080291970802934</v>
      </c>
      <c r="AA31" s="53">
        <f t="shared" si="10"/>
        <v>1.0689655172413792</v>
      </c>
      <c r="AB31" s="53"/>
      <c r="AD31" s="33">
        <f t="shared" si="11"/>
        <v>181.52</v>
      </c>
      <c r="AE31" s="2"/>
      <c r="AK31" s="26"/>
    </row>
    <row r="32" spans="1:37" hidden="1" x14ac:dyDescent="0.2">
      <c r="A32" t="str">
        <f t="shared" si="2"/>
        <v/>
      </c>
      <c r="B32" t="str">
        <f t="shared" si="3"/>
        <v/>
      </c>
      <c r="D32" s="13"/>
      <c r="F32" s="66"/>
      <c r="G32" s="66"/>
      <c r="H32" s="66"/>
      <c r="I32" s="2"/>
      <c r="J32" s="67"/>
      <c r="K32" s="67"/>
      <c r="L32" s="67"/>
      <c r="M32" s="67"/>
      <c r="N32" s="67"/>
      <c r="O32" s="67"/>
      <c r="P32" s="67"/>
      <c r="Q32" s="67"/>
      <c r="R32" s="67"/>
      <c r="S32" s="75"/>
      <c r="T32" s="2" t="str">
        <f t="shared" si="12"/>
        <v/>
      </c>
      <c r="U32" s="53" t="str">
        <f t="shared" si="4"/>
        <v/>
      </c>
      <c r="V32" s="87" t="str">
        <f t="shared" si="5"/>
        <v/>
      </c>
      <c r="W32" s="53" t="str">
        <f t="shared" si="6"/>
        <v/>
      </c>
      <c r="X32" s="53" t="str">
        <f t="shared" si="7"/>
        <v/>
      </c>
      <c r="Y32" s="87" t="str">
        <f t="shared" si="8"/>
        <v/>
      </c>
      <c r="Z32" s="53" t="str">
        <f>IFERROR(O32/P32,"")</f>
        <v/>
      </c>
      <c r="AA32" s="53" t="str">
        <f t="shared" si="10"/>
        <v/>
      </c>
      <c r="AB32" s="53"/>
      <c r="AD32" s="33">
        <f t="shared" si="11"/>
        <v>0</v>
      </c>
      <c r="AE32" s="2"/>
      <c r="AK32" s="26"/>
    </row>
    <row r="33" spans="1:37" x14ac:dyDescent="0.2">
      <c r="A33">
        <f t="shared" si="2"/>
        <v>1</v>
      </c>
      <c r="B33" t="str">
        <f t="shared" si="3"/>
        <v>E</v>
      </c>
      <c r="C33" t="s">
        <v>343</v>
      </c>
      <c r="D33" s="13" t="s">
        <v>17</v>
      </c>
      <c r="E33" t="str">
        <f>VLOOKUP(D33,'MP-CF (WP)'!$B$4:$U$81,2,FALSE)</f>
        <v xml:space="preserve">Entergy Corp.                 </v>
      </c>
      <c r="F33" s="180">
        <v>18.8</v>
      </c>
      <c r="G33" s="66">
        <v>89.4</v>
      </c>
      <c r="H33" s="66">
        <v>71.900000000000006</v>
      </c>
      <c r="I33" s="2">
        <f t="shared" ref="I33:I71" si="13">IFERROR(AVERAGE(G33:H33),"")</f>
        <v>80.650000000000006</v>
      </c>
      <c r="J33" s="67">
        <v>16.2</v>
      </c>
      <c r="K33" s="67">
        <v>5</v>
      </c>
      <c r="L33" s="67">
        <v>3.58</v>
      </c>
      <c r="M33" s="67">
        <v>22.9</v>
      </c>
      <c r="N33" s="67">
        <v>46.45</v>
      </c>
      <c r="O33" s="67">
        <v>14.65</v>
      </c>
      <c r="P33" s="67">
        <v>19.899999999999999</v>
      </c>
      <c r="Q33" s="67">
        <v>18.5</v>
      </c>
      <c r="R33" s="67">
        <v>16</v>
      </c>
      <c r="S33" s="75">
        <v>43448</v>
      </c>
      <c r="T33" s="2">
        <f>IFERROR(I33/J33,"")</f>
        <v>4.9783950617283956</v>
      </c>
      <c r="U33" s="53">
        <f>IFERROR(I33/N33,"")</f>
        <v>1.7362755651237891</v>
      </c>
      <c r="V33" s="87">
        <f>IFERROR(L33/N33,"")</f>
        <v>7.707212055974165E-2</v>
      </c>
      <c r="W33" s="53">
        <f>IFERROR(L33/K33,"")</f>
        <v>0.71599999999999997</v>
      </c>
      <c r="X33" s="53">
        <f>IFERROR(J33/M33,"")</f>
        <v>0.70742358078602618</v>
      </c>
      <c r="Y33" s="87">
        <f t="shared" si="8"/>
        <v>4.4389336639801609E-2</v>
      </c>
      <c r="Z33" s="53">
        <f>IFERROR(O33/P33,"")</f>
        <v>0.73618090452261309</v>
      </c>
      <c r="AA33" s="53">
        <f t="shared" si="10"/>
        <v>1.15625</v>
      </c>
      <c r="AB33" s="53"/>
      <c r="AD33" s="33">
        <f t="shared" ref="AD33:AD51" si="14">ABS(SUM(F33:H33,J33:N33))</f>
        <v>274.23</v>
      </c>
      <c r="AE33" s="2"/>
      <c r="AK33" s="26"/>
    </row>
    <row r="34" spans="1:37" x14ac:dyDescent="0.2">
      <c r="A34">
        <f t="shared" ref="A34" si="15">IF(OR(B34="E",B34="N"),1,"")</f>
        <v>1</v>
      </c>
      <c r="B34" t="str">
        <f t="shared" ref="B34" si="16">LEFT(C34,1)</f>
        <v>E</v>
      </c>
      <c r="C34" t="s">
        <v>343</v>
      </c>
      <c r="D34" s="13" t="s">
        <v>487</v>
      </c>
      <c r="E34" t="s">
        <v>488</v>
      </c>
      <c r="F34" s="180">
        <v>21.7</v>
      </c>
      <c r="G34" s="66">
        <v>61.1</v>
      </c>
      <c r="H34" s="66">
        <v>50.9</v>
      </c>
      <c r="I34" s="2">
        <f t="shared" si="13"/>
        <v>56</v>
      </c>
      <c r="J34" s="67">
        <v>4.7</v>
      </c>
      <c r="K34" s="67">
        <v>2.5</v>
      </c>
      <c r="L34" s="67">
        <v>1.74</v>
      </c>
      <c r="M34" s="67">
        <v>4.5999999999999996</v>
      </c>
      <c r="N34" s="67">
        <v>34.9</v>
      </c>
      <c r="O34" s="67">
        <v>7.2</v>
      </c>
      <c r="P34" s="67">
        <v>5.25</v>
      </c>
      <c r="Q34" s="67">
        <v>9</v>
      </c>
      <c r="R34" s="67">
        <v>5.5</v>
      </c>
      <c r="S34" s="75">
        <v>43448</v>
      </c>
      <c r="T34" s="2">
        <f>IFERROR(I34/J34,"")</f>
        <v>11.914893617021276</v>
      </c>
      <c r="U34" s="53">
        <f>IFERROR(I34/N34,"")</f>
        <v>1.6045845272206305</v>
      </c>
      <c r="V34" s="87">
        <f>IFERROR(L34/N34,"")</f>
        <v>4.9856733524355303E-2</v>
      </c>
      <c r="W34" s="53">
        <f>IFERROR(L34/K34,"")</f>
        <v>0.69599999999999995</v>
      </c>
      <c r="X34" s="53">
        <f>IFERROR(J34/M34,"")</f>
        <v>1.0217391304347827</v>
      </c>
      <c r="Y34" s="87">
        <f t="shared" si="8"/>
        <v>3.1071428571428573E-2</v>
      </c>
      <c r="Z34" s="53">
        <f>IFERROR(O34/P34,"")</f>
        <v>1.3714285714285714</v>
      </c>
      <c r="AA34" s="53">
        <f t="shared" si="10"/>
        <v>1.6363636363636365</v>
      </c>
      <c r="AB34" s="53"/>
      <c r="AD34" s="33">
        <f t="shared" si="14"/>
        <v>182.14</v>
      </c>
      <c r="AE34" s="2"/>
      <c r="AK34" s="26"/>
    </row>
    <row r="35" spans="1:37" hidden="1" x14ac:dyDescent="0.2">
      <c r="A35">
        <f t="shared" si="2"/>
        <v>1</v>
      </c>
      <c r="B35" t="str">
        <f t="shared" si="3"/>
        <v>E</v>
      </c>
      <c r="C35" t="s">
        <v>268</v>
      </c>
      <c r="D35" s="13" t="s">
        <v>211</v>
      </c>
      <c r="E35" t="str">
        <f>VLOOKUP(D35,'MP-CF (WP)'!$B$4:$U$81,2,FALSE)</f>
        <v xml:space="preserve">Eversource Energy    </v>
      </c>
      <c r="F35" s="66">
        <v>19</v>
      </c>
      <c r="G35" s="66">
        <v>65.3</v>
      </c>
      <c r="H35" s="66">
        <v>52.8</v>
      </c>
      <c r="I35" s="2">
        <f t="shared" si="13"/>
        <v>59.05</v>
      </c>
      <c r="J35" s="67">
        <v>6.6</v>
      </c>
      <c r="K35" s="67">
        <v>3.25</v>
      </c>
      <c r="L35" s="67">
        <v>2.02</v>
      </c>
      <c r="M35" s="67">
        <v>9.6</v>
      </c>
      <c r="N35" s="67">
        <v>36.25</v>
      </c>
      <c r="O35" s="67">
        <v>7</v>
      </c>
      <c r="P35" s="67">
        <v>10.7</v>
      </c>
      <c r="Q35" s="67">
        <v>8.25</v>
      </c>
      <c r="R35" s="67">
        <v>7</v>
      </c>
      <c r="S35" s="75">
        <v>43420</v>
      </c>
      <c r="T35" s="2">
        <f t="shared" si="12"/>
        <v>8.9469696969696972</v>
      </c>
      <c r="U35" s="53">
        <f t="shared" si="4"/>
        <v>1.6289655172413793</v>
      </c>
      <c r="V35" s="87">
        <f t="shared" si="5"/>
        <v>5.5724137931034486E-2</v>
      </c>
      <c r="W35" s="53">
        <f t="shared" si="6"/>
        <v>0.6215384615384616</v>
      </c>
      <c r="X35" s="53">
        <f t="shared" si="7"/>
        <v>0.6875</v>
      </c>
      <c r="Y35" s="87">
        <f t="shared" si="8"/>
        <v>3.4208298052497886E-2</v>
      </c>
      <c r="Z35" s="53">
        <f t="shared" ref="Z35:Z74" si="17">IFERROR(O35/P35,"")</f>
        <v>0.65420560747663559</v>
      </c>
      <c r="AA35" s="53">
        <f t="shared" si="10"/>
        <v>1.1785714285714286</v>
      </c>
      <c r="AB35" s="53"/>
      <c r="AD35" s="33">
        <f t="shared" si="14"/>
        <v>194.82</v>
      </c>
      <c r="AE35" s="2"/>
      <c r="AK35" s="26"/>
    </row>
    <row r="36" spans="1:37" hidden="1" x14ac:dyDescent="0.2">
      <c r="A36">
        <f t="shared" si="2"/>
        <v>1</v>
      </c>
      <c r="B36" t="str">
        <f t="shared" si="3"/>
        <v>E</v>
      </c>
      <c r="C36" t="s">
        <v>268</v>
      </c>
      <c r="D36" s="13" t="s">
        <v>18</v>
      </c>
      <c r="E36" t="str">
        <f>VLOOKUP(D36,'MP-CF (WP)'!$B$4:$U$81,2,FALSE)</f>
        <v xml:space="preserve">Exelon Corp.                  </v>
      </c>
      <c r="F36" s="66">
        <v>14.8</v>
      </c>
      <c r="G36" s="66">
        <v>45.1</v>
      </c>
      <c r="H36" s="66">
        <v>35.6</v>
      </c>
      <c r="I36" s="2">
        <f t="shared" si="13"/>
        <v>40.35</v>
      </c>
      <c r="J36" s="67">
        <v>8.85</v>
      </c>
      <c r="K36" s="67">
        <v>2.5</v>
      </c>
      <c r="L36" s="67">
        <v>1.38</v>
      </c>
      <c r="M36" s="67">
        <v>8.1</v>
      </c>
      <c r="N36" s="67">
        <v>32.15</v>
      </c>
      <c r="O36" s="67">
        <v>9.9</v>
      </c>
      <c r="P36" s="67">
        <v>7.2</v>
      </c>
      <c r="Q36" s="67">
        <v>11.75</v>
      </c>
      <c r="R36" s="67">
        <v>7.25</v>
      </c>
      <c r="S36" s="75">
        <v>43420</v>
      </c>
      <c r="T36" s="2">
        <f t="shared" si="12"/>
        <v>4.5593220338983054</v>
      </c>
      <c r="U36" s="53">
        <f t="shared" si="4"/>
        <v>1.2550544323483672</v>
      </c>
      <c r="V36" s="87">
        <f t="shared" si="5"/>
        <v>4.2923794712286155E-2</v>
      </c>
      <c r="W36" s="53">
        <f t="shared" si="6"/>
        <v>0.55199999999999994</v>
      </c>
      <c r="X36" s="53">
        <f t="shared" si="7"/>
        <v>1.0925925925925926</v>
      </c>
      <c r="Y36" s="87">
        <f t="shared" si="8"/>
        <v>3.4200743494423785E-2</v>
      </c>
      <c r="Z36" s="53">
        <f t="shared" si="17"/>
        <v>1.375</v>
      </c>
      <c r="AA36" s="53">
        <f t="shared" si="10"/>
        <v>1.6206896551724137</v>
      </c>
      <c r="AB36" s="53"/>
      <c r="AD36" s="33">
        <f t="shared" si="14"/>
        <v>148.47999999999999</v>
      </c>
      <c r="AE36" s="2"/>
      <c r="AK36" s="26"/>
    </row>
    <row r="37" spans="1:37" hidden="1" x14ac:dyDescent="0.2">
      <c r="A37">
        <f t="shared" si="2"/>
        <v>1</v>
      </c>
      <c r="B37" t="str">
        <f t="shared" si="3"/>
        <v>E</v>
      </c>
      <c r="C37" t="s">
        <v>268</v>
      </c>
      <c r="D37" s="13" t="s">
        <v>19</v>
      </c>
      <c r="E37" t="str">
        <f>VLOOKUP(D37,'MP-CF (WP)'!$B$4:$U$81,2,FALSE)</f>
        <v xml:space="preserve">FirstEnergy Corp.             </v>
      </c>
      <c r="F37" s="66">
        <v>17.8</v>
      </c>
      <c r="G37" s="66">
        <v>39</v>
      </c>
      <c r="H37" s="66">
        <v>29.3</v>
      </c>
      <c r="I37" s="2">
        <f t="shared" si="13"/>
        <v>34.15</v>
      </c>
      <c r="J37" s="67">
        <v>3.9</v>
      </c>
      <c r="K37" s="67">
        <v>1.1499999999999999</v>
      </c>
      <c r="L37" s="67">
        <v>1.44</v>
      </c>
      <c r="M37" s="67">
        <v>5.35</v>
      </c>
      <c r="N37" s="67">
        <v>11.7</v>
      </c>
      <c r="O37" s="67">
        <v>4.9000000000000004</v>
      </c>
      <c r="P37" s="67">
        <v>4.6500000000000004</v>
      </c>
      <c r="Q37" s="67">
        <v>6</v>
      </c>
      <c r="R37" s="67">
        <v>5</v>
      </c>
      <c r="S37" s="75">
        <v>43420</v>
      </c>
      <c r="T37" s="2">
        <f t="shared" si="12"/>
        <v>8.7564102564102555</v>
      </c>
      <c r="U37" s="53">
        <f t="shared" si="4"/>
        <v>2.9188034188034186</v>
      </c>
      <c r="V37" s="87">
        <f t="shared" si="5"/>
        <v>0.12307692307692308</v>
      </c>
      <c r="W37" s="53">
        <f t="shared" si="6"/>
        <v>1.2521739130434784</v>
      </c>
      <c r="X37" s="53">
        <f t="shared" si="7"/>
        <v>0.72897196261682251</v>
      </c>
      <c r="Y37" s="87">
        <f t="shared" si="8"/>
        <v>4.2166910688140553E-2</v>
      </c>
      <c r="Z37" s="53">
        <f t="shared" si="17"/>
        <v>1.053763440860215</v>
      </c>
      <c r="AA37" s="53">
        <f t="shared" si="10"/>
        <v>1.2</v>
      </c>
      <c r="AB37" s="53"/>
      <c r="AD37" s="33">
        <f t="shared" si="14"/>
        <v>109.64</v>
      </c>
      <c r="AE37" s="2"/>
      <c r="AK37" s="26"/>
    </row>
    <row r="38" spans="1:37" x14ac:dyDescent="0.2">
      <c r="A38">
        <f t="shared" si="2"/>
        <v>1</v>
      </c>
      <c r="B38" t="str">
        <f t="shared" si="3"/>
        <v>E</v>
      </c>
      <c r="C38" t="s">
        <v>343</v>
      </c>
      <c r="D38" s="13" t="s">
        <v>266</v>
      </c>
      <c r="E38" t="str">
        <f>VLOOKUP(D38,'MP-CF (WP)'!$B$4:$U$81,2,FALSE)</f>
        <v>Fortis Inc.</v>
      </c>
      <c r="F38" s="180">
        <v>16.8</v>
      </c>
      <c r="G38" s="66">
        <v>47.3</v>
      </c>
      <c r="H38" s="66">
        <v>39.4</v>
      </c>
      <c r="I38" s="2">
        <f t="shared" si="13"/>
        <v>43.349999999999994</v>
      </c>
      <c r="J38" s="67">
        <v>5.45</v>
      </c>
      <c r="K38" s="67">
        <v>2.6</v>
      </c>
      <c r="L38" s="67">
        <v>1.75</v>
      </c>
      <c r="M38" s="67">
        <v>7.4</v>
      </c>
      <c r="N38" s="67">
        <v>33.5</v>
      </c>
      <c r="O38" s="67">
        <v>5.85</v>
      </c>
      <c r="P38" s="67">
        <v>8.5500000000000007</v>
      </c>
      <c r="Q38" s="67">
        <v>7.25</v>
      </c>
      <c r="R38" s="67">
        <v>7.5</v>
      </c>
      <c r="S38" s="75">
        <v>43448</v>
      </c>
      <c r="T38" s="2">
        <f>IFERROR(I38/J38,"")</f>
        <v>7.9541284403669712</v>
      </c>
      <c r="U38" s="53">
        <f>IFERROR(I38/N38,"")</f>
        <v>1.2940298507462684</v>
      </c>
      <c r="V38" s="87">
        <f>IFERROR(L38/N38,"")</f>
        <v>5.2238805970149252E-2</v>
      </c>
      <c r="W38" s="53">
        <f>IFERROR(L38/K38,"")</f>
        <v>0.67307692307692302</v>
      </c>
      <c r="X38" s="53">
        <f>IFERROR(J38/M38,"")</f>
        <v>0.73648648648648651</v>
      </c>
      <c r="Y38" s="87">
        <f t="shared" si="8"/>
        <v>4.0369088811995392E-2</v>
      </c>
      <c r="Z38" s="53">
        <f t="shared" si="17"/>
        <v>0.68421052631578938</v>
      </c>
      <c r="AA38" s="53">
        <f t="shared" si="10"/>
        <v>0.96666666666666667</v>
      </c>
      <c r="AB38" s="53"/>
      <c r="AD38" s="33">
        <f t="shared" si="14"/>
        <v>154.19999999999999</v>
      </c>
      <c r="AE38" s="2"/>
      <c r="AK38" s="26"/>
    </row>
    <row r="39" spans="1:37" x14ac:dyDescent="0.2">
      <c r="A39">
        <f t="shared" si="2"/>
        <v>1</v>
      </c>
      <c r="B39" t="str">
        <f t="shared" si="3"/>
        <v>E</v>
      </c>
      <c r="C39" t="s">
        <v>343</v>
      </c>
      <c r="D39" s="13" t="s">
        <v>20</v>
      </c>
      <c r="E39" t="str">
        <f>VLOOKUP(D39,'MP-CF (WP)'!$B$4:$U$81,2,FALSE)</f>
        <v xml:space="preserve">Great Plains Energy             </v>
      </c>
      <c r="F39" s="201" t="s">
        <v>106</v>
      </c>
      <c r="G39" s="201" t="s">
        <v>106</v>
      </c>
      <c r="H39" s="201" t="s">
        <v>106</v>
      </c>
      <c r="I39" s="17" t="str">
        <f t="shared" si="13"/>
        <v/>
      </c>
      <c r="J39" s="202" t="s">
        <v>106</v>
      </c>
      <c r="K39" s="202" t="s">
        <v>106</v>
      </c>
      <c r="L39" s="202" t="s">
        <v>106</v>
      </c>
      <c r="M39" s="202" t="s">
        <v>106</v>
      </c>
      <c r="N39" s="202" t="s">
        <v>106</v>
      </c>
      <c r="O39" s="67"/>
      <c r="P39" s="67"/>
      <c r="Q39" s="67"/>
      <c r="R39" s="67"/>
      <c r="S39" s="75">
        <v>43266</v>
      </c>
      <c r="T39" s="2" t="str">
        <f>IFERROR(I39/J39,"N/A")</f>
        <v>N/A</v>
      </c>
      <c r="U39" s="53" t="str">
        <f>IFERROR(I39/N39,"N/A")</f>
        <v>N/A</v>
      </c>
      <c r="V39" s="87" t="str">
        <f>IFERROR(L39/N39,"N/A")</f>
        <v>N/A</v>
      </c>
      <c r="W39" s="53" t="str">
        <f>IFERROR(L39/K39,"N/A")</f>
        <v>N/A</v>
      </c>
      <c r="X39" s="53" t="str">
        <f>IFERROR(J39/M39,"N/A")</f>
        <v>N/A</v>
      </c>
      <c r="Y39" s="87" t="str">
        <f>IFERROR(L39/I39,"N/A")</f>
        <v>N/A</v>
      </c>
      <c r="Z39" s="53" t="str">
        <f>IFERROR(O39/P39,"N/A")</f>
        <v>N/A</v>
      </c>
      <c r="AA39" s="53" t="str">
        <f t="shared" si="10"/>
        <v/>
      </c>
      <c r="AB39" s="53"/>
      <c r="AD39" s="33">
        <f t="shared" si="14"/>
        <v>0</v>
      </c>
    </row>
    <row r="40" spans="1:37" hidden="1" x14ac:dyDescent="0.2">
      <c r="A40">
        <f t="shared" si="2"/>
        <v>1</v>
      </c>
      <c r="B40" t="str">
        <f t="shared" si="3"/>
        <v>E</v>
      </c>
      <c r="C40" t="s">
        <v>269</v>
      </c>
      <c r="D40" s="13" t="s">
        <v>21</v>
      </c>
      <c r="E40" t="str">
        <f>VLOOKUP(D40,'MP-CF (WP)'!$B$4:$U$81,2,FALSE)</f>
        <v xml:space="preserve">Hawaiian Elec.                </v>
      </c>
      <c r="F40" s="66">
        <v>18.600000000000001</v>
      </c>
      <c r="G40" s="66">
        <v>36.4</v>
      </c>
      <c r="H40" s="66">
        <v>31.7</v>
      </c>
      <c r="I40" s="2">
        <f t="shared" si="13"/>
        <v>34.049999999999997</v>
      </c>
      <c r="J40" s="67">
        <v>4</v>
      </c>
      <c r="K40" s="67">
        <v>1.9</v>
      </c>
      <c r="L40" s="67">
        <v>1.24</v>
      </c>
      <c r="M40" s="67">
        <v>3.7</v>
      </c>
      <c r="N40" s="67">
        <v>19.899999999999999</v>
      </c>
      <c r="O40" s="67">
        <v>4.2</v>
      </c>
      <c r="P40" s="67">
        <v>4.0999999999999996</v>
      </c>
      <c r="Q40" s="67">
        <v>4.75</v>
      </c>
      <c r="R40" s="67">
        <v>4.5</v>
      </c>
      <c r="S40" s="75">
        <v>43399</v>
      </c>
      <c r="T40" s="2">
        <f t="shared" si="12"/>
        <v>8.5124999999999993</v>
      </c>
      <c r="U40" s="53">
        <f t="shared" si="4"/>
        <v>1.7110552763819096</v>
      </c>
      <c r="V40" s="87">
        <f t="shared" si="5"/>
        <v>6.2311557788944726E-2</v>
      </c>
      <c r="W40" s="53">
        <f t="shared" si="6"/>
        <v>0.65263157894736845</v>
      </c>
      <c r="X40" s="53">
        <f t="shared" si="7"/>
        <v>1.0810810810810809</v>
      </c>
      <c r="Y40" s="87">
        <f t="shared" si="8"/>
        <v>3.6417033773861969E-2</v>
      </c>
      <c r="Z40" s="53">
        <f t="shared" si="17"/>
        <v>1.024390243902439</v>
      </c>
      <c r="AA40" s="53">
        <f t="shared" si="10"/>
        <v>1.0555555555555556</v>
      </c>
      <c r="AB40" s="53"/>
      <c r="AD40" s="33">
        <f t="shared" si="14"/>
        <v>117.44</v>
      </c>
    </row>
    <row r="41" spans="1:37" hidden="1" x14ac:dyDescent="0.2">
      <c r="A41">
        <f t="shared" si="2"/>
        <v>1</v>
      </c>
      <c r="B41" t="str">
        <f t="shared" si="3"/>
        <v>E</v>
      </c>
      <c r="C41" t="s">
        <v>269</v>
      </c>
      <c r="D41" s="13" t="s">
        <v>22</v>
      </c>
      <c r="E41" t="str">
        <f>VLOOKUP(D41,'MP-CF (WP)'!$B$4:$U$81,2,FALSE)</f>
        <v xml:space="preserve">IDACORP, Inc.                 </v>
      </c>
      <c r="F41" s="66">
        <v>22.9</v>
      </c>
      <c r="G41" s="66">
        <v>101.9</v>
      </c>
      <c r="H41" s="66">
        <v>79.599999999999994</v>
      </c>
      <c r="I41" s="2">
        <f t="shared" si="13"/>
        <v>90.75</v>
      </c>
      <c r="J41" s="67">
        <v>7.8</v>
      </c>
      <c r="K41" s="67">
        <v>4.3</v>
      </c>
      <c r="L41" s="67">
        <v>2.4</v>
      </c>
      <c r="M41" s="67">
        <v>6.25</v>
      </c>
      <c r="N41" s="67">
        <v>46.55</v>
      </c>
      <c r="O41" s="67">
        <v>8.0500000000000007</v>
      </c>
      <c r="P41" s="67">
        <v>6.4</v>
      </c>
      <c r="Q41" s="67">
        <v>9.25</v>
      </c>
      <c r="R41" s="67">
        <v>6.75</v>
      </c>
      <c r="S41" s="75">
        <v>43399</v>
      </c>
      <c r="T41" s="2">
        <f t="shared" si="12"/>
        <v>11.634615384615385</v>
      </c>
      <c r="U41" s="53">
        <f t="shared" si="4"/>
        <v>1.9495166487647693</v>
      </c>
      <c r="V41" s="87">
        <f t="shared" si="5"/>
        <v>5.155746509129968E-2</v>
      </c>
      <c r="W41" s="53">
        <f t="shared" si="6"/>
        <v>0.55813953488372092</v>
      </c>
      <c r="X41" s="53">
        <f t="shared" si="7"/>
        <v>1.248</v>
      </c>
      <c r="Y41" s="87">
        <f t="shared" si="8"/>
        <v>2.6446280991735537E-2</v>
      </c>
      <c r="Z41" s="53">
        <f t="shared" si="17"/>
        <v>1.2578125</v>
      </c>
      <c r="AA41" s="53">
        <f t="shared" si="10"/>
        <v>1.3703703703703705</v>
      </c>
      <c r="AB41" s="53"/>
      <c r="AD41" s="33">
        <f t="shared" si="14"/>
        <v>271.70000000000005</v>
      </c>
    </row>
    <row r="42" spans="1:37" s="31" customFormat="1" x14ac:dyDescent="0.2">
      <c r="A42" s="31">
        <f t="shared" si="2"/>
        <v>1</v>
      </c>
      <c r="B42" s="31" t="str">
        <f t="shared" si="3"/>
        <v>E</v>
      </c>
      <c r="C42" s="31" t="s">
        <v>343</v>
      </c>
      <c r="D42" s="13" t="s">
        <v>25</v>
      </c>
      <c r="E42" s="31" t="str">
        <f>VLOOKUP(D42,'MP-CF (WP)'!$B$4:$U$81,2,FALSE)</f>
        <v xml:space="preserve">MGE Energy                    </v>
      </c>
      <c r="F42" s="226">
        <v>25.6</v>
      </c>
      <c r="G42" s="227">
        <v>68.099999999999994</v>
      </c>
      <c r="H42" s="227">
        <v>51.1</v>
      </c>
      <c r="I42" s="184">
        <f t="shared" si="13"/>
        <v>59.599999999999994</v>
      </c>
      <c r="J42" s="222">
        <v>4</v>
      </c>
      <c r="K42" s="222">
        <v>2.4500000000000002</v>
      </c>
      <c r="L42" s="222">
        <v>1.32</v>
      </c>
      <c r="M42" s="222">
        <v>5.7</v>
      </c>
      <c r="N42" s="222">
        <v>23.55</v>
      </c>
      <c r="O42" s="222">
        <v>4.3</v>
      </c>
      <c r="P42" s="222">
        <v>6.45</v>
      </c>
      <c r="Q42" s="222">
        <v>5.55</v>
      </c>
      <c r="R42" s="222">
        <v>7.65</v>
      </c>
      <c r="S42" s="228">
        <v>43448</v>
      </c>
      <c r="T42" s="229">
        <f t="shared" si="12"/>
        <v>14.899999999999999</v>
      </c>
      <c r="U42" s="230">
        <f t="shared" si="4"/>
        <v>2.5307855626326963</v>
      </c>
      <c r="V42" s="231">
        <f t="shared" si="5"/>
        <v>5.605095541401274E-2</v>
      </c>
      <c r="W42" s="230">
        <f t="shared" si="6"/>
        <v>0.53877551020408165</v>
      </c>
      <c r="X42" s="230">
        <f t="shared" si="7"/>
        <v>0.70175438596491224</v>
      </c>
      <c r="Y42" s="231">
        <f t="shared" si="8"/>
        <v>2.2147651006711414E-2</v>
      </c>
      <c r="Z42" s="230">
        <f t="shared" si="17"/>
        <v>0.66666666666666663</v>
      </c>
      <c r="AA42" s="230">
        <f t="shared" si="10"/>
        <v>0.72549019607843135</v>
      </c>
      <c r="AB42" s="230"/>
      <c r="AD42" s="232">
        <f t="shared" si="14"/>
        <v>181.81999999999996</v>
      </c>
    </row>
    <row r="43" spans="1:37" hidden="1" x14ac:dyDescent="0.2">
      <c r="A43" t="str">
        <f t="shared" si="2"/>
        <v/>
      </c>
      <c r="B43" t="str">
        <f t="shared" si="3"/>
        <v>W</v>
      </c>
      <c r="C43" t="s">
        <v>270</v>
      </c>
      <c r="D43" s="13" t="s">
        <v>188</v>
      </c>
      <c r="E43" t="str">
        <f ca="1">INDEX(nameLU,MATCH(D43,tickerLU,0))</f>
        <v>Middlesex Water</v>
      </c>
      <c r="F43" s="66">
        <v>26.1</v>
      </c>
      <c r="G43" s="66">
        <v>49</v>
      </c>
      <c r="H43" s="66">
        <v>34</v>
      </c>
      <c r="I43" s="2">
        <f t="shared" si="13"/>
        <v>41.5</v>
      </c>
      <c r="J43" s="67">
        <v>2.65</v>
      </c>
      <c r="K43" s="67">
        <v>1.75</v>
      </c>
      <c r="L43" s="67">
        <v>0.91</v>
      </c>
      <c r="M43" s="67">
        <v>3.05</v>
      </c>
      <c r="N43" s="67">
        <v>14.85</v>
      </c>
      <c r="O43" s="67">
        <v>2.65</v>
      </c>
      <c r="P43" s="67">
        <v>3</v>
      </c>
      <c r="Q43" s="67">
        <v>3.25</v>
      </c>
      <c r="R43" s="67">
        <v>2.5</v>
      </c>
      <c r="S43" s="75">
        <v>43385</v>
      </c>
      <c r="T43" s="2">
        <f t="shared" si="12"/>
        <v>15.660377358490567</v>
      </c>
      <c r="U43" s="53">
        <f t="shared" si="4"/>
        <v>2.7946127946127945</v>
      </c>
      <c r="V43" s="87">
        <f t="shared" si="5"/>
        <v>6.1279461279461281E-2</v>
      </c>
      <c r="W43" s="53">
        <f t="shared" si="6"/>
        <v>0.52</v>
      </c>
      <c r="X43" s="53">
        <f t="shared" si="7"/>
        <v>0.86885245901639352</v>
      </c>
      <c r="Y43" s="87">
        <f t="shared" si="8"/>
        <v>2.1927710843373496E-2</v>
      </c>
      <c r="Z43" s="53">
        <f t="shared" si="17"/>
        <v>0.8833333333333333</v>
      </c>
      <c r="AA43" s="53">
        <f t="shared" si="10"/>
        <v>1.3</v>
      </c>
      <c r="AB43" s="53"/>
      <c r="AD43" s="33">
        <f t="shared" si="14"/>
        <v>132.31</v>
      </c>
    </row>
    <row r="44" spans="1:37" hidden="1" x14ac:dyDescent="0.2">
      <c r="A44">
        <f t="shared" si="2"/>
        <v>1</v>
      </c>
      <c r="B44" t="str">
        <f t="shared" si="3"/>
        <v>N</v>
      </c>
      <c r="C44" t="s">
        <v>271</v>
      </c>
      <c r="D44" s="13" t="s">
        <v>190</v>
      </c>
      <c r="E44" t="str">
        <f ca="1">INDEX(OFFSET(CashFlow,0,-1,,1),MATCH(D44,OFFSET(CashFlow,0,0,,1),0))</f>
        <v>New Jersey Resources</v>
      </c>
      <c r="F44" s="66">
        <v>32</v>
      </c>
      <c r="G44" s="66">
        <v>50.4</v>
      </c>
      <c r="H44" s="66">
        <v>35.6</v>
      </c>
      <c r="I44" s="2">
        <f t="shared" si="13"/>
        <v>43</v>
      </c>
      <c r="J44" s="67">
        <v>3.65</v>
      </c>
      <c r="K44" s="67">
        <v>2.74</v>
      </c>
      <c r="L44" s="67">
        <v>1.1000000000000001</v>
      </c>
      <c r="M44" s="67">
        <v>2.2000000000000002</v>
      </c>
      <c r="N44" s="67">
        <v>15.95</v>
      </c>
      <c r="O44" s="67">
        <v>3.8</v>
      </c>
      <c r="P44" s="67">
        <v>2.25</v>
      </c>
      <c r="Q44" s="67">
        <v>4.2</v>
      </c>
      <c r="R44" s="67">
        <v>2.35</v>
      </c>
      <c r="S44" s="75">
        <v>43434</v>
      </c>
      <c r="T44" s="2">
        <f t="shared" si="12"/>
        <v>11.78082191780822</v>
      </c>
      <c r="U44" s="53">
        <f t="shared" si="4"/>
        <v>2.6959247648902824</v>
      </c>
      <c r="V44" s="87">
        <f t="shared" si="5"/>
        <v>6.8965517241379323E-2</v>
      </c>
      <c r="W44" s="53">
        <f t="shared" si="6"/>
        <v>0.40145985401459855</v>
      </c>
      <c r="X44" s="53">
        <f t="shared" si="7"/>
        <v>1.6590909090909089</v>
      </c>
      <c r="Y44" s="87">
        <f t="shared" si="8"/>
        <v>2.5581395348837212E-2</v>
      </c>
      <c r="Z44" s="53">
        <f t="shared" si="17"/>
        <v>1.6888888888888889</v>
      </c>
      <c r="AA44" s="53">
        <f t="shared" si="10"/>
        <v>1.7872340425531914</v>
      </c>
      <c r="AB44" s="53"/>
      <c r="AD44" s="33">
        <f t="shared" si="14"/>
        <v>143.63999999999999</v>
      </c>
    </row>
    <row r="45" spans="1:37" hidden="1" x14ac:dyDescent="0.2">
      <c r="A45">
        <f t="shared" si="2"/>
        <v>1</v>
      </c>
      <c r="B45" t="str">
        <f t="shared" si="3"/>
        <v>E</v>
      </c>
      <c r="C45" t="s">
        <v>268</v>
      </c>
      <c r="D45" s="13" t="s">
        <v>141</v>
      </c>
      <c r="E45" t="str">
        <f>VLOOKUP(D45,'MP-CF (WP)'!$B$4:$U$81,2,FALSE)</f>
        <v>NextEra Energy, Inc.</v>
      </c>
      <c r="F45" s="66">
        <v>21.2</v>
      </c>
      <c r="G45" s="66">
        <v>176.8</v>
      </c>
      <c r="H45" s="66">
        <v>145.1</v>
      </c>
      <c r="I45" s="2">
        <f t="shared" si="13"/>
        <v>160.94999999999999</v>
      </c>
      <c r="J45" s="67">
        <v>15</v>
      </c>
      <c r="K45" s="67">
        <v>7.5</v>
      </c>
      <c r="L45" s="67">
        <v>4.4400000000000004</v>
      </c>
      <c r="M45" s="67">
        <v>20</v>
      </c>
      <c r="N45" s="67">
        <v>68.650000000000006</v>
      </c>
      <c r="O45" s="67">
        <v>15.6</v>
      </c>
      <c r="P45" s="67">
        <v>18.7</v>
      </c>
      <c r="Q45" s="67">
        <v>19</v>
      </c>
      <c r="R45" s="67">
        <v>18.75</v>
      </c>
      <c r="S45" s="75">
        <v>43420</v>
      </c>
      <c r="T45" s="2">
        <f t="shared" si="12"/>
        <v>10.729999999999999</v>
      </c>
      <c r="U45" s="53">
        <f t="shared" si="4"/>
        <v>2.3445010924981786</v>
      </c>
      <c r="V45" s="87">
        <f t="shared" si="5"/>
        <v>6.4675892206846317E-2</v>
      </c>
      <c r="W45" s="53">
        <f t="shared" si="6"/>
        <v>0.59200000000000008</v>
      </c>
      <c r="X45" s="53">
        <f t="shared" si="7"/>
        <v>0.75</v>
      </c>
      <c r="Y45" s="87">
        <f t="shared" si="8"/>
        <v>2.7586206896551727E-2</v>
      </c>
      <c r="Z45" s="53">
        <f t="shared" si="17"/>
        <v>0.83422459893048129</v>
      </c>
      <c r="AA45" s="53">
        <f t="shared" si="10"/>
        <v>1.0133333333333334</v>
      </c>
      <c r="AB45" s="53"/>
      <c r="AD45" s="33">
        <f t="shared" si="14"/>
        <v>458.69000000000005</v>
      </c>
    </row>
    <row r="46" spans="1:37" hidden="1" x14ac:dyDescent="0.2">
      <c r="A46">
        <f t="shared" si="2"/>
        <v>1</v>
      </c>
      <c r="B46" t="str">
        <f t="shared" si="3"/>
        <v>N</v>
      </c>
      <c r="C46" t="s">
        <v>271</v>
      </c>
      <c r="D46" s="13" t="s">
        <v>26</v>
      </c>
      <c r="E46" t="str">
        <f ca="1">INDEX(OFFSET(CashFlow,0,-1,,1),MATCH(D46,OFFSET(CashFlow,0,0,,1),0))</f>
        <v>NiSource Inc.</v>
      </c>
      <c r="F46" s="180">
        <v>20.399999999999999</v>
      </c>
      <c r="G46" s="66">
        <v>28.1</v>
      </c>
      <c r="H46" s="66">
        <v>22.4</v>
      </c>
      <c r="I46" s="2">
        <f t="shared" si="13"/>
        <v>25.25</v>
      </c>
      <c r="J46" s="67">
        <v>2.9</v>
      </c>
      <c r="K46" s="67">
        <v>1.3</v>
      </c>
      <c r="L46" s="67">
        <v>0.78</v>
      </c>
      <c r="M46" s="67">
        <v>4.95</v>
      </c>
      <c r="N46" s="67">
        <v>14.05</v>
      </c>
      <c r="O46" s="67">
        <v>3</v>
      </c>
      <c r="P46" s="67">
        <v>5.2</v>
      </c>
      <c r="Q46" s="67">
        <v>3.45</v>
      </c>
      <c r="R46" s="67">
        <v>5.7</v>
      </c>
      <c r="S46" s="75">
        <v>43434</v>
      </c>
      <c r="T46" s="2">
        <f t="shared" si="12"/>
        <v>8.7068965517241388</v>
      </c>
      <c r="U46" s="53">
        <f t="shared" si="4"/>
        <v>1.7971530249110319</v>
      </c>
      <c r="V46" s="87">
        <f t="shared" si="5"/>
        <v>5.5516014234875441E-2</v>
      </c>
      <c r="W46" s="53">
        <f t="shared" si="6"/>
        <v>0.6</v>
      </c>
      <c r="X46" s="53">
        <f t="shared" si="7"/>
        <v>0.58585858585858586</v>
      </c>
      <c r="Y46" s="87">
        <f t="shared" si="8"/>
        <v>3.0891089108910891E-2</v>
      </c>
      <c r="Z46" s="53">
        <f t="shared" si="17"/>
        <v>0.57692307692307687</v>
      </c>
      <c r="AA46" s="53">
        <f t="shared" si="10"/>
        <v>0.60526315789473684</v>
      </c>
      <c r="AB46" s="53"/>
      <c r="AD46" s="33">
        <f t="shared" si="14"/>
        <v>94.88000000000001</v>
      </c>
    </row>
    <row r="47" spans="1:37" hidden="1" x14ac:dyDescent="0.2">
      <c r="A47">
        <f t="shared" si="2"/>
        <v>1</v>
      </c>
      <c r="B47" t="str">
        <f t="shared" si="3"/>
        <v>N</v>
      </c>
      <c r="C47" t="s">
        <v>271</v>
      </c>
      <c r="D47" s="13" t="s">
        <v>192</v>
      </c>
      <c r="E47" t="str">
        <f ca="1">INDEX(OFFSET(CashFlow,0,-1,,1),MATCH(D47,OFFSET(CashFlow,0,0,,1),0))</f>
        <v>Northwest Nat. Gas</v>
      </c>
      <c r="F47" s="180">
        <v>29.3</v>
      </c>
      <c r="G47" s="66">
        <v>71.8</v>
      </c>
      <c r="H47" s="66">
        <v>51.5</v>
      </c>
      <c r="I47" s="2">
        <f t="shared" si="13"/>
        <v>61.65</v>
      </c>
      <c r="J47" s="67">
        <v>4.75</v>
      </c>
      <c r="K47" s="67">
        <v>2.2000000000000002</v>
      </c>
      <c r="L47" s="67">
        <v>1.89</v>
      </c>
      <c r="M47" s="67">
        <v>6.8</v>
      </c>
      <c r="N47" s="67">
        <v>26.35</v>
      </c>
      <c r="O47" s="67">
        <v>5.65</v>
      </c>
      <c r="P47" s="67">
        <v>6.65</v>
      </c>
      <c r="Q47" s="67">
        <v>6.35</v>
      </c>
      <c r="R47" s="67">
        <v>6.25</v>
      </c>
      <c r="S47" s="75">
        <v>43434</v>
      </c>
      <c r="T47" s="2">
        <f t="shared" si="12"/>
        <v>12.978947368421052</v>
      </c>
      <c r="U47" s="53">
        <f t="shared" si="4"/>
        <v>2.3396584440227701</v>
      </c>
      <c r="V47" s="87">
        <f t="shared" si="5"/>
        <v>7.1726755218216309E-2</v>
      </c>
      <c r="W47" s="53">
        <f t="shared" si="6"/>
        <v>0.85909090909090902</v>
      </c>
      <c r="X47" s="53">
        <f t="shared" si="7"/>
        <v>0.69852941176470595</v>
      </c>
      <c r="Y47" s="87">
        <f t="shared" si="8"/>
        <v>3.0656934306569343E-2</v>
      </c>
      <c r="Z47" s="53">
        <f t="shared" si="17"/>
        <v>0.84962406015037595</v>
      </c>
      <c r="AA47" s="53">
        <f t="shared" si="10"/>
        <v>1.016</v>
      </c>
      <c r="AB47" s="53"/>
      <c r="AD47" s="33">
        <f t="shared" si="14"/>
        <v>194.58999999999997</v>
      </c>
    </row>
    <row r="48" spans="1:37" hidden="1" x14ac:dyDescent="0.2">
      <c r="A48">
        <f t="shared" si="2"/>
        <v>1</v>
      </c>
      <c r="B48" t="str">
        <f t="shared" si="3"/>
        <v>E</v>
      </c>
      <c r="C48" t="s">
        <v>269</v>
      </c>
      <c r="D48" s="13" t="str">
        <f>"NW"&amp;"E"</f>
        <v>NWE</v>
      </c>
      <c r="E48" t="str">
        <f>VLOOKUP(D48,'MP-CF (WP)'!$B$4:$U$81,2,FALSE)</f>
        <v xml:space="preserve">NorthWestern Corp             </v>
      </c>
      <c r="F48" s="66">
        <v>17.100000000000001</v>
      </c>
      <c r="G48" s="66">
        <v>62.2</v>
      </c>
      <c r="H48" s="66">
        <v>50</v>
      </c>
      <c r="I48" s="2">
        <f t="shared" si="13"/>
        <v>56.1</v>
      </c>
      <c r="J48" s="67">
        <v>7</v>
      </c>
      <c r="K48" s="67">
        <v>3.5</v>
      </c>
      <c r="L48" s="67">
        <v>2.2000000000000002</v>
      </c>
      <c r="M48" s="67">
        <v>5.7</v>
      </c>
      <c r="N48" s="67">
        <v>38.200000000000003</v>
      </c>
      <c r="O48" s="67">
        <v>7.25</v>
      </c>
      <c r="P48" s="67">
        <v>6.7</v>
      </c>
      <c r="Q48" s="67">
        <v>8.25</v>
      </c>
      <c r="R48" s="67">
        <v>6.25</v>
      </c>
      <c r="S48" s="75">
        <v>43399</v>
      </c>
      <c r="T48" s="2">
        <f t="shared" si="12"/>
        <v>8.0142857142857142</v>
      </c>
      <c r="U48" s="53">
        <f t="shared" si="4"/>
        <v>1.4685863874345548</v>
      </c>
      <c r="V48" s="87">
        <f t="shared" si="5"/>
        <v>5.7591623036649213E-2</v>
      </c>
      <c r="W48" s="53">
        <f t="shared" si="6"/>
        <v>0.62857142857142867</v>
      </c>
      <c r="X48" s="53">
        <f t="shared" si="7"/>
        <v>1.2280701754385965</v>
      </c>
      <c r="Y48" s="87">
        <f t="shared" si="8"/>
        <v>3.9215686274509803E-2</v>
      </c>
      <c r="Z48" s="53">
        <f t="shared" si="17"/>
        <v>1.0820895522388059</v>
      </c>
      <c r="AA48" s="53">
        <f t="shared" si="10"/>
        <v>1.32</v>
      </c>
      <c r="AB48" s="53"/>
      <c r="AD48" s="33">
        <f t="shared" si="14"/>
        <v>185.89999999999998</v>
      </c>
    </row>
    <row r="49" spans="1:30" hidden="1" x14ac:dyDescent="0.2">
      <c r="A49">
        <f t="shared" si="2"/>
        <v>1</v>
      </c>
      <c r="B49" t="str">
        <f t="shared" si="3"/>
        <v>N</v>
      </c>
      <c r="C49" s="31" t="s">
        <v>271</v>
      </c>
      <c r="D49" s="13" t="s">
        <v>346</v>
      </c>
      <c r="E49" t="str">
        <f ca="1">INDEX(OFFSET(CashFlow,0,-1,,1),MATCH(D49,OFFSET(CashFlow,0,0,,1),0))</f>
        <v>ONE Gas Inc.</v>
      </c>
      <c r="F49" s="66">
        <v>24.8</v>
      </c>
      <c r="G49" s="66">
        <v>85.3</v>
      </c>
      <c r="H49" s="66">
        <v>62.2</v>
      </c>
      <c r="I49" s="2">
        <f t="shared" si="13"/>
        <v>73.75</v>
      </c>
      <c r="J49" s="67">
        <v>6.35</v>
      </c>
      <c r="K49" s="67">
        <v>3.33</v>
      </c>
      <c r="L49" s="67">
        <v>1.84</v>
      </c>
      <c r="M49" s="67">
        <v>7.3</v>
      </c>
      <c r="N49" s="67">
        <v>38.85</v>
      </c>
      <c r="O49" s="67">
        <v>6.65</v>
      </c>
      <c r="P49" s="67">
        <v>7.4</v>
      </c>
      <c r="Q49" s="67">
        <v>8.1999999999999993</v>
      </c>
      <c r="R49" s="67">
        <v>7.5</v>
      </c>
      <c r="S49" s="75">
        <v>43434</v>
      </c>
      <c r="T49" s="53">
        <f t="shared" si="12"/>
        <v>11.614173228346457</v>
      </c>
      <c r="U49" s="53">
        <f t="shared" si="4"/>
        <v>1.8983268983268982</v>
      </c>
      <c r="V49" s="87">
        <f t="shared" si="5"/>
        <v>4.7361647361647365E-2</v>
      </c>
      <c r="W49" s="53">
        <f t="shared" si="6"/>
        <v>0.55255255255255253</v>
      </c>
      <c r="X49" s="53">
        <f t="shared" si="7"/>
        <v>0.86986301369863006</v>
      </c>
      <c r="Y49" s="87">
        <f t="shared" si="8"/>
        <v>2.4949152542372881E-2</v>
      </c>
      <c r="Z49" s="53">
        <f t="shared" si="17"/>
        <v>0.89864864864864868</v>
      </c>
      <c r="AA49" s="53">
        <f t="shared" si="10"/>
        <v>1.0933333333333333</v>
      </c>
      <c r="AB49" s="53"/>
      <c r="AC49" s="33"/>
      <c r="AD49" s="33">
        <f t="shared" si="14"/>
        <v>229.97000000000003</v>
      </c>
    </row>
    <row r="50" spans="1:30" x14ac:dyDescent="0.2">
      <c r="A50">
        <f t="shared" si="2"/>
        <v>1</v>
      </c>
      <c r="B50" t="str">
        <f t="shared" si="3"/>
        <v>E</v>
      </c>
      <c r="C50" t="s">
        <v>343</v>
      </c>
      <c r="D50" s="13" t="s">
        <v>27</v>
      </c>
      <c r="E50" t="str">
        <f>VLOOKUP(D50,'MP-CF (WP)'!$B$4:$U$81,2,FALSE)</f>
        <v xml:space="preserve">OGE Energy                    </v>
      </c>
      <c r="F50" s="180">
        <v>19.7</v>
      </c>
      <c r="G50" s="66">
        <v>40.5</v>
      </c>
      <c r="H50" s="66">
        <v>29.6</v>
      </c>
      <c r="I50" s="2">
        <f t="shared" si="13"/>
        <v>35.049999999999997</v>
      </c>
      <c r="J50" s="67">
        <v>3.7</v>
      </c>
      <c r="K50" s="67">
        <v>2.1</v>
      </c>
      <c r="L50" s="67">
        <v>1.4</v>
      </c>
      <c r="M50" s="67">
        <v>3.15</v>
      </c>
      <c r="N50" s="67">
        <v>20</v>
      </c>
      <c r="O50" s="67">
        <v>4.05</v>
      </c>
      <c r="P50" s="67">
        <v>3.15</v>
      </c>
      <c r="Q50" s="67">
        <v>4.75</v>
      </c>
      <c r="R50" s="67">
        <v>2.75</v>
      </c>
      <c r="S50" s="75">
        <v>43448</v>
      </c>
      <c r="T50" s="2">
        <f t="shared" si="12"/>
        <v>9.4729729729729719</v>
      </c>
      <c r="U50" s="53">
        <f t="shared" si="4"/>
        <v>1.7524999999999999</v>
      </c>
      <c r="V50" s="87">
        <f t="shared" si="5"/>
        <v>6.9999999999999993E-2</v>
      </c>
      <c r="W50" s="53">
        <f t="shared" si="6"/>
        <v>0.66666666666666663</v>
      </c>
      <c r="X50" s="53">
        <f t="shared" si="7"/>
        <v>1.1746031746031746</v>
      </c>
      <c r="Y50" s="87">
        <f t="shared" si="8"/>
        <v>3.9942938659058486E-2</v>
      </c>
      <c r="Z50" s="53">
        <f t="shared" si="17"/>
        <v>1.2857142857142856</v>
      </c>
      <c r="AA50" s="53">
        <f t="shared" si="10"/>
        <v>1.7272727272727273</v>
      </c>
      <c r="AB50" s="53"/>
      <c r="AD50" s="33">
        <f t="shared" si="14"/>
        <v>120.15000000000002</v>
      </c>
    </row>
    <row r="51" spans="1:30" x14ac:dyDescent="0.2">
      <c r="A51">
        <f t="shared" si="2"/>
        <v>1</v>
      </c>
      <c r="B51" t="str">
        <f t="shared" si="3"/>
        <v>E</v>
      </c>
      <c r="C51" t="s">
        <v>343</v>
      </c>
      <c r="D51" s="13" t="s">
        <v>28</v>
      </c>
      <c r="E51" t="str">
        <f>VLOOKUP(D51,'MP-CF (WP)'!$B$4:$U$81,2,FALSE)</f>
        <v xml:space="preserve">Otter Tail Corp.              </v>
      </c>
      <c r="F51" s="180">
        <v>21.6</v>
      </c>
      <c r="G51" s="66">
        <v>49.8</v>
      </c>
      <c r="H51" s="66">
        <v>39</v>
      </c>
      <c r="I51" s="2">
        <f t="shared" si="13"/>
        <v>44.4</v>
      </c>
      <c r="J51" s="67">
        <v>4.1500000000000004</v>
      </c>
      <c r="K51" s="67">
        <v>2.15</v>
      </c>
      <c r="L51" s="67">
        <v>1.34</v>
      </c>
      <c r="M51" s="67">
        <v>2.75</v>
      </c>
      <c r="N51" s="67">
        <v>18.75</v>
      </c>
      <c r="O51" s="67">
        <v>4.4000000000000004</v>
      </c>
      <c r="P51" s="67">
        <v>9.65</v>
      </c>
      <c r="Q51" s="67">
        <v>5.35</v>
      </c>
      <c r="R51" s="67">
        <v>2.4500000000000002</v>
      </c>
      <c r="S51" s="75">
        <v>43448</v>
      </c>
      <c r="T51" s="2">
        <f t="shared" si="12"/>
        <v>10.69879518072289</v>
      </c>
      <c r="U51" s="53">
        <f t="shared" si="4"/>
        <v>2.3679999999999999</v>
      </c>
      <c r="V51" s="87">
        <f t="shared" si="5"/>
        <v>7.1466666666666664E-2</v>
      </c>
      <c r="W51" s="53">
        <f t="shared" si="6"/>
        <v>0.62325581395348839</v>
      </c>
      <c r="X51" s="53">
        <f t="shared" si="7"/>
        <v>1.5090909090909093</v>
      </c>
      <c r="Y51" s="87">
        <f t="shared" si="8"/>
        <v>3.0180180180180184E-2</v>
      </c>
      <c r="Z51" s="53">
        <f t="shared" si="17"/>
        <v>0.45595854922279794</v>
      </c>
      <c r="AA51" s="53">
        <f t="shared" si="10"/>
        <v>2.1836734693877546</v>
      </c>
      <c r="AB51" s="53"/>
      <c r="AD51" s="33">
        <f t="shared" si="14"/>
        <v>139.54000000000002</v>
      </c>
    </row>
    <row r="52" spans="1:30" hidden="1" x14ac:dyDescent="0.2">
      <c r="A52">
        <f t="shared" si="2"/>
        <v>1</v>
      </c>
      <c r="B52" t="str">
        <f t="shared" si="3"/>
        <v>E</v>
      </c>
      <c r="C52" t="s">
        <v>269</v>
      </c>
      <c r="D52" s="13" t="s">
        <v>30</v>
      </c>
      <c r="E52" t="str">
        <f>VLOOKUP(D52,'MP-CF (WP)'!$B$4:$U$81,2,FALSE)</f>
        <v xml:space="preserve">PG&amp;E Corp.                    </v>
      </c>
      <c r="F52" s="180" t="s">
        <v>105</v>
      </c>
      <c r="G52" s="66">
        <v>48.9</v>
      </c>
      <c r="H52" s="66">
        <v>37.299999999999997</v>
      </c>
      <c r="I52" s="2">
        <f t="shared" si="13"/>
        <v>43.099999999999994</v>
      </c>
      <c r="J52" s="67">
        <v>6.35</v>
      </c>
      <c r="K52" s="67">
        <v>0.6</v>
      </c>
      <c r="L52" s="219" t="s">
        <v>421</v>
      </c>
      <c r="M52" s="67">
        <v>12.1</v>
      </c>
      <c r="N52" s="67">
        <v>37.950000000000003</v>
      </c>
      <c r="O52" s="67">
        <v>9.5</v>
      </c>
      <c r="P52" s="67">
        <v>11.45</v>
      </c>
      <c r="Q52" s="67">
        <v>10.75</v>
      </c>
      <c r="R52" s="67">
        <v>11.5</v>
      </c>
      <c r="S52" s="75">
        <v>43399</v>
      </c>
      <c r="T52" s="2">
        <f t="shared" si="12"/>
        <v>6.7874015748031491</v>
      </c>
      <c r="U52" s="53">
        <f t="shared" si="4"/>
        <v>1.1357048748353094</v>
      </c>
      <c r="V52" s="87" t="str">
        <f>IFERROR(L52/N52,"N/A")</f>
        <v>N/A</v>
      </c>
      <c r="W52" s="53" t="str">
        <f>IFERROR(L52/K52,"N/A")</f>
        <v>N/A</v>
      </c>
      <c r="X52" s="53">
        <f t="shared" si="7"/>
        <v>0.52479338842975209</v>
      </c>
      <c r="Y52" s="87" t="str">
        <f>IFERROR(L52/I52,"N/A")</f>
        <v>N/A</v>
      </c>
      <c r="Z52" s="53">
        <f t="shared" si="17"/>
        <v>0.82969432314410485</v>
      </c>
      <c r="AA52" s="53">
        <f t="shared" si="10"/>
        <v>0.93478260869565222</v>
      </c>
      <c r="AB52" s="53"/>
      <c r="AD52" s="33">
        <f t="shared" si="11"/>
        <v>143.19999999999999</v>
      </c>
    </row>
    <row r="53" spans="1:30" hidden="1" x14ac:dyDescent="0.2">
      <c r="A53">
        <f t="shared" si="2"/>
        <v>1</v>
      </c>
      <c r="B53" t="str">
        <f t="shared" si="3"/>
        <v>E</v>
      </c>
      <c r="C53" t="s">
        <v>269</v>
      </c>
      <c r="D53" s="13" t="s">
        <v>31</v>
      </c>
      <c r="E53" t="str">
        <f>VLOOKUP(D53,'MP-CF (WP)'!$B$4:$U$81,2,FALSE)</f>
        <v xml:space="preserve">Pinnacle West Capital         </v>
      </c>
      <c r="F53" s="66">
        <v>18.899999999999999</v>
      </c>
      <c r="G53" s="66">
        <v>85.6</v>
      </c>
      <c r="H53" s="66">
        <v>73.400000000000006</v>
      </c>
      <c r="I53" s="2">
        <f t="shared" si="13"/>
        <v>79.5</v>
      </c>
      <c r="J53" s="67">
        <v>10</v>
      </c>
      <c r="K53" s="67">
        <v>4.4000000000000004</v>
      </c>
      <c r="L53" s="67">
        <v>2.86</v>
      </c>
      <c r="M53" s="67">
        <v>11.25</v>
      </c>
      <c r="N53" s="67">
        <v>46.25</v>
      </c>
      <c r="O53" s="67">
        <v>10.5</v>
      </c>
      <c r="P53" s="67">
        <v>10.8</v>
      </c>
      <c r="Q53" s="67">
        <v>12.5</v>
      </c>
      <c r="R53" s="67">
        <v>11</v>
      </c>
      <c r="S53" s="75">
        <v>43399</v>
      </c>
      <c r="T53" s="2">
        <f t="shared" si="12"/>
        <v>7.95</v>
      </c>
      <c r="U53" s="53">
        <f t="shared" si="4"/>
        <v>1.7189189189189189</v>
      </c>
      <c r="V53" s="87">
        <f t="shared" si="5"/>
        <v>6.1837837837837833E-2</v>
      </c>
      <c r="W53" s="53">
        <f t="shared" si="6"/>
        <v>0.64999999999999991</v>
      </c>
      <c r="X53" s="53">
        <f t="shared" si="7"/>
        <v>0.88888888888888884</v>
      </c>
      <c r="Y53" s="87">
        <f t="shared" si="8"/>
        <v>3.5974842767295595E-2</v>
      </c>
      <c r="Z53" s="53">
        <f t="shared" si="17"/>
        <v>0.97222222222222221</v>
      </c>
      <c r="AA53" s="53">
        <f t="shared" si="10"/>
        <v>1.1363636363636365</v>
      </c>
      <c r="AB53" s="53"/>
      <c r="AD53" s="33">
        <f t="shared" si="11"/>
        <v>252.66000000000003</v>
      </c>
    </row>
    <row r="54" spans="1:30" hidden="1" x14ac:dyDescent="0.2">
      <c r="A54">
        <f t="shared" si="2"/>
        <v>1</v>
      </c>
      <c r="B54" t="str">
        <f t="shared" si="3"/>
        <v>E</v>
      </c>
      <c r="C54" t="s">
        <v>269</v>
      </c>
      <c r="D54" s="13" t="s">
        <v>32</v>
      </c>
      <c r="E54" t="str">
        <f>VLOOKUP(D54,'MP-CF (WP)'!$B$4:$U$81,2,FALSE)</f>
        <v xml:space="preserve">PNM Resources                 </v>
      </c>
      <c r="F54" s="66">
        <v>21.4</v>
      </c>
      <c r="G54" s="66">
        <v>40.9</v>
      </c>
      <c r="H54" s="66">
        <v>33.799999999999997</v>
      </c>
      <c r="I54" s="2">
        <f t="shared" si="13"/>
        <v>37.349999999999994</v>
      </c>
      <c r="J54" s="67">
        <v>5.35</v>
      </c>
      <c r="K54" s="67">
        <v>1.9</v>
      </c>
      <c r="L54" s="67">
        <v>1.08</v>
      </c>
      <c r="M54" s="67">
        <v>6.45</v>
      </c>
      <c r="N54" s="67">
        <v>22</v>
      </c>
      <c r="O54" s="67">
        <v>5.75</v>
      </c>
      <c r="P54" s="67">
        <v>6.6</v>
      </c>
      <c r="Q54" s="67">
        <v>6.75</v>
      </c>
      <c r="R54" s="67">
        <v>8.25</v>
      </c>
      <c r="S54" s="75">
        <v>43399</v>
      </c>
      <c r="T54" s="2">
        <f t="shared" si="12"/>
        <v>6.981308411214953</v>
      </c>
      <c r="U54" s="53">
        <f t="shared" si="4"/>
        <v>1.6977272727272725</v>
      </c>
      <c r="V54" s="87">
        <f t="shared" si="5"/>
        <v>4.9090909090909095E-2</v>
      </c>
      <c r="W54" s="53">
        <f t="shared" si="6"/>
        <v>0.56842105263157905</v>
      </c>
      <c r="X54" s="53">
        <f t="shared" si="7"/>
        <v>0.82945736434108519</v>
      </c>
      <c r="Y54" s="87">
        <f t="shared" si="8"/>
        <v>2.8915662650602417E-2</v>
      </c>
      <c r="Z54" s="53">
        <f t="shared" si="17"/>
        <v>0.87121212121212122</v>
      </c>
      <c r="AA54" s="53">
        <f t="shared" si="10"/>
        <v>0.81818181818181823</v>
      </c>
      <c r="AB54" s="53"/>
      <c r="AD54" s="33">
        <f t="shared" si="11"/>
        <v>132.88</v>
      </c>
    </row>
    <row r="55" spans="1:30" hidden="1" x14ac:dyDescent="0.2">
      <c r="A55">
        <f t="shared" si="2"/>
        <v>1</v>
      </c>
      <c r="B55" t="str">
        <f t="shared" si="3"/>
        <v>E</v>
      </c>
      <c r="C55" t="s">
        <v>269</v>
      </c>
      <c r="D55" s="13" t="s">
        <v>33</v>
      </c>
      <c r="E55" t="str">
        <f>VLOOKUP(D55,'MP-CF (WP)'!$B$4:$U$81,2,FALSE)</f>
        <v xml:space="preserve">Portland General              </v>
      </c>
      <c r="F55" s="66">
        <v>19.399999999999999</v>
      </c>
      <c r="G55" s="66">
        <v>47.6</v>
      </c>
      <c r="H55" s="66">
        <v>39</v>
      </c>
      <c r="I55" s="2">
        <f t="shared" si="13"/>
        <v>43.3</v>
      </c>
      <c r="J55" s="67">
        <v>6.5</v>
      </c>
      <c r="K55" s="67">
        <v>2.2999999999999998</v>
      </c>
      <c r="L55" s="67">
        <v>1.43</v>
      </c>
      <c r="M55" s="67">
        <v>7.4</v>
      </c>
      <c r="N55" s="67">
        <v>27.95</v>
      </c>
      <c r="O55" s="67">
        <v>6.95</v>
      </c>
      <c r="P55" s="67">
        <v>5.15</v>
      </c>
      <c r="Q55" s="67">
        <v>8.25</v>
      </c>
      <c r="R55" s="67">
        <v>5</v>
      </c>
      <c r="S55" s="75">
        <v>43399</v>
      </c>
      <c r="T55" s="2">
        <f t="shared" si="12"/>
        <v>6.661538461538461</v>
      </c>
      <c r="U55" s="53">
        <f t="shared" si="4"/>
        <v>1.5491949910554561</v>
      </c>
      <c r="V55" s="87">
        <f t="shared" si="5"/>
        <v>5.1162790697674418E-2</v>
      </c>
      <c r="W55" s="53">
        <f t="shared" si="6"/>
        <v>0.62173913043478268</v>
      </c>
      <c r="X55" s="53">
        <f t="shared" si="7"/>
        <v>0.87837837837837829</v>
      </c>
      <c r="Y55" s="87">
        <f t="shared" si="8"/>
        <v>3.3025404157043879E-2</v>
      </c>
      <c r="Z55" s="53">
        <f t="shared" si="17"/>
        <v>1.349514563106796</v>
      </c>
      <c r="AA55" s="53">
        <f t="shared" si="10"/>
        <v>1.65</v>
      </c>
      <c r="AB55" s="53"/>
      <c r="AD55" s="33">
        <f t="shared" si="11"/>
        <v>151.58000000000001</v>
      </c>
    </row>
    <row r="56" spans="1:30" hidden="1" x14ac:dyDescent="0.2">
      <c r="A56">
        <f t="shared" si="2"/>
        <v>1</v>
      </c>
      <c r="B56" t="str">
        <f t="shared" si="3"/>
        <v>E</v>
      </c>
      <c r="C56" t="s">
        <v>268</v>
      </c>
      <c r="D56" s="13" t="s">
        <v>34</v>
      </c>
      <c r="E56" t="str">
        <f>VLOOKUP(D56,'MP-CF (WP)'!$B$4:$U$81,2,FALSE)</f>
        <v xml:space="preserve">PPL Corp.                     </v>
      </c>
      <c r="F56" s="66">
        <v>13.2</v>
      </c>
      <c r="G56" s="66">
        <v>32.4</v>
      </c>
      <c r="H56" s="66">
        <v>25.3</v>
      </c>
      <c r="I56" s="2">
        <f t="shared" si="13"/>
        <v>28.85</v>
      </c>
      <c r="J56" s="67">
        <v>4.0999999999999996</v>
      </c>
      <c r="K56" s="67">
        <v>2.5</v>
      </c>
      <c r="L56" s="67">
        <v>1.64</v>
      </c>
      <c r="M56" s="67">
        <v>4.95</v>
      </c>
      <c r="N56" s="67">
        <v>16.75</v>
      </c>
      <c r="O56" s="67">
        <v>3.95</v>
      </c>
      <c r="P56" s="67">
        <v>4.3</v>
      </c>
      <c r="Q56" s="67">
        <v>4.75</v>
      </c>
      <c r="R56" s="67">
        <v>3.25</v>
      </c>
      <c r="S56" s="75">
        <v>43420</v>
      </c>
      <c r="T56" s="2">
        <f t="shared" si="12"/>
        <v>7.0365853658536599</v>
      </c>
      <c r="U56" s="53">
        <f t="shared" si="4"/>
        <v>1.7223880597014927</v>
      </c>
      <c r="V56" s="87">
        <f t="shared" si="5"/>
        <v>9.7910447761194022E-2</v>
      </c>
      <c r="W56" s="53">
        <f t="shared" si="6"/>
        <v>0.65599999999999992</v>
      </c>
      <c r="X56" s="53">
        <f t="shared" si="7"/>
        <v>0.82828282828282818</v>
      </c>
      <c r="Y56" s="87">
        <f t="shared" si="8"/>
        <v>5.6845753899480066E-2</v>
      </c>
      <c r="Z56" s="53">
        <f t="shared" si="17"/>
        <v>0.91860465116279078</v>
      </c>
      <c r="AA56" s="53">
        <f t="shared" si="10"/>
        <v>1.4615384615384615</v>
      </c>
      <c r="AB56" s="53"/>
      <c r="AD56" s="33">
        <f t="shared" si="11"/>
        <v>100.83999999999999</v>
      </c>
    </row>
    <row r="57" spans="1:30" hidden="1" x14ac:dyDescent="0.2">
      <c r="A57">
        <f t="shared" si="2"/>
        <v>1</v>
      </c>
      <c r="B57" t="str">
        <f t="shared" si="3"/>
        <v>E</v>
      </c>
      <c r="C57" t="s">
        <v>268</v>
      </c>
      <c r="D57" s="13" t="s">
        <v>35</v>
      </c>
      <c r="E57" t="str">
        <f>VLOOKUP(D57,'MP-CF (WP)'!$B$4:$U$81,2,FALSE)</f>
        <v xml:space="preserve">Public Serv. Enterprise       </v>
      </c>
      <c r="F57" s="66">
        <v>17.3</v>
      </c>
      <c r="G57" s="66">
        <v>56.7</v>
      </c>
      <c r="H57" s="66">
        <v>46.2</v>
      </c>
      <c r="I57" s="2">
        <f t="shared" si="13"/>
        <v>51.45</v>
      </c>
      <c r="J57" s="67">
        <v>5.7</v>
      </c>
      <c r="K57" s="67">
        <v>3</v>
      </c>
      <c r="L57" s="67">
        <v>1.8</v>
      </c>
      <c r="M57" s="67">
        <v>7.15</v>
      </c>
      <c r="N57" s="67">
        <v>28.65</v>
      </c>
      <c r="O57" s="67">
        <v>6.1</v>
      </c>
      <c r="P57" s="67">
        <v>5.55</v>
      </c>
      <c r="Q57" s="67">
        <v>7.5</v>
      </c>
      <c r="R57" s="67">
        <v>5.5</v>
      </c>
      <c r="S57" s="75">
        <v>43420</v>
      </c>
      <c r="T57" s="2">
        <f t="shared" si="12"/>
        <v>9.026315789473685</v>
      </c>
      <c r="U57" s="53">
        <f t="shared" si="4"/>
        <v>1.7958115183246075</v>
      </c>
      <c r="V57" s="87">
        <f t="shared" si="5"/>
        <v>6.2827225130890063E-2</v>
      </c>
      <c r="W57" s="53">
        <f t="shared" si="6"/>
        <v>0.6</v>
      </c>
      <c r="X57" s="53">
        <f t="shared" si="7"/>
        <v>0.79720279720279719</v>
      </c>
      <c r="Y57" s="87">
        <f t="shared" si="8"/>
        <v>3.4985422740524783E-2</v>
      </c>
      <c r="Z57" s="53">
        <f t="shared" si="17"/>
        <v>1.099099099099099</v>
      </c>
      <c r="AA57" s="53">
        <f t="shared" si="10"/>
        <v>1.3636363636363635</v>
      </c>
      <c r="AB57" s="53"/>
      <c r="AD57" s="33">
        <f t="shared" si="11"/>
        <v>166.50000000000003</v>
      </c>
    </row>
    <row r="58" spans="1:30" hidden="1" x14ac:dyDescent="0.2">
      <c r="A58">
        <f t="shared" si="2"/>
        <v>1</v>
      </c>
      <c r="B58" t="str">
        <f t="shared" si="3"/>
        <v>E</v>
      </c>
      <c r="C58" t="s">
        <v>268</v>
      </c>
      <c r="D58" s="13" t="s">
        <v>36</v>
      </c>
      <c r="E58" t="str">
        <f>VLOOKUP(D58,'MP-CF (WP)'!$B$4:$U$81,2,FALSE)</f>
        <v xml:space="preserve">SCANA Corp.                   </v>
      </c>
      <c r="F58" s="66">
        <v>31.8</v>
      </c>
      <c r="G58" s="66">
        <v>49.4</v>
      </c>
      <c r="H58" s="66">
        <v>33.6</v>
      </c>
      <c r="I58" s="2">
        <f t="shared" si="13"/>
        <v>41.5</v>
      </c>
      <c r="J58" s="67">
        <v>5.0999999999999996</v>
      </c>
      <c r="K58" s="67">
        <v>1.8</v>
      </c>
      <c r="L58" s="67">
        <v>0.98</v>
      </c>
      <c r="M58" s="67">
        <v>6.1</v>
      </c>
      <c r="N58" s="67">
        <v>37.549999999999997</v>
      </c>
      <c r="O58" s="67">
        <v>4.75</v>
      </c>
      <c r="P58" s="67">
        <v>6.05</v>
      </c>
      <c r="Q58" s="67">
        <v>5.75</v>
      </c>
      <c r="R58" s="67">
        <v>6.5</v>
      </c>
      <c r="S58" s="75">
        <v>43420</v>
      </c>
      <c r="T58" s="2">
        <f t="shared" si="12"/>
        <v>8.1372549019607856</v>
      </c>
      <c r="U58" s="53">
        <f t="shared" si="4"/>
        <v>1.1051930758988018</v>
      </c>
      <c r="V58" s="87">
        <f t="shared" si="5"/>
        <v>2.6098535286284953E-2</v>
      </c>
      <c r="W58" s="53">
        <f t="shared" si="6"/>
        <v>0.5444444444444444</v>
      </c>
      <c r="X58" s="53">
        <f t="shared" si="7"/>
        <v>0.83606557377049184</v>
      </c>
      <c r="Y58" s="87">
        <f t="shared" si="8"/>
        <v>2.3614457831325302E-2</v>
      </c>
      <c r="Z58" s="53">
        <f t="shared" si="17"/>
        <v>0.78512396694214881</v>
      </c>
      <c r="AA58" s="53">
        <f t="shared" si="10"/>
        <v>0.88461538461538458</v>
      </c>
      <c r="AB58" s="53"/>
      <c r="AD58" s="33">
        <f t="shared" si="11"/>
        <v>166.32999999999998</v>
      </c>
    </row>
    <row r="59" spans="1:30" hidden="1" x14ac:dyDescent="0.2">
      <c r="A59">
        <f t="shared" si="2"/>
        <v>1</v>
      </c>
      <c r="B59" t="str">
        <f t="shared" si="3"/>
        <v>E</v>
      </c>
      <c r="C59" t="s">
        <v>269</v>
      </c>
      <c r="D59" s="13" t="s">
        <v>37</v>
      </c>
      <c r="E59" t="str">
        <f>VLOOKUP(D59,'MP-CF (WP)'!$B$4:$U$81,2,FALSE)</f>
        <v xml:space="preserve">Sempra Energy                 </v>
      </c>
      <c r="F59" s="180">
        <v>19.7</v>
      </c>
      <c r="G59" s="66">
        <v>127.2</v>
      </c>
      <c r="H59" s="66">
        <v>100.5</v>
      </c>
      <c r="I59" s="2">
        <f t="shared" si="13"/>
        <v>113.85</v>
      </c>
      <c r="J59" s="67">
        <v>10.95</v>
      </c>
      <c r="K59" s="67">
        <v>5.65</v>
      </c>
      <c r="L59" s="67">
        <v>3.58</v>
      </c>
      <c r="M59" s="67">
        <v>13.7</v>
      </c>
      <c r="N59" s="67">
        <v>53.85</v>
      </c>
      <c r="O59" s="67">
        <v>11.75</v>
      </c>
      <c r="P59" s="67">
        <v>12.6</v>
      </c>
      <c r="Q59" s="67">
        <v>14</v>
      </c>
      <c r="R59" s="67">
        <v>9</v>
      </c>
      <c r="S59" s="75">
        <v>43399</v>
      </c>
      <c r="T59" s="2">
        <f t="shared" si="12"/>
        <v>10.397260273972602</v>
      </c>
      <c r="U59" s="53">
        <f t="shared" si="4"/>
        <v>2.1142061281337048</v>
      </c>
      <c r="V59" s="87">
        <f t="shared" si="5"/>
        <v>6.6480965645311044E-2</v>
      </c>
      <c r="W59" s="53">
        <f t="shared" si="6"/>
        <v>0.63362831858407076</v>
      </c>
      <c r="X59" s="53">
        <f t="shared" si="7"/>
        <v>0.7992700729927007</v>
      </c>
      <c r="Y59" s="87">
        <f t="shared" si="8"/>
        <v>3.1444883618796667E-2</v>
      </c>
      <c r="Z59" s="53">
        <f t="shared" si="17"/>
        <v>0.93253968253968256</v>
      </c>
      <c r="AA59" s="53">
        <f t="shared" si="10"/>
        <v>1.5555555555555556</v>
      </c>
      <c r="AB59" s="53"/>
      <c r="AD59" s="33">
        <f t="shared" si="11"/>
        <v>335.13</v>
      </c>
    </row>
    <row r="60" spans="1:30" hidden="1" x14ac:dyDescent="0.2">
      <c r="A60" t="str">
        <f t="shared" si="2"/>
        <v/>
      </c>
      <c r="B60" t="str">
        <f t="shared" si="3"/>
        <v>W</v>
      </c>
      <c r="C60" t="s">
        <v>270</v>
      </c>
      <c r="D60" s="13" t="s">
        <v>196</v>
      </c>
      <c r="E60" t="str">
        <f ca="1">INDEX(nameLU,MATCH(D60,tickerLU,0))</f>
        <v>SJW Corp.</v>
      </c>
      <c r="F60" s="66">
        <v>23.3</v>
      </c>
      <c r="G60" s="66">
        <v>68.400000000000006</v>
      </c>
      <c r="H60" s="66">
        <v>51.3</v>
      </c>
      <c r="I60" s="2">
        <f t="shared" si="13"/>
        <v>59.85</v>
      </c>
      <c r="J60" s="67">
        <v>4.75</v>
      </c>
      <c r="K60" s="67">
        <v>2.35</v>
      </c>
      <c r="L60" s="67">
        <v>1.1200000000000001</v>
      </c>
      <c r="M60" s="67">
        <v>5.5</v>
      </c>
      <c r="N60" s="67">
        <v>22.6</v>
      </c>
      <c r="O60" s="67">
        <v>5.2</v>
      </c>
      <c r="P60" s="67">
        <v>5.25</v>
      </c>
      <c r="Q60" s="67">
        <v>5.65</v>
      </c>
      <c r="R60" s="67">
        <v>5</v>
      </c>
      <c r="S60" s="75">
        <v>43385</v>
      </c>
      <c r="T60" s="2">
        <f t="shared" si="12"/>
        <v>12.6</v>
      </c>
      <c r="U60" s="53">
        <f t="shared" si="4"/>
        <v>2.6482300884955752</v>
      </c>
      <c r="V60" s="87">
        <f t="shared" si="5"/>
        <v>4.9557522123893805E-2</v>
      </c>
      <c r="W60" s="53">
        <f t="shared" si="6"/>
        <v>0.47659574468085109</v>
      </c>
      <c r="X60" s="53">
        <f t="shared" si="7"/>
        <v>0.86363636363636365</v>
      </c>
      <c r="Y60" s="87">
        <f t="shared" si="8"/>
        <v>1.8713450292397661E-2</v>
      </c>
      <c r="Z60" s="53">
        <f t="shared" si="17"/>
        <v>0.99047619047619051</v>
      </c>
      <c r="AA60" s="53">
        <f t="shared" si="10"/>
        <v>1.1300000000000001</v>
      </c>
      <c r="AB60" s="53"/>
      <c r="AD60" s="33">
        <f t="shared" si="11"/>
        <v>179.32</v>
      </c>
    </row>
    <row r="61" spans="1:30" hidden="1" x14ac:dyDescent="0.2">
      <c r="A61">
        <f t="shared" si="2"/>
        <v>1</v>
      </c>
      <c r="B61" t="str">
        <f t="shared" si="3"/>
        <v>N</v>
      </c>
      <c r="C61" t="s">
        <v>271</v>
      </c>
      <c r="D61" s="13" t="s">
        <v>198</v>
      </c>
      <c r="E61" t="str">
        <f ca="1">INDEX(OFFSET(CashFlow,0,-1,,1),MATCH(D61,OFFSET(CashFlow,0,0,,1),0))</f>
        <v>South Jersey Inds.</v>
      </c>
      <c r="F61" s="66">
        <v>22.4</v>
      </c>
      <c r="G61" s="66">
        <v>36.700000000000003</v>
      </c>
      <c r="H61" s="66">
        <v>26</v>
      </c>
      <c r="I61" s="2">
        <f t="shared" si="13"/>
        <v>31.35</v>
      </c>
      <c r="J61" s="67">
        <v>2.5499999999999998</v>
      </c>
      <c r="K61" s="67">
        <v>1.62</v>
      </c>
      <c r="L61" s="67">
        <v>1.1499999999999999</v>
      </c>
      <c r="M61" s="67">
        <v>2.85</v>
      </c>
      <c r="N61" s="67">
        <v>15</v>
      </c>
      <c r="O61" s="67">
        <v>2.7</v>
      </c>
      <c r="P61" s="67">
        <v>3.1</v>
      </c>
      <c r="Q61" s="67">
        <v>3.55</v>
      </c>
      <c r="R61" s="67">
        <v>4.75</v>
      </c>
      <c r="S61" s="75">
        <v>43434</v>
      </c>
      <c r="T61" s="2">
        <f t="shared" si="12"/>
        <v>12.294117647058824</v>
      </c>
      <c r="U61" s="53">
        <f t="shared" si="4"/>
        <v>2.0900000000000003</v>
      </c>
      <c r="V61" s="87">
        <f t="shared" si="5"/>
        <v>7.6666666666666661E-2</v>
      </c>
      <c r="W61" s="53">
        <f t="shared" si="6"/>
        <v>0.70987654320987648</v>
      </c>
      <c r="X61" s="53">
        <f t="shared" si="7"/>
        <v>0.89473684210526305</v>
      </c>
      <c r="Y61" s="87">
        <f t="shared" si="8"/>
        <v>3.6682615629984046E-2</v>
      </c>
      <c r="Z61" s="53">
        <f t="shared" si="17"/>
        <v>0.87096774193548387</v>
      </c>
      <c r="AA61" s="53">
        <f t="shared" si="10"/>
        <v>0.74736842105263157</v>
      </c>
      <c r="AB61" s="53"/>
      <c r="AD61" s="33">
        <f t="shared" si="11"/>
        <v>108.27</v>
      </c>
    </row>
    <row r="62" spans="1:30" hidden="1" x14ac:dyDescent="0.2">
      <c r="A62">
        <f t="shared" si="2"/>
        <v>1</v>
      </c>
      <c r="B62" t="str">
        <f t="shared" si="3"/>
        <v>E</v>
      </c>
      <c r="C62" t="s">
        <v>268</v>
      </c>
      <c r="D62" s="13" t="s">
        <v>38</v>
      </c>
      <c r="E62" t="str">
        <f>VLOOKUP(D62,'MP-CF (WP)'!$B$4:$U$81,2,FALSE)</f>
        <v xml:space="preserve">Southern Co.                  </v>
      </c>
      <c r="F62" s="66">
        <v>15.8</v>
      </c>
      <c r="G62" s="66">
        <v>49.4</v>
      </c>
      <c r="H62" s="66">
        <v>42.4</v>
      </c>
      <c r="I62" s="2">
        <f t="shared" si="13"/>
        <v>45.9</v>
      </c>
      <c r="J62" s="67">
        <v>6.4</v>
      </c>
      <c r="K62" s="67">
        <v>2.9</v>
      </c>
      <c r="L62" s="67">
        <v>2.38</v>
      </c>
      <c r="M62" s="67">
        <v>8.35</v>
      </c>
      <c r="N62" s="67">
        <v>24.35</v>
      </c>
      <c r="O62" s="67">
        <v>6.7</v>
      </c>
      <c r="P62" s="67">
        <v>7.15</v>
      </c>
      <c r="Q62" s="67">
        <v>7.5</v>
      </c>
      <c r="R62" s="67">
        <v>5.25</v>
      </c>
      <c r="S62" s="75">
        <v>43420</v>
      </c>
      <c r="T62" s="2">
        <f t="shared" si="12"/>
        <v>7.1718749999999991</v>
      </c>
      <c r="U62" s="53">
        <f t="shared" si="4"/>
        <v>1.8850102669404516</v>
      </c>
      <c r="V62" s="87">
        <f t="shared" si="5"/>
        <v>9.7741273100616005E-2</v>
      </c>
      <c r="W62" s="53">
        <f t="shared" si="6"/>
        <v>0.82068965517241377</v>
      </c>
      <c r="X62" s="53">
        <f t="shared" si="7"/>
        <v>0.76646706586826352</v>
      </c>
      <c r="Y62" s="87">
        <f t="shared" si="8"/>
        <v>5.185185185185185E-2</v>
      </c>
      <c r="Z62" s="53">
        <f t="shared" si="17"/>
        <v>0.93706293706293708</v>
      </c>
      <c r="AA62" s="53">
        <f t="shared" si="10"/>
        <v>1.4285714285714286</v>
      </c>
      <c r="AB62" s="53"/>
      <c r="AD62" s="33">
        <f t="shared" si="11"/>
        <v>151.97999999999999</v>
      </c>
    </row>
    <row r="63" spans="1:30" hidden="1" x14ac:dyDescent="0.2">
      <c r="A63">
        <f t="shared" si="2"/>
        <v>1</v>
      </c>
      <c r="B63" t="str">
        <f t="shared" si="3"/>
        <v>N</v>
      </c>
      <c r="C63" t="s">
        <v>271</v>
      </c>
      <c r="D63" s="13" t="s">
        <v>200</v>
      </c>
      <c r="E63" t="str">
        <f ca="1">INDEX(OFFSET(CashFlow,0,-1,,1),MATCH(D63,OFFSET(CashFlow,0,0,,1),0))</f>
        <v>Southwest Gas</v>
      </c>
      <c r="F63" s="66">
        <v>20.5</v>
      </c>
      <c r="G63" s="66">
        <v>86</v>
      </c>
      <c r="H63" s="66">
        <v>62.5</v>
      </c>
      <c r="I63" s="2">
        <f t="shared" si="13"/>
        <v>74.25</v>
      </c>
      <c r="J63" s="67">
        <v>9</v>
      </c>
      <c r="K63" s="67">
        <v>3.95</v>
      </c>
      <c r="L63" s="67">
        <v>2.08</v>
      </c>
      <c r="M63" s="67">
        <v>14.65</v>
      </c>
      <c r="N63" s="67">
        <v>40.4</v>
      </c>
      <c r="O63" s="67">
        <v>9.6</v>
      </c>
      <c r="P63" s="67">
        <v>15.2</v>
      </c>
      <c r="Q63" s="67">
        <v>13</v>
      </c>
      <c r="R63" s="67">
        <v>17.25</v>
      </c>
      <c r="S63" s="75">
        <v>43434</v>
      </c>
      <c r="T63" s="2">
        <f t="shared" si="12"/>
        <v>8.25</v>
      </c>
      <c r="U63" s="53">
        <f t="shared" si="4"/>
        <v>1.8378712871287128</v>
      </c>
      <c r="V63" s="87">
        <f t="shared" si="5"/>
        <v>5.1485148514851489E-2</v>
      </c>
      <c r="W63" s="53">
        <f t="shared" si="6"/>
        <v>0.52658227848101269</v>
      </c>
      <c r="X63" s="53">
        <f t="shared" si="7"/>
        <v>0.61433447098976113</v>
      </c>
      <c r="Y63" s="87">
        <f t="shared" si="8"/>
        <v>2.8013468013468015E-2</v>
      </c>
      <c r="Z63" s="53">
        <f t="shared" si="17"/>
        <v>0.63157894736842102</v>
      </c>
      <c r="AA63" s="53">
        <f t="shared" si="10"/>
        <v>0.75362318840579712</v>
      </c>
      <c r="AB63" s="53"/>
      <c r="AD63" s="33">
        <f t="shared" si="11"/>
        <v>239.08</v>
      </c>
    </row>
    <row r="64" spans="1:30" hidden="1" x14ac:dyDescent="0.2">
      <c r="A64">
        <f t="shared" si="2"/>
        <v>1</v>
      </c>
      <c r="B64" t="str">
        <f t="shared" si="3"/>
        <v>N</v>
      </c>
      <c r="C64" t="s">
        <v>271</v>
      </c>
      <c r="D64" s="13" t="s">
        <v>244</v>
      </c>
      <c r="E64" t="str">
        <f ca="1">INDEX(OFFSET(CashFlow,0,-1,,1),MATCH(D64,OFFSET(CashFlow,0,0,,1),0))</f>
        <v>Spire Inc.</v>
      </c>
      <c r="F64" s="66">
        <v>21.2</v>
      </c>
      <c r="G64" s="66">
        <v>80.8</v>
      </c>
      <c r="H64" s="66">
        <v>60.1</v>
      </c>
      <c r="I64" s="2">
        <f t="shared" si="13"/>
        <v>70.45</v>
      </c>
      <c r="J64" s="222">
        <v>7.55</v>
      </c>
      <c r="K64" s="67">
        <v>4.33</v>
      </c>
      <c r="L64" s="67">
        <v>2.25</v>
      </c>
      <c r="M64" s="67">
        <v>9.86</v>
      </c>
      <c r="N64" s="67">
        <v>44.51</v>
      </c>
      <c r="O64" s="67">
        <v>7.25</v>
      </c>
      <c r="P64" s="67">
        <v>9.6</v>
      </c>
      <c r="Q64" s="67">
        <v>8.25</v>
      </c>
      <c r="R64" s="67">
        <v>10</v>
      </c>
      <c r="S64" s="75">
        <v>43434</v>
      </c>
      <c r="T64" s="2">
        <f t="shared" si="12"/>
        <v>9.3311258278145708</v>
      </c>
      <c r="U64" s="53">
        <f t="shared" si="4"/>
        <v>1.5827903841833297</v>
      </c>
      <c r="V64" s="87">
        <f t="shared" si="5"/>
        <v>5.0550438103796905E-2</v>
      </c>
      <c r="W64" s="53">
        <f t="shared" si="6"/>
        <v>0.51963048498845266</v>
      </c>
      <c r="X64" s="53">
        <f t="shared" si="7"/>
        <v>0.76572008113590262</v>
      </c>
      <c r="Y64" s="87">
        <f t="shared" si="8"/>
        <v>3.1937544357700492E-2</v>
      </c>
      <c r="Z64" s="53">
        <f t="shared" si="17"/>
        <v>0.75520833333333337</v>
      </c>
      <c r="AA64" s="53">
        <f t="shared" si="10"/>
        <v>0.82499999999999996</v>
      </c>
      <c r="AB64" s="53"/>
      <c r="AD64" s="33">
        <f t="shared" si="11"/>
        <v>230.60000000000002</v>
      </c>
    </row>
    <row r="65" spans="1:30" hidden="1" x14ac:dyDescent="0.2">
      <c r="A65">
        <f t="shared" si="2"/>
        <v>1</v>
      </c>
      <c r="B65" t="str">
        <f t="shared" si="3"/>
        <v>N</v>
      </c>
      <c r="C65" t="s">
        <v>271</v>
      </c>
      <c r="D65" s="13" t="s">
        <v>204</v>
      </c>
      <c r="E65" t="str">
        <f ca="1">INDEX(OFFSET(CashFlow,0,-1,,1),MATCH(D65,OFFSET(CashFlow,0,0,,1),0))</f>
        <v>UGI Corp.</v>
      </c>
      <c r="F65" s="66">
        <v>19.5</v>
      </c>
      <c r="G65" s="66">
        <v>58.1</v>
      </c>
      <c r="H65" s="66">
        <v>42.5</v>
      </c>
      <c r="I65" s="2">
        <f t="shared" si="13"/>
        <v>50.3</v>
      </c>
      <c r="J65" s="67">
        <v>5.25</v>
      </c>
      <c r="K65" s="67">
        <v>2.89</v>
      </c>
      <c r="L65" s="67">
        <v>1.02</v>
      </c>
      <c r="M65" s="67">
        <v>3.75</v>
      </c>
      <c r="N65" s="67">
        <v>19.899999999999999</v>
      </c>
      <c r="O65" s="67">
        <v>5.4</v>
      </c>
      <c r="P65" s="67">
        <v>3.9</v>
      </c>
      <c r="Q65" s="67">
        <v>6</v>
      </c>
      <c r="R65" s="67">
        <v>4.3499999999999996</v>
      </c>
      <c r="S65" s="75">
        <v>43434</v>
      </c>
      <c r="T65" s="2">
        <f t="shared" si="12"/>
        <v>9.5809523809523807</v>
      </c>
      <c r="U65" s="53">
        <f t="shared" si="4"/>
        <v>2.5276381909547738</v>
      </c>
      <c r="V65" s="87">
        <f t="shared" si="5"/>
        <v>5.1256281407035177E-2</v>
      </c>
      <c r="W65" s="53">
        <f t="shared" si="6"/>
        <v>0.3529411764705882</v>
      </c>
      <c r="X65" s="53">
        <f t="shared" si="7"/>
        <v>1.4</v>
      </c>
      <c r="Y65" s="87">
        <f t="shared" si="8"/>
        <v>2.0278330019880716E-2</v>
      </c>
      <c r="Z65" s="53">
        <f t="shared" si="17"/>
        <v>1.3846153846153848</v>
      </c>
      <c r="AA65" s="53">
        <f t="shared" si="10"/>
        <v>1.3793103448275863</v>
      </c>
      <c r="AB65" s="53"/>
      <c r="AD65" s="33">
        <f t="shared" si="11"/>
        <v>152.91</v>
      </c>
    </row>
    <row r="66" spans="1:30" x14ac:dyDescent="0.2">
      <c r="A66">
        <f t="shared" si="2"/>
        <v>1</v>
      </c>
      <c r="B66" t="str">
        <f t="shared" si="3"/>
        <v>E</v>
      </c>
      <c r="C66" t="s">
        <v>343</v>
      </c>
      <c r="D66" s="13" t="s">
        <v>42</v>
      </c>
      <c r="E66" t="str">
        <f>VLOOKUP(D66,'MP-CF (WP)'!$B$4:$U$81,2,FALSE)</f>
        <v xml:space="preserve">Vectren Corp.                 </v>
      </c>
      <c r="F66" s="180">
        <v>28.5</v>
      </c>
      <c r="G66" s="66">
        <v>72</v>
      </c>
      <c r="H66" s="66">
        <v>58</v>
      </c>
      <c r="I66" s="2">
        <f t="shared" si="13"/>
        <v>65</v>
      </c>
      <c r="J66" s="67">
        <v>5.95</v>
      </c>
      <c r="K66" s="67">
        <v>2.4500000000000002</v>
      </c>
      <c r="L66" s="67">
        <v>1.83</v>
      </c>
      <c r="M66" s="67">
        <v>7.5</v>
      </c>
      <c r="N66" s="67">
        <v>23.05</v>
      </c>
      <c r="O66" s="67">
        <v>6.5</v>
      </c>
      <c r="P66" s="67">
        <v>8.0500000000000007</v>
      </c>
      <c r="Q66" s="67">
        <v>7.85</v>
      </c>
      <c r="R66" s="67">
        <v>9.9</v>
      </c>
      <c r="S66" s="75">
        <v>43448</v>
      </c>
      <c r="T66" s="2">
        <f t="shared" si="12"/>
        <v>10.92436974789916</v>
      </c>
      <c r="U66" s="53">
        <f t="shared" si="4"/>
        <v>2.8199566160520608</v>
      </c>
      <c r="V66" s="87">
        <f t="shared" si="5"/>
        <v>7.9392624728850322E-2</v>
      </c>
      <c r="W66" s="53">
        <f t="shared" si="6"/>
        <v>0.74693877551020404</v>
      </c>
      <c r="X66" s="53">
        <f t="shared" si="7"/>
        <v>0.79333333333333333</v>
      </c>
      <c r="Y66" s="87">
        <f t="shared" si="8"/>
        <v>2.8153846153846154E-2</v>
      </c>
      <c r="Z66" s="53">
        <f t="shared" si="17"/>
        <v>0.80745341614906829</v>
      </c>
      <c r="AA66" s="53">
        <f t="shared" si="10"/>
        <v>0.79292929292929282</v>
      </c>
      <c r="AB66" s="53"/>
      <c r="AD66" s="33">
        <f t="shared" si="11"/>
        <v>199.28</v>
      </c>
    </row>
    <row r="67" spans="1:30" x14ac:dyDescent="0.2">
      <c r="A67">
        <f t="shared" si="2"/>
        <v>1</v>
      </c>
      <c r="B67" t="str">
        <f t="shared" si="3"/>
        <v>E</v>
      </c>
      <c r="C67" t="s">
        <v>343</v>
      </c>
      <c r="D67" s="13" t="s">
        <v>44</v>
      </c>
      <c r="E67" t="str">
        <f>VLOOKUP(D67,'MP-CF (WP)'!$B$4:$U$81,2,FALSE)</f>
        <v>WEC Energy Group</v>
      </c>
      <c r="F67" s="180">
        <v>21.9</v>
      </c>
      <c r="G67" s="66">
        <v>74.2</v>
      </c>
      <c r="H67" s="66">
        <v>58.5</v>
      </c>
      <c r="I67" s="2">
        <f t="shared" si="13"/>
        <v>66.349999999999994</v>
      </c>
      <c r="J67" s="67">
        <v>6.05</v>
      </c>
      <c r="K67" s="67">
        <v>3.35</v>
      </c>
      <c r="L67" s="67">
        <v>2.21</v>
      </c>
      <c r="M67" s="67">
        <v>7.75</v>
      </c>
      <c r="N67" s="67">
        <v>30.95</v>
      </c>
      <c r="O67" s="67">
        <v>6.35</v>
      </c>
      <c r="P67" s="67">
        <v>8.3000000000000007</v>
      </c>
      <c r="Q67" s="67">
        <v>7.5</v>
      </c>
      <c r="R67" s="67">
        <v>8.25</v>
      </c>
      <c r="S67" s="75">
        <v>43448</v>
      </c>
      <c r="T67" s="2">
        <f t="shared" si="12"/>
        <v>10.96694214876033</v>
      </c>
      <c r="U67" s="53">
        <f t="shared" si="4"/>
        <v>2.1437802907915993</v>
      </c>
      <c r="V67" s="87">
        <f t="shared" si="5"/>
        <v>7.1405492730210018E-2</v>
      </c>
      <c r="W67" s="53">
        <f t="shared" si="6"/>
        <v>0.65970149253731336</v>
      </c>
      <c r="X67" s="53">
        <f t="shared" si="7"/>
        <v>0.78064516129032258</v>
      </c>
      <c r="Y67" s="87">
        <f t="shared" si="8"/>
        <v>3.3308214016578748E-2</v>
      </c>
      <c r="Z67" s="53">
        <f t="shared" si="17"/>
        <v>0.76506024096385528</v>
      </c>
      <c r="AA67" s="53">
        <f t="shared" si="10"/>
        <v>0.90909090909090906</v>
      </c>
      <c r="AB67" s="53"/>
      <c r="AD67" s="33">
        <f t="shared" si="11"/>
        <v>204.91</v>
      </c>
    </row>
    <row r="68" spans="1:30" x14ac:dyDescent="0.2">
      <c r="A68">
        <f t="shared" si="2"/>
        <v>1</v>
      </c>
      <c r="B68" t="str">
        <f t="shared" si="3"/>
        <v>E</v>
      </c>
      <c r="C68" t="s">
        <v>343</v>
      </c>
      <c r="D68" s="13" t="s">
        <v>43</v>
      </c>
      <c r="E68" t="str">
        <f>VLOOKUP(D68,'MP-CF (WP)'!$B$4:$U$81,2,FALSE)</f>
        <v xml:space="preserve">Westar Energy                 </v>
      </c>
      <c r="F68" s="201" t="s">
        <v>106</v>
      </c>
      <c r="G68" s="201" t="s">
        <v>106</v>
      </c>
      <c r="H68" s="201" t="s">
        <v>106</v>
      </c>
      <c r="I68" s="17" t="str">
        <f t="shared" si="13"/>
        <v/>
      </c>
      <c r="J68" s="202" t="s">
        <v>106</v>
      </c>
      <c r="K68" s="202" t="s">
        <v>106</v>
      </c>
      <c r="L68" s="202" t="s">
        <v>106</v>
      </c>
      <c r="M68" s="202" t="s">
        <v>106</v>
      </c>
      <c r="N68" s="202" t="s">
        <v>106</v>
      </c>
      <c r="O68" s="67"/>
      <c r="P68" s="67"/>
      <c r="Q68" s="67"/>
      <c r="R68" s="67"/>
      <c r="S68" s="75">
        <v>43266</v>
      </c>
      <c r="T68" s="2" t="str">
        <f>IFERROR(I68/J68,"N/A")</f>
        <v>N/A</v>
      </c>
      <c r="U68" s="53" t="str">
        <f>IFERROR(I68/N68,"N/A")</f>
        <v>N/A</v>
      </c>
      <c r="V68" s="87" t="str">
        <f>IFERROR(L68/N68,"N/A")</f>
        <v>N/A</v>
      </c>
      <c r="W68" s="53" t="str">
        <f>IFERROR(L68/K68,"N/A")</f>
        <v>N/A</v>
      </c>
      <c r="X68" s="53" t="str">
        <f>IFERROR(J68/M68,"N/A")</f>
        <v>N/A</v>
      </c>
      <c r="Y68" s="87" t="str">
        <f>IFERROR(L68/I68,"N/A")</f>
        <v>N/A</v>
      </c>
      <c r="Z68" s="53" t="str">
        <f>IFERROR(O68/P68,"N/A")</f>
        <v>N/A</v>
      </c>
      <c r="AA68" s="53" t="str">
        <f t="shared" si="10"/>
        <v/>
      </c>
      <c r="AB68" s="53"/>
      <c r="AD68" s="33">
        <f t="shared" si="11"/>
        <v>0</v>
      </c>
    </row>
    <row r="69" spans="1:30" hidden="1" x14ac:dyDescent="0.2">
      <c r="A69">
        <f t="shared" si="2"/>
        <v>1</v>
      </c>
      <c r="B69" t="str">
        <f t="shared" si="3"/>
        <v>N</v>
      </c>
      <c r="C69" t="s">
        <v>271</v>
      </c>
      <c r="D69" s="13" t="s">
        <v>206</v>
      </c>
      <c r="E69" t="str">
        <f ca="1">INDEX(OFFSET(CashFlow,0,-1,,1),MATCH(D69,OFFSET(CashFlow,0,0,,1),0))</f>
        <v>WGL Holdings Inc.</v>
      </c>
      <c r="F69" s="66" t="s">
        <v>106</v>
      </c>
      <c r="G69" s="66" t="s">
        <v>106</v>
      </c>
      <c r="H69" s="66" t="s">
        <v>106</v>
      </c>
      <c r="I69" s="2" t="str">
        <f t="shared" si="13"/>
        <v/>
      </c>
      <c r="J69" s="67" t="s">
        <v>106</v>
      </c>
      <c r="K69" s="67" t="s">
        <v>106</v>
      </c>
      <c r="L69" s="67" t="s">
        <v>106</v>
      </c>
      <c r="M69" s="67" t="s">
        <v>106</v>
      </c>
      <c r="N69" s="67" t="s">
        <v>106</v>
      </c>
      <c r="O69" s="67" t="s">
        <v>106</v>
      </c>
      <c r="P69" s="67" t="s">
        <v>106</v>
      </c>
      <c r="Q69" s="67" t="s">
        <v>106</v>
      </c>
      <c r="R69" s="67" t="s">
        <v>106</v>
      </c>
      <c r="S69" s="75">
        <v>43252</v>
      </c>
      <c r="T69" s="2" t="s">
        <v>106</v>
      </c>
      <c r="U69" s="53" t="s">
        <v>106</v>
      </c>
      <c r="V69" s="87" t="s">
        <v>106</v>
      </c>
      <c r="W69" s="53" t="s">
        <v>106</v>
      </c>
      <c r="X69" s="53" t="s">
        <v>106</v>
      </c>
      <c r="Y69" s="87" t="s">
        <v>106</v>
      </c>
      <c r="Z69" s="53" t="s">
        <v>106</v>
      </c>
      <c r="AA69" s="53" t="s">
        <v>106</v>
      </c>
      <c r="AB69" s="53"/>
      <c r="AD69" s="33">
        <f t="shared" si="11"/>
        <v>0</v>
      </c>
    </row>
    <row r="70" spans="1:30" hidden="1" x14ac:dyDescent="0.2">
      <c r="A70">
        <f t="shared" si="2"/>
        <v>1</v>
      </c>
      <c r="B70" t="str">
        <f t="shared" si="3"/>
        <v>E</v>
      </c>
      <c r="C70" t="s">
        <v>269</v>
      </c>
      <c r="D70" s="13" t="s">
        <v>45</v>
      </c>
      <c r="E70" t="str">
        <f>VLOOKUP(D70,'MP-CF (WP)'!$B$4:$U$81,2,FALSE)</f>
        <v xml:space="preserve">Xcel Energy Inc.              </v>
      </c>
      <c r="F70" s="66">
        <v>19.5</v>
      </c>
      <c r="G70" s="66">
        <v>49.7</v>
      </c>
      <c r="H70" s="66">
        <v>41.5</v>
      </c>
      <c r="I70" s="2">
        <f t="shared" si="13"/>
        <v>45.6</v>
      </c>
      <c r="J70" s="67">
        <v>5.85</v>
      </c>
      <c r="K70" s="67">
        <v>2.4500000000000002</v>
      </c>
      <c r="L70" s="67">
        <v>1.52</v>
      </c>
      <c r="M70" s="67">
        <v>8.15</v>
      </c>
      <c r="N70" s="67">
        <v>23.85</v>
      </c>
      <c r="O70" s="67">
        <v>6.2</v>
      </c>
      <c r="P70" s="67">
        <v>7.95</v>
      </c>
      <c r="Q70" s="67">
        <v>7.25</v>
      </c>
      <c r="R70" s="67">
        <v>6.75</v>
      </c>
      <c r="S70" s="75">
        <v>43399</v>
      </c>
      <c r="T70" s="2">
        <f t="shared" si="12"/>
        <v>7.7948717948717956</v>
      </c>
      <c r="U70" s="53">
        <f t="shared" si="4"/>
        <v>1.9119496855345912</v>
      </c>
      <c r="V70" s="87">
        <f t="shared" si="5"/>
        <v>6.3731656184486368E-2</v>
      </c>
      <c r="W70" s="53">
        <f t="shared" si="6"/>
        <v>0.62040816326530612</v>
      </c>
      <c r="X70" s="53">
        <f t="shared" si="7"/>
        <v>0.71779141104294475</v>
      </c>
      <c r="Y70" s="87">
        <f t="shared" si="8"/>
        <v>3.3333333333333333E-2</v>
      </c>
      <c r="Z70" s="53">
        <f t="shared" si="17"/>
        <v>0.77987421383647804</v>
      </c>
      <c r="AA70" s="53">
        <f t="shared" si="10"/>
        <v>1.0740740740740742</v>
      </c>
      <c r="AB70" s="53"/>
      <c r="AD70" s="33">
        <f t="shared" si="11"/>
        <v>152.51999999999998</v>
      </c>
    </row>
    <row r="71" spans="1:30" hidden="1" x14ac:dyDescent="0.2">
      <c r="A71" t="str">
        <f t="shared" si="2"/>
        <v/>
      </c>
      <c r="B71" t="str">
        <f t="shared" si="3"/>
        <v>W</v>
      </c>
      <c r="C71" t="s">
        <v>270</v>
      </c>
      <c r="D71" s="13" t="s">
        <v>208</v>
      </c>
      <c r="E71" t="str">
        <f ca="1">INDEX(nameLU,MATCH(D71,tickerLU,0))</f>
        <v>York Water Co. (The)</v>
      </c>
      <c r="F71" s="66">
        <v>26.6</v>
      </c>
      <c r="G71" s="66">
        <v>34.200000000000003</v>
      </c>
      <c r="H71" s="66">
        <v>27.5</v>
      </c>
      <c r="I71" s="2">
        <f t="shared" si="13"/>
        <v>30.85</v>
      </c>
      <c r="J71" s="67">
        <v>1.7</v>
      </c>
      <c r="K71" s="67">
        <v>1.1000000000000001</v>
      </c>
      <c r="L71" s="67">
        <v>0.7</v>
      </c>
      <c r="M71" s="67">
        <v>2</v>
      </c>
      <c r="N71" s="67">
        <v>10</v>
      </c>
      <c r="O71" s="67">
        <v>1.8</v>
      </c>
      <c r="P71" s="67">
        <v>1.75</v>
      </c>
      <c r="Q71" s="67">
        <v>2.4</v>
      </c>
      <c r="R71" s="67">
        <v>1.5</v>
      </c>
      <c r="S71" s="75">
        <v>43385</v>
      </c>
      <c r="T71" s="2">
        <f t="shared" si="12"/>
        <v>18.147058823529413</v>
      </c>
      <c r="U71" s="53">
        <f t="shared" si="4"/>
        <v>3.085</v>
      </c>
      <c r="V71" s="53">
        <f t="shared" si="5"/>
        <v>6.9999999999999993E-2</v>
      </c>
      <c r="W71" s="53">
        <f t="shared" si="6"/>
        <v>0.63636363636363624</v>
      </c>
      <c r="X71" s="53">
        <f t="shared" si="7"/>
        <v>0.85</v>
      </c>
      <c r="Y71" s="87">
        <f t="shared" si="8"/>
        <v>2.2690437601296593E-2</v>
      </c>
      <c r="Z71" s="53">
        <f t="shared" si="17"/>
        <v>1.0285714285714287</v>
      </c>
      <c r="AA71" s="53">
        <f t="shared" si="10"/>
        <v>1.5999999999999999</v>
      </c>
      <c r="AB71" s="53"/>
      <c r="AD71" s="33">
        <f t="shared" si="11"/>
        <v>103.80000000000001</v>
      </c>
    </row>
    <row r="72" spans="1:30" hidden="1" x14ac:dyDescent="0.2">
      <c r="A72" t="str">
        <f t="shared" si="2"/>
        <v/>
      </c>
      <c r="B72" t="str">
        <f t="shared" si="3"/>
        <v/>
      </c>
      <c r="D72" s="13"/>
      <c r="E72" t="e">
        <f>VLOOKUP(D72,'MP-CF (WP)'!$B$4:$U$60,2,FALSE)</f>
        <v>#N/A</v>
      </c>
      <c r="F72" s="33"/>
      <c r="G72" s="33"/>
      <c r="H72" s="33"/>
      <c r="I72" s="2" t="str">
        <f t="shared" ref="I72:I73" si="18">IFERROR(AVERAGE(G72:H72),"")</f>
        <v/>
      </c>
      <c r="J72" s="2"/>
      <c r="K72" s="2"/>
      <c r="L72" s="2"/>
      <c r="M72" s="2"/>
      <c r="N72" s="2"/>
      <c r="O72" s="67"/>
      <c r="P72" s="67"/>
      <c r="Q72" s="67"/>
      <c r="R72" s="67"/>
      <c r="S72" s="75"/>
      <c r="T72" s="2" t="str">
        <f t="shared" si="12"/>
        <v/>
      </c>
      <c r="U72" s="53" t="str">
        <f t="shared" si="4"/>
        <v/>
      </c>
      <c r="V72" s="53" t="str">
        <f t="shared" si="5"/>
        <v/>
      </c>
      <c r="W72" s="53" t="str">
        <f t="shared" si="6"/>
        <v/>
      </c>
      <c r="X72" s="53" t="str">
        <f t="shared" si="7"/>
        <v/>
      </c>
      <c r="Y72" s="87" t="str">
        <f t="shared" si="8"/>
        <v/>
      </c>
      <c r="Z72" s="53" t="str">
        <f t="shared" si="17"/>
        <v/>
      </c>
      <c r="AA72" s="53" t="str">
        <f t="shared" si="10"/>
        <v/>
      </c>
      <c r="AB72" s="53"/>
      <c r="AD72" s="33">
        <f t="shared" si="11"/>
        <v>0</v>
      </c>
    </row>
    <row r="73" spans="1:30" hidden="1" x14ac:dyDescent="0.2">
      <c r="A73" t="str">
        <f t="shared" si="2"/>
        <v/>
      </c>
      <c r="B73" t="str">
        <f t="shared" si="3"/>
        <v/>
      </c>
      <c r="D73" s="13"/>
      <c r="E73" t="e">
        <f>VLOOKUP(D73,'MP-CF (WP)'!$B$4:$U$60,2,FALSE)</f>
        <v>#N/A</v>
      </c>
      <c r="F73" s="33"/>
      <c r="G73" s="33"/>
      <c r="H73" s="33"/>
      <c r="I73" s="2" t="str">
        <f t="shared" si="18"/>
        <v/>
      </c>
      <c r="J73" s="2"/>
      <c r="K73" s="2"/>
      <c r="L73" s="2"/>
      <c r="M73" s="2"/>
      <c r="N73" s="2"/>
      <c r="O73" s="67"/>
      <c r="P73" s="67"/>
      <c r="Q73" s="67"/>
      <c r="R73" s="67"/>
      <c r="S73" s="75"/>
      <c r="T73" s="2" t="str">
        <f t="shared" si="12"/>
        <v/>
      </c>
      <c r="U73" s="53" t="str">
        <f t="shared" si="4"/>
        <v/>
      </c>
      <c r="V73" s="53" t="str">
        <f t="shared" si="5"/>
        <v/>
      </c>
      <c r="W73" s="53" t="str">
        <f t="shared" si="6"/>
        <v/>
      </c>
      <c r="X73" s="53" t="str">
        <f t="shared" si="7"/>
        <v/>
      </c>
      <c r="Y73" s="87" t="str">
        <f t="shared" si="8"/>
        <v/>
      </c>
      <c r="Z73" s="53" t="str">
        <f t="shared" si="17"/>
        <v/>
      </c>
      <c r="AA73" s="53" t="str">
        <f t="shared" si="10"/>
        <v/>
      </c>
      <c r="AB73" s="53"/>
      <c r="AD73" s="33">
        <f t="shared" si="11"/>
        <v>0</v>
      </c>
    </row>
    <row r="74" spans="1:30" hidden="1" x14ac:dyDescent="0.2">
      <c r="F74" s="33"/>
      <c r="G74" s="33"/>
      <c r="H74" s="33"/>
      <c r="I74" s="2"/>
      <c r="J74" s="2"/>
      <c r="K74" s="2"/>
      <c r="L74" s="2"/>
      <c r="M74" s="2"/>
      <c r="N74" s="2"/>
      <c r="O74" s="67"/>
      <c r="P74" s="67"/>
      <c r="Q74" s="67"/>
      <c r="R74" s="67"/>
      <c r="S74" s="75"/>
      <c r="T74" s="2" t="str">
        <f t="shared" ref="T74" si="19">IFERROR(I74/J74,"")</f>
        <v/>
      </c>
      <c r="U74" s="53" t="str">
        <f t="shared" ref="U74" si="20">IFERROR(I74/N74,"")</f>
        <v/>
      </c>
      <c r="W74" s="32"/>
      <c r="Z74" s="53" t="str">
        <f t="shared" si="17"/>
        <v/>
      </c>
      <c r="AA74" s="53" t="str">
        <f t="shared" si="10"/>
        <v/>
      </c>
      <c r="AB74" s="53"/>
      <c r="AD74" s="33"/>
    </row>
    <row r="75" spans="1:30" hidden="1" x14ac:dyDescent="0.2">
      <c r="F75" s="33"/>
      <c r="G75" s="33"/>
      <c r="H75" s="33"/>
      <c r="W75" s="32"/>
    </row>
    <row r="77" spans="1:30" x14ac:dyDescent="0.2">
      <c r="C77" t="s">
        <v>340</v>
      </c>
      <c r="D77">
        <f>COUNTIFS($AD$9:$AD$73,"&gt;0")</f>
        <v>59</v>
      </c>
      <c r="E77" t="s">
        <v>341</v>
      </c>
      <c r="F77" s="83">
        <f>IFERROR(AVERAGEIFS(F$9:F$76,$AD$9:$AD$76,"&gt;0"),"N/A")</f>
        <v>21.96551724137931</v>
      </c>
      <c r="G77" s="83">
        <f>IFERROR(AVERAGEIFS(G$9:G$76,$AD$9:$AD$76,"&gt;0"),"N/A")</f>
        <v>64.811864406779662</v>
      </c>
      <c r="H77" s="83">
        <f>IFERROR(AVERAGEIFS(H$9:H$76,$AD$9:$AD$76,"&gt;0"),"N/A")</f>
        <v>50.844067796610162</v>
      </c>
      <c r="I77" s="2">
        <f>IFERROR(AVERAGE(G77:H77),"N/A")</f>
        <v>57.827966101694912</v>
      </c>
      <c r="J77" s="83">
        <f t="shared" ref="J77:R77" si="21">IFERROR(AVERAGEIFS(J$9:J$76,$AD$9:$AD$76,"&gt;0"),"N/A")</f>
        <v>6.1381355932203396</v>
      </c>
      <c r="K77" s="83">
        <f t="shared" si="21"/>
        <v>2.8433898305084746</v>
      </c>
      <c r="L77" s="83">
        <f t="shared" si="21"/>
        <v>1.8053448275862072</v>
      </c>
      <c r="M77" s="83">
        <f t="shared" si="21"/>
        <v>7.842542372881355</v>
      </c>
      <c r="N77" s="83">
        <f t="shared" si="21"/>
        <v>30.271355932203384</v>
      </c>
      <c r="O77" s="83">
        <f t="shared" si="21"/>
        <v>6.5652542372881362</v>
      </c>
      <c r="P77" s="83">
        <f t="shared" si="21"/>
        <v>7.8305084745762699</v>
      </c>
      <c r="Q77" s="83">
        <f t="shared" si="21"/>
        <v>7.8254237288135595</v>
      </c>
      <c r="R77" s="83">
        <f t="shared" si="21"/>
        <v>7.4228813559322031</v>
      </c>
      <c r="S77" s="2"/>
      <c r="T77" s="83">
        <f>IFERROR(AVERAGEIFS(T$9:T$76,$AD$9:$AD$76,"&gt;0"),"N/A")</f>
        <v>10.265102138663527</v>
      </c>
      <c r="U77" s="83">
        <f>IFERROR(AVERAGEIFS(U$9:U$76,$AD$9:$AD$76,"&gt;0"),"N/A")</f>
        <v>2.0327551221279401</v>
      </c>
      <c r="V77" s="83">
        <f>IFERROR(AVERAGEIFS(V$9:V$76,$AD$9:$AD$76,"&gt;0"),"N/A")</f>
        <v>6.2284533040267688E-2</v>
      </c>
      <c r="W77" s="83">
        <f>IFERROR(AVERAGEIFS(W$9:W$76,$AD$9:$AD$76,"&gt;0"),"N/A")</f>
        <v>0.64224634409019632</v>
      </c>
      <c r="X77" s="83">
        <f>IFERROR(AVERAGEIFS(X$9:X$76,$AD$9:$AD$76,"&gt;0"),"N/A")</f>
        <v>0.91790736373789628</v>
      </c>
      <c r="Y77" s="83"/>
      <c r="Z77" s="83"/>
      <c r="AA77" s="83"/>
      <c r="AB77" s="83"/>
    </row>
    <row r="78" spans="1:30" x14ac:dyDescent="0.2">
      <c r="C78" t="s">
        <v>340</v>
      </c>
      <c r="D78">
        <f>COUNTIFS($AD$9:$AD$73,"&gt;0",$C$9:$C$73,E78)</f>
        <v>15</v>
      </c>
      <c r="E78" t="s">
        <v>343</v>
      </c>
      <c r="F78" s="83">
        <f t="shared" ref="F78:H80" si="22">IFERROR(AVERAGEIFS(F$9:F$73,$AD$9:$AD$73,"&gt;0",$C$9:$C$73,$E78),"N/A")</f>
        <v>21.819999999999997</v>
      </c>
      <c r="G78" s="83">
        <f t="shared" si="22"/>
        <v>65.693333333333342</v>
      </c>
      <c r="H78" s="83">
        <f t="shared" si="22"/>
        <v>51.733333333333334</v>
      </c>
      <c r="I78" s="2">
        <f t="shared" ref="I78:I84" si="23">IFERROR(AVERAGE(G78:H78),"N/A")</f>
        <v>58.713333333333338</v>
      </c>
      <c r="J78" s="83">
        <f t="shared" ref="J78:R80" si="24">IFERROR(AVERAGEIFS(J$9:J$73,$AD$9:$AD$73,"&gt;0",$C$9:$C$73,$E78),"N/A")</f>
        <v>6.6400000000000006</v>
      </c>
      <c r="K78" s="83">
        <f t="shared" si="24"/>
        <v>2.9833333333333338</v>
      </c>
      <c r="L78" s="83">
        <f t="shared" si="24"/>
        <v>1.9506666666666665</v>
      </c>
      <c r="M78" s="83">
        <f t="shared" si="24"/>
        <v>8.5299999999999994</v>
      </c>
      <c r="N78" s="83">
        <f t="shared" si="24"/>
        <v>29.93333333333333</v>
      </c>
      <c r="O78" s="83">
        <f t="shared" si="24"/>
        <v>6.9833333333333334</v>
      </c>
      <c r="P78" s="83">
        <f t="shared" si="24"/>
        <v>8.8800000000000008</v>
      </c>
      <c r="Q78" s="83">
        <f t="shared" si="24"/>
        <v>8.466666666666665</v>
      </c>
      <c r="R78" s="83">
        <f t="shared" si="24"/>
        <v>7.94</v>
      </c>
      <c r="S78" s="2"/>
      <c r="T78" s="83">
        <f t="shared" ref="T78:X80" si="25">IFERROR(AVERAGEIFS(T$9:T$73,$AD$9:$AD$73,"&gt;0",$C$9:$C$73,$E78),"N/A")</f>
        <v>9.5270996682840874</v>
      </c>
      <c r="U78" s="83">
        <f t="shared" si="25"/>
        <v>2.045202377943383</v>
      </c>
      <c r="V78" s="83">
        <f t="shared" si="25"/>
        <v>6.7097168249761571E-2</v>
      </c>
      <c r="W78" s="83">
        <f t="shared" si="25"/>
        <v>0.68259121840251702</v>
      </c>
      <c r="X78" s="83">
        <f t="shared" si="25"/>
        <v>0.87167766808802072</v>
      </c>
      <c r="Y78" s="83"/>
      <c r="Z78" s="83"/>
      <c r="AA78" s="83"/>
      <c r="AB78" s="83"/>
    </row>
    <row r="79" spans="1:30" x14ac:dyDescent="0.2">
      <c r="C79" t="s">
        <v>340</v>
      </c>
      <c r="D79">
        <f>COUNTIFS($AD$9:$AD$73,"&gt;0",$C$9:$C$73,E79)</f>
        <v>12</v>
      </c>
      <c r="E79" t="s">
        <v>268</v>
      </c>
      <c r="F79" s="83">
        <f t="shared" si="22"/>
        <v>18.591666666666669</v>
      </c>
      <c r="G79" s="83">
        <f t="shared" si="22"/>
        <v>68.36666666666666</v>
      </c>
      <c r="H79" s="83">
        <f t="shared" si="22"/>
        <v>55.008333333333333</v>
      </c>
      <c r="I79" s="2">
        <f t="shared" si="23"/>
        <v>61.6875</v>
      </c>
      <c r="J79" s="83">
        <f t="shared" si="24"/>
        <v>7.2833333333333323</v>
      </c>
      <c r="K79" s="83">
        <f t="shared" si="24"/>
        <v>3.2624999999999997</v>
      </c>
      <c r="L79" s="83">
        <f t="shared" si="24"/>
        <v>2.3050000000000002</v>
      </c>
      <c r="M79" s="83">
        <f t="shared" si="24"/>
        <v>9.3624999999999989</v>
      </c>
      <c r="N79" s="83">
        <f t="shared" si="24"/>
        <v>37.208333333333329</v>
      </c>
      <c r="O79" s="83">
        <f t="shared" si="24"/>
        <v>7.7791666666666659</v>
      </c>
      <c r="P79" s="83">
        <f t="shared" si="24"/>
        <v>8.8875000000000011</v>
      </c>
      <c r="Q79" s="83">
        <f t="shared" si="24"/>
        <v>9.2083333333333339</v>
      </c>
      <c r="R79" s="83">
        <f t="shared" si="24"/>
        <v>8.0625</v>
      </c>
      <c r="S79" s="2"/>
      <c r="T79" s="83">
        <f t="shared" si="25"/>
        <v>8.3624355519725473</v>
      </c>
      <c r="U79" s="83">
        <f t="shared" si="25"/>
        <v>1.744752013155294</v>
      </c>
      <c r="V79" s="83">
        <f t="shared" si="25"/>
        <v>6.9711460485531077E-2</v>
      </c>
      <c r="W79" s="83">
        <f t="shared" si="25"/>
        <v>0.73572061166663871</v>
      </c>
      <c r="X79" s="83">
        <f t="shared" si="25"/>
        <v>0.79442607094847217</v>
      </c>
      <c r="Y79" s="83"/>
      <c r="Z79" s="83"/>
      <c r="AA79" s="83"/>
      <c r="AB79" s="83"/>
    </row>
    <row r="80" spans="1:30" x14ac:dyDescent="0.2">
      <c r="C80" t="s">
        <v>340</v>
      </c>
      <c r="D80">
        <f>COUNTIFS($AD$9:$AD$73,"&gt;0",$C$9:$C$73,E80)</f>
        <v>13</v>
      </c>
      <c r="E80" t="s">
        <v>269</v>
      </c>
      <c r="F80" s="83">
        <f t="shared" si="22"/>
        <v>19.900000000000002</v>
      </c>
      <c r="G80" s="83">
        <f t="shared" si="22"/>
        <v>65.600000000000009</v>
      </c>
      <c r="H80" s="83">
        <f t="shared" si="22"/>
        <v>53.115384615384613</v>
      </c>
      <c r="I80" s="2">
        <f t="shared" si="23"/>
        <v>59.357692307692311</v>
      </c>
      <c r="J80" s="83">
        <f t="shared" si="24"/>
        <v>7.1692307692307686</v>
      </c>
      <c r="K80" s="83">
        <f t="shared" si="24"/>
        <v>3.0192307692307696</v>
      </c>
      <c r="L80" s="83">
        <f t="shared" si="24"/>
        <v>1.9641666666666664</v>
      </c>
      <c r="M80" s="83">
        <f t="shared" si="24"/>
        <v>8.3769230769230791</v>
      </c>
      <c r="N80" s="83">
        <f t="shared" si="24"/>
        <v>34.29615384615385</v>
      </c>
      <c r="O80" s="83">
        <f t="shared" si="24"/>
        <v>7.8000000000000007</v>
      </c>
      <c r="P80" s="83">
        <f t="shared" si="24"/>
        <v>8.434615384615384</v>
      </c>
      <c r="Q80" s="83">
        <f t="shared" si="24"/>
        <v>9.134615384615385</v>
      </c>
      <c r="R80" s="83">
        <f t="shared" si="24"/>
        <v>8.115384615384615</v>
      </c>
      <c r="S80" s="2"/>
      <c r="T80" s="83">
        <f t="shared" si="25"/>
        <v>8.2894235545681472</v>
      </c>
      <c r="U80" s="83">
        <f t="shared" si="25"/>
        <v>1.7197014065455667</v>
      </c>
      <c r="V80" s="83">
        <f t="shared" si="25"/>
        <v>5.7180899428121823E-2</v>
      </c>
      <c r="W80" s="83">
        <f t="shared" si="25"/>
        <v>0.61571295893482036</v>
      </c>
      <c r="X80" s="83">
        <f t="shared" si="25"/>
        <v>0.89594592039690846</v>
      </c>
      <c r="Y80" s="83"/>
      <c r="Z80" s="83"/>
      <c r="AA80" s="83"/>
      <c r="AB80" s="83"/>
    </row>
    <row r="81" spans="2:28" x14ac:dyDescent="0.2">
      <c r="C81" t="s">
        <v>340</v>
      </c>
      <c r="D81">
        <f>COUNTIFS($AD$9:$AD$73,"&gt;0",$B$9:$B$73,LEFT(E81,1))</f>
        <v>40</v>
      </c>
      <c r="E81" t="s">
        <v>345</v>
      </c>
      <c r="F81" s="83">
        <f t="shared" ref="F81:H82" si="26">IFERROR(AVERAGEIFS(F$9:F$73,$AD$9:$AD$73,"&gt;0",$B$9:$B$73,LEFT($E81,1)),"N/A")</f>
        <v>20.235897435897435</v>
      </c>
      <c r="G81" s="83">
        <f t="shared" si="26"/>
        <v>66.464999999999989</v>
      </c>
      <c r="H81" s="83">
        <f t="shared" si="26"/>
        <v>53.164999999999985</v>
      </c>
      <c r="I81" s="2">
        <f t="shared" si="23"/>
        <v>59.814999999999984</v>
      </c>
      <c r="J81" s="83">
        <f t="shared" ref="J81:R82" si="27">IFERROR(AVERAGEIFS(J$9:J$73,$AD$9:$AD$73,"&gt;0",$B$9:$B$73,LEFT($E81,1)),"N/A")</f>
        <v>7.0049999999999999</v>
      </c>
      <c r="K81" s="83">
        <f t="shared" si="27"/>
        <v>3.0787500000000003</v>
      </c>
      <c r="L81" s="83">
        <f t="shared" si="27"/>
        <v>2.0638461538461539</v>
      </c>
      <c r="M81" s="83">
        <f t="shared" si="27"/>
        <v>8.7299999999999986</v>
      </c>
      <c r="N81" s="83">
        <f t="shared" si="27"/>
        <v>33.533749999999998</v>
      </c>
      <c r="O81" s="83">
        <f t="shared" si="27"/>
        <v>7.4874999999999998</v>
      </c>
      <c r="P81" s="83">
        <f t="shared" si="27"/>
        <v>8.7375000000000007</v>
      </c>
      <c r="Q81" s="83">
        <f t="shared" si="27"/>
        <v>8.90625</v>
      </c>
      <c r="R81" s="83">
        <f t="shared" si="27"/>
        <v>8.0337499999999995</v>
      </c>
      <c r="T81" s="83">
        <f t="shared" ref="T81:X82" si="28">IFERROR(AVERAGEIFS(T$9:T$73,$AD$9:$AD$73,"&gt;0",$B$9:$B$73,LEFT($E81,1)),"N/A")</f>
        <v>8.775455696432946</v>
      </c>
      <c r="U81" s="83">
        <f t="shared" si="28"/>
        <v>1.8492794528026664</v>
      </c>
      <c r="V81" s="83">
        <f t="shared" si="28"/>
        <v>6.4850406223339943E-2</v>
      </c>
      <c r="W81" s="83">
        <f t="shared" si="28"/>
        <v>0.67836079803218607</v>
      </c>
      <c r="X81" s="83">
        <f t="shared" si="28"/>
        <v>0.85638937094654466</v>
      </c>
      <c r="Y81" s="83"/>
      <c r="Z81" s="83"/>
      <c r="AA81" s="83"/>
      <c r="AB81" s="83"/>
    </row>
    <row r="82" spans="2:28" x14ac:dyDescent="0.2">
      <c r="C82" t="s">
        <v>340</v>
      </c>
      <c r="D82">
        <f>COUNTIFS($AD$9:$AD$73,"&gt;0",$B$9:$B$73,LEFT(E82,1))</f>
        <v>10</v>
      </c>
      <c r="E82" t="s">
        <v>271</v>
      </c>
      <c r="F82" s="83">
        <f t="shared" si="26"/>
        <v>23.98</v>
      </c>
      <c r="G82" s="83">
        <f t="shared" si="26"/>
        <v>69.010000000000005</v>
      </c>
      <c r="H82" s="83">
        <f t="shared" si="26"/>
        <v>50.570000000000007</v>
      </c>
      <c r="I82" s="2">
        <f t="shared" si="23"/>
        <v>59.790000000000006</v>
      </c>
      <c r="J82" s="83">
        <f t="shared" si="27"/>
        <v>5.5249999999999995</v>
      </c>
      <c r="K82" s="83">
        <f t="shared" si="27"/>
        <v>2.9509999999999996</v>
      </c>
      <c r="L82" s="83">
        <f t="shared" si="27"/>
        <v>1.544</v>
      </c>
      <c r="M82" s="83">
        <f t="shared" si="27"/>
        <v>7.8310000000000004</v>
      </c>
      <c r="N82" s="83">
        <f t="shared" si="27"/>
        <v>28.965999999999998</v>
      </c>
      <c r="O82" s="83">
        <f t="shared" si="27"/>
        <v>5.82</v>
      </c>
      <c r="P82" s="83">
        <f t="shared" si="27"/>
        <v>7.875</v>
      </c>
      <c r="Q82" s="83">
        <f t="shared" si="27"/>
        <v>6.9849999999999994</v>
      </c>
      <c r="R82" s="83">
        <f t="shared" si="27"/>
        <v>8.4150000000000009</v>
      </c>
      <c r="T82" s="83">
        <f t="shared" si="28"/>
        <v>10.993947674260024</v>
      </c>
      <c r="U82" s="83">
        <f t="shared" si="28"/>
        <v>2.1334400825670601</v>
      </c>
      <c r="V82" s="83">
        <f t="shared" si="28"/>
        <v>5.6251337294109617E-2</v>
      </c>
      <c r="W82" s="83">
        <f t="shared" si="28"/>
        <v>0.54484036400778302</v>
      </c>
      <c r="X82" s="83">
        <f t="shared" si="28"/>
        <v>0.85082313538594434</v>
      </c>
      <c r="Y82" s="83"/>
      <c r="Z82" s="83"/>
      <c r="AA82" s="83"/>
      <c r="AB82" s="83"/>
    </row>
    <row r="83" spans="2:28" x14ac:dyDescent="0.2">
      <c r="C83" t="s">
        <v>340</v>
      </c>
      <c r="D83" s="82">
        <f>COUNTIFS($AD$9:$AD$73,"&gt;0",$A$9:$A$73,1)</f>
        <v>50</v>
      </c>
      <c r="E83" t="s">
        <v>342</v>
      </c>
      <c r="F83" s="83">
        <f>IFERROR(AVERAGEIFS(F$9:F$73,$AD$9:$AD$73,"&gt;0",$A$9:$A$73,1),"N/A")</f>
        <v>21</v>
      </c>
      <c r="G83" s="83">
        <f>IFERROR(AVERAGEIFS(G$9:G$73,$AD$9:$AD$73,"&gt;0",$A$9:$A$73,1),"N/A")</f>
        <v>66.97399999999999</v>
      </c>
      <c r="H83" s="83">
        <f>IFERROR(AVERAGEIFS(H$9:H$73,$AD$9:$AD$73,"&gt;0",$A$9:$A$73,1),"N/A")</f>
        <v>52.645999999999994</v>
      </c>
      <c r="I83" s="2">
        <f t="shared" si="23"/>
        <v>59.809999999999988</v>
      </c>
      <c r="J83" s="83">
        <f t="shared" ref="J83:R83" si="29">IFERROR(AVERAGEIFS(J$9:J$73,$AD$9:$AD$73,"&gt;0",$A$9:$A$73,1),"N/A")</f>
        <v>6.7090000000000005</v>
      </c>
      <c r="K83" s="83">
        <f t="shared" si="29"/>
        <v>3.0531999999999995</v>
      </c>
      <c r="L83" s="83">
        <f t="shared" si="29"/>
        <v>1.9577551020408164</v>
      </c>
      <c r="M83" s="83">
        <f t="shared" si="29"/>
        <v>8.5501999999999985</v>
      </c>
      <c r="N83" s="83">
        <f t="shared" si="29"/>
        <v>32.620199999999997</v>
      </c>
      <c r="O83" s="83">
        <f t="shared" si="29"/>
        <v>7.1539999999999999</v>
      </c>
      <c r="P83" s="83">
        <f t="shared" si="29"/>
        <v>8.5649999999999995</v>
      </c>
      <c r="Q83" s="83">
        <f t="shared" si="29"/>
        <v>8.522000000000002</v>
      </c>
      <c r="R83" s="83">
        <f t="shared" si="29"/>
        <v>8.11</v>
      </c>
      <c r="T83" s="83">
        <f>IFERROR(AVERAGEIFS(T$9:T$73,$AD$9:$AD$73,"&gt;0",$A$9:$A$73,1),"N/A")</f>
        <v>9.2191540919983623</v>
      </c>
      <c r="U83" s="127">
        <f>IFERROR(AVERAGEIFS(U$9:U$73,$AD$9:$AD$73,"&gt;0",$A$9:$A$73,1),"N/A")</f>
        <v>1.9061115787555449</v>
      </c>
      <c r="V83" s="83">
        <f>IFERROR(AVERAGEIFS(V$9:V$73,$AD$9:$AD$73,"&gt;0",$A$9:$A$73,1),"N/A")</f>
        <v>6.3095494196966431E-2</v>
      </c>
      <c r="W83" s="83">
        <f>IFERROR(AVERAGEIFS(W$9:W$73,$AD$9:$AD$73,"&gt;0",$A$9:$A$73,1),"N/A")</f>
        <v>0.65111172986394061</v>
      </c>
      <c r="X83" s="83">
        <f>IFERROR(AVERAGEIFS(X$9:X$73,$AD$9:$AD$73,"&gt;0",$A$9:$A$73,1),"N/A")</f>
        <v>0.85527612383442464</v>
      </c>
      <c r="Y83" s="83"/>
      <c r="Z83" s="83"/>
      <c r="AA83" s="83"/>
      <c r="AB83" s="83"/>
    </row>
    <row r="84" spans="2:28" x14ac:dyDescent="0.2">
      <c r="C84" t="s">
        <v>340</v>
      </c>
      <c r="D84">
        <f>COUNTIFS($AD$9:$AD$73,"&gt;0",$B$9:$B$73,LEFT(E84,1))</f>
        <v>9</v>
      </c>
      <c r="E84" t="s">
        <v>270</v>
      </c>
      <c r="F84" s="83">
        <f>IFERROR(AVERAGEIFS(F$9:F$73,$AD$9:$AD$73,"&gt;0",$B$9:$B$73,LEFT($E84,1)),"N/A")</f>
        <v>27.222222222222221</v>
      </c>
      <c r="G84" s="83">
        <f>IFERROR(AVERAGEIFS(G$9:G$73,$AD$9:$AD$73,"&gt;0",$B$9:$B$73,LEFT($E84,1)),"N/A")</f>
        <v>52.8</v>
      </c>
      <c r="H84" s="83">
        <f>IFERROR(AVERAGEIFS(H$9:H$73,$AD$9:$AD$73,"&gt;0",$B$9:$B$73,LEFT($E84,1)),"N/A")</f>
        <v>40.833333333333343</v>
      </c>
      <c r="I84" s="2">
        <f t="shared" si="23"/>
        <v>46.81666666666667</v>
      </c>
      <c r="J84" s="83">
        <f t="shared" ref="J84:R84" si="30">IFERROR(AVERAGEIFS(J$9:J$73,$AD$9:$AD$73,"&gt;0",$B$9:$B$73,LEFT($E84,1)),"N/A")</f>
        <v>2.9666666666666668</v>
      </c>
      <c r="K84" s="83">
        <f t="shared" si="30"/>
        <v>1.6777777777777776</v>
      </c>
      <c r="L84" s="83">
        <f t="shared" si="30"/>
        <v>0.97555555555555573</v>
      </c>
      <c r="M84" s="83">
        <f t="shared" si="30"/>
        <v>3.9111111111111114</v>
      </c>
      <c r="N84" s="83">
        <f t="shared" si="30"/>
        <v>17.222222222222221</v>
      </c>
      <c r="O84" s="83">
        <f t="shared" si="30"/>
        <v>3.2944444444444443</v>
      </c>
      <c r="P84" s="83">
        <f t="shared" si="30"/>
        <v>3.75</v>
      </c>
      <c r="Q84" s="83">
        <f t="shared" si="30"/>
        <v>3.9555555555555548</v>
      </c>
      <c r="R84" s="83">
        <f t="shared" si="30"/>
        <v>3.6055555555555561</v>
      </c>
      <c r="T84" s="83">
        <f>IFERROR(AVERAGEIFS(T$9:T$73,$AD$9:$AD$73,"&gt;0",$B$9:$B$73,LEFT($E84,1)),"N/A")</f>
        <v>16.075924620136668</v>
      </c>
      <c r="U84" s="83">
        <f>IFERROR(AVERAGEIFS(U$9:U$73,$AD$9:$AD$73,"&gt;0",$B$9:$B$73,LEFT($E84,1)),"N/A")</f>
        <v>2.7363303630856937</v>
      </c>
      <c r="V84" s="83">
        <f>IFERROR(AVERAGEIFS(V$9:V$73,$AD$9:$AD$73,"&gt;0",$B$9:$B$73,LEFT($E84,1)),"N/A")</f>
        <v>5.7869300076018884E-2</v>
      </c>
      <c r="W84" s="83">
        <f>IFERROR(AVERAGEIFS(W$9:W$73,$AD$9:$AD$73,"&gt;0",$B$9:$B$73,LEFT($E84,1)),"N/A")</f>
        <v>0.5939792437664777</v>
      </c>
      <c r="X84" s="83">
        <f>IFERROR(AVERAGEIFS(X$9:X$73,$AD$9:$AD$73,"&gt;0",$B$9:$B$73,LEFT($E84,1)),"N/A")</f>
        <v>1.2658586965349607</v>
      </c>
      <c r="Y84" s="83"/>
      <c r="Z84" s="83"/>
      <c r="AA84" s="83"/>
      <c r="AB84" s="83"/>
    </row>
    <row r="88" spans="2:28" x14ac:dyDescent="0.2">
      <c r="B88" s="70" t="s">
        <v>108</v>
      </c>
      <c r="C88" t="s">
        <v>420</v>
      </c>
    </row>
  </sheetData>
  <autoFilter ref="A8:AK74">
    <filterColumn colId="2">
      <filters>
        <filter val="Electric Util. (Central)"/>
      </filters>
    </filterColumn>
  </autoFilter>
  <sortState ref="C9:S69">
    <sortCondition ref="E9:E69"/>
  </sortState>
  <mergeCells count="1">
    <mergeCell ref="G5:I5"/>
  </mergeCells>
  <pageMargins left="0.3" right="0.3" top="0.45" bottom="0.54" header="0.3" footer="0.3"/>
  <pageSetup scale="57" fitToHeight="0" orientation="landscape" r:id="rId1"/>
  <headerFooter>
    <oddFooter>&amp;L&amp;F&amp;R&amp;A</oddFooter>
  </headerFooter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fitToPage="1"/>
  </sheetPr>
  <dimension ref="A1:AB73"/>
  <sheetViews>
    <sheetView workbookViewId="0">
      <pane ySplit="2" topLeftCell="A3" activePane="bottomLeft" state="frozen"/>
      <selection activeCell="E6" sqref="E6"/>
      <selection pane="bottomLeft" activeCell="B9" sqref="B9:I10"/>
    </sheetView>
  </sheetViews>
  <sheetFormatPr defaultColWidth="8.75" defaultRowHeight="11.25" x14ac:dyDescent="0.2"/>
  <cols>
    <col min="1" max="1" width="8.75" style="60"/>
    <col min="2" max="2" width="17.375" style="60" bestFit="1" customWidth="1"/>
    <col min="3" max="3" width="6.875" style="60" customWidth="1"/>
    <col min="4" max="4" width="7.875" style="60" customWidth="1"/>
    <col min="5" max="7" width="6.875" style="60" customWidth="1"/>
    <col min="8" max="8" width="7.625" style="60" customWidth="1"/>
    <col min="9" max="10" width="6.875" style="60" customWidth="1"/>
    <col min="11" max="11" width="2.375" style="60" bestFit="1" customWidth="1"/>
    <col min="12" max="12" width="4.75" style="60" bestFit="1" customWidth="1"/>
    <col min="13" max="13" width="4.875" style="60" bestFit="1" customWidth="1"/>
    <col min="14" max="14" width="5.875" style="60" customWidth="1"/>
    <col min="15" max="15" width="6.25" style="60" bestFit="1" customWidth="1"/>
    <col min="16" max="16" width="5.25" style="60" bestFit="1" customWidth="1"/>
    <col min="17" max="16384" width="8.75" style="60"/>
  </cols>
  <sheetData>
    <row r="1" spans="1:28" x14ac:dyDescent="0.2">
      <c r="A1" s="72">
        <v>43272</v>
      </c>
      <c r="B1" s="60" t="s">
        <v>317</v>
      </c>
      <c r="T1" s="72">
        <v>43272</v>
      </c>
      <c r="U1" s="60">
        <v>2017</v>
      </c>
      <c r="V1" s="60">
        <v>2017</v>
      </c>
      <c r="W1" s="60">
        <v>2017</v>
      </c>
      <c r="X1" s="60">
        <v>2017</v>
      </c>
      <c r="Y1" s="60">
        <v>2017</v>
      </c>
      <c r="Z1" s="60">
        <v>2017</v>
      </c>
      <c r="AA1" s="60">
        <v>2017</v>
      </c>
      <c r="AB1" s="60">
        <v>2017</v>
      </c>
    </row>
    <row r="2" spans="1:28" ht="45" x14ac:dyDescent="0.2">
      <c r="A2" s="84">
        <f>COUNTA(A5:A302)</f>
        <v>69</v>
      </c>
      <c r="C2" s="73" t="s">
        <v>332</v>
      </c>
      <c r="D2" s="73" t="s">
        <v>334</v>
      </c>
      <c r="E2" s="73" t="s">
        <v>336</v>
      </c>
      <c r="F2" s="73" t="s">
        <v>338</v>
      </c>
      <c r="G2" s="73" t="s">
        <v>333</v>
      </c>
      <c r="H2" s="73" t="s">
        <v>335</v>
      </c>
      <c r="I2" s="73" t="s">
        <v>337</v>
      </c>
      <c r="J2" s="73" t="s">
        <v>339</v>
      </c>
      <c r="K2" s="59"/>
      <c r="L2" s="59"/>
      <c r="M2" s="59"/>
      <c r="N2" s="59"/>
      <c r="O2" s="59"/>
      <c r="P2" s="59"/>
      <c r="U2" s="73" t="s">
        <v>332</v>
      </c>
      <c r="V2" s="73" t="s">
        <v>334</v>
      </c>
      <c r="W2" s="73" t="s">
        <v>336</v>
      </c>
      <c r="X2" s="73" t="s">
        <v>338</v>
      </c>
      <c r="Y2" s="73" t="s">
        <v>333</v>
      </c>
      <c r="Z2" s="73" t="s">
        <v>335</v>
      </c>
      <c r="AA2" s="73" t="s">
        <v>337</v>
      </c>
      <c r="AB2" s="73" t="s">
        <v>339</v>
      </c>
    </row>
    <row r="3" spans="1:28" x14ac:dyDescent="0.2">
      <c r="A3" s="84">
        <v>1</v>
      </c>
      <c r="B3" s="60">
        <v>2</v>
      </c>
      <c r="C3" s="73">
        <v>3</v>
      </c>
      <c r="D3" s="84">
        <v>4</v>
      </c>
      <c r="E3" s="60">
        <v>5</v>
      </c>
      <c r="F3" s="73">
        <v>6</v>
      </c>
      <c r="G3" s="84">
        <v>7</v>
      </c>
      <c r="H3" s="60">
        <v>8</v>
      </c>
      <c r="I3" s="73">
        <v>9</v>
      </c>
      <c r="J3" s="84">
        <v>10</v>
      </c>
      <c r="K3" s="60">
        <v>11</v>
      </c>
      <c r="L3" s="73">
        <v>12</v>
      </c>
      <c r="M3" s="84">
        <v>13</v>
      </c>
      <c r="N3" s="60">
        <v>14</v>
      </c>
      <c r="O3" s="73">
        <v>15</v>
      </c>
      <c r="P3" s="84">
        <v>16</v>
      </c>
      <c r="Q3" s="60">
        <v>17</v>
      </c>
      <c r="T3" s="60">
        <v>1</v>
      </c>
      <c r="U3" s="60">
        <v>2</v>
      </c>
      <c r="V3" s="60">
        <v>3</v>
      </c>
      <c r="W3" s="60">
        <v>4</v>
      </c>
      <c r="X3" s="60">
        <v>5</v>
      </c>
      <c r="Y3" s="60">
        <v>6</v>
      </c>
      <c r="Z3" s="60">
        <v>7</v>
      </c>
      <c r="AA3" s="60">
        <v>8</v>
      </c>
      <c r="AB3" s="60">
        <v>9</v>
      </c>
    </row>
    <row r="4" spans="1:28" ht="33.75" x14ac:dyDescent="0.2">
      <c r="A4" s="81" t="s">
        <v>118</v>
      </c>
      <c r="B4" s="81" t="s">
        <v>117</v>
      </c>
      <c r="C4" s="81" t="s">
        <v>308</v>
      </c>
      <c r="D4" s="81" t="s">
        <v>309</v>
      </c>
      <c r="E4" s="81" t="s">
        <v>310</v>
      </c>
      <c r="F4" s="81" t="s">
        <v>311</v>
      </c>
      <c r="G4" s="81" t="s">
        <v>312</v>
      </c>
      <c r="H4" s="81" t="s">
        <v>313</v>
      </c>
      <c r="I4" s="81" t="s">
        <v>314</v>
      </c>
      <c r="J4" s="81" t="s">
        <v>331</v>
      </c>
      <c r="L4" s="88" t="s">
        <v>114</v>
      </c>
      <c r="M4" s="88" t="s">
        <v>245</v>
      </c>
      <c r="N4" s="88" t="s">
        <v>351</v>
      </c>
      <c r="O4" s="88" t="s">
        <v>325</v>
      </c>
      <c r="P4" s="88" t="s">
        <v>326</v>
      </c>
      <c r="Q4" s="88" t="s">
        <v>362</v>
      </c>
    </row>
    <row r="5" spans="1:28" x14ac:dyDescent="0.2">
      <c r="A5" s="60" t="s">
        <v>163</v>
      </c>
      <c r="B5" s="60" t="s">
        <v>162</v>
      </c>
      <c r="C5" s="60">
        <f>VLOOKUP($A5,$T$5:$AB$71,U$3,0)</f>
        <v>0</v>
      </c>
      <c r="D5" s="60">
        <f>VLOOKUP($A5,$T$5:$AB$71,V$3,0)</f>
        <v>34.878999999999998</v>
      </c>
      <c r="E5" s="60">
        <f t="shared" ref="E5:J5" si="0">VLOOKUP($A5,$T$5:$AB$71,W$3,0)</f>
        <v>3.11</v>
      </c>
      <c r="F5" s="60">
        <f t="shared" si="0"/>
        <v>-0.11</v>
      </c>
      <c r="G5" s="60">
        <f t="shared" si="0"/>
        <v>40.198999999999998</v>
      </c>
      <c r="H5" s="60">
        <f t="shared" si="0"/>
        <v>0.627</v>
      </c>
      <c r="I5" s="60">
        <f t="shared" si="0"/>
        <v>0.88</v>
      </c>
      <c r="J5" s="60">
        <f t="shared" si="0"/>
        <v>2.1890000000000001</v>
      </c>
      <c r="T5" s="60" t="s">
        <v>163</v>
      </c>
      <c r="V5" s="60">
        <v>34.878999999999998</v>
      </c>
      <c r="W5" s="60">
        <v>3.11</v>
      </c>
      <c r="X5" s="60">
        <v>-0.11</v>
      </c>
      <c r="Y5" s="60">
        <v>40.198999999999998</v>
      </c>
      <c r="Z5" s="60">
        <v>0.627</v>
      </c>
      <c r="AA5" s="60">
        <v>0.88</v>
      </c>
      <c r="AB5" s="60">
        <v>2.1890000000000001</v>
      </c>
    </row>
    <row r="6" spans="1:28" ht="12" thickBot="1" x14ac:dyDescent="0.25">
      <c r="A6" s="60" t="s">
        <v>0</v>
      </c>
      <c r="B6" s="60" t="s">
        <v>119</v>
      </c>
      <c r="C6" s="60">
        <f>VLOOKUP($A6,$T$5:$AB$71,U$3,0)</f>
        <v>23.045999999999999</v>
      </c>
      <c r="D6" s="60">
        <f>VLOOKUP($A6,$T$5:$AB$71,V$3,0)</f>
        <v>40.473999999999997</v>
      </c>
      <c r="E6" s="60">
        <f t="shared" ref="E6:E7" si="1">VLOOKUP($A6,$T$5:$AB$71,W$3,0)</f>
        <v>6.5890000000000004</v>
      </c>
      <c r="F6" s="60">
        <f t="shared" ref="F6:F7" si="2">VLOOKUP($A6,$T$5:$AB$71,X$3,0)</f>
        <v>3.13</v>
      </c>
      <c r="G6" s="60">
        <f t="shared" ref="G6:G7" si="3">VLOOKUP($A6,$T$5:$AB$71,Y$3,0)</f>
        <v>72.134</v>
      </c>
      <c r="H6" s="60">
        <f t="shared" ref="H6:H7" si="4">VLOOKUP($A6,$T$5:$AB$71,Z$3,0)</f>
        <v>4.08</v>
      </c>
      <c r="I6" s="60">
        <f t="shared" ref="I6:I7" si="5">VLOOKUP($A6,$T$5:$AB$71,AA$3,0)</f>
        <v>2.14</v>
      </c>
      <c r="J6" s="60">
        <f t="shared" ref="J6:J7" si="6">VLOOKUP($A6,$T$5:$AB$71,AB$3,0)</f>
        <v>2.9670000000000001</v>
      </c>
      <c r="L6" s="78">
        <f>IFERROR(G6/E6,"")</f>
        <v>10.947640006070724</v>
      </c>
      <c r="M6" s="78">
        <f>IFERROR(G6/D6,"")</f>
        <v>1.782230567771903</v>
      </c>
      <c r="N6" s="89">
        <f>IFERROR(I6/D6,"")</f>
        <v>5.2873449621979547E-2</v>
      </c>
      <c r="O6" s="78">
        <f>IFERROR(I6/F6,"")</f>
        <v>0.68370607028754005</v>
      </c>
      <c r="P6" s="78">
        <f>IFERROR(E6/H6,"")</f>
        <v>1.6149509803921569</v>
      </c>
      <c r="Q6" s="89">
        <f>IFERROR(I6/G6,"")</f>
        <v>2.9667008622840826E-2</v>
      </c>
      <c r="T6" s="60" t="s">
        <v>0</v>
      </c>
      <c r="U6" s="60">
        <v>23.045999999999999</v>
      </c>
      <c r="V6" s="60">
        <v>40.473999999999997</v>
      </c>
      <c r="W6" s="60">
        <v>6.5890000000000004</v>
      </c>
      <c r="X6" s="60">
        <v>3.13</v>
      </c>
      <c r="Y6" s="60">
        <v>72.134</v>
      </c>
      <c r="Z6" s="60">
        <v>4.08</v>
      </c>
      <c r="AA6" s="60">
        <v>2.14</v>
      </c>
      <c r="AB6" s="60">
        <v>2.9670000000000001</v>
      </c>
    </row>
    <row r="7" spans="1:28" ht="12" thickBot="1" x14ac:dyDescent="0.25">
      <c r="A7" s="60" t="s">
        <v>1</v>
      </c>
      <c r="B7" s="60" t="s">
        <v>120</v>
      </c>
      <c r="C7" s="60">
        <f t="shared" ref="C7:C66" si="7">VLOOKUP($A7,$T$5:$AB$71,U$3,0)</f>
        <v>20.596</v>
      </c>
      <c r="D7" s="60">
        <f t="shared" ref="D7:D66" si="8">VLOOKUP($A7,$T$5:$AB$71,V$3,0)</f>
        <v>17.213000000000001</v>
      </c>
      <c r="E7" s="60">
        <f t="shared" si="1"/>
        <v>3.1019999999999999</v>
      </c>
      <c r="F7" s="60">
        <f t="shared" si="2"/>
        <v>1.99</v>
      </c>
      <c r="G7" s="60">
        <f t="shared" si="3"/>
        <v>40.985999999999997</v>
      </c>
      <c r="H7" s="60">
        <f t="shared" si="4"/>
        <v>6.34</v>
      </c>
      <c r="I7" s="60">
        <f t="shared" si="5"/>
        <v>1.26</v>
      </c>
      <c r="J7" s="60">
        <f t="shared" si="6"/>
        <v>3.0739999999999998</v>
      </c>
      <c r="L7" s="78">
        <f t="shared" ref="L7:L66" si="9">IFERROR(G7/E7,"")</f>
        <v>13.212765957446807</v>
      </c>
      <c r="M7" s="78">
        <f t="shared" ref="M7:M66" si="10">IFERROR(G7/D7,"")</f>
        <v>2.3811073026201126</v>
      </c>
      <c r="N7" s="89">
        <f t="shared" ref="N7:N66" si="11">IFERROR(I7/D7,"")</f>
        <v>7.320048800325335E-2</v>
      </c>
      <c r="O7" s="78">
        <f t="shared" ref="O7:O66" si="12">IFERROR(I7/F7,"")</f>
        <v>0.63316582914572861</v>
      </c>
      <c r="P7" s="78">
        <f t="shared" ref="P7:P66" si="13">IFERROR(E7/H7,"")</f>
        <v>0.48927444794952679</v>
      </c>
      <c r="Q7" s="89">
        <f t="shared" ref="Q7:Q66" si="14">IFERROR(I7/G7,"")</f>
        <v>3.0742204655248136E-2</v>
      </c>
      <c r="T7" s="181" t="s">
        <v>1</v>
      </c>
      <c r="U7" s="182">
        <v>20.596</v>
      </c>
      <c r="V7" s="182">
        <v>17.213000000000001</v>
      </c>
      <c r="W7" s="182">
        <v>3.1019999999999999</v>
      </c>
      <c r="X7" s="182">
        <v>1.99</v>
      </c>
      <c r="Y7" s="182">
        <v>40.985999999999997</v>
      </c>
      <c r="Z7" s="182">
        <v>6.34</v>
      </c>
      <c r="AA7" s="182">
        <v>1.26</v>
      </c>
      <c r="AB7" s="185">
        <v>3.0739999999999998</v>
      </c>
    </row>
    <row r="8" spans="1:28" x14ac:dyDescent="0.2">
      <c r="A8" s="60" t="s">
        <v>2</v>
      </c>
      <c r="B8" s="60" t="s">
        <v>121</v>
      </c>
      <c r="C8" s="60">
        <f t="shared" si="7"/>
        <v>19.329000000000001</v>
      </c>
      <c r="D8" s="60">
        <f t="shared" si="8"/>
        <v>37.167999999999999</v>
      </c>
      <c r="E8" s="60">
        <f t="shared" ref="E8:E66" si="15">VLOOKUP($A8,$T$5:$AB$71,W$3,0)</f>
        <v>7.9459999999999997</v>
      </c>
      <c r="F8" s="60">
        <f t="shared" ref="F8:F66" si="16">VLOOKUP($A8,$T$5:$AB$71,X$3,0)</f>
        <v>3.62</v>
      </c>
      <c r="G8" s="60">
        <f t="shared" ref="G8:G66" si="17">VLOOKUP($A8,$T$5:$AB$71,Y$3,0)</f>
        <v>69.971000000000004</v>
      </c>
      <c r="H8" s="60">
        <f t="shared" ref="H8:H66" si="18">VLOOKUP($A8,$T$5:$AB$71,Z$3,0)</f>
        <v>11.787000000000001</v>
      </c>
      <c r="I8" s="60">
        <f t="shared" ref="I8:I66" si="19">VLOOKUP($A8,$T$5:$AB$71,AA$3,0)</f>
        <v>2.39</v>
      </c>
      <c r="J8" s="60">
        <f t="shared" ref="J8:J66" si="20">VLOOKUP($A8,$T$5:$AB$71,AB$3,0)</f>
        <v>3.4159999999999999</v>
      </c>
      <c r="L8" s="78">
        <f t="shared" si="9"/>
        <v>8.8058142461615923</v>
      </c>
      <c r="M8" s="78">
        <f t="shared" si="10"/>
        <v>1.8825602668962549</v>
      </c>
      <c r="N8" s="89">
        <f t="shared" si="11"/>
        <v>6.4302625914765391E-2</v>
      </c>
      <c r="O8" s="78">
        <f t="shared" si="12"/>
        <v>0.66022099447513816</v>
      </c>
      <c r="P8" s="78">
        <f t="shared" si="13"/>
        <v>0.67413251887672854</v>
      </c>
      <c r="Q8" s="89">
        <f t="shared" si="14"/>
        <v>3.4157007903274215E-2</v>
      </c>
      <c r="T8" s="60" t="s">
        <v>2</v>
      </c>
      <c r="U8" s="60">
        <v>19.329000000000001</v>
      </c>
      <c r="V8" s="60">
        <v>37.167999999999999</v>
      </c>
      <c r="W8" s="60">
        <v>7.9459999999999997</v>
      </c>
      <c r="X8" s="60">
        <v>3.62</v>
      </c>
      <c r="Y8" s="60">
        <v>69.971000000000004</v>
      </c>
      <c r="Z8" s="60">
        <v>11.787000000000001</v>
      </c>
      <c r="AA8" s="60">
        <v>2.39</v>
      </c>
      <c r="AB8" s="186">
        <v>3.4159999999999999</v>
      </c>
    </row>
    <row r="9" spans="1:28" ht="12" thickBot="1" x14ac:dyDescent="0.25">
      <c r="A9" s="60" t="s">
        <v>165</v>
      </c>
      <c r="B9" s="60" t="s">
        <v>164</v>
      </c>
      <c r="C9" s="60">
        <f t="shared" si="7"/>
        <v>25.713999999999999</v>
      </c>
      <c r="D9" s="60">
        <f t="shared" si="8"/>
        <v>14.446999999999999</v>
      </c>
      <c r="E9" s="60">
        <f t="shared" si="15"/>
        <v>2.9550000000000001</v>
      </c>
      <c r="F9" s="60">
        <f t="shared" si="16"/>
        <v>1.88</v>
      </c>
      <c r="G9" s="60">
        <f t="shared" si="17"/>
        <v>48.341999999999999</v>
      </c>
      <c r="H9" s="60">
        <f t="shared" si="18"/>
        <v>3.0840000000000001</v>
      </c>
      <c r="I9" s="60">
        <f t="shared" si="19"/>
        <v>0.99</v>
      </c>
      <c r="J9" s="60">
        <f t="shared" si="20"/>
        <v>2.048</v>
      </c>
      <c r="L9" s="78">
        <f t="shared" si="9"/>
        <v>16.35939086294416</v>
      </c>
      <c r="M9" s="78">
        <f t="shared" si="10"/>
        <v>3.3461618329064859</v>
      </c>
      <c r="N9" s="89">
        <f t="shared" si="11"/>
        <v>6.8526337647954599E-2</v>
      </c>
      <c r="O9" s="78">
        <f t="shared" si="12"/>
        <v>0.52659574468085113</v>
      </c>
      <c r="P9" s="78">
        <f t="shared" si="13"/>
        <v>0.95817120622568097</v>
      </c>
      <c r="Q9" s="89">
        <f t="shared" si="14"/>
        <v>2.0479086508626041E-2</v>
      </c>
      <c r="T9" s="60" t="s">
        <v>165</v>
      </c>
      <c r="U9" s="60">
        <v>25.713999999999999</v>
      </c>
      <c r="V9" s="60">
        <v>14.446999999999999</v>
      </c>
      <c r="W9" s="60">
        <v>2.9550000000000001</v>
      </c>
      <c r="X9" s="60">
        <v>1.88</v>
      </c>
      <c r="Y9" s="60">
        <v>48.341999999999999</v>
      </c>
      <c r="Z9" s="60">
        <v>3.0840000000000001</v>
      </c>
      <c r="AA9" s="60">
        <v>0.99</v>
      </c>
      <c r="AB9" s="187">
        <v>2.048</v>
      </c>
    </row>
    <row r="10" spans="1:28" ht="12" thickBot="1" x14ac:dyDescent="0.25">
      <c r="A10" s="60" t="s">
        <v>167</v>
      </c>
      <c r="B10" s="60" t="s">
        <v>166</v>
      </c>
      <c r="C10" s="60">
        <f t="shared" si="7"/>
        <v>33.786999999999999</v>
      </c>
      <c r="D10" s="60">
        <f t="shared" si="8"/>
        <v>30.132999999999999</v>
      </c>
      <c r="E10" s="60">
        <f t="shared" si="15"/>
        <v>5.14</v>
      </c>
      <c r="F10" s="60">
        <f t="shared" si="16"/>
        <v>2.38</v>
      </c>
      <c r="G10" s="60">
        <f t="shared" si="17"/>
        <v>80.414000000000001</v>
      </c>
      <c r="H10" s="60">
        <f t="shared" si="18"/>
        <v>8.0359999999999996</v>
      </c>
      <c r="I10" s="60">
        <f t="shared" si="19"/>
        <v>1.62</v>
      </c>
      <c r="J10" s="60">
        <f t="shared" si="20"/>
        <v>2.0150000000000001</v>
      </c>
      <c r="L10" s="78">
        <f t="shared" si="9"/>
        <v>15.644747081712064</v>
      </c>
      <c r="M10" s="78">
        <f t="shared" si="10"/>
        <v>2.6686357149968476</v>
      </c>
      <c r="N10" s="89">
        <f t="shared" si="11"/>
        <v>5.3761656655493983E-2</v>
      </c>
      <c r="O10" s="78">
        <f t="shared" si="12"/>
        <v>0.68067226890756305</v>
      </c>
      <c r="P10" s="78">
        <f t="shared" si="13"/>
        <v>0.63962170233947235</v>
      </c>
      <c r="Q10" s="89">
        <f t="shared" si="14"/>
        <v>2.0145745765662696E-2</v>
      </c>
      <c r="T10" s="181" t="s">
        <v>167</v>
      </c>
      <c r="U10" s="182">
        <v>33.786999999999999</v>
      </c>
      <c r="V10" s="182">
        <v>30.132999999999999</v>
      </c>
      <c r="W10" s="182">
        <v>5.14</v>
      </c>
      <c r="X10" s="182">
        <v>2.38</v>
      </c>
      <c r="Y10" s="182">
        <v>80.414000000000001</v>
      </c>
      <c r="Z10" s="182">
        <v>8.0359999999999996</v>
      </c>
      <c r="AA10" s="182">
        <v>1.62</v>
      </c>
      <c r="AB10" s="185">
        <v>2.0150000000000001</v>
      </c>
    </row>
    <row r="11" spans="1:28" x14ac:dyDescent="0.2">
      <c r="A11" s="60" t="s">
        <v>3</v>
      </c>
      <c r="B11" s="60" t="s">
        <v>122</v>
      </c>
      <c r="C11" s="60">
        <f t="shared" si="7"/>
        <v>20.596</v>
      </c>
      <c r="D11" s="60">
        <f t="shared" si="8"/>
        <v>29.608000000000001</v>
      </c>
      <c r="E11" s="60">
        <f t="shared" si="15"/>
        <v>6.8040000000000003</v>
      </c>
      <c r="F11" s="60">
        <f t="shared" si="16"/>
        <v>2.77</v>
      </c>
      <c r="G11" s="60">
        <f t="shared" si="17"/>
        <v>57.05</v>
      </c>
      <c r="H11" s="60">
        <f t="shared" si="18"/>
        <v>9.0470000000000006</v>
      </c>
      <c r="I11" s="60">
        <f t="shared" si="19"/>
        <v>1.778</v>
      </c>
      <c r="J11" s="60">
        <f t="shared" si="20"/>
        <v>3.117</v>
      </c>
      <c r="L11" s="78">
        <f t="shared" si="9"/>
        <v>8.3847736625514404</v>
      </c>
      <c r="M11" s="78">
        <f t="shared" si="10"/>
        <v>1.9268440961902187</v>
      </c>
      <c r="N11" s="89">
        <f t="shared" si="11"/>
        <v>6.0051337476357741E-2</v>
      </c>
      <c r="O11" s="78">
        <f t="shared" si="12"/>
        <v>0.64187725631768955</v>
      </c>
      <c r="P11" s="78">
        <f t="shared" si="13"/>
        <v>0.75207251022438371</v>
      </c>
      <c r="Q11" s="89">
        <f t="shared" si="14"/>
        <v>3.1165644171779142E-2</v>
      </c>
      <c r="T11" s="60" t="s">
        <v>3</v>
      </c>
      <c r="U11" s="60">
        <v>20.596</v>
      </c>
      <c r="V11" s="60">
        <v>29.608000000000001</v>
      </c>
      <c r="W11" s="60">
        <v>6.8040000000000003</v>
      </c>
      <c r="X11" s="60">
        <v>2.77</v>
      </c>
      <c r="Y11" s="60">
        <v>57.05</v>
      </c>
      <c r="Z11" s="60">
        <v>9.0470000000000006</v>
      </c>
      <c r="AA11" s="60">
        <v>1.778</v>
      </c>
      <c r="AB11" s="186">
        <v>3.117</v>
      </c>
    </row>
    <row r="12" spans="1:28" x14ac:dyDescent="0.2">
      <c r="A12" s="60" t="s">
        <v>169</v>
      </c>
      <c r="B12" s="60" t="s">
        <v>168</v>
      </c>
      <c r="C12" s="60">
        <f t="shared" si="7"/>
        <v>36.398000000000003</v>
      </c>
      <c r="D12" s="60">
        <f t="shared" si="8"/>
        <v>8.0459999999999994</v>
      </c>
      <c r="E12" s="60">
        <f t="shared" si="15"/>
        <v>3.7930000000000001</v>
      </c>
      <c r="F12" s="60">
        <f t="shared" si="16"/>
        <v>1.25</v>
      </c>
      <c r="G12" s="60">
        <f t="shared" si="17"/>
        <v>45.497</v>
      </c>
      <c r="H12" s="60">
        <f t="shared" si="18"/>
        <v>1.056</v>
      </c>
      <c r="I12" s="60">
        <f t="shared" si="19"/>
        <v>3.78</v>
      </c>
      <c r="J12" s="60">
        <f t="shared" si="20"/>
        <v>8.3079999999999998</v>
      </c>
      <c r="L12" s="78">
        <f t="shared" si="9"/>
        <v>11.994990772475612</v>
      </c>
      <c r="M12" s="78">
        <f t="shared" si="10"/>
        <v>5.6546109868257526</v>
      </c>
      <c r="N12" s="89">
        <f t="shared" si="11"/>
        <v>0.46979865771812079</v>
      </c>
      <c r="O12" s="78">
        <f t="shared" si="12"/>
        <v>3.024</v>
      </c>
      <c r="P12" s="78">
        <f t="shared" si="13"/>
        <v>3.5918560606060606</v>
      </c>
      <c r="Q12" s="89">
        <f t="shared" si="14"/>
        <v>8.3082401037431031E-2</v>
      </c>
      <c r="T12" s="60" t="s">
        <v>169</v>
      </c>
      <c r="U12" s="60">
        <v>36.398000000000003</v>
      </c>
      <c r="V12" s="60">
        <v>8.0459999999999994</v>
      </c>
      <c r="W12" s="60">
        <v>3.7930000000000001</v>
      </c>
      <c r="X12" s="60">
        <v>1.25</v>
      </c>
      <c r="Y12" s="60">
        <v>45.497</v>
      </c>
      <c r="Z12" s="60">
        <v>1.056</v>
      </c>
      <c r="AA12" s="60">
        <v>3.78</v>
      </c>
      <c r="AB12" s="188">
        <v>8.3079999999999998</v>
      </c>
    </row>
    <row r="13" spans="1:28" x14ac:dyDescent="0.2">
      <c r="A13" s="60" t="s">
        <v>171</v>
      </c>
      <c r="B13" s="60" t="s">
        <v>170</v>
      </c>
      <c r="C13" s="60">
        <f t="shared" si="7"/>
        <v>24.664000000000001</v>
      </c>
      <c r="D13" s="60">
        <f t="shared" si="8"/>
        <v>11.016</v>
      </c>
      <c r="E13" s="60">
        <f t="shared" si="15"/>
        <v>2.1179999999999999</v>
      </c>
      <c r="F13" s="60">
        <f t="shared" si="16"/>
        <v>1.35</v>
      </c>
      <c r="G13" s="60">
        <f t="shared" si="17"/>
        <v>33.295999999999999</v>
      </c>
      <c r="H13" s="60">
        <f t="shared" si="18"/>
        <v>2.69</v>
      </c>
      <c r="I13" s="60">
        <f t="shared" si="19"/>
        <v>0.79</v>
      </c>
      <c r="J13" s="60">
        <f t="shared" si="20"/>
        <v>2.3730000000000002</v>
      </c>
      <c r="L13" s="78">
        <f t="shared" si="9"/>
        <v>15.7204910292729</v>
      </c>
      <c r="M13" s="78">
        <f t="shared" si="10"/>
        <v>3.0225127087872186</v>
      </c>
      <c r="N13" s="89">
        <f t="shared" si="11"/>
        <v>7.1713870733478582E-2</v>
      </c>
      <c r="O13" s="78">
        <f t="shared" si="12"/>
        <v>0.58518518518518514</v>
      </c>
      <c r="P13" s="78">
        <f t="shared" si="13"/>
        <v>0.78736059479553899</v>
      </c>
      <c r="Q13" s="89">
        <f t="shared" si="14"/>
        <v>2.3726573762614129E-2</v>
      </c>
      <c r="T13" s="60" t="s">
        <v>171</v>
      </c>
      <c r="U13" s="60">
        <v>24.664000000000001</v>
      </c>
      <c r="V13" s="60">
        <v>11.016</v>
      </c>
      <c r="W13" s="60">
        <v>2.1179999999999999</v>
      </c>
      <c r="X13" s="60">
        <v>1.35</v>
      </c>
      <c r="Y13" s="60">
        <v>33.295999999999999</v>
      </c>
      <c r="Z13" s="60">
        <v>2.69</v>
      </c>
      <c r="AA13" s="60">
        <v>0.79</v>
      </c>
      <c r="AB13" s="188">
        <v>2.3730000000000002</v>
      </c>
    </row>
    <row r="14" spans="1:28" x14ac:dyDescent="0.2">
      <c r="A14" s="60" t="s">
        <v>173</v>
      </c>
      <c r="B14" s="60" t="s">
        <v>172</v>
      </c>
      <c r="C14" s="60">
        <f t="shared" si="7"/>
        <v>24.204999999999998</v>
      </c>
      <c r="D14" s="60">
        <f t="shared" si="8"/>
        <v>15.914</v>
      </c>
      <c r="E14" s="60">
        <f t="shared" si="15"/>
        <v>2.5539999999999998</v>
      </c>
      <c r="F14" s="60">
        <f t="shared" si="16"/>
        <v>1.51</v>
      </c>
      <c r="G14" s="60">
        <f t="shared" si="17"/>
        <v>36.549999999999997</v>
      </c>
      <c r="H14" s="60">
        <f t="shared" si="18"/>
        <v>4.4589999999999996</v>
      </c>
      <c r="I14" s="60">
        <f t="shared" si="19"/>
        <v>0.92700000000000005</v>
      </c>
      <c r="J14" s="60">
        <f t="shared" si="20"/>
        <v>2.536</v>
      </c>
      <c r="L14" s="78">
        <f t="shared" si="9"/>
        <v>14.310884886452623</v>
      </c>
      <c r="M14" s="78">
        <f t="shared" si="10"/>
        <v>2.296719869297474</v>
      </c>
      <c r="N14" s="89">
        <f t="shared" si="11"/>
        <v>5.8250596958652763E-2</v>
      </c>
      <c r="O14" s="78">
        <f t="shared" si="12"/>
        <v>0.61390728476821199</v>
      </c>
      <c r="P14" s="78">
        <f t="shared" si="13"/>
        <v>0.57277416461089936</v>
      </c>
      <c r="Q14" s="89">
        <f t="shared" si="14"/>
        <v>2.5362517099863206E-2</v>
      </c>
      <c r="T14" s="60" t="s">
        <v>173</v>
      </c>
      <c r="U14" s="60">
        <v>24.204999999999998</v>
      </c>
      <c r="V14" s="60">
        <v>15.914</v>
      </c>
      <c r="W14" s="60">
        <v>2.5539999999999998</v>
      </c>
      <c r="X14" s="60">
        <v>1.51</v>
      </c>
      <c r="Y14" s="60">
        <v>36.549999999999997</v>
      </c>
      <c r="Z14" s="60">
        <v>4.4589999999999996</v>
      </c>
      <c r="AA14" s="60">
        <v>0.92700000000000005</v>
      </c>
      <c r="AB14" s="188">
        <v>2.536</v>
      </c>
    </row>
    <row r="15" spans="1:28" x14ac:dyDescent="0.2">
      <c r="A15" s="60" t="s">
        <v>175</v>
      </c>
      <c r="B15" s="60" t="s">
        <v>174</v>
      </c>
      <c r="C15" s="60">
        <f t="shared" si="7"/>
        <v>22.035</v>
      </c>
      <c r="D15" s="60">
        <f t="shared" si="8"/>
        <v>36.744</v>
      </c>
      <c r="E15" s="60">
        <f t="shared" si="15"/>
        <v>6.6180000000000003</v>
      </c>
      <c r="F15" s="60">
        <f t="shared" si="16"/>
        <v>3.6</v>
      </c>
      <c r="G15" s="60">
        <f t="shared" si="17"/>
        <v>79.325000000000003</v>
      </c>
      <c r="H15" s="60">
        <f t="shared" si="18"/>
        <v>10.717000000000001</v>
      </c>
      <c r="I15" s="60">
        <f t="shared" si="19"/>
        <v>1.8</v>
      </c>
      <c r="J15" s="60">
        <f t="shared" si="20"/>
        <v>2.2690000000000001</v>
      </c>
      <c r="L15" s="78">
        <f t="shared" si="9"/>
        <v>11.986249622242369</v>
      </c>
      <c r="M15" s="78">
        <f t="shared" si="10"/>
        <v>2.1588558676246463</v>
      </c>
      <c r="N15" s="89">
        <f t="shared" si="11"/>
        <v>4.8987589810581322E-2</v>
      </c>
      <c r="O15" s="78">
        <f t="shared" si="12"/>
        <v>0.5</v>
      </c>
      <c r="P15" s="78">
        <f t="shared" si="13"/>
        <v>0.61752356069795655</v>
      </c>
      <c r="Q15" s="89">
        <f t="shared" si="14"/>
        <v>2.269145918688938E-2</v>
      </c>
      <c r="T15" s="60" t="s">
        <v>175</v>
      </c>
      <c r="U15" s="60">
        <v>22.035</v>
      </c>
      <c r="V15" s="60">
        <v>36.744</v>
      </c>
      <c r="W15" s="60">
        <v>6.6180000000000003</v>
      </c>
      <c r="X15" s="60">
        <v>3.6</v>
      </c>
      <c r="Y15" s="60">
        <v>79.325000000000003</v>
      </c>
      <c r="Z15" s="60">
        <v>10.717000000000001</v>
      </c>
      <c r="AA15" s="60">
        <v>1.8</v>
      </c>
      <c r="AB15" s="188">
        <v>2.2690000000000001</v>
      </c>
    </row>
    <row r="16" spans="1:28" x14ac:dyDescent="0.2">
      <c r="A16" s="60" t="s">
        <v>260</v>
      </c>
      <c r="B16" s="60" t="s">
        <v>263</v>
      </c>
      <c r="C16" s="60">
        <f t="shared" si="7"/>
        <v>27.265999999999998</v>
      </c>
      <c r="D16" s="60">
        <f t="shared" si="8"/>
        <v>48.792000000000002</v>
      </c>
      <c r="E16" s="60">
        <f t="shared" si="15"/>
        <v>4.4889999999999999</v>
      </c>
      <c r="F16" s="60">
        <f t="shared" si="16"/>
        <v>1.67</v>
      </c>
      <c r="G16" s="60">
        <f t="shared" si="17"/>
        <v>45.533999999999999</v>
      </c>
      <c r="H16" s="60">
        <f t="shared" si="18"/>
        <v>7.819</v>
      </c>
      <c r="I16" s="60">
        <f t="shared" si="19"/>
        <v>1.728</v>
      </c>
      <c r="J16" s="60">
        <f t="shared" si="20"/>
        <v>3.7949999999999999</v>
      </c>
      <c r="L16" s="78">
        <f t="shared" si="9"/>
        <v>10.143461795500112</v>
      </c>
      <c r="M16" s="78">
        <f t="shared" si="10"/>
        <v>0.93322675848499748</v>
      </c>
      <c r="N16" s="89">
        <f t="shared" si="11"/>
        <v>3.5415641908509592E-2</v>
      </c>
      <c r="O16" s="78">
        <f t="shared" si="12"/>
        <v>1.0347305389221557</v>
      </c>
      <c r="P16" s="78">
        <f t="shared" si="13"/>
        <v>0.57411433687172275</v>
      </c>
      <c r="Q16" s="89">
        <f t="shared" si="14"/>
        <v>3.7949663987350113E-2</v>
      </c>
      <c r="T16" s="60" t="s">
        <v>260</v>
      </c>
      <c r="U16" s="60">
        <v>27.265999999999998</v>
      </c>
      <c r="V16" s="60">
        <v>48.792000000000002</v>
      </c>
      <c r="W16" s="60">
        <v>4.4889999999999999</v>
      </c>
      <c r="X16" s="60">
        <v>1.67</v>
      </c>
      <c r="Y16" s="60">
        <v>45.533999999999999</v>
      </c>
      <c r="Z16" s="60">
        <v>7.819</v>
      </c>
      <c r="AA16" s="60">
        <v>1.728</v>
      </c>
      <c r="AB16" s="188">
        <v>3.7949999999999999</v>
      </c>
    </row>
    <row r="17" spans="1:28" x14ac:dyDescent="0.2">
      <c r="A17" s="60" t="s">
        <v>4</v>
      </c>
      <c r="B17" s="60" t="s">
        <v>123</v>
      </c>
      <c r="C17" s="60">
        <f t="shared" si="7"/>
        <v>23.373000000000001</v>
      </c>
      <c r="D17" s="60">
        <f t="shared" si="8"/>
        <v>26.411999999999999</v>
      </c>
      <c r="E17" s="60">
        <f t="shared" si="15"/>
        <v>4.8739999999999997</v>
      </c>
      <c r="F17" s="60">
        <f t="shared" si="16"/>
        <v>1.95</v>
      </c>
      <c r="G17" s="60">
        <f t="shared" si="17"/>
        <v>45.578000000000003</v>
      </c>
      <c r="H17" s="60">
        <f t="shared" si="18"/>
        <v>6.2960000000000003</v>
      </c>
      <c r="I17" s="60">
        <f t="shared" si="19"/>
        <v>1.43</v>
      </c>
      <c r="J17" s="60">
        <f t="shared" si="20"/>
        <v>3.137</v>
      </c>
      <c r="L17" s="78">
        <f t="shared" si="9"/>
        <v>9.351251538777186</v>
      </c>
      <c r="M17" s="78">
        <f t="shared" si="10"/>
        <v>1.7256550053006212</v>
      </c>
      <c r="N17" s="89">
        <f t="shared" si="11"/>
        <v>5.4142056640920797E-2</v>
      </c>
      <c r="O17" s="78">
        <f t="shared" si="12"/>
        <v>0.73333333333333328</v>
      </c>
      <c r="P17" s="78">
        <f t="shared" si="13"/>
        <v>0.77414231257941546</v>
      </c>
      <c r="Q17" s="89">
        <f t="shared" si="14"/>
        <v>3.137478608100399E-2</v>
      </c>
      <c r="T17" s="60" t="s">
        <v>4</v>
      </c>
      <c r="U17" s="60">
        <v>23.373000000000001</v>
      </c>
      <c r="V17" s="60">
        <v>26.411999999999999</v>
      </c>
      <c r="W17" s="60">
        <v>4.8739999999999997</v>
      </c>
      <c r="X17" s="60">
        <v>1.95</v>
      </c>
      <c r="Y17" s="60">
        <v>45.578000000000003</v>
      </c>
      <c r="Z17" s="60">
        <v>6.2960000000000003</v>
      </c>
      <c r="AA17" s="60">
        <v>1.43</v>
      </c>
      <c r="AB17" s="188">
        <v>3.137</v>
      </c>
    </row>
    <row r="18" spans="1:28" x14ac:dyDescent="0.2">
      <c r="A18" s="60" t="s">
        <v>5</v>
      </c>
      <c r="B18" s="60" t="s">
        <v>124</v>
      </c>
      <c r="C18" s="60">
        <f t="shared" si="7"/>
        <v>19.478000000000002</v>
      </c>
      <c r="D18" s="60">
        <f t="shared" si="8"/>
        <v>31.919</v>
      </c>
      <c r="E18" s="60">
        <f t="shared" si="15"/>
        <v>7.1539999999999999</v>
      </c>
      <c r="F18" s="60">
        <f t="shared" si="16"/>
        <v>3.38</v>
      </c>
      <c r="G18" s="60">
        <f t="shared" si="17"/>
        <v>65.835999999999999</v>
      </c>
      <c r="H18" s="60">
        <f t="shared" si="18"/>
        <v>6.0890000000000004</v>
      </c>
      <c r="I18" s="60">
        <f t="shared" si="19"/>
        <v>1.81</v>
      </c>
      <c r="J18" s="60">
        <f t="shared" si="20"/>
        <v>2.7490000000000001</v>
      </c>
      <c r="L18" s="78">
        <f t="shared" si="9"/>
        <v>9.202683813251328</v>
      </c>
      <c r="M18" s="78">
        <f t="shared" si="10"/>
        <v>2.0625959459882828</v>
      </c>
      <c r="N18" s="89">
        <f t="shared" si="11"/>
        <v>5.6706037156552522E-2</v>
      </c>
      <c r="O18" s="78">
        <f t="shared" si="12"/>
        <v>0.53550295857988173</v>
      </c>
      <c r="P18" s="78">
        <f t="shared" si="13"/>
        <v>1.1749055674166529</v>
      </c>
      <c r="Q18" s="89">
        <f t="shared" si="14"/>
        <v>2.7492557263503251E-2</v>
      </c>
      <c r="T18" s="60" t="s">
        <v>5</v>
      </c>
      <c r="U18" s="60">
        <v>19.478000000000002</v>
      </c>
      <c r="V18" s="60">
        <v>31.919</v>
      </c>
      <c r="W18" s="60">
        <v>7.1539999999999999</v>
      </c>
      <c r="X18" s="60">
        <v>3.38</v>
      </c>
      <c r="Y18" s="60">
        <v>65.835999999999999</v>
      </c>
      <c r="Z18" s="60">
        <v>6.0890000000000004</v>
      </c>
      <c r="AA18" s="60">
        <v>1.81</v>
      </c>
      <c r="AB18" s="188">
        <v>2.7490000000000001</v>
      </c>
    </row>
    <row r="19" spans="1:28" x14ac:dyDescent="0.2">
      <c r="A19" s="60" t="s">
        <v>177</v>
      </c>
      <c r="B19" s="60" t="s">
        <v>176</v>
      </c>
      <c r="C19" s="60">
        <f t="shared" si="7"/>
        <v>26.896000000000001</v>
      </c>
      <c r="D19" s="60">
        <f t="shared" si="8"/>
        <v>14.444000000000001</v>
      </c>
      <c r="E19" s="60">
        <f t="shared" si="15"/>
        <v>2.9990000000000001</v>
      </c>
      <c r="F19" s="60">
        <f t="shared" si="16"/>
        <v>1.4</v>
      </c>
      <c r="G19" s="60">
        <f t="shared" si="17"/>
        <v>37.654000000000003</v>
      </c>
      <c r="H19" s="60">
        <f t="shared" si="18"/>
        <v>5.399</v>
      </c>
      <c r="I19" s="60">
        <f t="shared" si="19"/>
        <v>0.72</v>
      </c>
      <c r="J19" s="60">
        <f t="shared" si="20"/>
        <v>1.9119999999999999</v>
      </c>
      <c r="L19" s="78">
        <f t="shared" si="9"/>
        <v>12.555518506168724</v>
      </c>
      <c r="M19" s="78">
        <f t="shared" si="10"/>
        <v>2.6068955967875937</v>
      </c>
      <c r="N19" s="89">
        <f t="shared" si="11"/>
        <v>4.9847687621157571E-2</v>
      </c>
      <c r="O19" s="78">
        <f t="shared" si="12"/>
        <v>0.51428571428571435</v>
      </c>
      <c r="P19" s="78">
        <f t="shared" si="13"/>
        <v>0.55547323578440455</v>
      </c>
      <c r="Q19" s="89">
        <f t="shared" si="14"/>
        <v>1.9121474478143091E-2</v>
      </c>
      <c r="T19" s="60" t="s">
        <v>177</v>
      </c>
      <c r="U19" s="60">
        <v>26.896000000000001</v>
      </c>
      <c r="V19" s="60">
        <v>14.444000000000001</v>
      </c>
      <c r="W19" s="60">
        <v>2.9990000000000001</v>
      </c>
      <c r="X19" s="60">
        <v>1.4</v>
      </c>
      <c r="Y19" s="60">
        <v>37.654000000000003</v>
      </c>
      <c r="Z19" s="60">
        <v>5.399</v>
      </c>
      <c r="AA19" s="60">
        <v>0.72</v>
      </c>
      <c r="AB19" s="188">
        <v>1.9119999999999999</v>
      </c>
    </row>
    <row r="20" spans="1:28" x14ac:dyDescent="0.2">
      <c r="A20" s="60" t="s">
        <v>6</v>
      </c>
      <c r="B20" s="60" t="s">
        <v>125</v>
      </c>
      <c r="C20" s="60">
        <f t="shared" si="7"/>
        <v>17.908000000000001</v>
      </c>
      <c r="D20" s="60">
        <f t="shared" si="8"/>
        <v>10.875999999999999</v>
      </c>
      <c r="E20" s="60">
        <f t="shared" si="15"/>
        <v>4.0339999999999998</v>
      </c>
      <c r="F20" s="60">
        <f t="shared" si="16"/>
        <v>1.57</v>
      </c>
      <c r="G20" s="60">
        <f t="shared" si="17"/>
        <v>28.114999999999998</v>
      </c>
      <c r="H20" s="60">
        <f t="shared" si="18"/>
        <v>3.3079999999999998</v>
      </c>
      <c r="I20" s="60">
        <f t="shared" si="19"/>
        <v>1.3480000000000001</v>
      </c>
      <c r="J20" s="60">
        <f t="shared" si="20"/>
        <v>4.7949999999999999</v>
      </c>
      <c r="L20" s="78">
        <f t="shared" si="9"/>
        <v>6.9695091720376796</v>
      </c>
      <c r="M20" s="78">
        <f t="shared" si="10"/>
        <v>2.5850496506068406</v>
      </c>
      <c r="N20" s="89">
        <f t="shared" si="11"/>
        <v>0.12394262596542847</v>
      </c>
      <c r="O20" s="78">
        <f t="shared" si="12"/>
        <v>0.85859872611464971</v>
      </c>
      <c r="P20" s="78">
        <f t="shared" si="13"/>
        <v>1.2194679564691657</v>
      </c>
      <c r="Q20" s="89">
        <f t="shared" si="14"/>
        <v>4.7945936332918375E-2</v>
      </c>
      <c r="T20" s="60" t="s">
        <v>6</v>
      </c>
      <c r="U20" s="60">
        <v>17.908000000000001</v>
      </c>
      <c r="V20" s="60">
        <v>10.875999999999999</v>
      </c>
      <c r="W20" s="60">
        <v>4.0339999999999998</v>
      </c>
      <c r="X20" s="60">
        <v>1.57</v>
      </c>
      <c r="Y20" s="60">
        <v>28.114999999999998</v>
      </c>
      <c r="Z20" s="60">
        <v>3.3079999999999998</v>
      </c>
      <c r="AA20" s="60">
        <v>1.3480000000000001</v>
      </c>
      <c r="AB20" s="188">
        <v>4.7949999999999999</v>
      </c>
    </row>
    <row r="21" spans="1:28" x14ac:dyDescent="0.2">
      <c r="A21" s="60" t="s">
        <v>178</v>
      </c>
      <c r="B21" s="60" t="s">
        <v>215</v>
      </c>
      <c r="C21" s="60">
        <f t="shared" si="7"/>
        <v>27.843</v>
      </c>
      <c r="D21" s="60">
        <f t="shared" si="8"/>
        <v>29.753</v>
      </c>
      <c r="E21" s="60">
        <f t="shared" si="15"/>
        <v>5.4169999999999998</v>
      </c>
      <c r="F21" s="60">
        <f t="shared" si="16"/>
        <v>2.68</v>
      </c>
      <c r="G21" s="60">
        <f t="shared" si="17"/>
        <v>74.62</v>
      </c>
      <c r="H21" s="60">
        <f t="shared" si="18"/>
        <v>10.727</v>
      </c>
      <c r="I21" s="60">
        <f t="shared" si="19"/>
        <v>1.26</v>
      </c>
      <c r="J21" s="60">
        <f t="shared" si="20"/>
        <v>1.6890000000000001</v>
      </c>
      <c r="L21" s="78">
        <f t="shared" si="9"/>
        <v>13.775152298320105</v>
      </c>
      <c r="M21" s="78">
        <f t="shared" si="10"/>
        <v>2.5079823883305887</v>
      </c>
      <c r="N21" s="89">
        <f t="shared" si="11"/>
        <v>4.2348670722280109E-2</v>
      </c>
      <c r="O21" s="78">
        <f t="shared" si="12"/>
        <v>0.47014925373134325</v>
      </c>
      <c r="P21" s="78">
        <f t="shared" si="13"/>
        <v>0.50498741493427801</v>
      </c>
      <c r="Q21" s="89">
        <f t="shared" si="14"/>
        <v>1.6885553470919322E-2</v>
      </c>
      <c r="T21" s="189" t="s">
        <v>178</v>
      </c>
      <c r="U21" s="190">
        <v>27.843</v>
      </c>
      <c r="V21" s="190">
        <v>29.753</v>
      </c>
      <c r="W21" s="189">
        <v>5.4169999999999998</v>
      </c>
      <c r="X21" s="189">
        <v>2.68</v>
      </c>
      <c r="Y21" s="189">
        <v>74.62</v>
      </c>
      <c r="Z21" s="189">
        <v>10.727</v>
      </c>
      <c r="AA21" s="189">
        <v>1.26</v>
      </c>
      <c r="AB21" s="188">
        <v>1.6890000000000001</v>
      </c>
    </row>
    <row r="22" spans="1:28" ht="12" thickBot="1" x14ac:dyDescent="0.25">
      <c r="A22" s="60" t="s">
        <v>9</v>
      </c>
      <c r="B22" s="60" t="s">
        <v>126</v>
      </c>
      <c r="C22" s="60">
        <f t="shared" si="7"/>
        <v>21.315999999999999</v>
      </c>
      <c r="D22" s="60">
        <f t="shared" si="8"/>
        <v>15.768000000000001</v>
      </c>
      <c r="E22" s="60">
        <f t="shared" si="15"/>
        <v>5.2869999999999999</v>
      </c>
      <c r="F22" s="60">
        <f t="shared" si="16"/>
        <v>2.17</v>
      </c>
      <c r="G22" s="60">
        <f t="shared" si="17"/>
        <v>46.255000000000003</v>
      </c>
      <c r="H22" s="60">
        <f t="shared" si="18"/>
        <v>5.9119999999999999</v>
      </c>
      <c r="I22" s="60">
        <f t="shared" si="19"/>
        <v>1.33</v>
      </c>
      <c r="J22" s="60">
        <f t="shared" si="20"/>
        <v>2.875</v>
      </c>
      <c r="L22" s="78">
        <f t="shared" si="9"/>
        <v>8.7488178551163234</v>
      </c>
      <c r="M22" s="78">
        <f t="shared" si="10"/>
        <v>2.9334728564180619</v>
      </c>
      <c r="N22" s="89">
        <f t="shared" si="11"/>
        <v>8.4348046676813795E-2</v>
      </c>
      <c r="O22" s="78">
        <f t="shared" si="12"/>
        <v>0.61290322580645162</v>
      </c>
      <c r="P22" s="78">
        <f t="shared" si="13"/>
        <v>0.89428281461434367</v>
      </c>
      <c r="Q22" s="89">
        <f t="shared" si="14"/>
        <v>2.8753648254242783E-2</v>
      </c>
      <c r="T22" s="60" t="s">
        <v>9</v>
      </c>
      <c r="U22" s="60">
        <v>21.315999999999999</v>
      </c>
      <c r="V22" s="60">
        <v>15.768000000000001</v>
      </c>
      <c r="W22" s="60">
        <v>5.2869999999999999</v>
      </c>
      <c r="X22" s="60">
        <v>2.17</v>
      </c>
      <c r="Y22" s="60">
        <v>46.255000000000003</v>
      </c>
      <c r="Z22" s="60">
        <v>5.9119999999999999</v>
      </c>
      <c r="AA22" s="60">
        <v>1.33</v>
      </c>
      <c r="AB22" s="187">
        <v>2.875</v>
      </c>
    </row>
    <row r="23" spans="1:28" ht="12" thickBot="1" x14ac:dyDescent="0.25">
      <c r="A23" s="60" t="s">
        <v>180</v>
      </c>
      <c r="B23" s="60" t="s">
        <v>179</v>
      </c>
      <c r="C23" s="60">
        <f t="shared" si="7"/>
        <v>26.527999999999999</v>
      </c>
      <c r="D23" s="60">
        <f t="shared" si="8"/>
        <v>24.337</v>
      </c>
      <c r="E23" s="60">
        <f t="shared" si="15"/>
        <v>3.3919999999999999</v>
      </c>
      <c r="F23" s="60">
        <f t="shared" si="16"/>
        <v>2.13</v>
      </c>
      <c r="G23" s="60">
        <f t="shared" si="17"/>
        <v>56.503999999999998</v>
      </c>
      <c r="H23" s="60">
        <f t="shared" si="18"/>
        <v>4.3949999999999996</v>
      </c>
      <c r="I23" s="60">
        <f t="shared" si="19"/>
        <v>1.18</v>
      </c>
      <c r="J23" s="60">
        <f t="shared" si="20"/>
        <v>2.0880000000000001</v>
      </c>
      <c r="L23" s="78">
        <f t="shared" si="9"/>
        <v>16.658018867924529</v>
      </c>
      <c r="M23" s="78">
        <f t="shared" si="10"/>
        <v>2.3217323417019351</v>
      </c>
      <c r="N23" s="89">
        <f t="shared" si="11"/>
        <v>4.8485844598759091E-2</v>
      </c>
      <c r="O23" s="78">
        <f t="shared" si="12"/>
        <v>0.5539906103286385</v>
      </c>
      <c r="P23" s="78">
        <f t="shared" si="13"/>
        <v>0.77178612059158136</v>
      </c>
      <c r="Q23" s="89">
        <f t="shared" si="14"/>
        <v>2.0883477275945066E-2</v>
      </c>
      <c r="T23" s="181" t="s">
        <v>180</v>
      </c>
      <c r="U23" s="182">
        <v>26.527999999999999</v>
      </c>
      <c r="V23" s="182">
        <v>24.337</v>
      </c>
      <c r="W23" s="183">
        <v>3.3919999999999999</v>
      </c>
      <c r="X23" s="182">
        <v>2.13</v>
      </c>
      <c r="Y23" s="182">
        <v>56.503999999999998</v>
      </c>
      <c r="Z23" s="183">
        <v>4.3949999999999996</v>
      </c>
      <c r="AA23" s="182">
        <v>1.18</v>
      </c>
      <c r="AB23" s="185">
        <v>2.0880000000000001</v>
      </c>
    </row>
    <row r="24" spans="1:28" ht="12" thickBot="1" x14ac:dyDescent="0.25">
      <c r="A24" s="60" t="s">
        <v>10</v>
      </c>
      <c r="B24" s="60" t="s">
        <v>127</v>
      </c>
      <c r="C24" s="60">
        <f t="shared" si="7"/>
        <v>19.774000000000001</v>
      </c>
      <c r="D24" s="60">
        <f t="shared" si="8"/>
        <v>49.734999999999999</v>
      </c>
      <c r="E24" s="60">
        <f t="shared" si="15"/>
        <v>8.41</v>
      </c>
      <c r="F24" s="60">
        <f t="shared" si="16"/>
        <v>4.0999999999999996</v>
      </c>
      <c r="G24" s="60">
        <f t="shared" si="17"/>
        <v>81.073999999999998</v>
      </c>
      <c r="H24" s="60">
        <f t="shared" si="18"/>
        <v>11.106</v>
      </c>
      <c r="I24" s="60">
        <f t="shared" si="19"/>
        <v>2.76</v>
      </c>
      <c r="J24" s="60">
        <f t="shared" si="20"/>
        <v>3.4039999999999999</v>
      </c>
      <c r="L24" s="78">
        <f t="shared" si="9"/>
        <v>9.6401902497027336</v>
      </c>
      <c r="M24" s="78">
        <f t="shared" si="10"/>
        <v>1.6301196340605209</v>
      </c>
      <c r="N24" s="89">
        <f t="shared" si="11"/>
        <v>5.5494118829797927E-2</v>
      </c>
      <c r="O24" s="78">
        <f t="shared" si="12"/>
        <v>0.67317073170731712</v>
      </c>
      <c r="P24" s="78">
        <f t="shared" si="13"/>
        <v>0.7572483342337476</v>
      </c>
      <c r="Q24" s="89">
        <f t="shared" si="14"/>
        <v>3.4042973086316201E-2</v>
      </c>
      <c r="T24" s="60" t="s">
        <v>10</v>
      </c>
      <c r="U24" s="60">
        <v>19.774000000000001</v>
      </c>
      <c r="V24" s="60">
        <v>49.734999999999999</v>
      </c>
      <c r="W24" s="60">
        <v>8.41</v>
      </c>
      <c r="X24" s="60">
        <v>4.0999999999999996</v>
      </c>
      <c r="Y24" s="60">
        <v>81.073999999999998</v>
      </c>
      <c r="Z24" s="60">
        <v>11.106</v>
      </c>
      <c r="AA24" s="60">
        <v>2.76</v>
      </c>
      <c r="AB24" s="191">
        <v>3.4039999999999999</v>
      </c>
    </row>
    <row r="25" spans="1:28" ht="12" thickBot="1" x14ac:dyDescent="0.25">
      <c r="A25" s="60" t="s">
        <v>182</v>
      </c>
      <c r="B25" s="60" t="s">
        <v>181</v>
      </c>
      <c r="C25" s="60">
        <f t="shared" si="7"/>
        <v>29.004999999999999</v>
      </c>
      <c r="D25" s="60">
        <f t="shared" si="8"/>
        <v>9.9139999999999997</v>
      </c>
      <c r="E25" s="60">
        <f t="shared" si="15"/>
        <v>1.117</v>
      </c>
      <c r="F25" s="60">
        <f t="shared" si="16"/>
        <v>0.41</v>
      </c>
      <c r="G25" s="60">
        <f t="shared" si="17"/>
        <v>11.891999999999999</v>
      </c>
      <c r="H25" s="60">
        <f t="shared" si="18"/>
        <v>0.307</v>
      </c>
      <c r="I25" s="60">
        <f t="shared" si="19"/>
        <v>0.31</v>
      </c>
      <c r="J25" s="60">
        <f t="shared" si="20"/>
        <v>2.6070000000000002</v>
      </c>
      <c r="L25" s="78">
        <f t="shared" si="9"/>
        <v>10.646374216651745</v>
      </c>
      <c r="M25" s="78">
        <f t="shared" si="10"/>
        <v>1.1995158361912446</v>
      </c>
      <c r="N25" s="89">
        <f t="shared" si="11"/>
        <v>3.1268912648779505E-2</v>
      </c>
      <c r="O25" s="78">
        <f t="shared" si="12"/>
        <v>0.75609756097560976</v>
      </c>
      <c r="P25" s="78">
        <f t="shared" si="13"/>
        <v>3.6384364820846904</v>
      </c>
      <c r="Q25" s="89">
        <f t="shared" si="14"/>
        <v>2.6067944836865121E-2</v>
      </c>
      <c r="T25" s="181" t="s">
        <v>182</v>
      </c>
      <c r="U25" s="182">
        <v>29.004999999999999</v>
      </c>
      <c r="V25" s="182">
        <v>9.9139999999999997</v>
      </c>
      <c r="W25" s="183">
        <v>1.117</v>
      </c>
      <c r="X25" s="182">
        <v>0.41</v>
      </c>
      <c r="Y25" s="182">
        <v>11.891999999999999</v>
      </c>
      <c r="Z25" s="182">
        <v>0.307</v>
      </c>
      <c r="AA25" s="182">
        <v>0.31</v>
      </c>
      <c r="AB25" s="185">
        <v>2.6070000000000002</v>
      </c>
    </row>
    <row r="26" spans="1:28" x14ac:dyDescent="0.2">
      <c r="A26" s="60" t="s">
        <v>184</v>
      </c>
      <c r="B26" s="60" t="s">
        <v>183</v>
      </c>
      <c r="C26" s="60" t="e">
        <f t="shared" si="7"/>
        <v>#N/A</v>
      </c>
      <c r="D26" s="60" t="e">
        <f t="shared" si="8"/>
        <v>#N/A</v>
      </c>
      <c r="E26" s="60" t="e">
        <f t="shared" si="15"/>
        <v>#N/A</v>
      </c>
      <c r="F26" s="60" t="e">
        <f t="shared" si="16"/>
        <v>#N/A</v>
      </c>
      <c r="G26" s="60" t="e">
        <f t="shared" si="17"/>
        <v>#N/A</v>
      </c>
      <c r="H26" s="60" t="e">
        <f t="shared" si="18"/>
        <v>#N/A</v>
      </c>
      <c r="I26" s="60" t="e">
        <f t="shared" si="19"/>
        <v>#N/A</v>
      </c>
      <c r="J26" s="60" t="e">
        <f t="shared" si="20"/>
        <v>#N/A</v>
      </c>
      <c r="L26" s="78" t="str">
        <f t="shared" si="9"/>
        <v/>
      </c>
      <c r="M26" s="78" t="str">
        <f t="shared" si="10"/>
        <v/>
      </c>
      <c r="N26" s="89" t="str">
        <f t="shared" si="11"/>
        <v/>
      </c>
      <c r="O26" s="78" t="str">
        <f t="shared" si="12"/>
        <v/>
      </c>
      <c r="P26" s="78" t="str">
        <f t="shared" si="13"/>
        <v/>
      </c>
      <c r="Q26" s="89" t="str">
        <f t="shared" si="14"/>
        <v/>
      </c>
      <c r="T26" s="60" t="s">
        <v>11</v>
      </c>
      <c r="U26" s="60">
        <v>22.172999999999998</v>
      </c>
      <c r="V26" s="60">
        <v>26.593</v>
      </c>
      <c r="W26" s="60">
        <v>6.8970000000000002</v>
      </c>
      <c r="X26" s="60">
        <v>3.53</v>
      </c>
      <c r="Y26" s="60">
        <v>78.269000000000005</v>
      </c>
      <c r="Z26" s="60">
        <v>8.5389999999999997</v>
      </c>
      <c r="AA26" s="60">
        <v>3.0350000000000001</v>
      </c>
      <c r="AB26" s="186">
        <v>3.8780000000000001</v>
      </c>
    </row>
    <row r="27" spans="1:28" x14ac:dyDescent="0.2">
      <c r="A27" s="60" t="s">
        <v>11</v>
      </c>
      <c r="B27" s="60" t="s">
        <v>347</v>
      </c>
      <c r="C27" s="60">
        <f t="shared" si="7"/>
        <v>22.172999999999998</v>
      </c>
      <c r="D27" s="60">
        <f t="shared" si="8"/>
        <v>26.593</v>
      </c>
      <c r="E27" s="60">
        <f t="shared" si="15"/>
        <v>6.8970000000000002</v>
      </c>
      <c r="F27" s="60">
        <f t="shared" si="16"/>
        <v>3.53</v>
      </c>
      <c r="G27" s="60">
        <f t="shared" si="17"/>
        <v>78.269000000000005</v>
      </c>
      <c r="H27" s="60">
        <f t="shared" si="18"/>
        <v>8.5389999999999997</v>
      </c>
      <c r="I27" s="60">
        <f t="shared" si="19"/>
        <v>3.0350000000000001</v>
      </c>
      <c r="J27" s="60">
        <f t="shared" si="20"/>
        <v>3.8780000000000001</v>
      </c>
      <c r="L27" s="78">
        <f t="shared" si="9"/>
        <v>11.34826736262143</v>
      </c>
      <c r="M27" s="78">
        <f t="shared" si="10"/>
        <v>2.9432181401120596</v>
      </c>
      <c r="N27" s="89">
        <f t="shared" si="11"/>
        <v>0.11412777798668823</v>
      </c>
      <c r="O27" s="78">
        <f t="shared" si="12"/>
        <v>0.859773371104816</v>
      </c>
      <c r="P27" s="78">
        <f t="shared" si="13"/>
        <v>0.80770582035367144</v>
      </c>
      <c r="Q27" s="89">
        <f t="shared" si="14"/>
        <v>3.8776527105239621E-2</v>
      </c>
      <c r="T27" s="60" t="s">
        <v>12</v>
      </c>
      <c r="U27" s="60">
        <v>18.593</v>
      </c>
      <c r="V27" s="60">
        <v>53.024999999999999</v>
      </c>
      <c r="W27" s="60">
        <v>11.773</v>
      </c>
      <c r="X27" s="60">
        <v>5.73</v>
      </c>
      <c r="Y27" s="60">
        <v>106.53700000000001</v>
      </c>
      <c r="Z27" s="60">
        <v>12.542999999999999</v>
      </c>
      <c r="AA27" s="60">
        <v>3.36</v>
      </c>
      <c r="AB27" s="188">
        <v>3.1539999999999999</v>
      </c>
    </row>
    <row r="28" spans="1:28" x14ac:dyDescent="0.2">
      <c r="A28" s="60" t="s">
        <v>12</v>
      </c>
      <c r="B28" s="60" t="s">
        <v>129</v>
      </c>
      <c r="C28" s="60">
        <f t="shared" si="7"/>
        <v>18.593</v>
      </c>
      <c r="D28" s="60">
        <f t="shared" si="8"/>
        <v>53.024999999999999</v>
      </c>
      <c r="E28" s="60">
        <f t="shared" si="15"/>
        <v>11.773</v>
      </c>
      <c r="F28" s="60">
        <f t="shared" si="16"/>
        <v>5.73</v>
      </c>
      <c r="G28" s="60">
        <f t="shared" si="17"/>
        <v>106.53700000000001</v>
      </c>
      <c r="H28" s="60">
        <f t="shared" si="18"/>
        <v>12.542999999999999</v>
      </c>
      <c r="I28" s="60">
        <f t="shared" si="19"/>
        <v>3.36</v>
      </c>
      <c r="J28" s="60">
        <f t="shared" si="20"/>
        <v>3.1539999999999999</v>
      </c>
      <c r="L28" s="78">
        <f t="shared" si="9"/>
        <v>9.0492652679860708</v>
      </c>
      <c r="M28" s="78">
        <f t="shared" si="10"/>
        <v>2.0091843470061295</v>
      </c>
      <c r="N28" s="89">
        <f t="shared" si="11"/>
        <v>6.3366336633663367E-2</v>
      </c>
      <c r="O28" s="78">
        <f t="shared" si="12"/>
        <v>0.58638743455497377</v>
      </c>
      <c r="P28" s="78">
        <f t="shared" si="13"/>
        <v>0.93861117754923062</v>
      </c>
      <c r="Q28" s="89">
        <f t="shared" si="14"/>
        <v>3.1538338793095352E-2</v>
      </c>
      <c r="T28" s="60" t="s">
        <v>13</v>
      </c>
      <c r="U28" s="60">
        <v>19.925999999999998</v>
      </c>
      <c r="V28" s="60">
        <v>59.627000000000002</v>
      </c>
      <c r="W28" s="60">
        <v>10.013</v>
      </c>
      <c r="X28" s="60">
        <v>4.22</v>
      </c>
      <c r="Y28" s="60">
        <v>84.087000000000003</v>
      </c>
      <c r="Z28" s="60">
        <v>11.503</v>
      </c>
      <c r="AA28" s="60">
        <v>3.49</v>
      </c>
      <c r="AB28" s="188">
        <v>4.1500000000000004</v>
      </c>
    </row>
    <row r="29" spans="1:28" x14ac:dyDescent="0.2">
      <c r="A29" s="60" t="s">
        <v>13</v>
      </c>
      <c r="B29" s="60" t="s">
        <v>130</v>
      </c>
      <c r="C29" s="60">
        <f t="shared" si="7"/>
        <v>19.925999999999998</v>
      </c>
      <c r="D29" s="60">
        <f t="shared" si="8"/>
        <v>59.627000000000002</v>
      </c>
      <c r="E29" s="60">
        <f t="shared" si="15"/>
        <v>10.013</v>
      </c>
      <c r="F29" s="60">
        <f t="shared" si="16"/>
        <v>4.22</v>
      </c>
      <c r="G29" s="60">
        <f t="shared" si="17"/>
        <v>84.087000000000003</v>
      </c>
      <c r="H29" s="60">
        <f t="shared" si="18"/>
        <v>11.503</v>
      </c>
      <c r="I29" s="60">
        <f t="shared" si="19"/>
        <v>3.49</v>
      </c>
      <c r="J29" s="60">
        <f t="shared" si="20"/>
        <v>4.1500000000000004</v>
      </c>
      <c r="L29" s="78">
        <f t="shared" si="9"/>
        <v>8.3977828822530718</v>
      </c>
      <c r="M29" s="78">
        <f t="shared" si="10"/>
        <v>1.4102168480721822</v>
      </c>
      <c r="N29" s="89">
        <f t="shared" si="11"/>
        <v>5.8530531470642494E-2</v>
      </c>
      <c r="O29" s="78">
        <f t="shared" si="12"/>
        <v>0.82701421800947872</v>
      </c>
      <c r="P29" s="78">
        <f t="shared" si="13"/>
        <v>0.87046857341563066</v>
      </c>
      <c r="Q29" s="89">
        <f t="shared" si="14"/>
        <v>4.1504632107222279E-2</v>
      </c>
      <c r="T29" s="60" t="s">
        <v>14</v>
      </c>
      <c r="U29" s="60">
        <v>17.234000000000002</v>
      </c>
      <c r="V29" s="60">
        <v>35.820999999999998</v>
      </c>
      <c r="W29" s="60">
        <v>11.031000000000001</v>
      </c>
      <c r="X29" s="60">
        <v>4.51</v>
      </c>
      <c r="Y29" s="60">
        <v>77.727000000000004</v>
      </c>
      <c r="Z29" s="60">
        <v>11.749000000000001</v>
      </c>
      <c r="AA29" s="60">
        <v>2.2330000000000001</v>
      </c>
      <c r="AB29" s="188">
        <v>2.8730000000000002</v>
      </c>
    </row>
    <row r="30" spans="1:28" x14ac:dyDescent="0.2">
      <c r="A30" s="60" t="s">
        <v>14</v>
      </c>
      <c r="B30" s="60" t="s">
        <v>131</v>
      </c>
      <c r="C30" s="60">
        <f t="shared" si="7"/>
        <v>17.234000000000002</v>
      </c>
      <c r="D30" s="60">
        <f t="shared" si="8"/>
        <v>35.820999999999998</v>
      </c>
      <c r="E30" s="60">
        <f t="shared" si="15"/>
        <v>11.031000000000001</v>
      </c>
      <c r="F30" s="60">
        <f t="shared" si="16"/>
        <v>4.51</v>
      </c>
      <c r="G30" s="60">
        <f t="shared" si="17"/>
        <v>77.727000000000004</v>
      </c>
      <c r="H30" s="60">
        <f t="shared" si="18"/>
        <v>11.749000000000001</v>
      </c>
      <c r="I30" s="60">
        <f t="shared" si="19"/>
        <v>2.2330000000000001</v>
      </c>
      <c r="J30" s="60">
        <f t="shared" si="20"/>
        <v>2.8730000000000002</v>
      </c>
      <c r="L30" s="78">
        <f t="shared" si="9"/>
        <v>7.0462333423986943</v>
      </c>
      <c r="M30" s="78">
        <f t="shared" si="10"/>
        <v>2.1698724212054383</v>
      </c>
      <c r="N30" s="89">
        <f t="shared" si="11"/>
        <v>6.2337734848273367E-2</v>
      </c>
      <c r="O30" s="78">
        <f t="shared" si="12"/>
        <v>0.49512195121951225</v>
      </c>
      <c r="P30" s="78">
        <f t="shared" si="13"/>
        <v>0.93888841603540729</v>
      </c>
      <c r="Q30" s="89">
        <f t="shared" si="14"/>
        <v>2.8728755773412069E-2</v>
      </c>
      <c r="T30" s="60" t="s">
        <v>15</v>
      </c>
      <c r="U30" s="60">
        <v>21.783000000000001</v>
      </c>
      <c r="V30" s="60">
        <v>28.143000000000001</v>
      </c>
      <c r="W30" s="60">
        <v>6.173</v>
      </c>
      <c r="X30" s="60">
        <v>2.42</v>
      </c>
      <c r="Y30" s="60">
        <v>52.715000000000003</v>
      </c>
      <c r="Z30" s="60">
        <v>5.9089999999999998</v>
      </c>
      <c r="AA30" s="60">
        <v>1.3149999999999999</v>
      </c>
      <c r="AB30" s="188">
        <v>2.4950000000000001</v>
      </c>
    </row>
    <row r="31" spans="1:28" x14ac:dyDescent="0.2">
      <c r="A31" s="60" t="s">
        <v>15</v>
      </c>
      <c r="B31" s="60" t="s">
        <v>132</v>
      </c>
      <c r="C31" s="60">
        <f t="shared" si="7"/>
        <v>21.783000000000001</v>
      </c>
      <c r="D31" s="60">
        <f t="shared" si="8"/>
        <v>28.143000000000001</v>
      </c>
      <c r="E31" s="60">
        <f t="shared" si="15"/>
        <v>6.173</v>
      </c>
      <c r="F31" s="60">
        <f t="shared" si="16"/>
        <v>2.42</v>
      </c>
      <c r="G31" s="60">
        <f t="shared" si="17"/>
        <v>52.715000000000003</v>
      </c>
      <c r="H31" s="60">
        <f t="shared" si="18"/>
        <v>5.9089999999999998</v>
      </c>
      <c r="I31" s="60">
        <f t="shared" si="19"/>
        <v>1.3149999999999999</v>
      </c>
      <c r="J31" s="60">
        <f t="shared" si="20"/>
        <v>2.4950000000000001</v>
      </c>
      <c r="L31" s="78">
        <f t="shared" si="9"/>
        <v>8.5396079701927761</v>
      </c>
      <c r="M31" s="78">
        <f t="shared" si="10"/>
        <v>1.873112319226806</v>
      </c>
      <c r="N31" s="89">
        <f t="shared" si="11"/>
        <v>4.67256511388267E-2</v>
      </c>
      <c r="O31" s="78">
        <f t="shared" si="12"/>
        <v>0.54338842975206614</v>
      </c>
      <c r="P31" s="78">
        <f t="shared" si="13"/>
        <v>1.0446776104247759</v>
      </c>
      <c r="Q31" s="89">
        <f t="shared" si="14"/>
        <v>2.4945461443611872E-2</v>
      </c>
      <c r="T31" s="60" t="s">
        <v>17</v>
      </c>
      <c r="U31" s="60">
        <v>15.009</v>
      </c>
      <c r="V31" s="60">
        <v>44.276000000000003</v>
      </c>
      <c r="W31" s="60">
        <v>16.704999999999998</v>
      </c>
      <c r="X31" s="60">
        <v>5.19</v>
      </c>
      <c r="Y31" s="60">
        <v>77.897999999999996</v>
      </c>
      <c r="Z31" s="60">
        <v>22.074999999999999</v>
      </c>
      <c r="AA31" s="60">
        <v>3.5</v>
      </c>
      <c r="AB31" s="188">
        <v>4.4930000000000003</v>
      </c>
    </row>
    <row r="32" spans="1:28" x14ac:dyDescent="0.2">
      <c r="A32" s="60" t="s">
        <v>17</v>
      </c>
      <c r="B32" s="60" t="s">
        <v>134</v>
      </c>
      <c r="C32" s="60">
        <f t="shared" si="7"/>
        <v>15.009</v>
      </c>
      <c r="D32" s="60">
        <f t="shared" si="8"/>
        <v>44.276000000000003</v>
      </c>
      <c r="E32" s="60">
        <f t="shared" si="15"/>
        <v>16.704999999999998</v>
      </c>
      <c r="F32" s="60">
        <f t="shared" si="16"/>
        <v>5.19</v>
      </c>
      <c r="G32" s="60">
        <f t="shared" si="17"/>
        <v>77.897999999999996</v>
      </c>
      <c r="H32" s="60">
        <f t="shared" si="18"/>
        <v>22.074999999999999</v>
      </c>
      <c r="I32" s="60">
        <f t="shared" si="19"/>
        <v>3.5</v>
      </c>
      <c r="J32" s="60">
        <f t="shared" si="20"/>
        <v>4.4930000000000003</v>
      </c>
      <c r="L32" s="78">
        <f t="shared" si="9"/>
        <v>4.6631547440885965</v>
      </c>
      <c r="M32" s="78">
        <f t="shared" si="10"/>
        <v>1.7593730237600504</v>
      </c>
      <c r="N32" s="89">
        <f t="shared" si="11"/>
        <v>7.904959797633028E-2</v>
      </c>
      <c r="O32" s="78">
        <f t="shared" si="12"/>
        <v>0.67437379576107892</v>
      </c>
      <c r="P32" s="78">
        <f t="shared" si="13"/>
        <v>0.75673839184597957</v>
      </c>
      <c r="Q32" s="89">
        <f t="shared" si="14"/>
        <v>4.4930550206680533E-2</v>
      </c>
      <c r="T32" s="60" t="s">
        <v>211</v>
      </c>
      <c r="U32" s="60">
        <v>19.465</v>
      </c>
      <c r="V32" s="60">
        <v>34.984999999999999</v>
      </c>
      <c r="W32" s="60">
        <v>5.8440000000000003</v>
      </c>
      <c r="X32" s="60">
        <v>3.11</v>
      </c>
      <c r="Y32" s="60">
        <v>60.536999999999999</v>
      </c>
      <c r="Z32" s="60">
        <v>7.41</v>
      </c>
      <c r="AA32" s="60">
        <v>1.9</v>
      </c>
      <c r="AB32" s="188">
        <v>3.1389999999999998</v>
      </c>
    </row>
    <row r="33" spans="1:28" x14ac:dyDescent="0.2">
      <c r="A33" s="60" t="s">
        <v>211</v>
      </c>
      <c r="B33" s="60" t="s">
        <v>210</v>
      </c>
      <c r="C33" s="60">
        <f t="shared" si="7"/>
        <v>19.465</v>
      </c>
      <c r="D33" s="60">
        <f t="shared" si="8"/>
        <v>34.984999999999999</v>
      </c>
      <c r="E33" s="60">
        <f t="shared" si="15"/>
        <v>5.8440000000000003</v>
      </c>
      <c r="F33" s="60">
        <f t="shared" si="16"/>
        <v>3.11</v>
      </c>
      <c r="G33" s="60">
        <f t="shared" si="17"/>
        <v>60.536999999999999</v>
      </c>
      <c r="H33" s="60">
        <f t="shared" si="18"/>
        <v>7.41</v>
      </c>
      <c r="I33" s="60">
        <f t="shared" si="19"/>
        <v>1.9</v>
      </c>
      <c r="J33" s="60">
        <f t="shared" si="20"/>
        <v>3.1389999999999998</v>
      </c>
      <c r="L33" s="78">
        <f t="shared" si="9"/>
        <v>10.358829568788501</v>
      </c>
      <c r="M33" s="78">
        <f t="shared" si="10"/>
        <v>1.7303701586394169</v>
      </c>
      <c r="N33" s="89">
        <f t="shared" si="11"/>
        <v>5.4308989566957268E-2</v>
      </c>
      <c r="O33" s="78">
        <f t="shared" si="12"/>
        <v>0.61093247588424437</v>
      </c>
      <c r="P33" s="78">
        <f t="shared" si="13"/>
        <v>0.78866396761133606</v>
      </c>
      <c r="Q33" s="89">
        <f t="shared" si="14"/>
        <v>3.1385764078167074E-2</v>
      </c>
      <c r="T33" s="60" t="s">
        <v>18</v>
      </c>
      <c r="U33" s="60">
        <v>13.41</v>
      </c>
      <c r="V33" s="60">
        <v>30.992999999999999</v>
      </c>
      <c r="W33" s="60">
        <v>8.3699999999999992</v>
      </c>
      <c r="X33" s="60">
        <v>2.78</v>
      </c>
      <c r="Y33" s="60">
        <v>37.280999999999999</v>
      </c>
      <c r="Z33" s="60">
        <v>7.8730000000000002</v>
      </c>
      <c r="AA33" s="60">
        <v>1.31</v>
      </c>
      <c r="AB33" s="188">
        <v>3.5139999999999998</v>
      </c>
    </row>
    <row r="34" spans="1:28" x14ac:dyDescent="0.2">
      <c r="A34" s="60" t="s">
        <v>18</v>
      </c>
      <c r="B34" s="60" t="s">
        <v>135</v>
      </c>
      <c r="C34" s="60">
        <f t="shared" si="7"/>
        <v>13.41</v>
      </c>
      <c r="D34" s="60">
        <f t="shared" si="8"/>
        <v>30.992999999999999</v>
      </c>
      <c r="E34" s="60">
        <f t="shared" si="15"/>
        <v>8.3699999999999992</v>
      </c>
      <c r="F34" s="60">
        <f t="shared" si="16"/>
        <v>2.78</v>
      </c>
      <c r="G34" s="60">
        <f t="shared" si="17"/>
        <v>37.280999999999999</v>
      </c>
      <c r="H34" s="60">
        <f t="shared" si="18"/>
        <v>7.8730000000000002</v>
      </c>
      <c r="I34" s="60">
        <f t="shared" si="19"/>
        <v>1.31</v>
      </c>
      <c r="J34" s="60">
        <f t="shared" si="20"/>
        <v>3.5139999999999998</v>
      </c>
      <c r="L34" s="78">
        <f t="shared" si="9"/>
        <v>4.4541218637992834</v>
      </c>
      <c r="M34" s="78">
        <f t="shared" si="10"/>
        <v>1.2028845223114897</v>
      </c>
      <c r="N34" s="89">
        <f t="shared" si="11"/>
        <v>4.2267608814893692E-2</v>
      </c>
      <c r="O34" s="78">
        <f t="shared" si="12"/>
        <v>0.47122302158273388</v>
      </c>
      <c r="P34" s="78">
        <f t="shared" si="13"/>
        <v>1.0631271434014986</v>
      </c>
      <c r="Q34" s="89">
        <f t="shared" si="14"/>
        <v>3.5138542421072401E-2</v>
      </c>
      <c r="T34" s="60" t="s">
        <v>19</v>
      </c>
      <c r="U34" s="60">
        <v>11.409000000000001</v>
      </c>
      <c r="V34" s="60">
        <v>8.8140000000000001</v>
      </c>
      <c r="W34" s="60">
        <v>6.5410000000000004</v>
      </c>
      <c r="X34" s="60">
        <v>2.73</v>
      </c>
      <c r="Y34" s="60">
        <v>31.146000000000001</v>
      </c>
      <c r="Z34" s="60">
        <v>6.3789999999999996</v>
      </c>
      <c r="AA34" s="60">
        <v>1.44</v>
      </c>
      <c r="AB34" s="188">
        <v>4.6230000000000002</v>
      </c>
    </row>
    <row r="35" spans="1:28" x14ac:dyDescent="0.2">
      <c r="A35" s="60" t="s">
        <v>19</v>
      </c>
      <c r="B35" s="60" t="s">
        <v>136</v>
      </c>
      <c r="C35" s="60">
        <f t="shared" si="7"/>
        <v>11.409000000000001</v>
      </c>
      <c r="D35" s="60">
        <f t="shared" si="8"/>
        <v>8.8140000000000001</v>
      </c>
      <c r="E35" s="60">
        <f t="shared" si="15"/>
        <v>6.5410000000000004</v>
      </c>
      <c r="F35" s="60">
        <f t="shared" si="16"/>
        <v>2.73</v>
      </c>
      <c r="G35" s="60">
        <f t="shared" si="17"/>
        <v>31.146000000000001</v>
      </c>
      <c r="H35" s="60">
        <f t="shared" si="18"/>
        <v>6.3789999999999996</v>
      </c>
      <c r="I35" s="60">
        <f t="shared" si="19"/>
        <v>1.44</v>
      </c>
      <c r="J35" s="60">
        <f t="shared" si="20"/>
        <v>4.6230000000000002</v>
      </c>
      <c r="L35" s="78">
        <f t="shared" si="9"/>
        <v>4.7616572389542879</v>
      </c>
      <c r="M35" s="78">
        <f t="shared" si="10"/>
        <v>3.5336963921034719</v>
      </c>
      <c r="N35" s="89">
        <f t="shared" si="11"/>
        <v>0.16337644656228725</v>
      </c>
      <c r="O35" s="78">
        <f t="shared" si="12"/>
        <v>0.52747252747252749</v>
      </c>
      <c r="P35" s="78">
        <f t="shared" si="13"/>
        <v>1.0253958300674089</v>
      </c>
      <c r="Q35" s="89">
        <f t="shared" si="14"/>
        <v>4.6233866307069924E-2</v>
      </c>
      <c r="T35" s="60" t="s">
        <v>266</v>
      </c>
      <c r="U35" s="60">
        <v>16.809999999999999</v>
      </c>
      <c r="V35" s="60">
        <v>31.774000000000001</v>
      </c>
      <c r="W35" s="60">
        <v>5.4329999999999998</v>
      </c>
      <c r="X35" s="60">
        <v>2.66</v>
      </c>
      <c r="Y35" s="60">
        <v>44.715000000000003</v>
      </c>
      <c r="Z35" s="60">
        <v>7.181</v>
      </c>
      <c r="AA35" s="60">
        <v>1.65</v>
      </c>
      <c r="AB35" s="188">
        <v>3.69</v>
      </c>
    </row>
    <row r="36" spans="1:28" x14ac:dyDescent="0.2">
      <c r="A36" s="60" t="s">
        <v>266</v>
      </c>
      <c r="B36" s="60" t="s">
        <v>265</v>
      </c>
      <c r="C36" s="60">
        <f t="shared" si="7"/>
        <v>16.809999999999999</v>
      </c>
      <c r="D36" s="60">
        <f t="shared" si="8"/>
        <v>31.774000000000001</v>
      </c>
      <c r="E36" s="60">
        <f t="shared" si="15"/>
        <v>5.4329999999999998</v>
      </c>
      <c r="F36" s="60">
        <f t="shared" si="16"/>
        <v>2.66</v>
      </c>
      <c r="G36" s="60">
        <f t="shared" si="17"/>
        <v>44.715000000000003</v>
      </c>
      <c r="H36" s="60">
        <f t="shared" si="18"/>
        <v>7.181</v>
      </c>
      <c r="I36" s="60">
        <f t="shared" si="19"/>
        <v>1.65</v>
      </c>
      <c r="J36" s="60">
        <f t="shared" si="20"/>
        <v>3.69</v>
      </c>
      <c r="L36" s="78">
        <f t="shared" si="9"/>
        <v>8.2302595251242412</v>
      </c>
      <c r="M36" s="78">
        <f t="shared" si="10"/>
        <v>1.4072826839554353</v>
      </c>
      <c r="N36" s="89">
        <f t="shared" si="11"/>
        <v>5.1929250330458865E-2</v>
      </c>
      <c r="O36" s="78">
        <f t="shared" si="12"/>
        <v>0.62030075187969913</v>
      </c>
      <c r="P36" s="78">
        <f t="shared" si="13"/>
        <v>0.75657986352875639</v>
      </c>
      <c r="Q36" s="89">
        <f t="shared" si="14"/>
        <v>3.690036900369003E-2</v>
      </c>
      <c r="T36" s="60" t="s">
        <v>21</v>
      </c>
      <c r="U36" s="60">
        <v>20.693000000000001</v>
      </c>
      <c r="V36" s="60">
        <v>19.28</v>
      </c>
      <c r="W36" s="60">
        <v>3.6829999999999998</v>
      </c>
      <c r="X36" s="60">
        <v>1.64</v>
      </c>
      <c r="Y36" s="60">
        <v>33.936999999999998</v>
      </c>
      <c r="Z36" s="60">
        <v>4.5519999999999996</v>
      </c>
      <c r="AA36" s="60">
        <v>1.24</v>
      </c>
      <c r="AB36" s="188">
        <v>3.6539999999999999</v>
      </c>
    </row>
    <row r="37" spans="1:28" x14ac:dyDescent="0.2">
      <c r="A37" s="60" t="s">
        <v>186</v>
      </c>
      <c r="B37" s="60" t="s">
        <v>185</v>
      </c>
      <c r="C37" s="60" t="e">
        <f t="shared" si="7"/>
        <v>#N/A</v>
      </c>
      <c r="D37" s="60" t="e">
        <f t="shared" si="8"/>
        <v>#N/A</v>
      </c>
      <c r="E37" s="60" t="e">
        <f t="shared" si="15"/>
        <v>#N/A</v>
      </c>
      <c r="F37" s="60" t="e">
        <f t="shared" si="16"/>
        <v>#N/A</v>
      </c>
      <c r="G37" s="60" t="e">
        <f t="shared" si="17"/>
        <v>#N/A</v>
      </c>
      <c r="H37" s="60" t="e">
        <f t="shared" si="18"/>
        <v>#N/A</v>
      </c>
      <c r="I37" s="60" t="e">
        <f t="shared" si="19"/>
        <v>#N/A</v>
      </c>
      <c r="J37" s="60" t="e">
        <f t="shared" si="20"/>
        <v>#N/A</v>
      </c>
      <c r="L37" s="78" t="str">
        <f t="shared" si="9"/>
        <v/>
      </c>
      <c r="M37" s="78" t="str">
        <f t="shared" si="10"/>
        <v/>
      </c>
      <c r="N37" s="89" t="str">
        <f t="shared" si="11"/>
        <v/>
      </c>
      <c r="O37" s="78" t="str">
        <f t="shared" si="12"/>
        <v/>
      </c>
      <c r="P37" s="78" t="str">
        <f t="shared" si="13"/>
        <v/>
      </c>
      <c r="Q37" s="89" t="str">
        <f t="shared" si="14"/>
        <v/>
      </c>
      <c r="T37" s="189" t="s">
        <v>22</v>
      </c>
      <c r="U37" s="189">
        <v>20.600999999999999</v>
      </c>
      <c r="V37" s="189">
        <v>44.652999999999999</v>
      </c>
      <c r="W37" s="189">
        <v>7.5039999999999996</v>
      </c>
      <c r="X37" s="189">
        <v>4.21</v>
      </c>
      <c r="Y37" s="189">
        <v>86.728999999999999</v>
      </c>
      <c r="Z37" s="189">
        <v>5.6619999999999999</v>
      </c>
      <c r="AA37" s="189">
        <v>2.2400000000000002</v>
      </c>
      <c r="AB37" s="188">
        <v>2.5830000000000002</v>
      </c>
    </row>
    <row r="38" spans="1:28" ht="12" thickBot="1" x14ac:dyDescent="0.25">
      <c r="A38" s="60" t="s">
        <v>20</v>
      </c>
      <c r="B38" s="60" t="s">
        <v>137</v>
      </c>
      <c r="C38" s="60" t="str">
        <f t="shared" si="7"/>
        <v>NMF</v>
      </c>
      <c r="D38" s="60">
        <f t="shared" si="8"/>
        <v>23.02</v>
      </c>
      <c r="E38" s="60">
        <f t="shared" si="15"/>
        <v>2.1</v>
      </c>
      <c r="F38" s="60">
        <f t="shared" si="16"/>
        <v>-0.06</v>
      </c>
      <c r="G38" s="60">
        <f t="shared" si="17"/>
        <v>30.700000000000003</v>
      </c>
      <c r="H38" s="60">
        <f t="shared" si="18"/>
        <v>2.69</v>
      </c>
      <c r="I38" s="60">
        <f t="shared" si="19"/>
        <v>1.1000000000000001</v>
      </c>
      <c r="J38" s="60">
        <f t="shared" si="20"/>
        <v>3.6</v>
      </c>
      <c r="L38" s="78">
        <f t="shared" si="9"/>
        <v>14.61904761904762</v>
      </c>
      <c r="M38" s="78">
        <f t="shared" si="10"/>
        <v>1.3336229365768899</v>
      </c>
      <c r="N38" s="89">
        <f t="shared" si="11"/>
        <v>4.7784535186794097E-2</v>
      </c>
      <c r="O38" s="78">
        <f t="shared" si="12"/>
        <v>-18.333333333333336</v>
      </c>
      <c r="P38" s="78">
        <f t="shared" si="13"/>
        <v>0.78066914498141271</v>
      </c>
      <c r="Q38" s="89">
        <f t="shared" si="14"/>
        <v>3.5830618892508145E-2</v>
      </c>
      <c r="T38" s="189" t="s">
        <v>25</v>
      </c>
      <c r="U38" s="192">
        <v>29.356999999999999</v>
      </c>
      <c r="V38" s="189">
        <v>22.446999999999999</v>
      </c>
      <c r="W38" s="189">
        <v>3.726</v>
      </c>
      <c r="X38" s="189">
        <v>2.2000000000000002</v>
      </c>
      <c r="Y38" s="189">
        <v>64.585999999999999</v>
      </c>
      <c r="Z38" s="189">
        <v>3.1190000000000002</v>
      </c>
      <c r="AA38" s="189">
        <v>1.26</v>
      </c>
      <c r="AB38" s="187">
        <v>1.9510000000000001</v>
      </c>
    </row>
    <row r="39" spans="1:28" ht="12" thickBot="1" x14ac:dyDescent="0.25">
      <c r="A39" s="60" t="s">
        <v>21</v>
      </c>
      <c r="B39" s="60" t="s">
        <v>138</v>
      </c>
      <c r="C39" s="60">
        <f t="shared" si="7"/>
        <v>20.693000000000001</v>
      </c>
      <c r="D39" s="60">
        <f t="shared" si="8"/>
        <v>19.28</v>
      </c>
      <c r="E39" s="60">
        <f t="shared" si="15"/>
        <v>3.6829999999999998</v>
      </c>
      <c r="F39" s="60">
        <f t="shared" si="16"/>
        <v>1.64</v>
      </c>
      <c r="G39" s="60">
        <f t="shared" si="17"/>
        <v>33.936999999999998</v>
      </c>
      <c r="H39" s="60">
        <f t="shared" si="18"/>
        <v>4.5519999999999996</v>
      </c>
      <c r="I39" s="60">
        <f t="shared" si="19"/>
        <v>1.24</v>
      </c>
      <c r="J39" s="60">
        <f t="shared" si="20"/>
        <v>3.6539999999999999</v>
      </c>
      <c r="L39" s="78">
        <f t="shared" si="9"/>
        <v>9.2144990496877544</v>
      </c>
      <c r="M39" s="78">
        <f t="shared" si="10"/>
        <v>1.7602178423236512</v>
      </c>
      <c r="N39" s="89">
        <f t="shared" si="11"/>
        <v>6.4315352697095429E-2</v>
      </c>
      <c r="O39" s="78">
        <f t="shared" si="12"/>
        <v>0.75609756097560976</v>
      </c>
      <c r="P39" s="78">
        <f t="shared" si="13"/>
        <v>0.80909490333919165</v>
      </c>
      <c r="Q39" s="89">
        <f t="shared" si="14"/>
        <v>3.6538291540206859E-2</v>
      </c>
      <c r="T39" s="181" t="s">
        <v>188</v>
      </c>
      <c r="U39" s="182">
        <v>28.385999999999999</v>
      </c>
      <c r="V39" s="182">
        <v>14.015000000000001</v>
      </c>
      <c r="W39" s="182">
        <v>2.2370000000000001</v>
      </c>
      <c r="X39" s="182">
        <v>1.38</v>
      </c>
      <c r="Y39" s="182">
        <v>39.173000000000002</v>
      </c>
      <c r="Z39" s="183">
        <v>3.0760000000000001</v>
      </c>
      <c r="AA39" s="182">
        <v>0.85799999999999998</v>
      </c>
      <c r="AB39" s="185">
        <v>2.19</v>
      </c>
    </row>
    <row r="40" spans="1:28" x14ac:dyDescent="0.2">
      <c r="A40" s="60" t="s">
        <v>22</v>
      </c>
      <c r="B40" s="60" t="s">
        <v>216</v>
      </c>
      <c r="C40" s="60">
        <f t="shared" si="7"/>
        <v>20.600999999999999</v>
      </c>
      <c r="D40" s="60">
        <f t="shared" si="8"/>
        <v>44.652999999999999</v>
      </c>
      <c r="E40" s="60">
        <f t="shared" si="15"/>
        <v>7.5039999999999996</v>
      </c>
      <c r="F40" s="60">
        <f t="shared" si="16"/>
        <v>4.21</v>
      </c>
      <c r="G40" s="60">
        <f t="shared" si="17"/>
        <v>86.728999999999999</v>
      </c>
      <c r="H40" s="60">
        <f t="shared" si="18"/>
        <v>5.6619999999999999</v>
      </c>
      <c r="I40" s="60">
        <f t="shared" si="19"/>
        <v>2.2400000000000002</v>
      </c>
      <c r="J40" s="60">
        <f t="shared" si="20"/>
        <v>2.5830000000000002</v>
      </c>
      <c r="L40" s="78">
        <f t="shared" si="9"/>
        <v>11.557702558635395</v>
      </c>
      <c r="M40" s="78">
        <f t="shared" si="10"/>
        <v>1.9422883120954919</v>
      </c>
      <c r="N40" s="89">
        <f t="shared" si="11"/>
        <v>5.0164602602288763E-2</v>
      </c>
      <c r="O40" s="78">
        <f t="shared" si="12"/>
        <v>0.5320665083135393</v>
      </c>
      <c r="P40" s="78">
        <f t="shared" si="13"/>
        <v>1.3253267396679618</v>
      </c>
      <c r="Q40" s="89">
        <f t="shared" si="14"/>
        <v>2.5827577857464059E-2</v>
      </c>
      <c r="T40" s="189" t="s">
        <v>190</v>
      </c>
      <c r="U40" s="189">
        <v>22.376999999999999</v>
      </c>
      <c r="V40" s="189">
        <v>14.326000000000001</v>
      </c>
      <c r="W40" s="189">
        <v>2.6789999999999998</v>
      </c>
      <c r="X40" s="189">
        <v>1.73</v>
      </c>
      <c r="Y40" s="189">
        <v>38.712000000000003</v>
      </c>
      <c r="Z40" s="189">
        <v>3.8010000000000002</v>
      </c>
      <c r="AA40" s="189">
        <v>1.04</v>
      </c>
      <c r="AB40" s="189">
        <v>2.6869999999999998</v>
      </c>
    </row>
    <row r="41" spans="1:28" ht="12" thickBot="1" x14ac:dyDescent="0.25">
      <c r="A41" s="60" t="s">
        <v>25</v>
      </c>
      <c r="B41" s="60" t="s">
        <v>139</v>
      </c>
      <c r="C41" s="60">
        <f t="shared" si="7"/>
        <v>29.356999999999999</v>
      </c>
      <c r="D41" s="60">
        <f t="shared" si="8"/>
        <v>22.446999999999999</v>
      </c>
      <c r="E41" s="60">
        <f t="shared" si="15"/>
        <v>3.726</v>
      </c>
      <c r="F41" s="60">
        <f t="shared" si="16"/>
        <v>2.2000000000000002</v>
      </c>
      <c r="G41" s="60">
        <f t="shared" si="17"/>
        <v>64.585999999999999</v>
      </c>
      <c r="H41" s="60">
        <f t="shared" si="18"/>
        <v>3.1190000000000002</v>
      </c>
      <c r="I41" s="60">
        <f t="shared" si="19"/>
        <v>1.26</v>
      </c>
      <c r="J41" s="60">
        <f t="shared" si="20"/>
        <v>1.9510000000000001</v>
      </c>
      <c r="L41" s="78">
        <f t="shared" si="9"/>
        <v>17.333870101986044</v>
      </c>
      <c r="M41" s="78">
        <f t="shared" si="10"/>
        <v>2.8772664498596696</v>
      </c>
      <c r="N41" s="89">
        <f t="shared" si="11"/>
        <v>5.6132222568717423E-2</v>
      </c>
      <c r="O41" s="78">
        <f t="shared" si="12"/>
        <v>0.57272727272727264</v>
      </c>
      <c r="P41" s="78">
        <f t="shared" si="13"/>
        <v>1.1946136582237896</v>
      </c>
      <c r="Q41" s="89">
        <f t="shared" si="14"/>
        <v>1.9508871891741244E-2</v>
      </c>
      <c r="T41" s="189" t="s">
        <v>141</v>
      </c>
      <c r="U41" s="189">
        <v>21.649000000000001</v>
      </c>
      <c r="V41" s="189">
        <v>59.89</v>
      </c>
      <c r="W41" s="189">
        <v>12.108000000000001</v>
      </c>
      <c r="X41" s="189">
        <v>6.5</v>
      </c>
      <c r="Y41" s="189">
        <v>140.71899999999999</v>
      </c>
      <c r="Z41" s="189">
        <v>22.803000000000001</v>
      </c>
      <c r="AA41" s="189">
        <v>3.93</v>
      </c>
      <c r="AB41" s="189">
        <v>2.7930000000000001</v>
      </c>
    </row>
    <row r="42" spans="1:28" ht="12" thickBot="1" x14ac:dyDescent="0.25">
      <c r="A42" s="60" t="s">
        <v>188</v>
      </c>
      <c r="B42" s="60" t="s">
        <v>187</v>
      </c>
      <c r="C42" s="60">
        <f t="shared" si="7"/>
        <v>28.385999999999999</v>
      </c>
      <c r="D42" s="60">
        <f t="shared" si="8"/>
        <v>14.015000000000001</v>
      </c>
      <c r="E42" s="60">
        <f t="shared" si="15"/>
        <v>2.2370000000000001</v>
      </c>
      <c r="F42" s="60">
        <f t="shared" si="16"/>
        <v>1.38</v>
      </c>
      <c r="G42" s="60">
        <f t="shared" si="17"/>
        <v>39.173000000000002</v>
      </c>
      <c r="H42" s="60">
        <f t="shared" si="18"/>
        <v>3.0760000000000001</v>
      </c>
      <c r="I42" s="60">
        <f t="shared" si="19"/>
        <v>0.85799999999999998</v>
      </c>
      <c r="J42" s="60">
        <f t="shared" si="20"/>
        <v>2.19</v>
      </c>
      <c r="L42" s="78">
        <f t="shared" si="9"/>
        <v>17.511399195350915</v>
      </c>
      <c r="M42" s="78">
        <f t="shared" si="10"/>
        <v>2.7950767035319299</v>
      </c>
      <c r="N42" s="89">
        <f t="shared" si="11"/>
        <v>6.1220121298608633E-2</v>
      </c>
      <c r="O42" s="78">
        <f t="shared" si="12"/>
        <v>0.62173913043478268</v>
      </c>
      <c r="P42" s="78">
        <f t="shared" si="13"/>
        <v>0.72724317295188556</v>
      </c>
      <c r="Q42" s="89">
        <f t="shared" si="14"/>
        <v>2.1902841242692671E-2</v>
      </c>
      <c r="T42" s="181" t="s">
        <v>26</v>
      </c>
      <c r="U42" s="182" t="s">
        <v>105</v>
      </c>
      <c r="V42" s="182">
        <v>12.819000000000001</v>
      </c>
      <c r="W42" s="182">
        <v>2.0739999999999998</v>
      </c>
      <c r="X42" s="182">
        <v>0.39</v>
      </c>
      <c r="Y42" s="182">
        <v>25.116</v>
      </c>
      <c r="Z42" s="183">
        <v>5.032</v>
      </c>
      <c r="AA42" s="182">
        <v>0.7</v>
      </c>
      <c r="AB42" s="185">
        <v>2.7869999999999999</v>
      </c>
    </row>
    <row r="43" spans="1:28" x14ac:dyDescent="0.2">
      <c r="A43" s="60" t="s">
        <v>190</v>
      </c>
      <c r="B43" s="60" t="s">
        <v>189</v>
      </c>
      <c r="C43" s="60">
        <f t="shared" si="7"/>
        <v>22.376999999999999</v>
      </c>
      <c r="D43" s="60">
        <f t="shared" si="8"/>
        <v>14.326000000000001</v>
      </c>
      <c r="E43" s="60">
        <f t="shared" si="15"/>
        <v>2.6789999999999998</v>
      </c>
      <c r="F43" s="60">
        <f t="shared" si="16"/>
        <v>1.73</v>
      </c>
      <c r="G43" s="60">
        <f t="shared" si="17"/>
        <v>38.712000000000003</v>
      </c>
      <c r="H43" s="60">
        <f t="shared" si="18"/>
        <v>3.8010000000000002</v>
      </c>
      <c r="I43" s="60">
        <f t="shared" si="19"/>
        <v>1.04</v>
      </c>
      <c r="J43" s="60">
        <f t="shared" si="20"/>
        <v>2.6869999999999998</v>
      </c>
      <c r="L43" s="78">
        <f t="shared" si="9"/>
        <v>14.450167973124302</v>
      </c>
      <c r="M43" s="78">
        <f t="shared" si="10"/>
        <v>2.702219740332263</v>
      </c>
      <c r="N43" s="89">
        <f t="shared" si="11"/>
        <v>7.2595281306715068E-2</v>
      </c>
      <c r="O43" s="78">
        <f t="shared" si="12"/>
        <v>0.60115606936416188</v>
      </c>
      <c r="P43" s="78">
        <f t="shared" si="13"/>
        <v>0.70481452249408039</v>
      </c>
      <c r="Q43" s="89">
        <f t="shared" si="14"/>
        <v>2.6865054763380861E-2</v>
      </c>
      <c r="T43" s="189" t="s">
        <v>192</v>
      </c>
      <c r="U43" s="189" t="s">
        <v>105</v>
      </c>
      <c r="V43" s="192">
        <v>25.847999999999999</v>
      </c>
      <c r="W43" s="189">
        <v>1.042</v>
      </c>
      <c r="X43" s="189">
        <v>-1.94</v>
      </c>
      <c r="Y43" s="189">
        <v>62.228000000000002</v>
      </c>
      <c r="Z43" s="189">
        <v>7.4329999999999998</v>
      </c>
      <c r="AA43" s="189">
        <v>1.88</v>
      </c>
      <c r="AB43" s="189">
        <v>3.0209999999999999</v>
      </c>
    </row>
    <row r="44" spans="1:28" x14ac:dyDescent="0.2">
      <c r="A44" s="60" t="s">
        <v>141</v>
      </c>
      <c r="B44" s="60" t="s">
        <v>140</v>
      </c>
      <c r="C44" s="60">
        <f t="shared" si="7"/>
        <v>21.649000000000001</v>
      </c>
      <c r="D44" s="60">
        <f t="shared" si="8"/>
        <v>59.89</v>
      </c>
      <c r="E44" s="60">
        <f t="shared" si="15"/>
        <v>12.108000000000001</v>
      </c>
      <c r="F44" s="60">
        <f t="shared" si="16"/>
        <v>6.5</v>
      </c>
      <c r="G44" s="60">
        <f t="shared" si="17"/>
        <v>140.71899999999999</v>
      </c>
      <c r="H44" s="60">
        <f t="shared" si="18"/>
        <v>22.803000000000001</v>
      </c>
      <c r="I44" s="60">
        <f t="shared" si="19"/>
        <v>3.93</v>
      </c>
      <c r="J44" s="60">
        <f t="shared" si="20"/>
        <v>2.7930000000000001</v>
      </c>
      <c r="L44" s="78">
        <f t="shared" si="9"/>
        <v>11.621985464155928</v>
      </c>
      <c r="M44" s="78">
        <f t="shared" si="10"/>
        <v>2.3496243112372683</v>
      </c>
      <c r="N44" s="89">
        <f t="shared" si="11"/>
        <v>6.5620303890465859E-2</v>
      </c>
      <c r="O44" s="78">
        <f t="shared" si="12"/>
        <v>0.60461538461538467</v>
      </c>
      <c r="P44" s="78">
        <f t="shared" si="13"/>
        <v>0.53098276542560185</v>
      </c>
      <c r="Q44" s="89">
        <f t="shared" si="14"/>
        <v>2.7927998351324274E-2</v>
      </c>
      <c r="T44" s="189" t="s">
        <v>144</v>
      </c>
      <c r="U44" s="189">
        <v>17.844999999999999</v>
      </c>
      <c r="V44" s="189">
        <v>36.436</v>
      </c>
      <c r="W44" s="189">
        <v>6.7569999999999997</v>
      </c>
      <c r="X44" s="189">
        <v>3.34</v>
      </c>
      <c r="Y44" s="189">
        <v>59.603000000000002</v>
      </c>
      <c r="Z44" s="189">
        <v>5.5990000000000002</v>
      </c>
      <c r="AA44" s="189">
        <v>2.1</v>
      </c>
      <c r="AB44" s="189">
        <v>3.5230000000000001</v>
      </c>
    </row>
    <row r="45" spans="1:28" x14ac:dyDescent="0.2">
      <c r="A45" s="60" t="s">
        <v>26</v>
      </c>
      <c r="B45" s="60" t="s">
        <v>142</v>
      </c>
      <c r="C45" s="60" t="str">
        <f t="shared" si="7"/>
        <v>NMF</v>
      </c>
      <c r="D45" s="60">
        <f t="shared" si="8"/>
        <v>12.819000000000001</v>
      </c>
      <c r="E45" s="60">
        <f t="shared" si="15"/>
        <v>2.0739999999999998</v>
      </c>
      <c r="F45" s="60">
        <f t="shared" si="16"/>
        <v>0.39</v>
      </c>
      <c r="G45" s="60">
        <f t="shared" si="17"/>
        <v>25.116</v>
      </c>
      <c r="H45" s="60">
        <f t="shared" si="18"/>
        <v>5.032</v>
      </c>
      <c r="I45" s="60">
        <f t="shared" si="19"/>
        <v>0.7</v>
      </c>
      <c r="J45" s="60">
        <f t="shared" si="20"/>
        <v>2.7869999999999999</v>
      </c>
      <c r="L45" s="78">
        <f t="shared" si="9"/>
        <v>12.109932497589201</v>
      </c>
      <c r="M45" s="78">
        <f t="shared" si="10"/>
        <v>1.9592791949450035</v>
      </c>
      <c r="N45" s="89">
        <f t="shared" si="11"/>
        <v>5.4606443560340112E-2</v>
      </c>
      <c r="O45" s="78">
        <f t="shared" si="12"/>
        <v>1.7948717948717947</v>
      </c>
      <c r="P45" s="78">
        <f t="shared" si="13"/>
        <v>0.41216216216216212</v>
      </c>
      <c r="Q45" s="89">
        <f t="shared" si="14"/>
        <v>2.7870680044593088E-2</v>
      </c>
      <c r="T45" s="189" t="s">
        <v>27</v>
      </c>
      <c r="U45" s="189">
        <v>18.323</v>
      </c>
      <c r="V45" s="189">
        <v>19.283999999999999</v>
      </c>
      <c r="W45" s="189">
        <v>3.3439999999999999</v>
      </c>
      <c r="X45" s="189">
        <v>1.92</v>
      </c>
      <c r="Y45" s="189">
        <v>35.18</v>
      </c>
      <c r="Z45" s="189">
        <v>4.1269999999999998</v>
      </c>
      <c r="AA45" s="189">
        <v>1.27</v>
      </c>
      <c r="AB45" s="189">
        <v>3.61</v>
      </c>
    </row>
    <row r="46" spans="1:28" x14ac:dyDescent="0.2">
      <c r="A46" s="60" t="s">
        <v>192</v>
      </c>
      <c r="B46" s="60" t="s">
        <v>191</v>
      </c>
      <c r="C46" s="60" t="str">
        <f t="shared" si="7"/>
        <v>NMF</v>
      </c>
      <c r="D46" s="60">
        <f t="shared" si="8"/>
        <v>25.847999999999999</v>
      </c>
      <c r="E46" s="60">
        <f t="shared" si="15"/>
        <v>1.042</v>
      </c>
      <c r="F46" s="60">
        <f t="shared" si="16"/>
        <v>-1.94</v>
      </c>
      <c r="G46" s="60">
        <f t="shared" si="17"/>
        <v>62.228000000000002</v>
      </c>
      <c r="H46" s="60">
        <f t="shared" si="18"/>
        <v>7.4329999999999998</v>
      </c>
      <c r="I46" s="60">
        <f t="shared" si="19"/>
        <v>1.88</v>
      </c>
      <c r="J46" s="60">
        <f t="shared" si="20"/>
        <v>3.0209999999999999</v>
      </c>
      <c r="L46" s="78">
        <f t="shared" si="9"/>
        <v>59.719769673704413</v>
      </c>
      <c r="M46" s="78">
        <f t="shared" si="10"/>
        <v>2.4074589910244506</v>
      </c>
      <c r="N46" s="89">
        <f t="shared" si="11"/>
        <v>7.2732900030950162E-2</v>
      </c>
      <c r="O46" s="78">
        <f t="shared" si="12"/>
        <v>-0.96907216494845361</v>
      </c>
      <c r="P46" s="78">
        <f t="shared" si="13"/>
        <v>0.14018565854971077</v>
      </c>
      <c r="Q46" s="89">
        <f t="shared" si="14"/>
        <v>3.0211480362537763E-2</v>
      </c>
      <c r="T46" s="189" t="s">
        <v>346</v>
      </c>
      <c r="U46" s="189">
        <v>23.465</v>
      </c>
      <c r="V46" s="192">
        <v>37.470999999999997</v>
      </c>
      <c r="W46" s="189">
        <v>5.96</v>
      </c>
      <c r="X46" s="189">
        <v>3.02</v>
      </c>
      <c r="Y46" s="189">
        <v>70.864999999999995</v>
      </c>
      <c r="Z46" s="189">
        <v>6.8120000000000003</v>
      </c>
      <c r="AA46" s="189">
        <v>1.68</v>
      </c>
      <c r="AB46" s="189">
        <v>2.371</v>
      </c>
    </row>
    <row r="47" spans="1:28" x14ac:dyDescent="0.2">
      <c r="A47" s="60" t="s">
        <v>144</v>
      </c>
      <c r="B47" s="60" t="s">
        <v>143</v>
      </c>
      <c r="C47" s="60">
        <f t="shared" si="7"/>
        <v>17.844999999999999</v>
      </c>
      <c r="D47" s="60">
        <f t="shared" si="8"/>
        <v>36.436</v>
      </c>
      <c r="E47" s="60">
        <f t="shared" si="15"/>
        <v>6.7569999999999997</v>
      </c>
      <c r="F47" s="60">
        <f t="shared" si="16"/>
        <v>3.34</v>
      </c>
      <c r="G47" s="60">
        <f t="shared" si="17"/>
        <v>59.603000000000002</v>
      </c>
      <c r="H47" s="60">
        <f t="shared" si="18"/>
        <v>5.5990000000000002</v>
      </c>
      <c r="I47" s="60">
        <f t="shared" si="19"/>
        <v>2.1</v>
      </c>
      <c r="J47" s="60">
        <f t="shared" si="20"/>
        <v>3.5230000000000001</v>
      </c>
      <c r="L47" s="78">
        <f t="shared" si="9"/>
        <v>8.8209264466479205</v>
      </c>
      <c r="M47" s="78">
        <f t="shared" si="10"/>
        <v>1.63582720386431</v>
      </c>
      <c r="N47" s="89">
        <f t="shared" si="11"/>
        <v>5.7635305741574272E-2</v>
      </c>
      <c r="O47" s="78">
        <f t="shared" si="12"/>
        <v>0.62874251497005995</v>
      </c>
      <c r="P47" s="78">
        <f t="shared" si="13"/>
        <v>1.2068226469012322</v>
      </c>
      <c r="Q47" s="89">
        <f t="shared" si="14"/>
        <v>3.5233125849370002E-2</v>
      </c>
      <c r="T47" s="189" t="s">
        <v>28</v>
      </c>
      <c r="U47" s="189">
        <v>22.062999999999999</v>
      </c>
      <c r="V47" s="189">
        <v>17.617000000000001</v>
      </c>
      <c r="W47" s="189">
        <v>3.7010000000000001</v>
      </c>
      <c r="X47" s="189">
        <v>1.86</v>
      </c>
      <c r="Y47" s="189">
        <v>41.036999999999999</v>
      </c>
      <c r="Z47" s="189">
        <v>3.36</v>
      </c>
      <c r="AA47" s="189">
        <v>1.28</v>
      </c>
      <c r="AB47" s="189">
        <v>3.1190000000000002</v>
      </c>
    </row>
    <row r="48" spans="1:28" x14ac:dyDescent="0.2">
      <c r="A48" s="60" t="s">
        <v>27</v>
      </c>
      <c r="B48" s="60" t="s">
        <v>145</v>
      </c>
      <c r="C48" s="60">
        <f t="shared" si="7"/>
        <v>18.323</v>
      </c>
      <c r="D48" s="60">
        <f t="shared" si="8"/>
        <v>19.283999999999999</v>
      </c>
      <c r="E48" s="60">
        <f t="shared" si="15"/>
        <v>3.3439999999999999</v>
      </c>
      <c r="F48" s="60">
        <f t="shared" si="16"/>
        <v>1.92</v>
      </c>
      <c r="G48" s="60">
        <f t="shared" si="17"/>
        <v>35.18</v>
      </c>
      <c r="H48" s="60">
        <f t="shared" si="18"/>
        <v>4.1269999999999998</v>
      </c>
      <c r="I48" s="60">
        <f t="shared" si="19"/>
        <v>1.27</v>
      </c>
      <c r="J48" s="60">
        <f t="shared" si="20"/>
        <v>3.61</v>
      </c>
      <c r="L48" s="78">
        <f t="shared" si="9"/>
        <v>10.520334928229666</v>
      </c>
      <c r="M48" s="78">
        <f t="shared" si="10"/>
        <v>1.8243103090645094</v>
      </c>
      <c r="N48" s="89">
        <f t="shared" si="11"/>
        <v>6.5857705870151426E-2</v>
      </c>
      <c r="O48" s="78">
        <f t="shared" si="12"/>
        <v>0.66145833333333337</v>
      </c>
      <c r="P48" s="78">
        <f t="shared" si="13"/>
        <v>0.81027380663920523</v>
      </c>
      <c r="Q48" s="89">
        <f t="shared" si="14"/>
        <v>3.6100056850483231E-2</v>
      </c>
      <c r="T48" s="60" t="s">
        <v>30</v>
      </c>
      <c r="U48" s="60">
        <v>18.277000000000001</v>
      </c>
      <c r="V48" s="60">
        <v>37.338000000000001</v>
      </c>
      <c r="W48" s="60">
        <v>9.0280000000000005</v>
      </c>
      <c r="X48" s="60">
        <v>3.5</v>
      </c>
      <c r="Y48" s="60">
        <v>63.969000000000001</v>
      </c>
      <c r="Z48" s="60">
        <v>10.959</v>
      </c>
      <c r="AA48" s="60">
        <v>1.55</v>
      </c>
      <c r="AB48" s="60">
        <v>2.423</v>
      </c>
    </row>
    <row r="49" spans="1:28" x14ac:dyDescent="0.2">
      <c r="A49" s="60" t="s">
        <v>346</v>
      </c>
      <c r="B49" s="60" t="s">
        <v>349</v>
      </c>
      <c r="C49" s="60">
        <f t="shared" si="7"/>
        <v>23.465</v>
      </c>
      <c r="D49" s="60">
        <f t="shared" si="8"/>
        <v>37.470999999999997</v>
      </c>
      <c r="E49" s="60">
        <f t="shared" si="15"/>
        <v>5.96</v>
      </c>
      <c r="F49" s="60">
        <f t="shared" si="16"/>
        <v>3.02</v>
      </c>
      <c r="G49" s="60">
        <f t="shared" si="17"/>
        <v>70.864999999999995</v>
      </c>
      <c r="H49" s="60">
        <f t="shared" si="18"/>
        <v>6.8120000000000003</v>
      </c>
      <c r="I49" s="60">
        <f t="shared" si="19"/>
        <v>1.68</v>
      </c>
      <c r="J49" s="60">
        <f t="shared" si="20"/>
        <v>2.371</v>
      </c>
      <c r="L49" s="78">
        <f t="shared" si="9"/>
        <v>11.890100671140939</v>
      </c>
      <c r="M49" s="78">
        <f t="shared" si="10"/>
        <v>1.8911958581302875</v>
      </c>
      <c r="N49" s="89">
        <f t="shared" si="11"/>
        <v>4.4834672146459933E-2</v>
      </c>
      <c r="O49" s="78">
        <f t="shared" si="12"/>
        <v>0.55629139072847678</v>
      </c>
      <c r="P49" s="78">
        <f t="shared" si="13"/>
        <v>0.87492660011743972</v>
      </c>
      <c r="Q49" s="89">
        <f t="shared" si="14"/>
        <v>2.3707048613560999E-2</v>
      </c>
      <c r="T49" s="60" t="s">
        <v>31</v>
      </c>
      <c r="U49" s="60">
        <v>19.280999999999999</v>
      </c>
      <c r="V49" s="60">
        <v>44.802</v>
      </c>
      <c r="W49" s="60">
        <v>9.7859999999999996</v>
      </c>
      <c r="X49" s="60">
        <v>4.43</v>
      </c>
      <c r="Y49" s="60">
        <v>85.414000000000001</v>
      </c>
      <c r="Z49" s="60">
        <v>12.804</v>
      </c>
      <c r="AA49" s="60">
        <v>2.7</v>
      </c>
      <c r="AB49" s="60">
        <v>3.161</v>
      </c>
    </row>
    <row r="50" spans="1:28" x14ac:dyDescent="0.2">
      <c r="A50" s="60" t="s">
        <v>28</v>
      </c>
      <c r="B50" s="60" t="s">
        <v>146</v>
      </c>
      <c r="C50" s="60">
        <f t="shared" si="7"/>
        <v>22.062999999999999</v>
      </c>
      <c r="D50" s="60">
        <f t="shared" si="8"/>
        <v>17.617000000000001</v>
      </c>
      <c r="E50" s="60">
        <f t="shared" si="15"/>
        <v>3.7010000000000001</v>
      </c>
      <c r="F50" s="60">
        <f t="shared" si="16"/>
        <v>1.86</v>
      </c>
      <c r="G50" s="60">
        <f t="shared" si="17"/>
        <v>41.036999999999999</v>
      </c>
      <c r="H50" s="60">
        <f t="shared" si="18"/>
        <v>3.36</v>
      </c>
      <c r="I50" s="60">
        <f t="shared" si="19"/>
        <v>1.28</v>
      </c>
      <c r="J50" s="60">
        <f t="shared" si="20"/>
        <v>3.1190000000000002</v>
      </c>
      <c r="L50" s="78">
        <f t="shared" si="9"/>
        <v>11.088084301540125</v>
      </c>
      <c r="M50" s="78">
        <f t="shared" si="10"/>
        <v>2.3293977408185276</v>
      </c>
      <c r="N50" s="89">
        <f t="shared" si="11"/>
        <v>7.2657092581029689E-2</v>
      </c>
      <c r="O50" s="78">
        <f t="shared" si="12"/>
        <v>0.68817204301075263</v>
      </c>
      <c r="P50" s="78">
        <f t="shared" si="13"/>
        <v>1.1014880952380952</v>
      </c>
      <c r="Q50" s="89">
        <f t="shared" si="14"/>
        <v>3.1191363891122648E-2</v>
      </c>
      <c r="T50" s="60" t="s">
        <v>32</v>
      </c>
      <c r="U50" s="60">
        <v>20.425999999999998</v>
      </c>
      <c r="V50" s="60">
        <v>21.283000000000001</v>
      </c>
      <c r="W50" s="60">
        <v>5.2990000000000004</v>
      </c>
      <c r="X50" s="60">
        <v>1.92</v>
      </c>
      <c r="Y50" s="60">
        <v>39.216999999999999</v>
      </c>
      <c r="Z50" s="60">
        <v>6.2830000000000004</v>
      </c>
      <c r="AA50" s="60">
        <v>0.99299999999999999</v>
      </c>
      <c r="AB50" s="60">
        <v>2.532</v>
      </c>
    </row>
    <row r="51" spans="1:28" x14ac:dyDescent="0.2">
      <c r="A51" s="60" t="s">
        <v>30</v>
      </c>
      <c r="B51" s="60" t="s">
        <v>147</v>
      </c>
      <c r="C51" s="60">
        <f t="shared" si="7"/>
        <v>18.277000000000001</v>
      </c>
      <c r="D51" s="60">
        <f t="shared" si="8"/>
        <v>37.338000000000001</v>
      </c>
      <c r="E51" s="60">
        <f t="shared" si="15"/>
        <v>9.0280000000000005</v>
      </c>
      <c r="F51" s="60">
        <f t="shared" si="16"/>
        <v>3.5</v>
      </c>
      <c r="G51" s="60">
        <f t="shared" si="17"/>
        <v>63.969000000000001</v>
      </c>
      <c r="H51" s="60">
        <f t="shared" si="18"/>
        <v>10.959</v>
      </c>
      <c r="I51" s="60">
        <f t="shared" si="19"/>
        <v>1.55</v>
      </c>
      <c r="J51" s="60">
        <f t="shared" si="20"/>
        <v>2.423</v>
      </c>
      <c r="L51" s="78">
        <f t="shared" si="9"/>
        <v>7.085622507753655</v>
      </c>
      <c r="M51" s="78">
        <f t="shared" si="10"/>
        <v>1.713241201992608</v>
      </c>
      <c r="N51" s="89">
        <f t="shared" si="11"/>
        <v>4.1512668059349722E-2</v>
      </c>
      <c r="O51" s="78">
        <f t="shared" si="12"/>
        <v>0.44285714285714289</v>
      </c>
      <c r="P51" s="78">
        <f t="shared" si="13"/>
        <v>0.82379779176932211</v>
      </c>
      <c r="Q51" s="89">
        <f t="shared" si="14"/>
        <v>2.4230486641967204E-2</v>
      </c>
      <c r="T51" s="60" t="s">
        <v>33</v>
      </c>
      <c r="U51" s="60">
        <v>20.030999999999999</v>
      </c>
      <c r="V51" s="60">
        <v>27.111000000000001</v>
      </c>
      <c r="W51" s="60">
        <v>6.1609999999999996</v>
      </c>
      <c r="X51" s="60">
        <v>2.29</v>
      </c>
      <c r="Y51" s="60">
        <v>45.872</v>
      </c>
      <c r="Z51" s="60">
        <v>5.7679999999999998</v>
      </c>
      <c r="AA51" s="60">
        <v>1.34</v>
      </c>
      <c r="AB51" s="60">
        <v>2.9209999999999998</v>
      </c>
    </row>
    <row r="52" spans="1:28" x14ac:dyDescent="0.2">
      <c r="A52" s="60" t="s">
        <v>31</v>
      </c>
      <c r="B52" s="60" t="s">
        <v>148</v>
      </c>
      <c r="C52" s="60">
        <f t="shared" si="7"/>
        <v>19.280999999999999</v>
      </c>
      <c r="D52" s="60">
        <f t="shared" si="8"/>
        <v>44.802</v>
      </c>
      <c r="E52" s="60">
        <f t="shared" si="15"/>
        <v>9.7859999999999996</v>
      </c>
      <c r="F52" s="60">
        <f t="shared" si="16"/>
        <v>4.43</v>
      </c>
      <c r="G52" s="60">
        <f t="shared" si="17"/>
        <v>85.414000000000001</v>
      </c>
      <c r="H52" s="60">
        <f t="shared" si="18"/>
        <v>12.804</v>
      </c>
      <c r="I52" s="60">
        <f t="shared" si="19"/>
        <v>2.7</v>
      </c>
      <c r="J52" s="60">
        <f t="shared" si="20"/>
        <v>3.161</v>
      </c>
      <c r="L52" s="78">
        <f t="shared" si="9"/>
        <v>8.7281831187410592</v>
      </c>
      <c r="M52" s="78">
        <f t="shared" si="10"/>
        <v>1.9064773894022589</v>
      </c>
      <c r="N52" s="89">
        <f t="shared" si="11"/>
        <v>6.0265166733627966E-2</v>
      </c>
      <c r="O52" s="78">
        <f t="shared" si="12"/>
        <v>0.60948081264108356</v>
      </c>
      <c r="P52" s="78">
        <f t="shared" si="13"/>
        <v>0.76429240862230552</v>
      </c>
      <c r="Q52" s="89">
        <f t="shared" si="14"/>
        <v>3.1610742969536615E-2</v>
      </c>
      <c r="T52" s="60" t="s">
        <v>34</v>
      </c>
      <c r="U52" s="60">
        <v>17.649999999999999</v>
      </c>
      <c r="V52" s="60">
        <v>15.519</v>
      </c>
      <c r="W52" s="60">
        <v>3.6829999999999998</v>
      </c>
      <c r="X52" s="60">
        <v>2.11</v>
      </c>
      <c r="Y52" s="60">
        <v>37.241</v>
      </c>
      <c r="Z52" s="60">
        <v>4.5179999999999998</v>
      </c>
      <c r="AA52" s="60">
        <v>1.58</v>
      </c>
      <c r="AB52" s="60">
        <v>4.2430000000000003</v>
      </c>
    </row>
    <row r="53" spans="1:28" x14ac:dyDescent="0.2">
      <c r="A53" s="60" t="s">
        <v>32</v>
      </c>
      <c r="B53" s="60" t="s">
        <v>149</v>
      </c>
      <c r="C53" s="60">
        <f t="shared" si="7"/>
        <v>20.425999999999998</v>
      </c>
      <c r="D53" s="60">
        <f t="shared" si="8"/>
        <v>21.283000000000001</v>
      </c>
      <c r="E53" s="60">
        <f t="shared" si="15"/>
        <v>5.2990000000000004</v>
      </c>
      <c r="F53" s="60">
        <f t="shared" si="16"/>
        <v>1.92</v>
      </c>
      <c r="G53" s="60">
        <f t="shared" si="17"/>
        <v>39.216999999999999</v>
      </c>
      <c r="H53" s="60">
        <f t="shared" si="18"/>
        <v>6.2830000000000004</v>
      </c>
      <c r="I53" s="60">
        <f t="shared" si="19"/>
        <v>0.99299999999999999</v>
      </c>
      <c r="J53" s="60">
        <f t="shared" si="20"/>
        <v>2.532</v>
      </c>
      <c r="L53" s="78">
        <f t="shared" si="9"/>
        <v>7.4008303453481785</v>
      </c>
      <c r="M53" s="78">
        <f t="shared" si="10"/>
        <v>1.8426443640464218</v>
      </c>
      <c r="N53" s="89">
        <f t="shared" si="11"/>
        <v>4.6656956256166893E-2</v>
      </c>
      <c r="O53" s="78">
        <f t="shared" si="12"/>
        <v>0.51718750000000002</v>
      </c>
      <c r="P53" s="78">
        <f t="shared" si="13"/>
        <v>0.84338691707782909</v>
      </c>
      <c r="Q53" s="89">
        <f t="shared" si="14"/>
        <v>2.5320651758166102E-2</v>
      </c>
      <c r="T53" s="60" t="s">
        <v>35</v>
      </c>
      <c r="U53" s="60">
        <v>16.305</v>
      </c>
      <c r="V53" s="60">
        <v>27.42</v>
      </c>
      <c r="W53" s="60">
        <v>5.3029999999999999</v>
      </c>
      <c r="X53" s="60">
        <v>2.82</v>
      </c>
      <c r="Y53" s="60">
        <v>45.978999999999999</v>
      </c>
      <c r="Z53" s="60">
        <v>8.2970000000000006</v>
      </c>
      <c r="AA53" s="60">
        <v>1.72</v>
      </c>
      <c r="AB53" s="60">
        <v>3.7410000000000001</v>
      </c>
    </row>
    <row r="54" spans="1:28" x14ac:dyDescent="0.2">
      <c r="A54" s="60" t="s">
        <v>33</v>
      </c>
      <c r="B54" s="60" t="s">
        <v>150</v>
      </c>
      <c r="C54" s="60">
        <f t="shared" si="7"/>
        <v>20.030999999999999</v>
      </c>
      <c r="D54" s="60">
        <f t="shared" si="8"/>
        <v>27.111000000000001</v>
      </c>
      <c r="E54" s="60">
        <f t="shared" si="15"/>
        <v>6.1609999999999996</v>
      </c>
      <c r="F54" s="60">
        <f t="shared" si="16"/>
        <v>2.29</v>
      </c>
      <c r="G54" s="60">
        <f t="shared" si="17"/>
        <v>45.872</v>
      </c>
      <c r="H54" s="60">
        <f t="shared" si="18"/>
        <v>5.7679999999999998</v>
      </c>
      <c r="I54" s="60">
        <f t="shared" si="19"/>
        <v>1.34</v>
      </c>
      <c r="J54" s="60">
        <f t="shared" si="20"/>
        <v>2.9209999999999998</v>
      </c>
      <c r="L54" s="78">
        <f t="shared" si="9"/>
        <v>7.4455445544554459</v>
      </c>
      <c r="M54" s="78">
        <f t="shared" si="10"/>
        <v>1.6920069344546493</v>
      </c>
      <c r="N54" s="89">
        <f t="shared" si="11"/>
        <v>4.9426432075541295E-2</v>
      </c>
      <c r="O54" s="78">
        <f t="shared" si="12"/>
        <v>0.58515283842794763</v>
      </c>
      <c r="P54" s="78">
        <f t="shared" si="13"/>
        <v>1.0681345353675451</v>
      </c>
      <c r="Q54" s="89">
        <f t="shared" si="14"/>
        <v>2.9211719567492155E-2</v>
      </c>
      <c r="T54" s="60" t="s">
        <v>194</v>
      </c>
      <c r="U54" s="60">
        <v>25.132999999999999</v>
      </c>
      <c r="V54" s="60">
        <v>8.2919999999999998</v>
      </c>
      <c r="W54" s="60">
        <v>1.7250000000000001</v>
      </c>
      <c r="X54" s="60">
        <v>0.86</v>
      </c>
      <c r="Y54" s="60">
        <v>21.614000000000001</v>
      </c>
      <c r="Z54" s="60">
        <v>2.8660000000000001</v>
      </c>
      <c r="AA54" s="60">
        <v>0.57999999999999996</v>
      </c>
      <c r="AB54" s="60">
        <v>2.6829999999999998</v>
      </c>
    </row>
    <row r="55" spans="1:28" x14ac:dyDescent="0.2">
      <c r="A55" s="60" t="s">
        <v>34</v>
      </c>
      <c r="B55" s="60" t="s">
        <v>151</v>
      </c>
      <c r="C55" s="60">
        <f t="shared" si="7"/>
        <v>17.649999999999999</v>
      </c>
      <c r="D55" s="60">
        <f t="shared" si="8"/>
        <v>15.519</v>
      </c>
      <c r="E55" s="60">
        <f t="shared" si="15"/>
        <v>3.6829999999999998</v>
      </c>
      <c r="F55" s="60">
        <f t="shared" si="16"/>
        <v>2.11</v>
      </c>
      <c r="G55" s="60">
        <f t="shared" si="17"/>
        <v>37.241</v>
      </c>
      <c r="H55" s="60">
        <f t="shared" si="18"/>
        <v>4.5179999999999998</v>
      </c>
      <c r="I55" s="60">
        <f t="shared" si="19"/>
        <v>1.58</v>
      </c>
      <c r="J55" s="60">
        <f t="shared" si="20"/>
        <v>4.2430000000000003</v>
      </c>
      <c r="L55" s="78">
        <f t="shared" si="9"/>
        <v>10.111593809394515</v>
      </c>
      <c r="M55" s="78">
        <f t="shared" si="10"/>
        <v>2.3997035891487855</v>
      </c>
      <c r="N55" s="89">
        <f t="shared" si="11"/>
        <v>0.10181068367807204</v>
      </c>
      <c r="O55" s="78">
        <f t="shared" si="12"/>
        <v>0.74881516587677732</v>
      </c>
      <c r="P55" s="78">
        <f t="shared" si="13"/>
        <v>0.81518370960602038</v>
      </c>
      <c r="Q55" s="89">
        <f t="shared" si="14"/>
        <v>4.2426358046239364E-2</v>
      </c>
      <c r="T55" s="60" t="s">
        <v>36</v>
      </c>
      <c r="U55" s="60">
        <v>14.46</v>
      </c>
      <c r="V55" s="60">
        <v>36.747999999999998</v>
      </c>
      <c r="W55" s="60">
        <v>7.35</v>
      </c>
      <c r="X55" s="60">
        <v>4.2</v>
      </c>
      <c r="Y55" s="60">
        <v>60.73</v>
      </c>
      <c r="Z55" s="60">
        <v>8.5660000000000007</v>
      </c>
      <c r="AA55" s="60">
        <v>2.4500000000000002</v>
      </c>
      <c r="AB55" s="60">
        <v>4.0339999999999998</v>
      </c>
    </row>
    <row r="56" spans="1:28" x14ac:dyDescent="0.2">
      <c r="A56" s="60" t="s">
        <v>35</v>
      </c>
      <c r="B56" s="60" t="s">
        <v>152</v>
      </c>
      <c r="C56" s="60">
        <f t="shared" si="7"/>
        <v>16.305</v>
      </c>
      <c r="D56" s="60">
        <f t="shared" si="8"/>
        <v>27.42</v>
      </c>
      <c r="E56" s="60">
        <f t="shared" si="15"/>
        <v>5.3029999999999999</v>
      </c>
      <c r="F56" s="60">
        <f t="shared" si="16"/>
        <v>2.82</v>
      </c>
      <c r="G56" s="60">
        <f t="shared" si="17"/>
        <v>45.978999999999999</v>
      </c>
      <c r="H56" s="60">
        <f t="shared" si="18"/>
        <v>8.2970000000000006</v>
      </c>
      <c r="I56" s="60">
        <f t="shared" si="19"/>
        <v>1.72</v>
      </c>
      <c r="J56" s="60">
        <f t="shared" si="20"/>
        <v>3.7410000000000001</v>
      </c>
      <c r="L56" s="78">
        <f t="shared" si="9"/>
        <v>8.6703752592871961</v>
      </c>
      <c r="M56" s="78">
        <f t="shared" si="10"/>
        <v>1.6768417213712616</v>
      </c>
      <c r="N56" s="89">
        <f t="shared" si="11"/>
        <v>6.2727935813274974E-2</v>
      </c>
      <c r="O56" s="78">
        <f t="shared" si="12"/>
        <v>0.60992907801418439</v>
      </c>
      <c r="P56" s="78">
        <f t="shared" si="13"/>
        <v>0.63914667952271897</v>
      </c>
      <c r="Q56" s="89">
        <f t="shared" si="14"/>
        <v>3.7408382087474719E-2</v>
      </c>
      <c r="T56" s="60" t="s">
        <v>37</v>
      </c>
      <c r="U56" s="60">
        <v>24.332999999999998</v>
      </c>
      <c r="V56" s="60">
        <v>50.405999999999999</v>
      </c>
      <c r="W56" s="60">
        <v>10.574999999999999</v>
      </c>
      <c r="X56" s="60">
        <v>4.63</v>
      </c>
      <c r="Y56" s="60">
        <v>112.661</v>
      </c>
      <c r="Z56" s="60">
        <v>15.711</v>
      </c>
      <c r="AA56" s="60">
        <v>3.29</v>
      </c>
      <c r="AB56" s="60">
        <v>2.92</v>
      </c>
    </row>
    <row r="57" spans="1:28" x14ac:dyDescent="0.2">
      <c r="A57" s="60" t="s">
        <v>194</v>
      </c>
      <c r="B57" s="60" t="s">
        <v>193</v>
      </c>
      <c r="C57" s="60">
        <f t="shared" si="7"/>
        <v>25.132999999999999</v>
      </c>
      <c r="D57" s="60">
        <f t="shared" si="8"/>
        <v>8.2919999999999998</v>
      </c>
      <c r="E57" s="60">
        <f t="shared" si="15"/>
        <v>1.7250000000000001</v>
      </c>
      <c r="F57" s="60">
        <f t="shared" si="16"/>
        <v>0.86</v>
      </c>
      <c r="G57" s="60">
        <f t="shared" si="17"/>
        <v>21.614000000000001</v>
      </c>
      <c r="H57" s="60">
        <f t="shared" si="18"/>
        <v>2.8660000000000001</v>
      </c>
      <c r="I57" s="60">
        <f t="shared" si="19"/>
        <v>0.57999999999999996</v>
      </c>
      <c r="J57" s="60">
        <f t="shared" si="20"/>
        <v>2.6829999999999998</v>
      </c>
      <c r="L57" s="78">
        <f t="shared" si="9"/>
        <v>12.529855072463768</v>
      </c>
      <c r="M57" s="78">
        <f t="shared" si="10"/>
        <v>2.6066087795465509</v>
      </c>
      <c r="N57" s="89">
        <f t="shared" si="11"/>
        <v>6.9946936806560542E-2</v>
      </c>
      <c r="O57" s="78">
        <f t="shared" si="12"/>
        <v>0.67441860465116277</v>
      </c>
      <c r="P57" s="78">
        <f t="shared" si="13"/>
        <v>0.60188415910676907</v>
      </c>
      <c r="Q57" s="89">
        <f t="shared" si="14"/>
        <v>2.683445914684926E-2</v>
      </c>
      <c r="T57" s="60" t="s">
        <v>196</v>
      </c>
      <c r="U57" s="60">
        <v>18.841000000000001</v>
      </c>
      <c r="V57" s="60">
        <v>22.571999999999999</v>
      </c>
      <c r="W57" s="60">
        <v>5.2380000000000004</v>
      </c>
      <c r="X57" s="60">
        <v>2.86</v>
      </c>
      <c r="Y57" s="60">
        <v>53.884999999999998</v>
      </c>
      <c r="Z57" s="60">
        <v>7.2640000000000002</v>
      </c>
      <c r="AA57" s="60">
        <v>1.04</v>
      </c>
      <c r="AB57" s="60">
        <v>1.93</v>
      </c>
    </row>
    <row r="58" spans="1:28" x14ac:dyDescent="0.2">
      <c r="A58" s="60" t="s">
        <v>36</v>
      </c>
      <c r="B58" s="60" t="s">
        <v>153</v>
      </c>
      <c r="C58" s="60">
        <f t="shared" si="7"/>
        <v>14.46</v>
      </c>
      <c r="D58" s="60">
        <f t="shared" si="8"/>
        <v>36.747999999999998</v>
      </c>
      <c r="E58" s="60">
        <f t="shared" si="15"/>
        <v>7.35</v>
      </c>
      <c r="F58" s="60">
        <f t="shared" si="16"/>
        <v>4.2</v>
      </c>
      <c r="G58" s="60">
        <f t="shared" si="17"/>
        <v>60.73</v>
      </c>
      <c r="H58" s="60">
        <f t="shared" si="18"/>
        <v>8.5660000000000007</v>
      </c>
      <c r="I58" s="60">
        <f t="shared" si="19"/>
        <v>2.4500000000000002</v>
      </c>
      <c r="J58" s="60">
        <f t="shared" si="20"/>
        <v>4.0339999999999998</v>
      </c>
      <c r="L58" s="78">
        <f t="shared" si="9"/>
        <v>8.2625850340136058</v>
      </c>
      <c r="M58" s="78">
        <f t="shared" si="10"/>
        <v>1.6526069445956242</v>
      </c>
      <c r="N58" s="89">
        <f t="shared" si="11"/>
        <v>6.6670294982039843E-2</v>
      </c>
      <c r="O58" s="78">
        <f t="shared" si="12"/>
        <v>0.58333333333333337</v>
      </c>
      <c r="P58" s="78">
        <f t="shared" si="13"/>
        <v>0.8580434275040858</v>
      </c>
      <c r="Q58" s="89">
        <f t="shared" si="14"/>
        <v>4.0342499588341844E-2</v>
      </c>
      <c r="T58" s="189" t="s">
        <v>198</v>
      </c>
      <c r="U58" s="189">
        <v>27.92</v>
      </c>
      <c r="V58" s="192">
        <v>14.99</v>
      </c>
      <c r="W58" s="189">
        <v>2.7850000000000001</v>
      </c>
      <c r="X58" s="189">
        <v>1.23</v>
      </c>
      <c r="Y58" s="189">
        <v>34.341999999999999</v>
      </c>
      <c r="Z58" s="189">
        <v>3.431</v>
      </c>
      <c r="AA58" s="189">
        <v>1.1000000000000001</v>
      </c>
      <c r="AB58" s="189">
        <v>3.2029999999999998</v>
      </c>
    </row>
    <row r="59" spans="1:28" x14ac:dyDescent="0.2">
      <c r="A59" s="60" t="s">
        <v>37</v>
      </c>
      <c r="B59" s="60" t="s">
        <v>154</v>
      </c>
      <c r="C59" s="60">
        <f t="shared" si="7"/>
        <v>24.332999999999998</v>
      </c>
      <c r="D59" s="60">
        <f t="shared" si="8"/>
        <v>50.405999999999999</v>
      </c>
      <c r="E59" s="60">
        <f t="shared" si="15"/>
        <v>10.574999999999999</v>
      </c>
      <c r="F59" s="60">
        <f t="shared" si="16"/>
        <v>4.63</v>
      </c>
      <c r="G59" s="60">
        <f t="shared" si="17"/>
        <v>112.661</v>
      </c>
      <c r="H59" s="60">
        <f t="shared" si="18"/>
        <v>15.711</v>
      </c>
      <c r="I59" s="60">
        <f t="shared" si="19"/>
        <v>3.29</v>
      </c>
      <c r="J59" s="60">
        <f t="shared" si="20"/>
        <v>2.92</v>
      </c>
      <c r="L59" s="78">
        <f t="shared" si="9"/>
        <v>10.653522458628842</v>
      </c>
      <c r="M59" s="78">
        <f t="shared" si="10"/>
        <v>2.2350712216799589</v>
      </c>
      <c r="N59" s="89">
        <f t="shared" si="11"/>
        <v>6.5270007538785063E-2</v>
      </c>
      <c r="O59" s="78">
        <f t="shared" si="12"/>
        <v>0.71058315334773225</v>
      </c>
      <c r="P59" s="78">
        <f t="shared" si="13"/>
        <v>0.6730952835592896</v>
      </c>
      <c r="Q59" s="89">
        <f t="shared" si="14"/>
        <v>2.9202652204400811E-2</v>
      </c>
      <c r="T59" s="189" t="s">
        <v>38</v>
      </c>
      <c r="U59" s="189">
        <v>15.484</v>
      </c>
      <c r="V59" s="189">
        <v>23.984999999999999</v>
      </c>
      <c r="W59" s="189">
        <v>6.6379999999999999</v>
      </c>
      <c r="X59" s="189">
        <v>3.21</v>
      </c>
      <c r="Y59" s="189">
        <v>49.704000000000001</v>
      </c>
      <c r="Z59" s="189">
        <v>7.367</v>
      </c>
      <c r="AA59" s="189">
        <v>2.2999999999999998</v>
      </c>
      <c r="AB59" s="189">
        <v>4.6269999999999998</v>
      </c>
    </row>
    <row r="60" spans="1:28" x14ac:dyDescent="0.2">
      <c r="A60" s="60" t="s">
        <v>196</v>
      </c>
      <c r="B60" s="60" t="s">
        <v>195</v>
      </c>
      <c r="C60" s="60">
        <f t="shared" si="7"/>
        <v>18.841000000000001</v>
      </c>
      <c r="D60" s="60">
        <f t="shared" si="8"/>
        <v>22.571999999999999</v>
      </c>
      <c r="E60" s="60">
        <f t="shared" si="15"/>
        <v>5.2380000000000004</v>
      </c>
      <c r="F60" s="60">
        <f t="shared" si="16"/>
        <v>2.86</v>
      </c>
      <c r="G60" s="60">
        <f t="shared" si="17"/>
        <v>53.884999999999998</v>
      </c>
      <c r="H60" s="60">
        <f t="shared" si="18"/>
        <v>7.2640000000000002</v>
      </c>
      <c r="I60" s="60">
        <f t="shared" si="19"/>
        <v>1.04</v>
      </c>
      <c r="J60" s="60">
        <f t="shared" si="20"/>
        <v>1.93</v>
      </c>
      <c r="L60" s="78">
        <f t="shared" si="9"/>
        <v>10.287323405880105</v>
      </c>
      <c r="M60" s="78">
        <f t="shared" si="10"/>
        <v>2.3872496898812687</v>
      </c>
      <c r="N60" s="89">
        <f t="shared" si="11"/>
        <v>4.6074782916888185E-2</v>
      </c>
      <c r="O60" s="78">
        <f t="shared" si="12"/>
        <v>0.36363636363636365</v>
      </c>
      <c r="P60" s="78">
        <f t="shared" si="13"/>
        <v>0.72109030837004406</v>
      </c>
      <c r="Q60" s="89">
        <f t="shared" si="14"/>
        <v>1.9300361881785286E-2</v>
      </c>
      <c r="T60" s="189" t="s">
        <v>200</v>
      </c>
      <c r="U60" s="189">
        <v>22.213999999999999</v>
      </c>
      <c r="V60" s="189">
        <v>37.737000000000002</v>
      </c>
      <c r="W60" s="189">
        <v>8.8330000000000002</v>
      </c>
      <c r="X60" s="189">
        <v>3.62</v>
      </c>
      <c r="Y60" s="189">
        <v>80.414000000000001</v>
      </c>
      <c r="Z60" s="189">
        <v>12.968</v>
      </c>
      <c r="AA60" s="189">
        <v>1.98</v>
      </c>
      <c r="AB60" s="189">
        <v>2.4620000000000002</v>
      </c>
    </row>
    <row r="61" spans="1:28" x14ac:dyDescent="0.2">
      <c r="A61" s="60" t="s">
        <v>198</v>
      </c>
      <c r="B61" s="60" t="s">
        <v>197</v>
      </c>
      <c r="C61" s="60">
        <f t="shared" si="7"/>
        <v>27.92</v>
      </c>
      <c r="D61" s="60">
        <f t="shared" si="8"/>
        <v>14.99</v>
      </c>
      <c r="E61" s="60">
        <f t="shared" si="15"/>
        <v>2.7850000000000001</v>
      </c>
      <c r="F61" s="60">
        <f t="shared" si="16"/>
        <v>1.23</v>
      </c>
      <c r="G61" s="60">
        <f t="shared" si="17"/>
        <v>34.341999999999999</v>
      </c>
      <c r="H61" s="60">
        <f t="shared" si="18"/>
        <v>3.431</v>
      </c>
      <c r="I61" s="60">
        <f t="shared" si="19"/>
        <v>1.1000000000000001</v>
      </c>
      <c r="J61" s="60">
        <f t="shared" si="20"/>
        <v>3.2029999999999998</v>
      </c>
      <c r="L61" s="78">
        <f t="shared" si="9"/>
        <v>12.331059245960502</v>
      </c>
      <c r="M61" s="78">
        <f t="shared" si="10"/>
        <v>2.2909939959973316</v>
      </c>
      <c r="N61" s="89">
        <f t="shared" si="11"/>
        <v>7.3382254836557706E-2</v>
      </c>
      <c r="O61" s="78">
        <f t="shared" si="12"/>
        <v>0.89430894308943099</v>
      </c>
      <c r="P61" s="78">
        <f t="shared" si="13"/>
        <v>0.8117167006703585</v>
      </c>
      <c r="Q61" s="89">
        <f t="shared" si="14"/>
        <v>3.2030749519538763E-2</v>
      </c>
      <c r="T61" s="60" t="s">
        <v>244</v>
      </c>
      <c r="U61" s="60">
        <v>19.82</v>
      </c>
      <c r="V61" s="60">
        <v>41.259</v>
      </c>
      <c r="W61" s="60">
        <v>6.5410000000000004</v>
      </c>
      <c r="X61" s="60">
        <v>3.43</v>
      </c>
      <c r="Y61" s="60">
        <v>67.980999999999995</v>
      </c>
      <c r="Z61" s="60">
        <v>9.077</v>
      </c>
      <c r="AA61" s="60">
        <v>2.1</v>
      </c>
      <c r="AB61" s="60">
        <v>3.089</v>
      </c>
    </row>
    <row r="62" spans="1:28" x14ac:dyDescent="0.2">
      <c r="A62" s="60" t="s">
        <v>38</v>
      </c>
      <c r="B62" s="60" t="s">
        <v>155</v>
      </c>
      <c r="C62" s="60">
        <f t="shared" si="7"/>
        <v>15.484</v>
      </c>
      <c r="D62" s="60">
        <f t="shared" si="8"/>
        <v>23.984999999999999</v>
      </c>
      <c r="E62" s="60">
        <f t="shared" si="15"/>
        <v>6.6379999999999999</v>
      </c>
      <c r="F62" s="60">
        <f t="shared" si="16"/>
        <v>3.21</v>
      </c>
      <c r="G62" s="60">
        <f t="shared" si="17"/>
        <v>49.704000000000001</v>
      </c>
      <c r="H62" s="60">
        <f t="shared" si="18"/>
        <v>7.367</v>
      </c>
      <c r="I62" s="60">
        <f t="shared" si="19"/>
        <v>2.2999999999999998</v>
      </c>
      <c r="J62" s="60">
        <f t="shared" si="20"/>
        <v>4.6269999999999998</v>
      </c>
      <c r="L62" s="78">
        <f t="shared" si="9"/>
        <v>7.4877975293763184</v>
      </c>
      <c r="M62" s="78">
        <f t="shared" si="10"/>
        <v>2.0722951844903066</v>
      </c>
      <c r="N62" s="89">
        <f t="shared" si="11"/>
        <v>9.5893266624973938E-2</v>
      </c>
      <c r="O62" s="78">
        <f t="shared" si="12"/>
        <v>0.71651090342679125</v>
      </c>
      <c r="P62" s="78">
        <f t="shared" si="13"/>
        <v>0.90104520157458934</v>
      </c>
      <c r="Q62" s="89">
        <f t="shared" si="14"/>
        <v>4.6273941735071621E-2</v>
      </c>
      <c r="T62" s="60" t="s">
        <v>202</v>
      </c>
      <c r="U62" s="60">
        <v>22.053999999999998</v>
      </c>
      <c r="V62" s="60">
        <v>5.4450000000000003</v>
      </c>
      <c r="W62" s="60">
        <v>0.97499999999999998</v>
      </c>
      <c r="X62" s="60">
        <v>0.46</v>
      </c>
      <c r="Y62" s="60">
        <v>10.145</v>
      </c>
      <c r="Z62" s="60">
        <v>0.216</v>
      </c>
      <c r="AA62" s="60">
        <v>0.42499999999999999</v>
      </c>
      <c r="AB62" s="60">
        <v>4.1890000000000001</v>
      </c>
    </row>
    <row r="63" spans="1:28" x14ac:dyDescent="0.2">
      <c r="A63" s="60" t="s">
        <v>200</v>
      </c>
      <c r="B63" s="60" t="s">
        <v>199</v>
      </c>
      <c r="C63" s="60">
        <f t="shared" si="7"/>
        <v>22.213999999999999</v>
      </c>
      <c r="D63" s="60">
        <f t="shared" si="8"/>
        <v>37.737000000000002</v>
      </c>
      <c r="E63" s="60">
        <f t="shared" si="15"/>
        <v>8.8330000000000002</v>
      </c>
      <c r="F63" s="60">
        <f t="shared" si="16"/>
        <v>3.62</v>
      </c>
      <c r="G63" s="60">
        <f t="shared" si="17"/>
        <v>80.414000000000001</v>
      </c>
      <c r="H63" s="60">
        <f t="shared" si="18"/>
        <v>12.968</v>
      </c>
      <c r="I63" s="60">
        <f t="shared" si="19"/>
        <v>1.98</v>
      </c>
      <c r="J63" s="60">
        <f t="shared" si="20"/>
        <v>2.4620000000000002</v>
      </c>
      <c r="L63" s="78">
        <f t="shared" si="9"/>
        <v>9.1038152383108795</v>
      </c>
      <c r="M63" s="78">
        <f t="shared" si="10"/>
        <v>2.1309060073667752</v>
      </c>
      <c r="N63" s="89">
        <f t="shared" si="11"/>
        <v>5.2468399713808726E-2</v>
      </c>
      <c r="O63" s="78">
        <f t="shared" si="12"/>
        <v>0.54696132596685076</v>
      </c>
      <c r="P63" s="78">
        <f t="shared" si="13"/>
        <v>0.6811381863047502</v>
      </c>
      <c r="Q63" s="89">
        <f t="shared" si="14"/>
        <v>2.4622578158032184E-2</v>
      </c>
      <c r="T63" s="60" t="s">
        <v>204</v>
      </c>
      <c r="U63" s="60">
        <v>20.84</v>
      </c>
      <c r="V63" s="60">
        <v>18.181000000000001</v>
      </c>
      <c r="W63" s="60">
        <v>4.7290000000000001</v>
      </c>
      <c r="X63" s="60">
        <v>2.29</v>
      </c>
      <c r="Y63" s="60">
        <v>47.722999999999999</v>
      </c>
      <c r="Z63" s="60">
        <v>3.6720000000000002</v>
      </c>
      <c r="AA63" s="60">
        <v>0.96</v>
      </c>
      <c r="AB63" s="60">
        <v>2.012</v>
      </c>
    </row>
    <row r="64" spans="1:28" x14ac:dyDescent="0.2">
      <c r="A64" s="60" t="s">
        <v>244</v>
      </c>
      <c r="B64" s="60" t="s">
        <v>243</v>
      </c>
      <c r="C64" s="60">
        <f t="shared" si="7"/>
        <v>19.82</v>
      </c>
      <c r="D64" s="60">
        <f t="shared" si="8"/>
        <v>41.259</v>
      </c>
      <c r="E64" s="60">
        <f t="shared" si="15"/>
        <v>6.5410000000000004</v>
      </c>
      <c r="F64" s="60">
        <f t="shared" si="16"/>
        <v>3.43</v>
      </c>
      <c r="G64" s="60">
        <f t="shared" si="17"/>
        <v>67.980999999999995</v>
      </c>
      <c r="H64" s="60">
        <f t="shared" si="18"/>
        <v>9.077</v>
      </c>
      <c r="I64" s="60">
        <f t="shared" si="19"/>
        <v>2.1</v>
      </c>
      <c r="J64" s="60">
        <f t="shared" si="20"/>
        <v>3.089</v>
      </c>
      <c r="L64" s="78">
        <f t="shared" si="9"/>
        <v>10.393059165265248</v>
      </c>
      <c r="M64" s="78">
        <f t="shared" si="10"/>
        <v>1.6476647519329115</v>
      </c>
      <c r="N64" s="89">
        <f t="shared" si="11"/>
        <v>5.0897985893986766E-2</v>
      </c>
      <c r="O64" s="78">
        <f t="shared" si="12"/>
        <v>0.61224489795918369</v>
      </c>
      <c r="P64" s="78">
        <f t="shared" si="13"/>
        <v>0.72061253718188834</v>
      </c>
      <c r="Q64" s="89">
        <f t="shared" si="14"/>
        <v>3.0890984245598038E-2</v>
      </c>
      <c r="T64" s="60" t="s">
        <v>83</v>
      </c>
      <c r="U64" s="60">
        <v>23.34</v>
      </c>
      <c r="V64" s="60">
        <v>22.719000000000001</v>
      </c>
      <c r="W64" s="60">
        <v>5.1230000000000002</v>
      </c>
      <c r="X64" s="60">
        <v>2.06</v>
      </c>
      <c r="Y64" s="60">
        <v>48.08</v>
      </c>
      <c r="Z64" s="60">
        <v>8.0519999999999996</v>
      </c>
      <c r="AA64" s="60">
        <v>1.44</v>
      </c>
      <c r="AB64" s="60">
        <v>2.9950000000000001</v>
      </c>
    </row>
    <row r="65" spans="1:28" x14ac:dyDescent="0.2">
      <c r="A65" s="60" t="s">
        <v>202</v>
      </c>
      <c r="B65" s="60" t="s">
        <v>201</v>
      </c>
      <c r="C65" s="60">
        <f t="shared" si="7"/>
        <v>22.053999999999998</v>
      </c>
      <c r="D65" s="60">
        <f t="shared" si="8"/>
        <v>5.4450000000000003</v>
      </c>
      <c r="E65" s="60">
        <f t="shared" si="15"/>
        <v>0.97499999999999998</v>
      </c>
      <c r="F65" s="60">
        <f t="shared" si="16"/>
        <v>0.46</v>
      </c>
      <c r="G65" s="60">
        <f t="shared" si="17"/>
        <v>10.145</v>
      </c>
      <c r="H65" s="60">
        <f t="shared" si="18"/>
        <v>0.216</v>
      </c>
      <c r="I65" s="60">
        <f t="shared" si="19"/>
        <v>0.42499999999999999</v>
      </c>
      <c r="J65" s="60">
        <f t="shared" si="20"/>
        <v>4.1890000000000001</v>
      </c>
      <c r="L65" s="78">
        <f t="shared" si="9"/>
        <v>10.405128205128205</v>
      </c>
      <c r="M65" s="78">
        <f t="shared" si="10"/>
        <v>1.8631772268135902</v>
      </c>
      <c r="N65" s="89">
        <f t="shared" si="11"/>
        <v>7.8053259871441683E-2</v>
      </c>
      <c r="O65" s="78">
        <f t="shared" si="12"/>
        <v>0.92391304347826075</v>
      </c>
      <c r="P65" s="78">
        <f t="shared" si="13"/>
        <v>4.5138888888888884</v>
      </c>
      <c r="Q65" s="89">
        <f t="shared" si="14"/>
        <v>4.1892557910300644E-2</v>
      </c>
      <c r="T65" s="60" t="s">
        <v>42</v>
      </c>
      <c r="U65" s="60">
        <v>23.536000000000001</v>
      </c>
      <c r="V65" s="60">
        <v>22.280999999999999</v>
      </c>
      <c r="W65" s="60">
        <v>5.93</v>
      </c>
      <c r="X65" s="60">
        <v>2.6</v>
      </c>
      <c r="Y65" s="60">
        <v>61.194000000000003</v>
      </c>
      <c r="Z65" s="60">
        <v>7.26</v>
      </c>
      <c r="AA65" s="60">
        <v>1.71</v>
      </c>
      <c r="AB65" s="60">
        <v>2.794</v>
      </c>
    </row>
    <row r="66" spans="1:28" x14ac:dyDescent="0.2">
      <c r="A66" s="60" t="s">
        <v>204</v>
      </c>
      <c r="B66" s="60" t="s">
        <v>203</v>
      </c>
      <c r="C66" s="60">
        <f t="shared" si="7"/>
        <v>20.84</v>
      </c>
      <c r="D66" s="60">
        <f t="shared" si="8"/>
        <v>18.181000000000001</v>
      </c>
      <c r="E66" s="60">
        <f t="shared" si="15"/>
        <v>4.7290000000000001</v>
      </c>
      <c r="F66" s="60">
        <f t="shared" si="16"/>
        <v>2.29</v>
      </c>
      <c r="G66" s="60">
        <f t="shared" si="17"/>
        <v>47.722999999999999</v>
      </c>
      <c r="H66" s="60">
        <f t="shared" si="18"/>
        <v>3.6720000000000002</v>
      </c>
      <c r="I66" s="60">
        <f t="shared" si="19"/>
        <v>0.96</v>
      </c>
      <c r="J66" s="60">
        <f t="shared" si="20"/>
        <v>2.012</v>
      </c>
      <c r="L66" s="78">
        <f t="shared" si="9"/>
        <v>10.091562698244871</v>
      </c>
      <c r="M66" s="78">
        <f t="shared" si="10"/>
        <v>2.6248831197403879</v>
      </c>
      <c r="N66" s="89">
        <f t="shared" si="11"/>
        <v>5.2802376106924807E-2</v>
      </c>
      <c r="O66" s="78">
        <f t="shared" si="12"/>
        <v>0.41921397379912662</v>
      </c>
      <c r="P66" s="78">
        <f t="shared" si="13"/>
        <v>1.2878540305010893</v>
      </c>
      <c r="Q66" s="89">
        <f t="shared" si="14"/>
        <v>2.0116086582989336E-2</v>
      </c>
      <c r="T66" s="60" t="s">
        <v>44</v>
      </c>
      <c r="U66" s="60">
        <v>20.012</v>
      </c>
      <c r="V66" s="60">
        <v>29.981000000000002</v>
      </c>
      <c r="W66" s="60">
        <v>5.69</v>
      </c>
      <c r="X66" s="60">
        <v>3.14</v>
      </c>
      <c r="Y66" s="60">
        <v>62.838999999999999</v>
      </c>
      <c r="Z66" s="60">
        <v>6.2089999999999996</v>
      </c>
      <c r="AA66" s="60">
        <v>2.08</v>
      </c>
      <c r="AB66" s="60">
        <v>3.31</v>
      </c>
    </row>
    <row r="67" spans="1:28" x14ac:dyDescent="0.2">
      <c r="A67" s="60" t="s">
        <v>83</v>
      </c>
      <c r="B67" s="60" t="s">
        <v>159</v>
      </c>
      <c r="C67" s="60">
        <f t="shared" ref="C67:J73" si="21">VLOOKUP($A67,$T$5:$AB$71,U$3,0)</f>
        <v>23.34</v>
      </c>
      <c r="D67" s="60">
        <f t="shared" si="21"/>
        <v>22.719000000000001</v>
      </c>
      <c r="E67" s="60">
        <f t="shared" si="21"/>
        <v>5.1230000000000002</v>
      </c>
      <c r="F67" s="60">
        <f t="shared" si="21"/>
        <v>2.06</v>
      </c>
      <c r="G67" s="60">
        <f t="shared" si="21"/>
        <v>48.08</v>
      </c>
      <c r="H67" s="60">
        <f t="shared" si="21"/>
        <v>8.0519999999999996</v>
      </c>
      <c r="I67" s="60">
        <f t="shared" si="21"/>
        <v>1.44</v>
      </c>
      <c r="J67" s="60">
        <f t="shared" si="21"/>
        <v>2.9950000000000001</v>
      </c>
      <c r="L67" s="78">
        <f>IFERROR(G67/E67,"")</f>
        <v>9.3851259027913319</v>
      </c>
      <c r="M67" s="78">
        <f>IFERROR(G67/D67,"")</f>
        <v>2.1162903296800035</v>
      </c>
      <c r="N67" s="89">
        <f>IFERROR(I67/D67,"")</f>
        <v>6.3383071438003424E-2</v>
      </c>
      <c r="O67" s="78">
        <f>IFERROR(I67/F67,"")</f>
        <v>0.69902912621359214</v>
      </c>
      <c r="P67" s="78">
        <f>IFERROR(E67/H67,"")</f>
        <v>0.63623944361649287</v>
      </c>
      <c r="Q67" s="89">
        <f>IFERROR(I67/G67,"")</f>
        <v>2.9950083194675542E-2</v>
      </c>
      <c r="T67" s="60" t="s">
        <v>20</v>
      </c>
      <c r="U67" s="60" t="s">
        <v>105</v>
      </c>
      <c r="V67" s="60">
        <v>23.02</v>
      </c>
      <c r="W67" s="60">
        <v>2.1</v>
      </c>
      <c r="X67" s="60">
        <v>-0.06</v>
      </c>
      <c r="Y67" s="200">
        <f>(34.7+26.7)/2</f>
        <v>30.700000000000003</v>
      </c>
      <c r="Z67" s="60">
        <v>2.69</v>
      </c>
      <c r="AA67" s="60">
        <v>1.1000000000000001</v>
      </c>
      <c r="AB67" s="60">
        <v>3.6</v>
      </c>
    </row>
    <row r="68" spans="1:28" x14ac:dyDescent="0.2">
      <c r="A68" s="60" t="s">
        <v>42</v>
      </c>
      <c r="B68" s="60" t="s">
        <v>156</v>
      </c>
      <c r="C68" s="60">
        <f t="shared" si="21"/>
        <v>23.536000000000001</v>
      </c>
      <c r="D68" s="60">
        <f t="shared" si="21"/>
        <v>22.280999999999999</v>
      </c>
      <c r="E68" s="60">
        <f t="shared" si="21"/>
        <v>5.93</v>
      </c>
      <c r="F68" s="60">
        <f t="shared" si="21"/>
        <v>2.6</v>
      </c>
      <c r="G68" s="60">
        <f t="shared" si="21"/>
        <v>61.194000000000003</v>
      </c>
      <c r="H68" s="60">
        <f t="shared" si="21"/>
        <v>7.26</v>
      </c>
      <c r="I68" s="60">
        <f t="shared" si="21"/>
        <v>1.71</v>
      </c>
      <c r="J68" s="60">
        <f t="shared" si="21"/>
        <v>2.794</v>
      </c>
      <c r="L68" s="78">
        <f>IFERROR(G68/E68,"")</f>
        <v>10.31939291736931</v>
      </c>
      <c r="M68" s="78">
        <f>IFERROR(G68/D68,"")</f>
        <v>2.746465598491989</v>
      </c>
      <c r="N68" s="89">
        <f>IFERROR(I68/D68,"")</f>
        <v>7.6747004173959882E-2</v>
      </c>
      <c r="O68" s="78">
        <f>IFERROR(I68/F68,"")</f>
        <v>0.65769230769230769</v>
      </c>
      <c r="P68" s="78">
        <f>IFERROR(E68/H68,"")</f>
        <v>0.8168044077134986</v>
      </c>
      <c r="Q68" s="89">
        <f>IFERROR(I68/G68,"")</f>
        <v>2.7943916070202961E-2</v>
      </c>
      <c r="T68" s="60" t="s">
        <v>43</v>
      </c>
      <c r="U68" s="60">
        <v>23.4</v>
      </c>
      <c r="V68" s="60">
        <v>27.5</v>
      </c>
      <c r="W68" s="60">
        <v>4.9000000000000004</v>
      </c>
      <c r="X68" s="60">
        <v>2.27</v>
      </c>
      <c r="Y68" s="200">
        <f>(57.3+49.2)/2</f>
        <v>53.25</v>
      </c>
      <c r="Z68" s="60">
        <v>5.38</v>
      </c>
      <c r="AA68" s="60">
        <v>1.6</v>
      </c>
      <c r="AB68" s="60">
        <v>3</v>
      </c>
    </row>
    <row r="69" spans="1:28" x14ac:dyDescent="0.2">
      <c r="A69" s="60" t="s">
        <v>44</v>
      </c>
      <c r="B69" s="60" t="s">
        <v>217</v>
      </c>
      <c r="C69" s="60">
        <f t="shared" si="21"/>
        <v>20.012</v>
      </c>
      <c r="D69" s="60">
        <f t="shared" si="21"/>
        <v>29.981000000000002</v>
      </c>
      <c r="E69" s="60">
        <f t="shared" si="21"/>
        <v>5.69</v>
      </c>
      <c r="F69" s="60">
        <f t="shared" si="21"/>
        <v>3.14</v>
      </c>
      <c r="G69" s="60">
        <f t="shared" si="21"/>
        <v>62.838999999999999</v>
      </c>
      <c r="H69" s="60">
        <f t="shared" si="21"/>
        <v>6.2089999999999996</v>
      </c>
      <c r="I69" s="60">
        <f t="shared" si="21"/>
        <v>2.08</v>
      </c>
      <c r="J69" s="60">
        <f t="shared" si="21"/>
        <v>3.31</v>
      </c>
      <c r="L69" s="78">
        <f>IFERROR(G69/E69,"")</f>
        <v>11.043760984182775</v>
      </c>
      <c r="M69" s="78">
        <f>IFERROR(G69/D69,"")</f>
        <v>2.0959607751575997</v>
      </c>
      <c r="N69" s="89">
        <f>IFERROR(I69/D69,"")</f>
        <v>6.9377272272439214E-2</v>
      </c>
      <c r="O69" s="78">
        <f>IFERROR(I69/F69,"")</f>
        <v>0.66242038216560506</v>
      </c>
      <c r="P69" s="78">
        <f>IFERROR(E69/H69,"")</f>
        <v>0.91641166049283307</v>
      </c>
      <c r="Q69" s="89">
        <f>IFERROR(I69/G69,"")</f>
        <v>3.3100463088209554E-2</v>
      </c>
      <c r="T69" s="60" t="s">
        <v>206</v>
      </c>
      <c r="U69" s="60">
        <v>25.396000000000001</v>
      </c>
      <c r="V69" s="60">
        <v>29.347000000000001</v>
      </c>
      <c r="W69" s="60">
        <v>6.1139999999999999</v>
      </c>
      <c r="X69" s="60">
        <v>3.11</v>
      </c>
      <c r="Y69" s="60">
        <v>78.983000000000004</v>
      </c>
      <c r="Z69" s="60">
        <v>10.087999999999999</v>
      </c>
      <c r="AA69" s="60">
        <v>2.02</v>
      </c>
      <c r="AB69" s="60">
        <v>2.5579999999999998</v>
      </c>
    </row>
    <row r="70" spans="1:28" x14ac:dyDescent="0.2">
      <c r="A70" s="60" t="s">
        <v>43</v>
      </c>
      <c r="B70" s="60" t="s">
        <v>157</v>
      </c>
      <c r="C70" s="60">
        <f t="shared" si="21"/>
        <v>23.4</v>
      </c>
      <c r="D70" s="60">
        <f t="shared" si="21"/>
        <v>27.5</v>
      </c>
      <c r="E70" s="60">
        <f t="shared" si="21"/>
        <v>4.9000000000000004</v>
      </c>
      <c r="F70" s="60">
        <f t="shared" si="21"/>
        <v>2.27</v>
      </c>
      <c r="G70" s="60">
        <f t="shared" si="21"/>
        <v>53.25</v>
      </c>
      <c r="H70" s="60">
        <f t="shared" si="21"/>
        <v>5.38</v>
      </c>
      <c r="I70" s="60">
        <f t="shared" si="21"/>
        <v>1.6</v>
      </c>
      <c r="J70" s="60">
        <f t="shared" si="21"/>
        <v>3</v>
      </c>
      <c r="L70" s="78">
        <f>IFERROR(G70/E70,"")</f>
        <v>10.86734693877551</v>
      </c>
      <c r="M70" s="78">
        <f>IFERROR(G70/D70,"")</f>
        <v>1.9363636363636363</v>
      </c>
      <c r="N70" s="89">
        <f>IFERROR(I70/D70,"")</f>
        <v>5.8181818181818182E-2</v>
      </c>
      <c r="O70" s="78">
        <f>IFERROR(I70/F70,"")</f>
        <v>0.70484581497797361</v>
      </c>
      <c r="P70" s="78">
        <f>IFERROR(E70/H70,"")</f>
        <v>0.91078066914498146</v>
      </c>
      <c r="Q70" s="89">
        <f>IFERROR(I70/G70,"")</f>
        <v>3.0046948356807514E-2</v>
      </c>
      <c r="T70" s="60" t="s">
        <v>45</v>
      </c>
      <c r="U70" s="60">
        <v>20.196999999999999</v>
      </c>
      <c r="V70" s="60">
        <v>22.56</v>
      </c>
      <c r="W70" s="60">
        <v>5.4649999999999999</v>
      </c>
      <c r="X70" s="60">
        <v>2.2999999999999998</v>
      </c>
      <c r="Y70" s="60">
        <v>46.453000000000003</v>
      </c>
      <c r="Z70" s="60">
        <v>6.5369999999999999</v>
      </c>
      <c r="AA70" s="60">
        <v>1.44</v>
      </c>
      <c r="AB70" s="60">
        <v>3.1</v>
      </c>
    </row>
    <row r="71" spans="1:28" x14ac:dyDescent="0.2">
      <c r="A71" s="60" t="s">
        <v>206</v>
      </c>
      <c r="B71" s="60" t="s">
        <v>205</v>
      </c>
      <c r="C71" s="60">
        <f t="shared" si="21"/>
        <v>25.396000000000001</v>
      </c>
      <c r="D71" s="60">
        <f t="shared" si="21"/>
        <v>29.347000000000001</v>
      </c>
      <c r="E71" s="60">
        <f t="shared" si="21"/>
        <v>6.1139999999999999</v>
      </c>
      <c r="F71" s="60">
        <f t="shared" si="21"/>
        <v>3.11</v>
      </c>
      <c r="G71" s="60">
        <f t="shared" si="21"/>
        <v>78.983000000000004</v>
      </c>
      <c r="H71" s="60">
        <f t="shared" si="21"/>
        <v>10.087999999999999</v>
      </c>
      <c r="I71" s="60">
        <f t="shared" si="21"/>
        <v>2.02</v>
      </c>
      <c r="J71" s="60">
        <f t="shared" si="21"/>
        <v>2.5579999999999998</v>
      </c>
      <c r="L71" s="78">
        <f t="shared" ref="L71:L72" si="22">IFERROR(G71/E71,"")</f>
        <v>12.918384036637226</v>
      </c>
      <c r="M71" s="78">
        <f t="shared" ref="M71:M72" si="23">IFERROR(G71/D71,"")</f>
        <v>2.6913483490646404</v>
      </c>
      <c r="N71" s="89">
        <f t="shared" ref="N71:N72" si="24">IFERROR(I71/D71,"")</f>
        <v>6.8831567110777925E-2</v>
      </c>
      <c r="O71" s="78">
        <f t="shared" ref="O71:O72" si="25">IFERROR(I71/F71,"")</f>
        <v>0.64951768488745987</v>
      </c>
      <c r="P71" s="78">
        <f t="shared" ref="P71:P72" si="26">IFERROR(E71/H71,"")</f>
        <v>0.60606661379857263</v>
      </c>
      <c r="Q71" s="89">
        <f t="shared" ref="Q71:Q73" si="27">IFERROR(I71/G71,"")</f>
        <v>2.5575123760809285E-2</v>
      </c>
      <c r="T71" s="60" t="s">
        <v>208</v>
      </c>
      <c r="U71" s="60">
        <v>34.625</v>
      </c>
      <c r="V71" s="60">
        <v>9.2759999999999998</v>
      </c>
      <c r="W71" s="60">
        <v>1.534</v>
      </c>
      <c r="X71" s="60">
        <v>1.01</v>
      </c>
      <c r="Y71" s="60">
        <v>34.970999999999997</v>
      </c>
      <c r="Z71" s="60">
        <v>1.948</v>
      </c>
      <c r="AA71" s="60">
        <v>0.65</v>
      </c>
      <c r="AB71" s="60">
        <v>1.859</v>
      </c>
    </row>
    <row r="72" spans="1:28" x14ac:dyDescent="0.2">
      <c r="A72" s="60" t="s">
        <v>45</v>
      </c>
      <c r="B72" s="60" t="s">
        <v>158</v>
      </c>
      <c r="C72" s="60">
        <f t="shared" si="21"/>
        <v>20.196999999999999</v>
      </c>
      <c r="D72" s="60">
        <f t="shared" si="21"/>
        <v>22.56</v>
      </c>
      <c r="E72" s="60">
        <f t="shared" si="21"/>
        <v>5.4649999999999999</v>
      </c>
      <c r="F72" s="60">
        <f t="shared" si="21"/>
        <v>2.2999999999999998</v>
      </c>
      <c r="G72" s="60">
        <f t="shared" si="21"/>
        <v>46.453000000000003</v>
      </c>
      <c r="H72" s="60">
        <f t="shared" si="21"/>
        <v>6.5369999999999999</v>
      </c>
      <c r="I72" s="60">
        <f t="shared" si="21"/>
        <v>1.44</v>
      </c>
      <c r="J72" s="60">
        <f t="shared" si="21"/>
        <v>3.1</v>
      </c>
      <c r="L72" s="78">
        <f t="shared" si="22"/>
        <v>8.5000914913083268</v>
      </c>
      <c r="M72" s="78">
        <f t="shared" si="23"/>
        <v>2.0590868794326243</v>
      </c>
      <c r="N72" s="89">
        <f t="shared" si="24"/>
        <v>6.3829787234042548E-2</v>
      </c>
      <c r="O72" s="78">
        <f t="shared" si="25"/>
        <v>0.62608695652173918</v>
      </c>
      <c r="P72" s="78">
        <f t="shared" si="26"/>
        <v>0.83601040232522561</v>
      </c>
      <c r="Q72" s="89">
        <f t="shared" si="27"/>
        <v>3.0999074333196992E-2</v>
      </c>
    </row>
    <row r="73" spans="1:28" x14ac:dyDescent="0.2">
      <c r="A73" s="60" t="s">
        <v>208</v>
      </c>
      <c r="B73" s="60" t="s">
        <v>207</v>
      </c>
      <c r="C73" s="60">
        <f t="shared" si="21"/>
        <v>34.625</v>
      </c>
      <c r="D73" s="60">
        <f t="shared" si="21"/>
        <v>9.2759999999999998</v>
      </c>
      <c r="E73" s="60">
        <f t="shared" si="21"/>
        <v>1.534</v>
      </c>
      <c r="F73" s="60">
        <f t="shared" si="21"/>
        <v>1.01</v>
      </c>
      <c r="G73" s="60">
        <f t="shared" si="21"/>
        <v>34.970999999999997</v>
      </c>
      <c r="H73" s="60">
        <f t="shared" si="21"/>
        <v>1.948</v>
      </c>
      <c r="I73" s="60">
        <f t="shared" si="21"/>
        <v>0.65</v>
      </c>
      <c r="J73" s="60">
        <f t="shared" si="21"/>
        <v>1.859</v>
      </c>
      <c r="L73" s="78">
        <f t="shared" ref="L73" si="28">IFERROR(G73/E73,"")</f>
        <v>22.797262059973921</v>
      </c>
      <c r="M73" s="78">
        <f t="shared" ref="M73" si="29">IFERROR(G73/D73,"")</f>
        <v>3.7700517464424319</v>
      </c>
      <c r="N73" s="89">
        <f t="shared" ref="N73" si="30">IFERROR(I73/D73,"")</f>
        <v>7.0073307460112116E-2</v>
      </c>
      <c r="O73" s="78">
        <f t="shared" ref="O73" si="31">IFERROR(I73/F73,"")</f>
        <v>0.64356435643564358</v>
      </c>
      <c r="P73" s="78">
        <f t="shared" ref="P73" si="32">IFERROR(E73/H73,"")</f>
        <v>0.78747433264887068</v>
      </c>
      <c r="Q73" s="89">
        <f t="shared" si="27"/>
        <v>1.8586829086957767E-2</v>
      </c>
    </row>
  </sheetData>
  <autoFilter ref="A4:AB75"/>
  <pageMargins left="0.7" right="0.7" top="0.75" bottom="0.75" header="0.3" footer="0.3"/>
  <pageSetup scale="31" fitToHeight="0" orientation="landscape" r:id="rId1"/>
  <headerFooter>
    <oddHeader>&amp;R&amp;A
&amp;P/&amp;N</oddHeader>
    <oddFooter>&amp;R&amp;A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pageSetUpPr fitToPage="1"/>
  </sheetPr>
  <dimension ref="A1:S73"/>
  <sheetViews>
    <sheetView workbookViewId="0">
      <selection activeCell="A9" sqref="A9:C9"/>
    </sheetView>
  </sheetViews>
  <sheetFormatPr defaultColWidth="8.75" defaultRowHeight="11.25" x14ac:dyDescent="0.2"/>
  <cols>
    <col min="1" max="1" width="8.75" style="60"/>
    <col min="2" max="2" width="17.375" style="60" bestFit="1" customWidth="1"/>
    <col min="3" max="3" width="6.875" style="60" customWidth="1"/>
    <col min="4" max="4" width="7.875" style="60" customWidth="1"/>
    <col min="5" max="7" width="6.875" style="60" customWidth="1"/>
    <col min="8" max="8" width="7.625" style="60" customWidth="1"/>
    <col min="9" max="10" width="6.875" style="60" customWidth="1"/>
    <col min="11" max="11" width="2.375" style="60" bestFit="1" customWidth="1"/>
    <col min="12" max="12" width="4.75" style="60" bestFit="1" customWidth="1"/>
    <col min="13" max="13" width="4.875" style="60" bestFit="1" customWidth="1"/>
    <col min="14" max="14" width="5.875" style="60" customWidth="1"/>
    <col min="15" max="15" width="6.25" style="60" bestFit="1" customWidth="1"/>
    <col min="16" max="16" width="5.25" style="60" bestFit="1" customWidth="1"/>
    <col min="17" max="16384" width="8.75" style="60"/>
  </cols>
  <sheetData>
    <row r="1" spans="1:19" x14ac:dyDescent="0.2">
      <c r="A1" s="72">
        <v>42907</v>
      </c>
      <c r="B1" s="60" t="s">
        <v>317</v>
      </c>
    </row>
    <row r="2" spans="1:19" ht="45" x14ac:dyDescent="0.2">
      <c r="A2" s="84">
        <f>COUNTA(A5:A300)</f>
        <v>69</v>
      </c>
      <c r="C2" s="73" t="s">
        <v>332</v>
      </c>
      <c r="D2" s="73" t="s">
        <v>334</v>
      </c>
      <c r="E2" s="73" t="s">
        <v>336</v>
      </c>
      <c r="F2" s="73" t="s">
        <v>338</v>
      </c>
      <c r="G2" s="73" t="s">
        <v>333</v>
      </c>
      <c r="H2" s="73" t="s">
        <v>335</v>
      </c>
      <c r="I2" s="73" t="s">
        <v>337</v>
      </c>
      <c r="J2" s="73" t="s">
        <v>339</v>
      </c>
      <c r="K2" s="59"/>
      <c r="L2" s="59"/>
      <c r="M2" s="59"/>
      <c r="N2" s="59"/>
      <c r="O2" s="59"/>
      <c r="P2" s="59"/>
    </row>
    <row r="3" spans="1:19" x14ac:dyDescent="0.2">
      <c r="A3" s="84">
        <v>1</v>
      </c>
      <c r="B3" s="60">
        <v>2</v>
      </c>
      <c r="C3" s="73">
        <v>3</v>
      </c>
      <c r="D3" s="84">
        <v>4</v>
      </c>
      <c r="E3" s="60">
        <v>5</v>
      </c>
      <c r="F3" s="73">
        <v>6</v>
      </c>
      <c r="G3" s="84">
        <v>7</v>
      </c>
      <c r="H3" s="60">
        <v>8</v>
      </c>
      <c r="I3" s="73">
        <v>9</v>
      </c>
      <c r="J3" s="84">
        <v>10</v>
      </c>
      <c r="K3" s="60">
        <v>11</v>
      </c>
      <c r="L3" s="73">
        <v>12</v>
      </c>
      <c r="M3" s="84">
        <v>13</v>
      </c>
      <c r="N3" s="60">
        <v>14</v>
      </c>
      <c r="O3" s="73">
        <v>15</v>
      </c>
      <c r="P3" s="84">
        <v>16</v>
      </c>
      <c r="Q3" s="60">
        <v>17</v>
      </c>
    </row>
    <row r="4" spans="1:19" ht="33.75" x14ac:dyDescent="0.2">
      <c r="A4" s="81" t="s">
        <v>118</v>
      </c>
      <c r="B4" s="81" t="s">
        <v>117</v>
      </c>
      <c r="C4" s="81" t="s">
        <v>308</v>
      </c>
      <c r="D4" s="81" t="s">
        <v>309</v>
      </c>
      <c r="E4" s="81" t="s">
        <v>310</v>
      </c>
      <c r="F4" s="81" t="s">
        <v>311</v>
      </c>
      <c r="G4" s="81" t="s">
        <v>312</v>
      </c>
      <c r="H4" s="81" t="s">
        <v>313</v>
      </c>
      <c r="I4" s="81" t="s">
        <v>314</v>
      </c>
      <c r="J4" s="81" t="s">
        <v>331</v>
      </c>
      <c r="L4" s="88" t="s">
        <v>114</v>
      </c>
      <c r="M4" s="88" t="s">
        <v>245</v>
      </c>
      <c r="N4" s="88" t="s">
        <v>351</v>
      </c>
      <c r="O4" s="88" t="s">
        <v>325</v>
      </c>
      <c r="P4" s="88" t="s">
        <v>326</v>
      </c>
      <c r="Q4" s="88" t="s">
        <v>362</v>
      </c>
    </row>
    <row r="5" spans="1:19" x14ac:dyDescent="0.2">
      <c r="A5" s="60" t="s">
        <v>163</v>
      </c>
      <c r="B5" s="60" t="s">
        <v>162</v>
      </c>
      <c r="C5" s="60">
        <v>61.71</v>
      </c>
      <c r="D5" s="60">
        <v>35.872999999999998</v>
      </c>
      <c r="E5" s="60">
        <v>5.0510000000000002</v>
      </c>
      <c r="F5" s="60">
        <v>0.6</v>
      </c>
      <c r="G5" s="60">
        <v>37.026000000000003</v>
      </c>
      <c r="H5" s="60">
        <v>2.0110000000000001</v>
      </c>
      <c r="I5" s="60">
        <v>0.88</v>
      </c>
      <c r="J5" s="60">
        <v>2.3769999999999998</v>
      </c>
      <c r="S5" s="60" t="b">
        <f>F5=EPS!C4</f>
        <v>1</v>
      </c>
    </row>
    <row r="6" spans="1:19" x14ac:dyDescent="0.2">
      <c r="A6" s="60" t="s">
        <v>0</v>
      </c>
      <c r="B6" s="60" t="s">
        <v>119</v>
      </c>
      <c r="C6" s="60">
        <v>18.632000000000001</v>
      </c>
      <c r="D6" s="60">
        <v>38.164999999999999</v>
      </c>
      <c r="E6" s="60">
        <v>7.0789999999999997</v>
      </c>
      <c r="F6" s="60">
        <v>3.14</v>
      </c>
      <c r="G6" s="60">
        <v>58.503999999999998</v>
      </c>
      <c r="H6" s="60">
        <v>5.3550000000000004</v>
      </c>
      <c r="I6" s="60">
        <v>2.08</v>
      </c>
      <c r="J6" s="60">
        <v>3.5550000000000002</v>
      </c>
      <c r="L6" s="78">
        <f>IFERROR(G6/E6,"")</f>
        <v>8.2644441305269112</v>
      </c>
      <c r="M6" s="78">
        <f>IFERROR(G6/D6,"")</f>
        <v>1.5329228350582995</v>
      </c>
      <c r="N6" s="89">
        <f>IFERROR(I6/D6,"")</f>
        <v>5.4500196515131667E-2</v>
      </c>
      <c r="O6" s="78">
        <f>IFERROR(I6/F6,"")</f>
        <v>0.66242038216560506</v>
      </c>
      <c r="P6" s="78">
        <f>IFERROR(E6/H6,"")</f>
        <v>1.321942110177404</v>
      </c>
      <c r="Q6" s="89">
        <f>IFERROR(I6/G6,"")</f>
        <v>3.5553124572678792E-2</v>
      </c>
      <c r="S6" s="60" t="b">
        <f>F6=EPS!C5</f>
        <v>1</v>
      </c>
    </row>
    <row r="7" spans="1:19" x14ac:dyDescent="0.2">
      <c r="A7" s="60" t="s">
        <v>1</v>
      </c>
      <c r="B7" s="60" t="s">
        <v>120</v>
      </c>
      <c r="C7" s="60">
        <v>22.303999999999998</v>
      </c>
      <c r="D7" s="60">
        <v>16.963000000000001</v>
      </c>
      <c r="E7" s="60">
        <v>3.45</v>
      </c>
      <c r="F7" s="60">
        <v>1.65</v>
      </c>
      <c r="G7" s="60">
        <v>36.801000000000002</v>
      </c>
      <c r="I7" s="60">
        <v>1.18</v>
      </c>
      <c r="J7" s="60">
        <v>3.206</v>
      </c>
      <c r="L7" s="78">
        <f t="shared" ref="L7:L70" si="0">IFERROR(G7/E7,"")</f>
        <v>10.666956521739131</v>
      </c>
      <c r="M7" s="78">
        <f t="shared" ref="M7:M70" si="1">IFERROR(G7/D7,"")</f>
        <v>2.1694865295053942</v>
      </c>
      <c r="N7" s="89">
        <f t="shared" ref="N7:N70" si="2">IFERROR(I7/D7,"")</f>
        <v>6.9563166892648701E-2</v>
      </c>
      <c r="O7" s="78">
        <f t="shared" ref="O7:O70" si="3">IFERROR(I7/F7,"")</f>
        <v>0.7151515151515152</v>
      </c>
      <c r="P7" s="78" t="str">
        <f t="shared" ref="P7:P70" si="4">IFERROR(E7/H7,"")</f>
        <v/>
      </c>
      <c r="Q7" s="89">
        <f t="shared" ref="Q7:Q70" si="5">IFERROR(I7/G7,"")</f>
        <v>3.2064346077552236E-2</v>
      </c>
      <c r="S7" s="60" t="b">
        <f>F7=EPS!C6</f>
        <v>1</v>
      </c>
    </row>
    <row r="8" spans="1:19" x14ac:dyDescent="0.2">
      <c r="A8" s="60" t="s">
        <v>2</v>
      </c>
      <c r="B8" s="60" t="s">
        <v>121</v>
      </c>
      <c r="C8" s="60">
        <v>15.157</v>
      </c>
      <c r="D8" s="60">
        <v>35.380000000000003</v>
      </c>
      <c r="E8" s="60">
        <v>8.4689999999999994</v>
      </c>
      <c r="F8" s="60">
        <v>4.2300000000000004</v>
      </c>
      <c r="G8" s="60">
        <v>64.116</v>
      </c>
      <c r="H8" s="60">
        <v>9.9849999999999994</v>
      </c>
      <c r="I8" s="60">
        <v>2.27</v>
      </c>
      <c r="J8" s="60">
        <v>3.54</v>
      </c>
      <c r="L8" s="78">
        <f t="shared" si="0"/>
        <v>7.5706695005313502</v>
      </c>
      <c r="M8" s="78">
        <f t="shared" si="1"/>
        <v>1.8122102882984736</v>
      </c>
      <c r="N8" s="89">
        <f t="shared" si="2"/>
        <v>6.4160542679479932E-2</v>
      </c>
      <c r="O8" s="78">
        <f t="shared" si="3"/>
        <v>0.53664302600472813</v>
      </c>
      <c r="P8" s="78">
        <f t="shared" si="4"/>
        <v>0.84817225838758137</v>
      </c>
      <c r="Q8" s="89">
        <f t="shared" si="5"/>
        <v>3.540457920019964E-2</v>
      </c>
      <c r="S8" s="60" t="b">
        <f>F8=EPS!C7</f>
        <v>1</v>
      </c>
    </row>
    <row r="9" spans="1:19" x14ac:dyDescent="0.2">
      <c r="A9" s="60" t="s">
        <v>165</v>
      </c>
      <c r="B9" s="60" t="s">
        <v>164</v>
      </c>
      <c r="C9" s="60">
        <v>25.593</v>
      </c>
      <c r="D9" s="60">
        <v>13.516</v>
      </c>
      <c r="E9" s="60">
        <v>2.7029999999999998</v>
      </c>
      <c r="F9" s="60">
        <v>1.62</v>
      </c>
      <c r="G9" s="60">
        <v>41.460999999999999</v>
      </c>
      <c r="H9" s="60">
        <v>3.5510000000000002</v>
      </c>
      <c r="I9" s="60">
        <v>0.91400000000000003</v>
      </c>
      <c r="J9" s="60">
        <v>2.2040000000000002</v>
      </c>
      <c r="L9" s="78">
        <f t="shared" si="0"/>
        <v>15.338882722900481</v>
      </c>
      <c r="M9" s="78">
        <f t="shared" si="1"/>
        <v>3.067549570878958</v>
      </c>
      <c r="N9" s="89">
        <f t="shared" si="2"/>
        <v>6.7623557265463152E-2</v>
      </c>
      <c r="O9" s="78">
        <f t="shared" si="3"/>
        <v>0.56419753086419755</v>
      </c>
      <c r="P9" s="78">
        <f t="shared" si="4"/>
        <v>0.76119402985074625</v>
      </c>
      <c r="Q9" s="89">
        <f t="shared" si="5"/>
        <v>2.204481319794506E-2</v>
      </c>
      <c r="S9" s="60" t="b">
        <f>F9=EPS!C8</f>
        <v>1</v>
      </c>
    </row>
    <row r="10" spans="1:19" x14ac:dyDescent="0.2">
      <c r="A10" s="60" t="s">
        <v>167</v>
      </c>
      <c r="B10" s="60" t="s">
        <v>166</v>
      </c>
      <c r="C10" s="60">
        <v>27.710999999999999</v>
      </c>
      <c r="D10" s="60">
        <v>29.242999999999999</v>
      </c>
      <c r="E10" s="60">
        <v>5.2610000000000001</v>
      </c>
      <c r="F10" s="60">
        <v>2.62</v>
      </c>
      <c r="G10" s="60">
        <v>72.603999999999999</v>
      </c>
      <c r="H10" s="60">
        <v>7.3609999999999998</v>
      </c>
      <c r="I10" s="60">
        <v>1.47</v>
      </c>
      <c r="J10" s="60">
        <v>2.0249999999999999</v>
      </c>
      <c r="L10" s="78">
        <f t="shared" si="0"/>
        <v>13.800418171450294</v>
      </c>
      <c r="M10" s="78">
        <f t="shared" si="1"/>
        <v>2.4827822042882057</v>
      </c>
      <c r="N10" s="89">
        <f t="shared" si="2"/>
        <v>5.0268440310501657E-2</v>
      </c>
      <c r="O10" s="78">
        <f t="shared" si="3"/>
        <v>0.56106870229007633</v>
      </c>
      <c r="P10" s="78">
        <f t="shared" si="4"/>
        <v>0.71471267490830059</v>
      </c>
      <c r="Q10" s="89">
        <f t="shared" si="5"/>
        <v>2.0246818357115309E-2</v>
      </c>
      <c r="S10" s="60" t="b">
        <f>F10=EPS!C9</f>
        <v>1</v>
      </c>
    </row>
    <row r="11" spans="1:19" x14ac:dyDescent="0.2">
      <c r="A11" s="60" t="s">
        <v>3</v>
      </c>
      <c r="B11" s="60" t="s">
        <v>122</v>
      </c>
      <c r="C11" s="60">
        <v>18.294</v>
      </c>
      <c r="D11" s="60">
        <v>29.274000000000001</v>
      </c>
      <c r="E11" s="60">
        <v>6.5860000000000003</v>
      </c>
      <c r="F11" s="60">
        <v>2.68</v>
      </c>
      <c r="G11" s="60">
        <v>49.027999999999999</v>
      </c>
      <c r="H11" s="60">
        <v>8.7829999999999995</v>
      </c>
      <c r="I11" s="60">
        <v>1.7150000000000001</v>
      </c>
      <c r="J11" s="60">
        <v>3.4980000000000002</v>
      </c>
      <c r="L11" s="78">
        <f t="shared" si="0"/>
        <v>7.4442757364105674</v>
      </c>
      <c r="M11" s="78">
        <f t="shared" si="1"/>
        <v>1.6747967479674797</v>
      </c>
      <c r="N11" s="89">
        <f t="shared" si="2"/>
        <v>5.8584409373505501E-2</v>
      </c>
      <c r="O11" s="78">
        <f t="shared" si="3"/>
        <v>0.6399253731343284</v>
      </c>
      <c r="P11" s="78">
        <f t="shared" si="4"/>
        <v>0.74985767960833438</v>
      </c>
      <c r="Q11" s="89">
        <f t="shared" si="5"/>
        <v>3.498001142204455E-2</v>
      </c>
      <c r="S11" s="60" t="b">
        <f>F11=EPS!C10</f>
        <v>1</v>
      </c>
    </row>
    <row r="12" spans="1:19" x14ac:dyDescent="0.2">
      <c r="A12" s="60" t="s">
        <v>169</v>
      </c>
      <c r="B12" s="60" t="s">
        <v>168</v>
      </c>
      <c r="C12" s="60">
        <v>23.855</v>
      </c>
      <c r="D12" s="60">
        <v>10.592000000000001</v>
      </c>
      <c r="E12" s="60">
        <v>4.2720000000000002</v>
      </c>
      <c r="F12" s="60">
        <v>1.77</v>
      </c>
      <c r="G12" s="60">
        <v>42.222999999999999</v>
      </c>
      <c r="H12" s="60">
        <v>1.0940000000000001</v>
      </c>
      <c r="I12" s="60">
        <v>3.72</v>
      </c>
      <c r="J12" s="60">
        <v>8.81</v>
      </c>
      <c r="L12" s="78">
        <f t="shared" si="0"/>
        <v>9.8836610486891381</v>
      </c>
      <c r="M12" s="78">
        <f t="shared" si="1"/>
        <v>3.9863104229607247</v>
      </c>
      <c r="N12" s="89">
        <f t="shared" si="2"/>
        <v>0.3512084592145015</v>
      </c>
      <c r="O12" s="78">
        <f t="shared" si="3"/>
        <v>2.1016949152542375</v>
      </c>
      <c r="P12" s="78">
        <f t="shared" si="4"/>
        <v>3.9049360146252283</v>
      </c>
      <c r="Q12" s="89">
        <f t="shared" si="5"/>
        <v>8.810364019610166E-2</v>
      </c>
      <c r="S12" s="60" t="b">
        <f>F12=EPS!C11</f>
        <v>1</v>
      </c>
    </row>
    <row r="13" spans="1:19" x14ac:dyDescent="0.2">
      <c r="A13" s="60" t="s">
        <v>171</v>
      </c>
      <c r="B13" s="60" t="s">
        <v>170</v>
      </c>
      <c r="C13" s="60">
        <v>23.863</v>
      </c>
      <c r="D13" s="60">
        <v>10.429</v>
      </c>
      <c r="E13" s="60">
        <v>2.0699999999999998</v>
      </c>
      <c r="F13" s="60">
        <v>1.32</v>
      </c>
      <c r="G13" s="60">
        <v>31.498999999999999</v>
      </c>
      <c r="H13" s="60">
        <v>2.1589999999999998</v>
      </c>
      <c r="I13" s="60">
        <v>0.74</v>
      </c>
      <c r="J13" s="60">
        <v>2.3490000000000002</v>
      </c>
      <c r="L13" s="78">
        <f t="shared" si="0"/>
        <v>15.216908212560387</v>
      </c>
      <c r="M13" s="78">
        <f t="shared" si="1"/>
        <v>3.0203279317288327</v>
      </c>
      <c r="N13" s="89">
        <f t="shared" si="2"/>
        <v>7.0955988110077667E-2</v>
      </c>
      <c r="O13" s="78">
        <f t="shared" si="3"/>
        <v>0.56060606060606055</v>
      </c>
      <c r="P13" s="78">
        <f t="shared" si="4"/>
        <v>0.95877721167207042</v>
      </c>
      <c r="Q13" s="89">
        <f t="shared" si="5"/>
        <v>2.3492809295533192E-2</v>
      </c>
      <c r="S13" s="60" t="b">
        <f>F13=EPS!C12</f>
        <v>1</v>
      </c>
    </row>
    <row r="14" spans="1:19" x14ac:dyDescent="0.2">
      <c r="A14" s="60" t="s">
        <v>173</v>
      </c>
      <c r="B14" s="60" t="s">
        <v>172</v>
      </c>
      <c r="C14" s="60">
        <v>20.856000000000002</v>
      </c>
      <c r="D14" s="60">
        <v>15.231999999999999</v>
      </c>
      <c r="E14" s="60">
        <v>2.4260000000000002</v>
      </c>
      <c r="F14" s="60">
        <v>1.41</v>
      </c>
      <c r="G14" s="60">
        <v>29.407</v>
      </c>
      <c r="H14" s="60">
        <v>3.0950000000000002</v>
      </c>
      <c r="I14" s="60">
        <v>0.9</v>
      </c>
      <c r="J14" s="60">
        <v>3.06</v>
      </c>
      <c r="L14" s="78">
        <f t="shared" si="0"/>
        <v>12.121599340478152</v>
      </c>
      <c r="M14" s="78">
        <f t="shared" si="1"/>
        <v>1.9306066176470589</v>
      </c>
      <c r="N14" s="89">
        <f t="shared" si="2"/>
        <v>5.9086134453781518E-2</v>
      </c>
      <c r="O14" s="78">
        <f t="shared" si="3"/>
        <v>0.63829787234042556</v>
      </c>
      <c r="P14" s="78">
        <f t="shared" si="4"/>
        <v>0.78384491114701127</v>
      </c>
      <c r="Q14" s="89">
        <f t="shared" si="5"/>
        <v>3.0604958003196518E-2</v>
      </c>
      <c r="S14" s="60" t="b">
        <f>F14=EPS!C13</f>
        <v>1</v>
      </c>
    </row>
    <row r="15" spans="1:19" x14ac:dyDescent="0.2">
      <c r="A15" s="60" t="s">
        <v>175</v>
      </c>
      <c r="B15" s="60" t="s">
        <v>174</v>
      </c>
      <c r="C15" s="60">
        <v>20.8</v>
      </c>
      <c r="D15" s="60">
        <v>33.320999999999998</v>
      </c>
      <c r="E15" s="60">
        <v>6.1890000000000001</v>
      </c>
      <c r="F15" s="60">
        <v>3.38</v>
      </c>
      <c r="G15" s="60">
        <v>70.305000000000007</v>
      </c>
      <c r="H15" s="60">
        <v>10.458</v>
      </c>
      <c r="I15" s="60">
        <v>1.68</v>
      </c>
      <c r="J15" s="60">
        <v>2.39</v>
      </c>
      <c r="L15" s="78">
        <f t="shared" si="0"/>
        <v>11.359670382937471</v>
      </c>
      <c r="M15" s="78">
        <f t="shared" si="1"/>
        <v>2.1099306743495099</v>
      </c>
      <c r="N15" s="89">
        <f t="shared" si="2"/>
        <v>5.0418654902313856E-2</v>
      </c>
      <c r="O15" s="78">
        <f t="shared" si="3"/>
        <v>0.49704142011834318</v>
      </c>
      <c r="P15" s="78">
        <f t="shared" si="4"/>
        <v>0.5917957544463569</v>
      </c>
      <c r="Q15" s="89">
        <f t="shared" si="5"/>
        <v>2.389588222743759E-2</v>
      </c>
      <c r="S15" s="60" t="b">
        <f>F15=EPS!C14</f>
        <v>1</v>
      </c>
    </row>
    <row r="16" spans="1:19" x14ac:dyDescent="0.2">
      <c r="A16" s="60" t="s">
        <v>260</v>
      </c>
      <c r="B16" s="60" t="s">
        <v>263</v>
      </c>
      <c r="C16" s="60">
        <v>20.492000000000001</v>
      </c>
      <c r="D16" s="60">
        <v>48.898000000000003</v>
      </c>
      <c r="E16" s="60">
        <v>4.7380000000000004</v>
      </c>
      <c r="F16" s="60">
        <v>1.98</v>
      </c>
      <c r="G16" s="60">
        <v>40.575000000000003</v>
      </c>
      <c r="H16" s="60">
        <v>5.524</v>
      </c>
      <c r="I16" s="60">
        <v>1.728</v>
      </c>
      <c r="J16" s="60">
        <v>4.2590000000000003</v>
      </c>
      <c r="L16" s="78">
        <f t="shared" si="0"/>
        <v>8.563739974672858</v>
      </c>
      <c r="M16" s="78">
        <f t="shared" si="1"/>
        <v>0.82978853940856478</v>
      </c>
      <c r="N16" s="89">
        <f t="shared" si="2"/>
        <v>3.5338868665385083E-2</v>
      </c>
      <c r="O16" s="78">
        <f t="shared" si="3"/>
        <v>0.87272727272727268</v>
      </c>
      <c r="P16" s="78">
        <f t="shared" si="4"/>
        <v>0.85771180304127448</v>
      </c>
      <c r="Q16" s="89">
        <f t="shared" si="5"/>
        <v>4.2587800369685763E-2</v>
      </c>
      <c r="S16" s="60" t="b">
        <f>F16=EPS!C15</f>
        <v>1</v>
      </c>
    </row>
    <row r="17" spans="1:19" x14ac:dyDescent="0.2">
      <c r="A17" s="60" t="s">
        <v>4</v>
      </c>
      <c r="B17" s="60" t="s">
        <v>123</v>
      </c>
      <c r="C17" s="60">
        <v>18.795000000000002</v>
      </c>
      <c r="D17" s="60">
        <v>25.686</v>
      </c>
      <c r="E17" s="60">
        <v>5.2949999999999999</v>
      </c>
      <c r="F17" s="60">
        <v>2.15</v>
      </c>
      <c r="G17" s="60">
        <v>40.408999999999999</v>
      </c>
      <c r="H17" s="60">
        <v>6.3410000000000002</v>
      </c>
      <c r="I17" s="60">
        <v>1.37</v>
      </c>
      <c r="J17" s="60">
        <v>3.39</v>
      </c>
      <c r="L17" s="78">
        <f t="shared" si="0"/>
        <v>7.6315391879131251</v>
      </c>
      <c r="M17" s="78">
        <f t="shared" si="1"/>
        <v>1.5731916218951958</v>
      </c>
      <c r="N17" s="89">
        <f t="shared" si="2"/>
        <v>5.3336447870435261E-2</v>
      </c>
      <c r="O17" s="78">
        <f t="shared" si="3"/>
        <v>0.63720930232558148</v>
      </c>
      <c r="P17" s="78">
        <f t="shared" si="4"/>
        <v>0.83504179151553382</v>
      </c>
      <c r="Q17" s="89">
        <f t="shared" si="5"/>
        <v>3.3903338365215675E-2</v>
      </c>
      <c r="S17" s="60" t="b">
        <f>F17=EPS!C16</f>
        <v>1</v>
      </c>
    </row>
    <row r="18" spans="1:19" x14ac:dyDescent="0.2">
      <c r="A18" s="60" t="s">
        <v>5</v>
      </c>
      <c r="B18" s="60" t="s">
        <v>124</v>
      </c>
      <c r="C18" s="60">
        <v>22.289000000000001</v>
      </c>
      <c r="D18" s="60">
        <v>30.247</v>
      </c>
      <c r="E18" s="60">
        <v>6.2850000000000001</v>
      </c>
      <c r="F18" s="60">
        <v>2.63</v>
      </c>
      <c r="G18" s="60">
        <v>58.619</v>
      </c>
      <c r="H18" s="60">
        <v>8.8940000000000001</v>
      </c>
      <c r="I18" s="60">
        <v>1.68</v>
      </c>
      <c r="J18" s="60">
        <v>2.8660000000000001</v>
      </c>
      <c r="L18" s="78">
        <f t="shared" si="0"/>
        <v>9.3268098647573581</v>
      </c>
      <c r="M18" s="78">
        <f t="shared" si="1"/>
        <v>1.9380103811948293</v>
      </c>
      <c r="N18" s="89">
        <f t="shared" si="2"/>
        <v>5.5542698449432999E-2</v>
      </c>
      <c r="O18" s="78">
        <f t="shared" si="3"/>
        <v>0.63878326996197721</v>
      </c>
      <c r="P18" s="78">
        <f t="shared" si="4"/>
        <v>0.70665617270069714</v>
      </c>
      <c r="Q18" s="89">
        <f t="shared" si="5"/>
        <v>2.8659649601664988E-2</v>
      </c>
      <c r="S18" s="60" t="b">
        <f>F18=EPS!C17</f>
        <v>1</v>
      </c>
    </row>
    <row r="19" spans="1:19" x14ac:dyDescent="0.2">
      <c r="A19" s="60" t="s">
        <v>177</v>
      </c>
      <c r="B19" s="60" t="s">
        <v>176</v>
      </c>
      <c r="C19" s="60">
        <v>29.65</v>
      </c>
      <c r="D19" s="60">
        <v>13.749000000000001</v>
      </c>
      <c r="E19" s="60">
        <v>2.3410000000000002</v>
      </c>
      <c r="F19" s="60">
        <v>1.01</v>
      </c>
      <c r="G19" s="60">
        <v>29.946000000000002</v>
      </c>
      <c r="H19" s="60">
        <v>4.7729999999999997</v>
      </c>
      <c r="I19" s="60">
        <v>0.69</v>
      </c>
      <c r="J19" s="60">
        <v>2.3039999999999998</v>
      </c>
      <c r="L19" s="78">
        <f t="shared" si="0"/>
        <v>12.791969243912858</v>
      </c>
      <c r="M19" s="78">
        <f t="shared" si="1"/>
        <v>2.1780493126772855</v>
      </c>
      <c r="N19" s="89">
        <f t="shared" si="2"/>
        <v>5.0185468034038831E-2</v>
      </c>
      <c r="O19" s="78">
        <f t="shared" si="3"/>
        <v>0.68316831683168311</v>
      </c>
      <c r="P19" s="78">
        <f t="shared" si="4"/>
        <v>0.49046721139744404</v>
      </c>
      <c r="Q19" s="89">
        <f t="shared" si="5"/>
        <v>2.3041474654377878E-2</v>
      </c>
      <c r="S19" s="60" t="b">
        <f>F19=EPS!C18</f>
        <v>1</v>
      </c>
    </row>
    <row r="20" spans="1:19" x14ac:dyDescent="0.2">
      <c r="A20" s="60" t="s">
        <v>6</v>
      </c>
      <c r="B20" s="60" t="s">
        <v>125</v>
      </c>
      <c r="C20" s="60">
        <v>21.91</v>
      </c>
      <c r="D20" s="60">
        <v>8.0340000000000007</v>
      </c>
      <c r="E20" s="60">
        <v>3.6779999999999999</v>
      </c>
      <c r="F20" s="60">
        <v>1</v>
      </c>
      <c r="G20" s="60">
        <v>21.91</v>
      </c>
      <c r="H20" s="60">
        <v>3.2829999999999999</v>
      </c>
      <c r="I20" s="60">
        <v>1.03</v>
      </c>
      <c r="J20" s="60">
        <v>4.7009999999999996</v>
      </c>
      <c r="L20" s="78">
        <f t="shared" si="0"/>
        <v>5.957041870581838</v>
      </c>
      <c r="M20" s="78">
        <f t="shared" si="1"/>
        <v>2.7271595718197656</v>
      </c>
      <c r="N20" s="89">
        <f t="shared" si="2"/>
        <v>0.12820512820512819</v>
      </c>
      <c r="O20" s="78">
        <f t="shared" si="3"/>
        <v>1.03</v>
      </c>
      <c r="P20" s="78">
        <f t="shared" si="4"/>
        <v>1.1203167834297898</v>
      </c>
      <c r="Q20" s="89">
        <f t="shared" si="5"/>
        <v>4.701049748973072E-2</v>
      </c>
      <c r="S20" s="60" t="b">
        <f>F20=EPS!C19</f>
        <v>1</v>
      </c>
    </row>
    <row r="21" spans="1:19" x14ac:dyDescent="0.2">
      <c r="A21" s="60" t="s">
        <v>178</v>
      </c>
      <c r="B21" s="60" t="s">
        <v>215</v>
      </c>
      <c r="C21" s="60">
        <v>21.774000000000001</v>
      </c>
      <c r="D21" s="60">
        <v>27.361000000000001</v>
      </c>
      <c r="E21" s="60">
        <v>5.1630000000000003</v>
      </c>
      <c r="F21" s="60">
        <v>2.86</v>
      </c>
      <c r="G21" s="60">
        <v>62.274999999999999</v>
      </c>
      <c r="H21" s="60">
        <v>10.419</v>
      </c>
      <c r="I21" s="60">
        <v>1.19</v>
      </c>
      <c r="J21" s="60">
        <v>1.911</v>
      </c>
      <c r="L21" s="78">
        <f t="shared" si="0"/>
        <v>12.061785783459229</v>
      </c>
      <c r="M21" s="78">
        <f t="shared" si="1"/>
        <v>2.2760498519790944</v>
      </c>
      <c r="N21" s="89">
        <f t="shared" si="2"/>
        <v>4.3492562406344797E-2</v>
      </c>
      <c r="O21" s="78">
        <f t="shared" si="3"/>
        <v>0.41608391608391609</v>
      </c>
      <c r="P21" s="78">
        <f t="shared" si="4"/>
        <v>0.4955369997120645</v>
      </c>
      <c r="Q21" s="89">
        <f t="shared" si="5"/>
        <v>1.9108791649939783E-2</v>
      </c>
      <c r="S21" s="60" t="b">
        <f>F21=EPS!C20</f>
        <v>1</v>
      </c>
    </row>
    <row r="22" spans="1:19" x14ac:dyDescent="0.2">
      <c r="A22" s="60" t="s">
        <v>9</v>
      </c>
      <c r="B22" s="60" t="s">
        <v>126</v>
      </c>
      <c r="C22" s="60">
        <v>20.943000000000001</v>
      </c>
      <c r="D22" s="60">
        <v>15.231999999999999</v>
      </c>
      <c r="E22" s="60">
        <v>4.8780000000000001</v>
      </c>
      <c r="F22" s="60">
        <v>1.98</v>
      </c>
      <c r="G22" s="60">
        <v>41.466999999999999</v>
      </c>
      <c r="H22" s="60">
        <v>5.9880000000000004</v>
      </c>
      <c r="I22" s="60">
        <v>1.24</v>
      </c>
      <c r="J22" s="60">
        <v>2.99</v>
      </c>
      <c r="L22" s="78">
        <f t="shared" si="0"/>
        <v>8.5008200082000815</v>
      </c>
      <c r="M22" s="78">
        <f t="shared" si="1"/>
        <v>2.7223608193277311</v>
      </c>
      <c r="N22" s="89">
        <f t="shared" si="2"/>
        <v>8.1407563025210086E-2</v>
      </c>
      <c r="O22" s="78">
        <f t="shared" si="3"/>
        <v>0.6262626262626263</v>
      </c>
      <c r="P22" s="78">
        <f t="shared" si="4"/>
        <v>0.81462925851703405</v>
      </c>
      <c r="Q22" s="89">
        <f t="shared" si="5"/>
        <v>2.9903296597294234E-2</v>
      </c>
      <c r="S22" s="60" t="b">
        <f>F22=EPS!C21</f>
        <v>1</v>
      </c>
    </row>
    <row r="23" spans="1:19" x14ac:dyDescent="0.2">
      <c r="A23" s="60" t="s">
        <v>180</v>
      </c>
      <c r="B23" s="60" t="s">
        <v>179</v>
      </c>
      <c r="C23" s="60">
        <v>23.285</v>
      </c>
      <c r="D23" s="60">
        <v>20.983000000000001</v>
      </c>
      <c r="E23" s="60">
        <v>3.3119999999999998</v>
      </c>
      <c r="F23" s="60">
        <v>2.08</v>
      </c>
      <c r="G23" s="60">
        <v>48.433</v>
      </c>
      <c r="H23" s="60">
        <v>5.9290000000000003</v>
      </c>
      <c r="I23" s="60">
        <v>1.1200000000000001</v>
      </c>
      <c r="J23" s="60">
        <v>2.3119999999999998</v>
      </c>
      <c r="L23" s="78">
        <f t="shared" si="0"/>
        <v>14.623490338164252</v>
      </c>
      <c r="M23" s="78">
        <f t="shared" si="1"/>
        <v>2.3082018777105273</v>
      </c>
      <c r="N23" s="89">
        <f t="shared" si="2"/>
        <v>5.3376542915693659E-2</v>
      </c>
      <c r="O23" s="78">
        <f t="shared" si="3"/>
        <v>0.53846153846153855</v>
      </c>
      <c r="P23" s="78">
        <f t="shared" si="4"/>
        <v>0.55861022094788326</v>
      </c>
      <c r="Q23" s="89">
        <f t="shared" si="5"/>
        <v>2.312472900708195E-2</v>
      </c>
      <c r="S23" s="60" t="b">
        <f>F23=EPS!C22</f>
        <v>1</v>
      </c>
    </row>
    <row r="24" spans="1:19" x14ac:dyDescent="0.2">
      <c r="A24" s="60" t="s">
        <v>10</v>
      </c>
      <c r="B24" s="60" t="s">
        <v>127</v>
      </c>
      <c r="C24" s="60">
        <v>18.802</v>
      </c>
      <c r="D24" s="60">
        <v>46.878999999999998</v>
      </c>
      <c r="E24" s="60">
        <v>7.8849999999999998</v>
      </c>
      <c r="F24" s="60">
        <v>3.94</v>
      </c>
      <c r="G24" s="60">
        <v>74.078999999999994</v>
      </c>
      <c r="H24" s="60">
        <v>12.066000000000001</v>
      </c>
      <c r="I24" s="60">
        <v>2.68</v>
      </c>
      <c r="J24" s="60">
        <v>3.6179999999999999</v>
      </c>
      <c r="L24" s="78">
        <f t="shared" si="0"/>
        <v>9.3949270767279636</v>
      </c>
      <c r="M24" s="78">
        <f t="shared" si="1"/>
        <v>1.5802171548027901</v>
      </c>
      <c r="N24" s="89">
        <f t="shared" si="2"/>
        <v>5.7168454958510216E-2</v>
      </c>
      <c r="O24" s="78">
        <f t="shared" si="3"/>
        <v>0.68020304568527923</v>
      </c>
      <c r="P24" s="78">
        <f t="shared" si="4"/>
        <v>0.65348914304657713</v>
      </c>
      <c r="Q24" s="89">
        <f t="shared" si="5"/>
        <v>3.6177594189986374E-2</v>
      </c>
      <c r="S24" s="60" t="b">
        <f>F24=EPS!C23</f>
        <v>1</v>
      </c>
    </row>
    <row r="25" spans="1:19" x14ac:dyDescent="0.2">
      <c r="A25" s="60" t="s">
        <v>182</v>
      </c>
      <c r="B25" s="60" t="s">
        <v>181</v>
      </c>
      <c r="C25" s="60">
        <v>44.807000000000002</v>
      </c>
      <c r="D25" s="60">
        <v>9.7889999999999997</v>
      </c>
      <c r="E25" s="60">
        <v>0.95399999999999996</v>
      </c>
      <c r="F25" s="60">
        <v>0.27</v>
      </c>
      <c r="G25" s="60">
        <v>12.098000000000001</v>
      </c>
      <c r="H25" s="60">
        <v>0.23300000000000001</v>
      </c>
      <c r="I25" s="60">
        <v>0.3</v>
      </c>
      <c r="J25" s="60">
        <v>2.48</v>
      </c>
      <c r="L25" s="78">
        <f t="shared" si="0"/>
        <v>12.681341719077569</v>
      </c>
      <c r="M25" s="78">
        <f t="shared" si="1"/>
        <v>1.2358770048013077</v>
      </c>
      <c r="N25" s="89">
        <f t="shared" si="2"/>
        <v>3.0646644192460926E-2</v>
      </c>
      <c r="O25" s="78">
        <f t="shared" si="3"/>
        <v>1.1111111111111109</v>
      </c>
      <c r="P25" s="78">
        <f t="shared" si="4"/>
        <v>4.0944206008583688</v>
      </c>
      <c r="Q25" s="89">
        <f t="shared" si="5"/>
        <v>2.4797487187964949E-2</v>
      </c>
      <c r="S25" s="60" t="b">
        <f>F25=EPS!C24</f>
        <v>1</v>
      </c>
    </row>
    <row r="26" spans="1:19" x14ac:dyDescent="0.2">
      <c r="A26" s="60" t="s">
        <v>184</v>
      </c>
      <c r="B26" s="60" t="s">
        <v>183</v>
      </c>
      <c r="C26" s="60">
        <v>28.154</v>
      </c>
      <c r="D26" s="60">
        <v>10.965999999999999</v>
      </c>
      <c r="E26" s="60">
        <v>1.718</v>
      </c>
      <c r="F26" s="60">
        <v>0.78</v>
      </c>
      <c r="G26" s="60">
        <v>21.96</v>
      </c>
      <c r="H26" s="60">
        <v>0.88900000000000001</v>
      </c>
      <c r="I26" s="60">
        <v>0.82</v>
      </c>
      <c r="J26" s="60">
        <v>3.734</v>
      </c>
      <c r="L26" s="78">
        <f t="shared" si="0"/>
        <v>12.782305005820723</v>
      </c>
      <c r="M26" s="78">
        <f t="shared" si="1"/>
        <v>2.0025533467080066</v>
      </c>
      <c r="N26" s="89">
        <f t="shared" si="2"/>
        <v>7.4776582163049429E-2</v>
      </c>
      <c r="O26" s="78">
        <f t="shared" si="3"/>
        <v>1.0512820512820511</v>
      </c>
      <c r="P26" s="78">
        <f t="shared" si="4"/>
        <v>1.9325084364454443</v>
      </c>
      <c r="Q26" s="89">
        <f t="shared" si="5"/>
        <v>3.7340619307832418E-2</v>
      </c>
      <c r="S26" s="60" t="b">
        <f>F26=EPS!C25</f>
        <v>1</v>
      </c>
    </row>
    <row r="27" spans="1:19" x14ac:dyDescent="0.2">
      <c r="A27" s="60" t="s">
        <v>11</v>
      </c>
      <c r="B27" s="60" t="s">
        <v>347</v>
      </c>
      <c r="C27" s="60">
        <v>21.324999999999999</v>
      </c>
      <c r="D27" s="60">
        <v>23.263999999999999</v>
      </c>
      <c r="E27" s="60">
        <v>6.327</v>
      </c>
      <c r="F27" s="60">
        <v>3.44</v>
      </c>
      <c r="G27" s="60">
        <v>73.358000000000004</v>
      </c>
      <c r="H27" s="60">
        <v>9.6929999999999996</v>
      </c>
      <c r="I27" s="60">
        <v>2.8</v>
      </c>
      <c r="J27" s="60">
        <v>3.8170000000000002</v>
      </c>
      <c r="L27" s="78">
        <f t="shared" si="0"/>
        <v>11.594436541804964</v>
      </c>
      <c r="M27" s="78">
        <f t="shared" si="1"/>
        <v>3.1532840440165066</v>
      </c>
      <c r="N27" s="89">
        <f t="shared" si="2"/>
        <v>0.12035763411279229</v>
      </c>
      <c r="O27" s="78">
        <f t="shared" si="3"/>
        <v>0.81395348837209303</v>
      </c>
      <c r="P27" s="78">
        <f t="shared" si="4"/>
        <v>0.65273909006499542</v>
      </c>
      <c r="Q27" s="89">
        <f t="shared" si="5"/>
        <v>3.8168979525068834E-2</v>
      </c>
      <c r="S27" s="60" t="b">
        <f>F27=EPS!C26</f>
        <v>1</v>
      </c>
    </row>
    <row r="28" spans="1:19" x14ac:dyDescent="0.2">
      <c r="A28" s="60" t="s">
        <v>12</v>
      </c>
      <c r="B28" s="60" t="s">
        <v>129</v>
      </c>
      <c r="C28" s="60">
        <v>18.966000000000001</v>
      </c>
      <c r="D28" s="60">
        <v>50.219000000000001</v>
      </c>
      <c r="E28" s="60">
        <v>10.6</v>
      </c>
      <c r="F28" s="60">
        <v>4.83</v>
      </c>
      <c r="G28" s="60">
        <v>91.605999999999995</v>
      </c>
      <c r="H28" s="60">
        <v>11.397</v>
      </c>
      <c r="I28" s="60">
        <v>3.06</v>
      </c>
      <c r="J28" s="60">
        <v>3.34</v>
      </c>
      <c r="L28" s="78">
        <f t="shared" si="0"/>
        <v>8.6420754716981136</v>
      </c>
      <c r="M28" s="78">
        <f t="shared" si="1"/>
        <v>1.8241303092455046</v>
      </c>
      <c r="N28" s="89">
        <f t="shared" si="2"/>
        <v>6.0933112965212366E-2</v>
      </c>
      <c r="O28" s="78">
        <f t="shared" si="3"/>
        <v>0.63354037267080743</v>
      </c>
      <c r="P28" s="78">
        <f t="shared" si="4"/>
        <v>0.93006931648679469</v>
      </c>
      <c r="Q28" s="89">
        <f t="shared" si="5"/>
        <v>3.3403925507062858E-2</v>
      </c>
      <c r="S28" s="60" t="b">
        <f>F28=EPS!C27</f>
        <v>1</v>
      </c>
    </row>
    <row r="29" spans="1:19" x14ac:dyDescent="0.2">
      <c r="A29" s="60" t="s">
        <v>13</v>
      </c>
      <c r="B29" s="60" t="s">
        <v>130</v>
      </c>
      <c r="C29" s="60">
        <v>21.251000000000001</v>
      </c>
      <c r="D29" s="60">
        <v>58.619</v>
      </c>
      <c r="E29" s="60">
        <v>9.1999999999999993</v>
      </c>
      <c r="F29" s="60">
        <v>3.71</v>
      </c>
      <c r="G29" s="60">
        <v>78.843000000000004</v>
      </c>
      <c r="H29" s="60">
        <v>11.287000000000001</v>
      </c>
      <c r="I29" s="60">
        <v>3.36</v>
      </c>
      <c r="J29" s="60">
        <v>4.2619999999999996</v>
      </c>
      <c r="L29" s="78">
        <f t="shared" si="0"/>
        <v>8.5698913043478271</v>
      </c>
      <c r="M29" s="78">
        <f t="shared" si="1"/>
        <v>1.3450075913952815</v>
      </c>
      <c r="N29" s="89">
        <f t="shared" si="2"/>
        <v>5.7319299203329975E-2</v>
      </c>
      <c r="O29" s="78">
        <f t="shared" si="3"/>
        <v>0.90566037735849059</v>
      </c>
      <c r="P29" s="78">
        <f t="shared" si="4"/>
        <v>0.81509701426419767</v>
      </c>
      <c r="Q29" s="89">
        <f t="shared" si="5"/>
        <v>4.2616338799893454E-2</v>
      </c>
      <c r="S29" s="60" t="b">
        <f>F29=EPS!C28</f>
        <v>1</v>
      </c>
    </row>
    <row r="30" spans="1:19" x14ac:dyDescent="0.2">
      <c r="A30" s="60" t="s">
        <v>14</v>
      </c>
      <c r="B30" s="60" t="s">
        <v>131</v>
      </c>
      <c r="C30" s="60">
        <v>17.920000000000002</v>
      </c>
      <c r="D30" s="60">
        <v>36.819000000000003</v>
      </c>
      <c r="E30" s="60">
        <v>10.426</v>
      </c>
      <c r="F30" s="60">
        <v>3.94</v>
      </c>
      <c r="G30" s="60">
        <v>70.603999999999999</v>
      </c>
      <c r="H30" s="60">
        <v>11.461</v>
      </c>
      <c r="I30" s="60">
        <v>1.9830000000000001</v>
      </c>
      <c r="J30" s="60">
        <v>2.8090000000000002</v>
      </c>
      <c r="L30" s="78">
        <f t="shared" si="0"/>
        <v>6.7719163629388071</v>
      </c>
      <c r="M30" s="78">
        <f t="shared" si="1"/>
        <v>1.9175968929085525</v>
      </c>
      <c r="N30" s="89">
        <f t="shared" si="2"/>
        <v>5.3858062413427846E-2</v>
      </c>
      <c r="O30" s="78">
        <f t="shared" si="3"/>
        <v>0.50329949238578686</v>
      </c>
      <c r="P30" s="78">
        <f t="shared" si="4"/>
        <v>0.90969374400139602</v>
      </c>
      <c r="Q30" s="89">
        <f t="shared" si="5"/>
        <v>2.8086227409211944E-2</v>
      </c>
      <c r="S30" s="60" t="b">
        <f>F30=EPS!C29</f>
        <v>1</v>
      </c>
    </row>
    <row r="31" spans="1:19" x14ac:dyDescent="0.2">
      <c r="A31" s="60" t="s">
        <v>15</v>
      </c>
      <c r="B31" s="60" t="s">
        <v>132</v>
      </c>
      <c r="C31" s="60">
        <v>18.657</v>
      </c>
      <c r="D31" s="60">
        <v>26.516999999999999</v>
      </c>
      <c r="E31" s="60">
        <v>5.976</v>
      </c>
      <c r="F31" s="60">
        <v>2.39</v>
      </c>
      <c r="G31" s="60">
        <v>44.59</v>
      </c>
      <c r="H31" s="60">
        <v>7.0279999999999996</v>
      </c>
      <c r="I31" s="60">
        <v>1.2250000000000001</v>
      </c>
      <c r="J31" s="60">
        <v>2.7469999999999999</v>
      </c>
      <c r="L31" s="78">
        <f t="shared" si="0"/>
        <v>7.4615127175368148</v>
      </c>
      <c r="M31" s="78">
        <f t="shared" si="1"/>
        <v>1.6815627710525325</v>
      </c>
      <c r="N31" s="89">
        <f t="shared" si="2"/>
        <v>4.6196779424520121E-2</v>
      </c>
      <c r="O31" s="78">
        <f t="shared" si="3"/>
        <v>0.5125523012552301</v>
      </c>
      <c r="P31" s="78">
        <f t="shared" si="4"/>
        <v>0.8503130335799659</v>
      </c>
      <c r="Q31" s="89">
        <f t="shared" si="5"/>
        <v>2.7472527472527472E-2</v>
      </c>
      <c r="S31" s="60" t="b">
        <f>F31=EPS!C30</f>
        <v>1</v>
      </c>
    </row>
    <row r="32" spans="1:19" x14ac:dyDescent="0.2">
      <c r="A32" s="60" t="s">
        <v>17</v>
      </c>
      <c r="B32" s="60" t="s">
        <v>134</v>
      </c>
      <c r="C32" s="60">
        <v>10.922000000000001</v>
      </c>
      <c r="D32" s="60">
        <v>45.116999999999997</v>
      </c>
      <c r="E32" s="60">
        <v>18.724</v>
      </c>
      <c r="F32" s="60">
        <v>6.88</v>
      </c>
      <c r="G32" s="60">
        <v>75.143000000000001</v>
      </c>
      <c r="H32" s="60">
        <v>17.277999999999999</v>
      </c>
      <c r="I32" s="60">
        <v>3.42</v>
      </c>
      <c r="J32" s="60">
        <v>4.5510000000000002</v>
      </c>
      <c r="L32" s="78">
        <f t="shared" si="0"/>
        <v>4.0131916257209994</v>
      </c>
      <c r="M32" s="78">
        <f t="shared" si="1"/>
        <v>1.6655141077642575</v>
      </c>
      <c r="N32" s="89">
        <f t="shared" si="2"/>
        <v>7.580291242768801E-2</v>
      </c>
      <c r="O32" s="78">
        <f t="shared" si="3"/>
        <v>0.49709302325581395</v>
      </c>
      <c r="P32" s="78">
        <f t="shared" si="4"/>
        <v>1.0836902419261489</v>
      </c>
      <c r="Q32" s="89">
        <f t="shared" si="5"/>
        <v>4.5513221457753883E-2</v>
      </c>
      <c r="S32" s="60" t="b">
        <f>F32=EPS!C31</f>
        <v>1</v>
      </c>
    </row>
    <row r="33" spans="1:19" x14ac:dyDescent="0.2">
      <c r="A33" s="60" t="s">
        <v>211</v>
      </c>
      <c r="B33" s="60" t="s">
        <v>210</v>
      </c>
      <c r="C33" s="60">
        <v>18.692</v>
      </c>
      <c r="D33" s="60">
        <v>33.802999999999997</v>
      </c>
      <c r="E33" s="60">
        <v>5.4580000000000002</v>
      </c>
      <c r="F33" s="60">
        <v>2.96</v>
      </c>
      <c r="G33" s="60">
        <v>55.326999999999998</v>
      </c>
      <c r="H33" s="60">
        <v>6.2380000000000004</v>
      </c>
      <c r="I33" s="60">
        <v>1.78</v>
      </c>
      <c r="J33" s="60">
        <v>3.2170000000000001</v>
      </c>
      <c r="L33" s="78">
        <f t="shared" si="0"/>
        <v>10.136863319897397</v>
      </c>
      <c r="M33" s="78">
        <f t="shared" si="1"/>
        <v>1.6367482176138213</v>
      </c>
      <c r="N33" s="89">
        <f t="shared" si="2"/>
        <v>5.2658048102239452E-2</v>
      </c>
      <c r="O33" s="78">
        <f t="shared" si="3"/>
        <v>0.60135135135135132</v>
      </c>
      <c r="P33" s="78">
        <f t="shared" si="4"/>
        <v>0.87495992305226034</v>
      </c>
      <c r="Q33" s="89">
        <f t="shared" si="5"/>
        <v>3.2172357077014838E-2</v>
      </c>
      <c r="S33" s="60" t="b">
        <f>F33=EPS!C32</f>
        <v>1</v>
      </c>
    </row>
    <row r="34" spans="1:19" x14ac:dyDescent="0.2">
      <c r="A34" s="60" t="s">
        <v>18</v>
      </c>
      <c r="B34" s="60" t="s">
        <v>135</v>
      </c>
      <c r="C34" s="60">
        <v>18.681000000000001</v>
      </c>
      <c r="D34" s="60">
        <v>27.960999999999999</v>
      </c>
      <c r="E34" s="60">
        <v>7.0049999999999999</v>
      </c>
      <c r="F34" s="60">
        <v>1.8</v>
      </c>
      <c r="G34" s="60">
        <v>33.625999999999998</v>
      </c>
      <c r="H34" s="60">
        <v>9.2560000000000002</v>
      </c>
      <c r="I34" s="60">
        <v>1.26</v>
      </c>
      <c r="J34" s="60">
        <v>3.7469999999999999</v>
      </c>
      <c r="L34" s="78">
        <f t="shared" si="0"/>
        <v>4.8002855103497497</v>
      </c>
      <c r="M34" s="78">
        <f t="shared" si="1"/>
        <v>1.2026036264797395</v>
      </c>
      <c r="N34" s="89">
        <f t="shared" si="2"/>
        <v>4.5062765995493727E-2</v>
      </c>
      <c r="O34" s="78">
        <f t="shared" si="3"/>
        <v>0.7</v>
      </c>
      <c r="P34" s="78">
        <f t="shared" si="4"/>
        <v>0.75680639585133969</v>
      </c>
      <c r="Q34" s="89">
        <f t="shared" si="5"/>
        <v>3.7471004579789455E-2</v>
      </c>
      <c r="S34" s="60" t="b">
        <f>F34=EPS!C33</f>
        <v>1</v>
      </c>
    </row>
    <row r="35" spans="1:19" x14ac:dyDescent="0.2">
      <c r="A35" s="60" t="s">
        <v>19</v>
      </c>
      <c r="B35" s="60" t="s">
        <v>136</v>
      </c>
      <c r="C35" s="60">
        <v>15.914</v>
      </c>
      <c r="D35" s="60">
        <v>14.109</v>
      </c>
      <c r="E35" s="60">
        <v>6.5309999999999997</v>
      </c>
      <c r="F35" s="60">
        <v>2.1</v>
      </c>
      <c r="G35" s="60">
        <v>33.418999999999997</v>
      </c>
      <c r="H35" s="60">
        <v>6.9340000000000002</v>
      </c>
      <c r="I35" s="60">
        <v>1.44</v>
      </c>
      <c r="J35" s="60">
        <v>4.3090000000000002</v>
      </c>
      <c r="L35" s="78">
        <f t="shared" si="0"/>
        <v>5.1169805542795892</v>
      </c>
      <c r="M35" s="78">
        <f t="shared" si="1"/>
        <v>2.3686299525125802</v>
      </c>
      <c r="N35" s="89">
        <f t="shared" si="2"/>
        <v>0.10206251328938974</v>
      </c>
      <c r="O35" s="78">
        <f t="shared" si="3"/>
        <v>0.68571428571428561</v>
      </c>
      <c r="P35" s="78">
        <f t="shared" si="4"/>
        <v>0.94188058840496103</v>
      </c>
      <c r="Q35" s="89">
        <f t="shared" si="5"/>
        <v>4.3089260600257341E-2</v>
      </c>
      <c r="S35" s="60" t="b">
        <f>F35=EPS!C34</f>
        <v>1</v>
      </c>
    </row>
    <row r="36" spans="1:19" x14ac:dyDescent="0.2">
      <c r="A36" s="60" t="s">
        <v>266</v>
      </c>
      <c r="B36" s="60" t="s">
        <v>265</v>
      </c>
      <c r="C36" s="60">
        <v>21.603000000000002</v>
      </c>
      <c r="D36" s="60">
        <v>32.314999999999998</v>
      </c>
      <c r="E36" s="60">
        <v>3.9049999999999998</v>
      </c>
      <c r="F36" s="60">
        <v>1.89</v>
      </c>
      <c r="G36" s="60">
        <v>40.829000000000001</v>
      </c>
      <c r="H36" s="60">
        <v>5.133</v>
      </c>
      <c r="I36" s="60">
        <v>1.55</v>
      </c>
      <c r="J36" s="60">
        <v>3.7959999999999998</v>
      </c>
      <c r="L36" s="78">
        <f t="shared" si="0"/>
        <v>10.455569782330347</v>
      </c>
      <c r="M36" s="78">
        <f t="shared" si="1"/>
        <v>1.2634689772551448</v>
      </c>
      <c r="N36" s="89">
        <f t="shared" si="2"/>
        <v>4.796534117282996E-2</v>
      </c>
      <c r="O36" s="78">
        <f t="shared" si="3"/>
        <v>0.82010582010582023</v>
      </c>
      <c r="P36" s="78">
        <f t="shared" si="4"/>
        <v>0.76076368595363331</v>
      </c>
      <c r="Q36" s="89">
        <f t="shared" si="5"/>
        <v>3.7963212422542802E-2</v>
      </c>
      <c r="S36" s="60" t="b">
        <f>F36=EPS!C35</f>
        <v>1</v>
      </c>
    </row>
    <row r="37" spans="1:19" x14ac:dyDescent="0.2">
      <c r="A37" s="60" t="s">
        <v>186</v>
      </c>
      <c r="B37" s="60" t="s">
        <v>185</v>
      </c>
      <c r="D37" s="60">
        <v>8.8360000000000003</v>
      </c>
      <c r="E37" s="60">
        <v>0.81399999999999995</v>
      </c>
      <c r="F37" s="60">
        <v>5.0999999999999997E-2</v>
      </c>
      <c r="G37" s="60">
        <v>8.6920000000000002</v>
      </c>
      <c r="H37" s="60">
        <v>0.71499999999999997</v>
      </c>
      <c r="I37" s="60">
        <v>0.3</v>
      </c>
      <c r="J37" s="60">
        <v>3.4510000000000001</v>
      </c>
      <c r="L37" s="78">
        <f t="shared" si="0"/>
        <v>10.678132678132679</v>
      </c>
      <c r="M37" s="78">
        <f t="shared" si="1"/>
        <v>0.98370303304662743</v>
      </c>
      <c r="N37" s="89">
        <f t="shared" si="2"/>
        <v>3.3952014486192846E-2</v>
      </c>
      <c r="O37" s="78">
        <f t="shared" si="3"/>
        <v>5.882352941176471</v>
      </c>
      <c r="P37" s="78">
        <f t="shared" si="4"/>
        <v>1.1384615384615384</v>
      </c>
      <c r="Q37" s="89">
        <f t="shared" si="5"/>
        <v>3.4514496088357105E-2</v>
      </c>
      <c r="S37" s="60" t="b">
        <f>F37=EPS!C36</f>
        <v>1</v>
      </c>
    </row>
    <row r="38" spans="1:19" x14ac:dyDescent="0.2">
      <c r="A38" s="60" t="s">
        <v>20</v>
      </c>
      <c r="B38" s="60" t="s">
        <v>137</v>
      </c>
      <c r="C38" s="60">
        <v>17.981000000000002</v>
      </c>
      <c r="D38" s="60">
        <v>24.731000000000002</v>
      </c>
      <c r="E38" s="60">
        <v>3.355</v>
      </c>
      <c r="F38" s="60">
        <v>1.61</v>
      </c>
      <c r="G38" s="60">
        <v>28.949000000000002</v>
      </c>
      <c r="H38" s="60">
        <v>2.8610000000000002</v>
      </c>
      <c r="I38" s="60">
        <v>1.0549999999999999</v>
      </c>
      <c r="J38" s="60">
        <v>3.6440000000000001</v>
      </c>
      <c r="L38" s="78">
        <f t="shared" si="0"/>
        <v>8.628614008941879</v>
      </c>
      <c r="M38" s="78">
        <f t="shared" si="1"/>
        <v>1.170555173668675</v>
      </c>
      <c r="N38" s="89">
        <f t="shared" si="2"/>
        <v>4.2659010957907077E-2</v>
      </c>
      <c r="O38" s="78">
        <f t="shared" si="3"/>
        <v>0.65527950310559002</v>
      </c>
      <c r="P38" s="78">
        <f t="shared" si="4"/>
        <v>1.1726668996854246</v>
      </c>
      <c r="Q38" s="89">
        <f t="shared" si="5"/>
        <v>3.6443400462882997E-2</v>
      </c>
      <c r="S38" s="60" t="b">
        <f>F38=EPS!C37</f>
        <v>1</v>
      </c>
    </row>
    <row r="39" spans="1:19" x14ac:dyDescent="0.2">
      <c r="A39" s="60" t="s">
        <v>21</v>
      </c>
      <c r="B39" s="60" t="s">
        <v>138</v>
      </c>
      <c r="C39" s="60">
        <v>13.555999999999999</v>
      </c>
      <c r="D39" s="60">
        <v>19.033999999999999</v>
      </c>
      <c r="E39" s="60">
        <v>4.1719999999999997</v>
      </c>
      <c r="F39" s="60">
        <v>2.29</v>
      </c>
      <c r="G39" s="60">
        <v>31.044</v>
      </c>
      <c r="H39" s="60">
        <v>3.04</v>
      </c>
      <c r="I39" s="60">
        <v>1.24</v>
      </c>
      <c r="J39" s="60">
        <v>3.9940000000000002</v>
      </c>
      <c r="L39" s="78">
        <f t="shared" si="0"/>
        <v>7.441035474592522</v>
      </c>
      <c r="M39" s="78">
        <f t="shared" si="1"/>
        <v>1.6309761479457814</v>
      </c>
      <c r="N39" s="89">
        <f t="shared" si="2"/>
        <v>6.5146579804560262E-2</v>
      </c>
      <c r="O39" s="78">
        <f t="shared" si="3"/>
        <v>0.54148471615720528</v>
      </c>
      <c r="P39" s="78">
        <f t="shared" si="4"/>
        <v>1.3723684210526315</v>
      </c>
      <c r="Q39" s="89">
        <f t="shared" si="5"/>
        <v>3.9943306274964563E-2</v>
      </c>
      <c r="S39" s="60" t="b">
        <f>F39=EPS!C38</f>
        <v>1</v>
      </c>
    </row>
    <row r="40" spans="1:19" x14ac:dyDescent="0.2">
      <c r="A40" s="60" t="s">
        <v>22</v>
      </c>
      <c r="B40" s="60" t="s">
        <v>216</v>
      </c>
      <c r="C40" s="60">
        <v>19.059999999999999</v>
      </c>
      <c r="D40" s="60">
        <v>42.738999999999997</v>
      </c>
      <c r="E40" s="60">
        <v>6.8570000000000002</v>
      </c>
      <c r="F40" s="60">
        <v>3.94</v>
      </c>
      <c r="G40" s="60">
        <v>75.097999999999999</v>
      </c>
      <c r="H40" s="60">
        <v>5.8920000000000003</v>
      </c>
      <c r="I40" s="60">
        <v>2.08</v>
      </c>
      <c r="J40" s="60">
        <v>2.77</v>
      </c>
      <c r="L40" s="78">
        <f t="shared" si="0"/>
        <v>10.952019833746537</v>
      </c>
      <c r="M40" s="78">
        <f t="shared" si="1"/>
        <v>1.7571304897166524</v>
      </c>
      <c r="N40" s="89">
        <f t="shared" si="2"/>
        <v>4.8667493390112081E-2</v>
      </c>
      <c r="O40" s="78">
        <f t="shared" si="3"/>
        <v>0.52791878172588835</v>
      </c>
      <c r="P40" s="78">
        <f t="shared" si="4"/>
        <v>1.1637813985064493</v>
      </c>
      <c r="Q40" s="89">
        <f t="shared" si="5"/>
        <v>2.7697142400596553E-2</v>
      </c>
      <c r="S40" s="60" t="b">
        <f>F40=EPS!C39</f>
        <v>1</v>
      </c>
    </row>
    <row r="41" spans="1:19" x14ac:dyDescent="0.2">
      <c r="A41" s="60" t="s">
        <v>25</v>
      </c>
      <c r="B41" s="60" t="s">
        <v>139</v>
      </c>
      <c r="C41" s="60">
        <v>24.904</v>
      </c>
      <c r="D41" s="60">
        <v>20.885999999999999</v>
      </c>
      <c r="E41" s="60">
        <v>3.4670000000000001</v>
      </c>
      <c r="F41" s="60">
        <v>2.1800000000000002</v>
      </c>
      <c r="G41" s="60">
        <v>54.29</v>
      </c>
      <c r="H41" s="60">
        <v>2.4129999999999998</v>
      </c>
      <c r="I41" s="60">
        <v>1.21</v>
      </c>
      <c r="J41" s="60">
        <v>2.2290000000000001</v>
      </c>
      <c r="L41" s="78">
        <f t="shared" si="0"/>
        <v>15.659071243149697</v>
      </c>
      <c r="M41" s="78">
        <f t="shared" si="1"/>
        <v>2.5993488461170164</v>
      </c>
      <c r="N41" s="89">
        <f t="shared" si="2"/>
        <v>5.7933544000766064E-2</v>
      </c>
      <c r="O41" s="78">
        <f t="shared" si="3"/>
        <v>0.55504587155963292</v>
      </c>
      <c r="P41" s="78">
        <f t="shared" si="4"/>
        <v>1.4368006630750105</v>
      </c>
      <c r="Q41" s="89">
        <f t="shared" si="5"/>
        <v>2.2287714127832012E-2</v>
      </c>
      <c r="S41" s="60" t="b">
        <f>F41=EPS!C40</f>
        <v>1</v>
      </c>
    </row>
    <row r="42" spans="1:19" x14ac:dyDescent="0.2">
      <c r="A42" s="60" t="s">
        <v>188</v>
      </c>
      <c r="B42" s="60" t="s">
        <v>187</v>
      </c>
      <c r="C42" s="60">
        <v>25.645</v>
      </c>
      <c r="D42" s="60">
        <v>13.404</v>
      </c>
      <c r="E42" s="60">
        <v>2.1720000000000002</v>
      </c>
      <c r="F42" s="60">
        <v>1.38</v>
      </c>
      <c r="G42" s="60">
        <v>35.39</v>
      </c>
      <c r="H42" s="60">
        <v>2.907</v>
      </c>
      <c r="I42" s="60">
        <v>0.80800000000000005</v>
      </c>
      <c r="J42" s="60">
        <v>2.2829999999999999</v>
      </c>
      <c r="L42" s="78">
        <f t="shared" si="0"/>
        <v>16.293738489871085</v>
      </c>
      <c r="M42" s="78">
        <f t="shared" si="1"/>
        <v>2.6402566398090124</v>
      </c>
      <c r="N42" s="89">
        <f t="shared" si="2"/>
        <v>6.0280513279618031E-2</v>
      </c>
      <c r="O42" s="78">
        <f t="shared" si="3"/>
        <v>0.58550724637681173</v>
      </c>
      <c r="P42" s="78">
        <f t="shared" si="4"/>
        <v>0.74716202270381837</v>
      </c>
      <c r="Q42" s="89">
        <f t="shared" si="5"/>
        <v>2.283130827917491E-2</v>
      </c>
      <c r="S42" s="60" t="b">
        <f>F42=EPS!C41</f>
        <v>1</v>
      </c>
    </row>
    <row r="43" spans="1:19" x14ac:dyDescent="0.2">
      <c r="A43" s="60" t="s">
        <v>190</v>
      </c>
      <c r="B43" s="60" t="s">
        <v>189</v>
      </c>
      <c r="C43" s="60">
        <v>21.25</v>
      </c>
      <c r="D43" s="60">
        <v>13.583</v>
      </c>
      <c r="E43" s="60">
        <v>2.4550000000000001</v>
      </c>
      <c r="F43" s="60">
        <v>1.61</v>
      </c>
      <c r="G43" s="60">
        <v>34.213000000000001</v>
      </c>
      <c r="H43" s="60">
        <v>4.1459999999999999</v>
      </c>
      <c r="I43" s="60">
        <v>0.98</v>
      </c>
      <c r="J43" s="60">
        <v>2.8639999999999999</v>
      </c>
      <c r="L43" s="78">
        <f t="shared" si="0"/>
        <v>13.936048879837067</v>
      </c>
      <c r="M43" s="78">
        <f t="shared" si="1"/>
        <v>2.5188102775528236</v>
      </c>
      <c r="N43" s="89">
        <f t="shared" si="2"/>
        <v>7.2149009791651328E-2</v>
      </c>
      <c r="O43" s="78">
        <f t="shared" si="3"/>
        <v>0.60869565217391297</v>
      </c>
      <c r="P43" s="78">
        <f t="shared" si="4"/>
        <v>0.59213699951760734</v>
      </c>
      <c r="Q43" s="89">
        <f t="shared" si="5"/>
        <v>2.8644082658638527E-2</v>
      </c>
      <c r="S43" s="60" t="b">
        <f>F43=EPS!C42</f>
        <v>1</v>
      </c>
    </row>
    <row r="44" spans="1:19" x14ac:dyDescent="0.2">
      <c r="A44" s="60" t="s">
        <v>141</v>
      </c>
      <c r="B44" s="60" t="s">
        <v>140</v>
      </c>
      <c r="C44" s="60">
        <v>20.710999999999999</v>
      </c>
      <c r="D44" s="60">
        <v>52.011000000000003</v>
      </c>
      <c r="E44" s="60">
        <v>12.97</v>
      </c>
      <c r="F44" s="60">
        <v>5.78</v>
      </c>
      <c r="G44" s="60">
        <v>119.712</v>
      </c>
      <c r="H44" s="60">
        <v>20.59</v>
      </c>
      <c r="I44" s="60">
        <v>3.48</v>
      </c>
      <c r="J44" s="60">
        <v>2.907</v>
      </c>
      <c r="L44" s="78">
        <f t="shared" si="0"/>
        <v>9.229915188897456</v>
      </c>
      <c r="M44" s="78">
        <f t="shared" si="1"/>
        <v>2.3016669550671973</v>
      </c>
      <c r="N44" s="89">
        <f t="shared" si="2"/>
        <v>6.6908923112418528E-2</v>
      </c>
      <c r="O44" s="78">
        <f t="shared" si="3"/>
        <v>0.60207612456747406</v>
      </c>
      <c r="P44" s="78">
        <f t="shared" si="4"/>
        <v>0.62991743564837299</v>
      </c>
      <c r="Q44" s="89">
        <f t="shared" si="5"/>
        <v>2.9069767441860465E-2</v>
      </c>
      <c r="S44" s="60" t="b">
        <f>F44=EPS!C43</f>
        <v>1</v>
      </c>
    </row>
    <row r="45" spans="1:19" x14ac:dyDescent="0.2">
      <c r="A45" s="60" t="s">
        <v>26</v>
      </c>
      <c r="B45" s="60" t="s">
        <v>142</v>
      </c>
      <c r="C45" s="60">
        <v>23.183</v>
      </c>
      <c r="D45" s="60">
        <v>12.598000000000001</v>
      </c>
      <c r="E45" s="60">
        <v>2.7080000000000002</v>
      </c>
      <c r="F45" s="60">
        <v>1</v>
      </c>
      <c r="G45" s="60">
        <v>23.183</v>
      </c>
      <c r="H45" s="60">
        <v>4.5650000000000004</v>
      </c>
      <c r="I45" s="60">
        <v>0.64</v>
      </c>
      <c r="J45" s="60">
        <v>2.7610000000000001</v>
      </c>
      <c r="L45" s="78">
        <f t="shared" si="0"/>
        <v>8.5609305760709002</v>
      </c>
      <c r="M45" s="78">
        <f t="shared" si="1"/>
        <v>1.840212732179711</v>
      </c>
      <c r="N45" s="89">
        <f t="shared" si="2"/>
        <v>5.0801714557866327E-2</v>
      </c>
      <c r="O45" s="78">
        <f t="shared" si="3"/>
        <v>0.64</v>
      </c>
      <c r="P45" s="78">
        <f t="shared" si="4"/>
        <v>0.59320920043811609</v>
      </c>
      <c r="Q45" s="89">
        <f t="shared" si="5"/>
        <v>2.7606435750334297E-2</v>
      </c>
      <c r="S45" s="60" t="b">
        <f>F45=EPS!C44</f>
        <v>1</v>
      </c>
    </row>
    <row r="46" spans="1:19" x14ac:dyDescent="0.2">
      <c r="A46" s="60" t="s">
        <v>192</v>
      </c>
      <c r="B46" s="60" t="s">
        <v>191</v>
      </c>
      <c r="C46" s="60">
        <v>26.922999999999998</v>
      </c>
      <c r="D46" s="60">
        <v>29.706</v>
      </c>
      <c r="E46" s="60">
        <v>4.931</v>
      </c>
      <c r="F46" s="60">
        <v>2.12</v>
      </c>
      <c r="G46" s="60">
        <v>57.076000000000001</v>
      </c>
      <c r="H46" s="60">
        <v>4.8730000000000002</v>
      </c>
      <c r="I46" s="60">
        <v>1.87</v>
      </c>
      <c r="J46" s="60">
        <v>3.2759999999999998</v>
      </c>
      <c r="L46" s="78">
        <f t="shared" si="0"/>
        <v>11.574934090448185</v>
      </c>
      <c r="M46" s="78">
        <f t="shared" si="1"/>
        <v>1.921362687672524</v>
      </c>
      <c r="N46" s="89">
        <f t="shared" si="2"/>
        <v>6.2950245741601032E-2</v>
      </c>
      <c r="O46" s="78">
        <f t="shared" si="3"/>
        <v>0.88207547169811318</v>
      </c>
      <c r="P46" s="78">
        <f t="shared" si="4"/>
        <v>1.0119023189000615</v>
      </c>
      <c r="Q46" s="89">
        <f t="shared" si="5"/>
        <v>3.2763333099726684E-2</v>
      </c>
      <c r="S46" s="60" t="b">
        <f>F46=EPS!C45</f>
        <v>1</v>
      </c>
    </row>
    <row r="47" spans="1:19" x14ac:dyDescent="0.2">
      <c r="A47" s="60" t="s">
        <v>144</v>
      </c>
      <c r="B47" s="60" t="s">
        <v>143</v>
      </c>
      <c r="C47" s="60">
        <v>17.186</v>
      </c>
      <c r="D47" s="60">
        <v>34.682000000000002</v>
      </c>
      <c r="E47" s="60">
        <v>6.7370000000000001</v>
      </c>
      <c r="F47" s="60">
        <v>3.39</v>
      </c>
      <c r="G47" s="60">
        <v>58.261000000000003</v>
      </c>
      <c r="H47" s="60">
        <v>5.9569999999999999</v>
      </c>
      <c r="I47" s="60">
        <v>2</v>
      </c>
      <c r="J47" s="60">
        <v>3.4329999999999998</v>
      </c>
      <c r="L47" s="78">
        <f t="shared" si="0"/>
        <v>8.647914502003859</v>
      </c>
      <c r="M47" s="78">
        <f t="shared" si="1"/>
        <v>1.6798627530130903</v>
      </c>
      <c r="N47" s="89">
        <f t="shared" si="2"/>
        <v>5.7666801222536181E-2</v>
      </c>
      <c r="O47" s="78">
        <f t="shared" si="3"/>
        <v>0.58997050147492625</v>
      </c>
      <c r="P47" s="78">
        <f t="shared" si="4"/>
        <v>1.130938391807957</v>
      </c>
      <c r="Q47" s="89">
        <f t="shared" si="5"/>
        <v>3.4328281354593981E-2</v>
      </c>
      <c r="S47" s="60" t="b">
        <f>F47=EPS!C46</f>
        <v>1</v>
      </c>
    </row>
    <row r="48" spans="1:19" x14ac:dyDescent="0.2">
      <c r="A48" s="60" t="s">
        <v>27</v>
      </c>
      <c r="B48" s="60" t="s">
        <v>145</v>
      </c>
      <c r="C48" s="60">
        <v>17.68</v>
      </c>
      <c r="D48" s="60">
        <v>17.245000000000001</v>
      </c>
      <c r="E48" s="60">
        <v>3.3090000000000002</v>
      </c>
      <c r="F48" s="60">
        <v>1.69</v>
      </c>
      <c r="G48" s="60">
        <v>29.88</v>
      </c>
      <c r="H48" s="60">
        <v>3.3050000000000002</v>
      </c>
      <c r="I48" s="60">
        <v>1.155</v>
      </c>
      <c r="J48" s="60">
        <v>3.8650000000000002</v>
      </c>
      <c r="L48" s="78">
        <f t="shared" si="0"/>
        <v>9.0299184043517666</v>
      </c>
      <c r="M48" s="78">
        <f t="shared" si="1"/>
        <v>1.7326761380110176</v>
      </c>
      <c r="N48" s="89">
        <f t="shared" si="2"/>
        <v>6.6975935053638733E-2</v>
      </c>
      <c r="O48" s="78">
        <f t="shared" si="3"/>
        <v>0.68343195266272194</v>
      </c>
      <c r="P48" s="78">
        <f t="shared" si="4"/>
        <v>1.0012102874432678</v>
      </c>
      <c r="Q48" s="89">
        <f t="shared" si="5"/>
        <v>3.8654618473895584E-2</v>
      </c>
      <c r="S48" s="60" t="b">
        <f>F48=EPS!C47</f>
        <v>1</v>
      </c>
    </row>
    <row r="49" spans="1:19" x14ac:dyDescent="0.2">
      <c r="A49" s="60" t="s">
        <v>346</v>
      </c>
      <c r="B49" s="60" t="s">
        <v>349</v>
      </c>
      <c r="C49" s="60">
        <v>22.738</v>
      </c>
      <c r="D49" s="60">
        <v>36.116999999999997</v>
      </c>
      <c r="E49" s="60">
        <v>5.431</v>
      </c>
      <c r="F49" s="60">
        <v>2.65</v>
      </c>
      <c r="G49" s="60">
        <v>60.256999999999998</v>
      </c>
      <c r="H49" s="60">
        <v>5.9119999999999999</v>
      </c>
      <c r="I49" s="60">
        <v>1.4</v>
      </c>
      <c r="J49" s="60">
        <v>2.323</v>
      </c>
      <c r="L49" s="78">
        <f t="shared" si="0"/>
        <v>11.095010127048425</v>
      </c>
      <c r="M49" s="78">
        <f t="shared" si="1"/>
        <v>1.6683833097987097</v>
      </c>
      <c r="N49" s="89">
        <f t="shared" si="2"/>
        <v>3.8762909433230887E-2</v>
      </c>
      <c r="O49" s="78">
        <f t="shared" si="3"/>
        <v>0.52830188679245282</v>
      </c>
      <c r="P49" s="78">
        <f t="shared" si="4"/>
        <v>0.91864005412719896</v>
      </c>
      <c r="Q49" s="89">
        <f t="shared" si="5"/>
        <v>2.3233815158404832E-2</v>
      </c>
      <c r="S49" s="60" t="b">
        <f>F49=EPS!C48</f>
        <v>1</v>
      </c>
    </row>
    <row r="50" spans="1:19" x14ac:dyDescent="0.2">
      <c r="A50" s="60" t="s">
        <v>28</v>
      </c>
      <c r="B50" s="60" t="s">
        <v>146</v>
      </c>
      <c r="C50" s="60">
        <v>20.193000000000001</v>
      </c>
      <c r="D50" s="60">
        <v>17.03</v>
      </c>
      <c r="E50" s="60">
        <v>3.4430000000000001</v>
      </c>
      <c r="F50" s="60">
        <v>1.6</v>
      </c>
      <c r="G50" s="60">
        <v>32.308999999999997</v>
      </c>
      <c r="H50" s="60">
        <v>4.0979999999999999</v>
      </c>
      <c r="I50" s="60">
        <v>1.25</v>
      </c>
      <c r="J50" s="60">
        <v>3.8690000000000002</v>
      </c>
      <c r="L50" s="78">
        <f t="shared" si="0"/>
        <v>9.3839674702294502</v>
      </c>
      <c r="M50" s="78">
        <f t="shared" si="1"/>
        <v>1.8971814445096886</v>
      </c>
      <c r="N50" s="89">
        <f t="shared" si="2"/>
        <v>7.3399882560187896E-2</v>
      </c>
      <c r="O50" s="78">
        <f t="shared" si="3"/>
        <v>0.78125</v>
      </c>
      <c r="P50" s="78">
        <f t="shared" si="4"/>
        <v>0.84016593460224509</v>
      </c>
      <c r="Q50" s="89">
        <f t="shared" si="5"/>
        <v>3.8688910210777187E-2</v>
      </c>
      <c r="S50" s="60" t="b">
        <f>F50=EPS!C49</f>
        <v>1</v>
      </c>
    </row>
    <row r="51" spans="1:19" x14ac:dyDescent="0.2">
      <c r="A51" s="60" t="s">
        <v>30</v>
      </c>
      <c r="B51" s="60" t="s">
        <v>147</v>
      </c>
      <c r="C51" s="60">
        <v>21.126999999999999</v>
      </c>
      <c r="D51" s="60">
        <v>35.392000000000003</v>
      </c>
      <c r="E51" s="60">
        <v>8.2309999999999999</v>
      </c>
      <c r="F51" s="60">
        <v>2.83</v>
      </c>
      <c r="G51" s="60">
        <v>59.787999999999997</v>
      </c>
      <c r="H51" s="60">
        <v>11.263</v>
      </c>
      <c r="I51" s="60">
        <v>1.925</v>
      </c>
      <c r="J51" s="60">
        <v>3.22</v>
      </c>
      <c r="L51" s="78">
        <f t="shared" si="0"/>
        <v>7.2637589600291577</v>
      </c>
      <c r="M51" s="78">
        <f t="shared" si="1"/>
        <v>1.6893083182640143</v>
      </c>
      <c r="N51" s="89">
        <f t="shared" si="2"/>
        <v>5.4390822784810125E-2</v>
      </c>
      <c r="O51" s="78">
        <f t="shared" si="3"/>
        <v>0.68021201413427557</v>
      </c>
      <c r="P51" s="78">
        <f t="shared" si="4"/>
        <v>0.73079996448548346</v>
      </c>
      <c r="Q51" s="89">
        <f t="shared" si="5"/>
        <v>3.2197096407305816E-2</v>
      </c>
      <c r="S51" s="60" t="b">
        <f>F51=EPS!C50</f>
        <v>1</v>
      </c>
    </row>
    <row r="52" spans="1:19" x14ac:dyDescent="0.2">
      <c r="A52" s="60" t="s">
        <v>31</v>
      </c>
      <c r="B52" s="60" t="s">
        <v>148</v>
      </c>
      <c r="C52" s="60">
        <v>18.742999999999999</v>
      </c>
      <c r="D52" s="60">
        <v>43.145000000000003</v>
      </c>
      <c r="E52" s="60">
        <v>9.3879999999999999</v>
      </c>
      <c r="F52" s="60">
        <v>3.95</v>
      </c>
      <c r="G52" s="60">
        <v>74.034999999999997</v>
      </c>
      <c r="H52" s="60">
        <v>11.635</v>
      </c>
      <c r="I52" s="60">
        <v>2.56</v>
      </c>
      <c r="J52" s="60">
        <v>3.4580000000000002</v>
      </c>
      <c r="L52" s="78">
        <f t="shared" si="0"/>
        <v>7.8861312313591814</v>
      </c>
      <c r="M52" s="78">
        <f t="shared" si="1"/>
        <v>1.7159578166647349</v>
      </c>
      <c r="N52" s="89">
        <f t="shared" si="2"/>
        <v>5.9334801251593461E-2</v>
      </c>
      <c r="O52" s="78">
        <f t="shared" si="3"/>
        <v>0.64810126582278482</v>
      </c>
      <c r="P52" s="78">
        <f t="shared" si="4"/>
        <v>0.80687580575848727</v>
      </c>
      <c r="Q52" s="89">
        <f t="shared" si="5"/>
        <v>3.4578240021611403E-2</v>
      </c>
      <c r="S52" s="60" t="b">
        <f>F52=EPS!C51</f>
        <v>1</v>
      </c>
    </row>
    <row r="53" spans="1:19" x14ac:dyDescent="0.2">
      <c r="A53" s="60" t="s">
        <v>32</v>
      </c>
      <c r="B53" s="60" t="s">
        <v>149</v>
      </c>
      <c r="C53" s="60">
        <v>19.832000000000001</v>
      </c>
      <c r="D53" s="60">
        <v>21.04</v>
      </c>
      <c r="E53" s="60">
        <v>4.2809999999999997</v>
      </c>
      <c r="F53" s="60">
        <v>1.65</v>
      </c>
      <c r="G53" s="60">
        <v>32.722000000000001</v>
      </c>
      <c r="H53" s="60">
        <v>7.5339999999999998</v>
      </c>
      <c r="I53" s="60">
        <v>0.88</v>
      </c>
      <c r="J53" s="60">
        <v>2.6890000000000001</v>
      </c>
      <c r="L53" s="78">
        <f t="shared" si="0"/>
        <v>7.6435412286848878</v>
      </c>
      <c r="M53" s="78">
        <f t="shared" si="1"/>
        <v>1.5552281368821295</v>
      </c>
      <c r="N53" s="89">
        <f t="shared" si="2"/>
        <v>4.1825095057034224E-2</v>
      </c>
      <c r="O53" s="78">
        <f t="shared" si="3"/>
        <v>0.53333333333333333</v>
      </c>
      <c r="P53" s="78">
        <f t="shared" si="4"/>
        <v>0.5682240509689408</v>
      </c>
      <c r="Q53" s="89">
        <f t="shared" si="5"/>
        <v>2.6893221685716031E-2</v>
      </c>
      <c r="S53" s="60" t="b">
        <f>F53=EPS!C52</f>
        <v>1</v>
      </c>
    </row>
    <row r="54" spans="1:19" x14ac:dyDescent="0.2">
      <c r="A54" s="60" t="s">
        <v>33</v>
      </c>
      <c r="B54" s="60" t="s">
        <v>150</v>
      </c>
      <c r="C54" s="60">
        <v>19.058</v>
      </c>
      <c r="D54" s="60">
        <v>26.353000000000002</v>
      </c>
      <c r="E54" s="60">
        <v>5.7789999999999999</v>
      </c>
      <c r="F54" s="60">
        <v>2.16</v>
      </c>
      <c r="G54" s="60">
        <v>41.164999999999999</v>
      </c>
      <c r="H54" s="60">
        <v>6.5659999999999998</v>
      </c>
      <c r="I54" s="60">
        <v>1.26</v>
      </c>
      <c r="J54" s="60">
        <v>3.0609999999999999</v>
      </c>
      <c r="L54" s="78">
        <f t="shared" si="0"/>
        <v>7.1232047066966606</v>
      </c>
      <c r="M54" s="78">
        <f t="shared" si="1"/>
        <v>1.5620612453990057</v>
      </c>
      <c r="N54" s="89">
        <f t="shared" si="2"/>
        <v>4.7812393275907861E-2</v>
      </c>
      <c r="O54" s="78">
        <f t="shared" si="3"/>
        <v>0.58333333333333326</v>
      </c>
      <c r="P54" s="78">
        <f t="shared" si="4"/>
        <v>0.88014011574779172</v>
      </c>
      <c r="Q54" s="89">
        <f t="shared" si="5"/>
        <v>3.0608526660998423E-2</v>
      </c>
      <c r="S54" s="60" t="b">
        <f>F54=EPS!C53</f>
        <v>1</v>
      </c>
    </row>
    <row r="55" spans="1:19" x14ac:dyDescent="0.2">
      <c r="A55" s="60" t="s">
        <v>34</v>
      </c>
      <c r="B55" s="60" t="s">
        <v>151</v>
      </c>
      <c r="C55" s="60">
        <v>12.829000000000001</v>
      </c>
      <c r="D55" s="60">
        <v>14.563000000000001</v>
      </c>
      <c r="E55" s="60">
        <v>4.2779999999999996</v>
      </c>
      <c r="F55" s="60">
        <v>2.79</v>
      </c>
      <c r="G55" s="60">
        <v>35.793999999999997</v>
      </c>
      <c r="H55" s="60">
        <v>4.2960000000000003</v>
      </c>
      <c r="I55" s="60">
        <v>1.52</v>
      </c>
      <c r="J55" s="60">
        <v>4.2469999999999999</v>
      </c>
      <c r="L55" s="78">
        <f t="shared" si="0"/>
        <v>8.3669939223936414</v>
      </c>
      <c r="M55" s="78">
        <f t="shared" si="1"/>
        <v>2.457872691066401</v>
      </c>
      <c r="N55" s="89">
        <f t="shared" si="2"/>
        <v>0.10437409874339078</v>
      </c>
      <c r="O55" s="78">
        <f t="shared" si="3"/>
        <v>0.54480286738351258</v>
      </c>
      <c r="P55" s="78">
        <f t="shared" si="4"/>
        <v>0.99581005586592164</v>
      </c>
      <c r="Q55" s="89">
        <f t="shared" si="5"/>
        <v>4.2465217634240382E-2</v>
      </c>
      <c r="S55" s="60" t="b">
        <f>F55=EPS!C54</f>
        <v>1</v>
      </c>
    </row>
    <row r="56" spans="1:19" x14ac:dyDescent="0.2">
      <c r="A56" s="60" t="s">
        <v>35</v>
      </c>
      <c r="B56" s="60" t="s">
        <v>152</v>
      </c>
      <c r="C56" s="60">
        <v>15.347</v>
      </c>
      <c r="D56" s="60">
        <v>26.007000000000001</v>
      </c>
      <c r="E56" s="60">
        <v>5.0709999999999997</v>
      </c>
      <c r="F56" s="60">
        <v>2.83</v>
      </c>
      <c r="G56" s="60">
        <v>43.433</v>
      </c>
      <c r="H56" s="60">
        <v>8.3170000000000002</v>
      </c>
      <c r="I56" s="60">
        <v>1.64</v>
      </c>
      <c r="J56" s="60">
        <v>3.7759999999999998</v>
      </c>
      <c r="L56" s="78">
        <f t="shared" si="0"/>
        <v>8.5649773220272145</v>
      </c>
      <c r="M56" s="78">
        <f t="shared" si="1"/>
        <v>1.6700503710539469</v>
      </c>
      <c r="N56" s="89">
        <f t="shared" si="2"/>
        <v>6.3059945399315559E-2</v>
      </c>
      <c r="O56" s="78">
        <f t="shared" si="3"/>
        <v>0.57950530035335679</v>
      </c>
      <c r="P56" s="78">
        <f t="shared" si="4"/>
        <v>0.60971504148130329</v>
      </c>
      <c r="Q56" s="89">
        <f t="shared" si="5"/>
        <v>3.7759307439044043E-2</v>
      </c>
      <c r="S56" s="60" t="b">
        <f>F56=EPS!C55</f>
        <v>1</v>
      </c>
    </row>
    <row r="57" spans="1:19" x14ac:dyDescent="0.2">
      <c r="A57" s="60" t="s">
        <v>194</v>
      </c>
      <c r="B57" s="60" t="s">
        <v>193</v>
      </c>
      <c r="C57" s="60">
        <v>18.413</v>
      </c>
      <c r="D57" s="60">
        <v>7.7510000000000003</v>
      </c>
      <c r="E57" s="60">
        <v>1.6040000000000001</v>
      </c>
      <c r="F57" s="60">
        <v>0.81299999999999994</v>
      </c>
      <c r="G57" s="60">
        <v>14.97</v>
      </c>
      <c r="H57" s="60">
        <v>2.4990000000000001</v>
      </c>
      <c r="I57" s="60">
        <v>0.54</v>
      </c>
      <c r="J57" s="60">
        <v>3.6070000000000002</v>
      </c>
      <c r="L57" s="78">
        <f t="shared" si="0"/>
        <v>9.3329177057356603</v>
      </c>
      <c r="M57" s="78">
        <f t="shared" si="1"/>
        <v>1.9313636950070958</v>
      </c>
      <c r="N57" s="89">
        <f t="shared" si="2"/>
        <v>6.9668429880015481E-2</v>
      </c>
      <c r="O57" s="78">
        <f t="shared" si="3"/>
        <v>0.66420664206642077</v>
      </c>
      <c r="P57" s="78">
        <f t="shared" si="4"/>
        <v>0.64185674269707882</v>
      </c>
      <c r="Q57" s="89">
        <f t="shared" si="5"/>
        <v>3.6072144288577156E-2</v>
      </c>
      <c r="S57" s="60" t="b">
        <f>F57=EPS!C56</f>
        <v>1</v>
      </c>
    </row>
    <row r="58" spans="1:19" x14ac:dyDescent="0.2">
      <c r="A58" s="60" t="s">
        <v>36</v>
      </c>
      <c r="B58" s="60" t="s">
        <v>153</v>
      </c>
      <c r="C58" s="60">
        <v>16.795999999999999</v>
      </c>
      <c r="D58" s="60">
        <v>40.063000000000002</v>
      </c>
      <c r="E58" s="60">
        <v>7.2850000000000001</v>
      </c>
      <c r="F58" s="60">
        <v>4.16</v>
      </c>
      <c r="G58" s="60">
        <v>69.870999999999995</v>
      </c>
      <c r="H58" s="60">
        <v>11.05</v>
      </c>
      <c r="I58" s="60">
        <v>2.2999999999999998</v>
      </c>
      <c r="J58" s="60">
        <v>3.2919999999999998</v>
      </c>
      <c r="L58" s="78">
        <f t="shared" si="0"/>
        <v>9.5910775566231976</v>
      </c>
      <c r="M58" s="78">
        <f t="shared" si="1"/>
        <v>1.7440281556548434</v>
      </c>
      <c r="N58" s="89">
        <f t="shared" si="2"/>
        <v>5.7409579911639162E-2</v>
      </c>
      <c r="O58" s="78">
        <f t="shared" si="3"/>
        <v>0.55288461538461531</v>
      </c>
      <c r="P58" s="78">
        <f t="shared" si="4"/>
        <v>0.6592760180995475</v>
      </c>
      <c r="Q58" s="89">
        <f t="shared" si="5"/>
        <v>3.2917805670449829E-2</v>
      </c>
      <c r="S58" s="60" t="b">
        <f>F58=EPS!C57</f>
        <v>1</v>
      </c>
    </row>
    <row r="59" spans="1:19" x14ac:dyDescent="0.2">
      <c r="A59" s="60" t="s">
        <v>37</v>
      </c>
      <c r="B59" s="60" t="s">
        <v>154</v>
      </c>
      <c r="C59" s="60">
        <v>24.373000000000001</v>
      </c>
      <c r="D59" s="60">
        <v>51.771999999999998</v>
      </c>
      <c r="E59" s="60">
        <v>9.4979999999999993</v>
      </c>
      <c r="F59" s="60">
        <v>4.24</v>
      </c>
      <c r="G59" s="60">
        <v>103.34</v>
      </c>
      <c r="H59" s="60">
        <v>16.846</v>
      </c>
      <c r="I59" s="60">
        <v>3.02</v>
      </c>
      <c r="J59" s="60">
        <v>2.9220000000000002</v>
      </c>
      <c r="L59" s="78">
        <f t="shared" si="0"/>
        <v>10.880185302168879</v>
      </c>
      <c r="M59" s="78">
        <f t="shared" si="1"/>
        <v>1.9960596461407711</v>
      </c>
      <c r="N59" s="89">
        <f t="shared" si="2"/>
        <v>5.8332689484663525E-2</v>
      </c>
      <c r="O59" s="78">
        <f t="shared" si="3"/>
        <v>0.71226415094339623</v>
      </c>
      <c r="P59" s="78">
        <f t="shared" si="4"/>
        <v>0.56381336815861327</v>
      </c>
      <c r="Q59" s="89">
        <f t="shared" si="5"/>
        <v>2.9223921037352427E-2</v>
      </c>
      <c r="S59" s="60" t="b">
        <f>F59=EPS!C58</f>
        <v>1</v>
      </c>
    </row>
    <row r="60" spans="1:19" x14ac:dyDescent="0.2">
      <c r="A60" s="60" t="s">
        <v>196</v>
      </c>
      <c r="B60" s="60" t="s">
        <v>195</v>
      </c>
      <c r="C60" s="60">
        <v>15.676</v>
      </c>
      <c r="D60" s="60">
        <v>20.611999999999998</v>
      </c>
      <c r="E60" s="60">
        <v>4.7649999999999997</v>
      </c>
      <c r="F60" s="60">
        <v>2.57</v>
      </c>
      <c r="G60" s="60">
        <v>40.286999999999999</v>
      </c>
      <c r="H60" s="60">
        <v>6.952</v>
      </c>
      <c r="I60" s="60">
        <v>0.81</v>
      </c>
      <c r="J60" s="60">
        <v>2.0110000000000001</v>
      </c>
      <c r="L60" s="78">
        <f t="shared" si="0"/>
        <v>8.4547743966421827</v>
      </c>
      <c r="M60" s="78">
        <f t="shared" si="1"/>
        <v>1.9545410440520086</v>
      </c>
      <c r="N60" s="89">
        <f t="shared" si="2"/>
        <v>3.9297496603920054E-2</v>
      </c>
      <c r="O60" s="78">
        <f t="shared" si="3"/>
        <v>0.31517509727626464</v>
      </c>
      <c r="P60" s="78">
        <f t="shared" si="4"/>
        <v>0.68541426927502869</v>
      </c>
      <c r="Q60" s="89">
        <f t="shared" si="5"/>
        <v>2.0105741306128529E-2</v>
      </c>
      <c r="S60" s="60" t="b">
        <f>F60=EPS!C59</f>
        <v>1</v>
      </c>
    </row>
    <row r="61" spans="1:19" x14ac:dyDescent="0.2">
      <c r="A61" s="60" t="s">
        <v>198</v>
      </c>
      <c r="B61" s="60" t="s">
        <v>197</v>
      </c>
      <c r="C61" s="60">
        <v>21.713999999999999</v>
      </c>
      <c r="D61" s="60">
        <v>16.221</v>
      </c>
      <c r="E61" s="60">
        <v>2.6749999999999998</v>
      </c>
      <c r="F61" s="60">
        <v>1.34</v>
      </c>
      <c r="G61" s="60">
        <v>29.097000000000001</v>
      </c>
      <c r="H61" s="60">
        <v>3.4980000000000002</v>
      </c>
      <c r="I61" s="60">
        <v>1.06</v>
      </c>
      <c r="J61" s="60">
        <v>3.6429999999999998</v>
      </c>
      <c r="L61" s="78">
        <f t="shared" si="0"/>
        <v>10.877383177570096</v>
      </c>
      <c r="M61" s="78">
        <f t="shared" si="1"/>
        <v>1.7937858331792123</v>
      </c>
      <c r="N61" s="89">
        <f t="shared" si="2"/>
        <v>6.534738918685655E-2</v>
      </c>
      <c r="O61" s="78">
        <f t="shared" si="3"/>
        <v>0.79104477611940294</v>
      </c>
      <c r="P61" s="78">
        <f t="shared" si="4"/>
        <v>0.76472269868496279</v>
      </c>
      <c r="Q61" s="89">
        <f t="shared" si="5"/>
        <v>3.6429872495446269E-2</v>
      </c>
      <c r="S61" s="60" t="b">
        <f>F61=EPS!C60</f>
        <v>1</v>
      </c>
    </row>
    <row r="62" spans="1:19" x14ac:dyDescent="0.2">
      <c r="A62" s="60" t="s">
        <v>38</v>
      </c>
      <c r="B62" s="60" t="s">
        <v>155</v>
      </c>
      <c r="C62" s="60">
        <v>17.757999999999999</v>
      </c>
      <c r="D62" s="60">
        <v>24.998000000000001</v>
      </c>
      <c r="E62" s="60">
        <v>5.69</v>
      </c>
      <c r="F62" s="60">
        <v>2.83</v>
      </c>
      <c r="G62" s="60">
        <v>50.256</v>
      </c>
      <c r="H62" s="60">
        <v>7.3810000000000002</v>
      </c>
      <c r="I62" s="60">
        <v>2.2229999999999999</v>
      </c>
      <c r="J62" s="60">
        <v>4.423</v>
      </c>
      <c r="L62" s="78">
        <f t="shared" si="0"/>
        <v>8.832337434094903</v>
      </c>
      <c r="M62" s="78">
        <f t="shared" si="1"/>
        <v>2.0104008320665652</v>
      </c>
      <c r="N62" s="89">
        <f t="shared" si="2"/>
        <v>8.8927114169133528E-2</v>
      </c>
      <c r="O62" s="78">
        <f t="shared" si="3"/>
        <v>0.78551236749116604</v>
      </c>
      <c r="P62" s="78">
        <f t="shared" si="4"/>
        <v>0.77089825226934028</v>
      </c>
      <c r="Q62" s="89">
        <f t="shared" si="5"/>
        <v>4.4233524355300854E-2</v>
      </c>
      <c r="S62" s="60" t="b">
        <f>F62=EPS!C61</f>
        <v>1</v>
      </c>
    </row>
    <row r="63" spans="1:19" x14ac:dyDescent="0.2">
      <c r="A63" s="60" t="s">
        <v>200</v>
      </c>
      <c r="B63" s="60" t="s">
        <v>199</v>
      </c>
      <c r="C63" s="60">
        <v>21.643000000000001</v>
      </c>
      <c r="D63" s="60">
        <v>35.033999999999999</v>
      </c>
      <c r="E63" s="60">
        <v>9.2910000000000004</v>
      </c>
      <c r="F63" s="60">
        <v>3.18</v>
      </c>
      <c r="G63" s="60">
        <v>68.823999999999998</v>
      </c>
      <c r="H63" s="60">
        <v>11.151999999999999</v>
      </c>
      <c r="I63" s="60">
        <v>1.8</v>
      </c>
      <c r="J63" s="60">
        <v>2.6150000000000002</v>
      </c>
      <c r="L63" s="78">
        <f t="shared" si="0"/>
        <v>7.4075987514799264</v>
      </c>
      <c r="M63" s="78">
        <f t="shared" si="1"/>
        <v>1.9644916366957812</v>
      </c>
      <c r="N63" s="89">
        <f t="shared" si="2"/>
        <v>5.1378660729576982E-2</v>
      </c>
      <c r="O63" s="78">
        <f t="shared" si="3"/>
        <v>0.56603773584905659</v>
      </c>
      <c r="P63" s="78">
        <f t="shared" si="4"/>
        <v>0.83312410329985664</v>
      </c>
      <c r="Q63" s="89">
        <f t="shared" si="5"/>
        <v>2.6153667325351623E-2</v>
      </c>
      <c r="S63" s="60" t="b">
        <f>F63=EPS!C62</f>
        <v>1</v>
      </c>
    </row>
    <row r="64" spans="1:19" x14ac:dyDescent="0.2">
      <c r="A64" s="60" t="s">
        <v>244</v>
      </c>
      <c r="B64" s="60" t="s">
        <v>243</v>
      </c>
      <c r="C64" s="60">
        <v>19.614000000000001</v>
      </c>
      <c r="D64" s="60">
        <v>38.732999999999997</v>
      </c>
      <c r="E64" s="60">
        <v>6.1580000000000004</v>
      </c>
      <c r="F64" s="60">
        <v>3.24</v>
      </c>
      <c r="G64" s="60">
        <v>63.55</v>
      </c>
      <c r="H64" s="60">
        <v>6.4249999999999998</v>
      </c>
      <c r="I64" s="60">
        <v>1.96</v>
      </c>
      <c r="J64" s="60">
        <v>3.0840000000000001</v>
      </c>
      <c r="L64" s="78">
        <f t="shared" si="0"/>
        <v>10.319909061383566</v>
      </c>
      <c r="M64" s="78">
        <f t="shared" si="1"/>
        <v>1.6407197996540419</v>
      </c>
      <c r="N64" s="89">
        <f t="shared" si="2"/>
        <v>5.0602845119149052E-2</v>
      </c>
      <c r="O64" s="78">
        <f t="shared" si="3"/>
        <v>0.60493827160493818</v>
      </c>
      <c r="P64" s="78">
        <f t="shared" si="4"/>
        <v>0.95844357976653705</v>
      </c>
      <c r="Q64" s="89">
        <f t="shared" si="5"/>
        <v>3.0841856805664831E-2</v>
      </c>
      <c r="S64" s="60" t="b">
        <f>F64=EPS!C63</f>
        <v>1</v>
      </c>
    </row>
    <row r="65" spans="1:19" x14ac:dyDescent="0.2">
      <c r="A65" s="60" t="s">
        <v>202</v>
      </c>
      <c r="B65" s="60" t="s">
        <v>201</v>
      </c>
      <c r="C65" s="60">
        <v>11.840999999999999</v>
      </c>
      <c r="D65" s="60">
        <v>5.3630000000000004</v>
      </c>
      <c r="E65" s="60">
        <v>1.2709999999999999</v>
      </c>
      <c r="F65" s="60">
        <v>0.7</v>
      </c>
      <c r="G65" s="60">
        <v>8.2889999999999997</v>
      </c>
      <c r="H65" s="60">
        <v>0.18</v>
      </c>
      <c r="I65" s="60">
        <v>0.39500000000000002</v>
      </c>
      <c r="J65" s="60">
        <v>4.7649999999999997</v>
      </c>
      <c r="L65" s="78">
        <f t="shared" si="0"/>
        <v>6.5216365066876474</v>
      </c>
      <c r="M65" s="78">
        <f t="shared" si="1"/>
        <v>1.5455901547641244</v>
      </c>
      <c r="N65" s="89">
        <f t="shared" si="2"/>
        <v>7.3652806265150098E-2</v>
      </c>
      <c r="O65" s="78">
        <f t="shared" si="3"/>
        <v>0.56428571428571439</v>
      </c>
      <c r="P65" s="78">
        <f t="shared" si="4"/>
        <v>7.0611111111111109</v>
      </c>
      <c r="Q65" s="89">
        <f t="shared" si="5"/>
        <v>4.7653516708891307E-2</v>
      </c>
      <c r="S65" s="60" t="b">
        <f>F65=EPS!C64</f>
        <v>1</v>
      </c>
    </row>
    <row r="66" spans="1:19" x14ac:dyDescent="0.2">
      <c r="A66" s="60" t="s">
        <v>204</v>
      </c>
      <c r="B66" s="60" t="s">
        <v>203</v>
      </c>
      <c r="C66" s="60">
        <v>19.327999999999999</v>
      </c>
      <c r="D66" s="60">
        <v>16.465</v>
      </c>
      <c r="E66" s="60">
        <v>4.3940000000000001</v>
      </c>
      <c r="F66" s="60">
        <v>2.0499999999999998</v>
      </c>
      <c r="G66" s="60">
        <v>39.622999999999998</v>
      </c>
      <c r="H66" s="60">
        <v>3.2559999999999998</v>
      </c>
      <c r="I66" s="60">
        <v>0.93</v>
      </c>
      <c r="J66" s="60">
        <v>2.347</v>
      </c>
      <c r="L66" s="78">
        <f t="shared" si="0"/>
        <v>9.0175238962221211</v>
      </c>
      <c r="M66" s="78">
        <f t="shared" si="1"/>
        <v>2.4064986334649254</v>
      </c>
      <c r="N66" s="89">
        <f t="shared" si="2"/>
        <v>5.6483449741876711E-2</v>
      </c>
      <c r="O66" s="78">
        <f t="shared" si="3"/>
        <v>0.45365853658536592</v>
      </c>
      <c r="P66" s="78">
        <f t="shared" si="4"/>
        <v>1.3495085995085996</v>
      </c>
      <c r="Q66" s="89">
        <f t="shared" si="5"/>
        <v>2.3471216212805696E-2</v>
      </c>
      <c r="S66" s="60" t="b">
        <f>F66=EPS!C65</f>
        <v>1</v>
      </c>
    </row>
    <row r="67" spans="1:19" x14ac:dyDescent="0.2">
      <c r="A67" s="60" t="s">
        <v>83</v>
      </c>
      <c r="B67" s="60" t="s">
        <v>159</v>
      </c>
      <c r="C67" s="60">
        <v>20.963999999999999</v>
      </c>
      <c r="D67" s="60">
        <v>20.824999999999999</v>
      </c>
      <c r="E67" s="60">
        <v>5.24</v>
      </c>
      <c r="F67" s="60">
        <v>1.94</v>
      </c>
      <c r="G67" s="60">
        <v>40.67</v>
      </c>
      <c r="H67" s="60">
        <v>6.9749999999999996</v>
      </c>
      <c r="I67" s="60">
        <v>1.42</v>
      </c>
      <c r="J67" s="60">
        <v>3.492</v>
      </c>
      <c r="L67" s="78">
        <f t="shared" si="0"/>
        <v>7.7614503816793894</v>
      </c>
      <c r="M67" s="78">
        <f t="shared" si="1"/>
        <v>1.9529411764705884</v>
      </c>
      <c r="N67" s="89">
        <f t="shared" si="2"/>
        <v>6.8187274909963985E-2</v>
      </c>
      <c r="O67" s="78">
        <f t="shared" si="3"/>
        <v>0.73195876288659789</v>
      </c>
      <c r="P67" s="78">
        <f t="shared" si="4"/>
        <v>0.75125448028673847</v>
      </c>
      <c r="Q67" s="89">
        <f t="shared" si="5"/>
        <v>3.4915170887632158E-2</v>
      </c>
      <c r="S67" s="60" t="b">
        <f>F67=EPS!C66</f>
        <v>1</v>
      </c>
    </row>
    <row r="68" spans="1:19" x14ac:dyDescent="0.2">
      <c r="A68" s="60" t="s">
        <v>42</v>
      </c>
      <c r="B68" s="60" t="s">
        <v>156</v>
      </c>
      <c r="C68" s="60">
        <v>19.178000000000001</v>
      </c>
      <c r="D68" s="60">
        <v>21.327999999999999</v>
      </c>
      <c r="E68" s="60">
        <v>5.6890000000000001</v>
      </c>
      <c r="F68" s="60">
        <v>2.5499999999999998</v>
      </c>
      <c r="G68" s="60">
        <v>48.904000000000003</v>
      </c>
      <c r="H68" s="60">
        <v>6.5380000000000003</v>
      </c>
      <c r="I68" s="60">
        <v>1.62</v>
      </c>
      <c r="J68" s="60">
        <v>3.3130000000000002</v>
      </c>
      <c r="L68" s="78">
        <f t="shared" si="0"/>
        <v>8.5962383547196346</v>
      </c>
      <c r="M68" s="78">
        <f t="shared" si="1"/>
        <v>2.2929482370592651</v>
      </c>
      <c r="N68" s="89">
        <f t="shared" si="2"/>
        <v>7.5956489122280577E-2</v>
      </c>
      <c r="O68" s="78">
        <f t="shared" si="3"/>
        <v>0.6352941176470589</v>
      </c>
      <c r="P68" s="78">
        <f t="shared" si="4"/>
        <v>0.87014377485469563</v>
      </c>
      <c r="Q68" s="89">
        <f t="shared" si="5"/>
        <v>3.3126124652380171E-2</v>
      </c>
      <c r="S68" s="60" t="b">
        <f>F68=EPS!C67</f>
        <v>1</v>
      </c>
    </row>
    <row r="69" spans="1:19" x14ac:dyDescent="0.2">
      <c r="A69" s="60" t="s">
        <v>44</v>
      </c>
      <c r="B69" s="60" t="s">
        <v>217</v>
      </c>
      <c r="C69" s="60">
        <v>19.946999999999999</v>
      </c>
      <c r="D69" s="60">
        <v>28.292999999999999</v>
      </c>
      <c r="E69" s="60">
        <v>5.391</v>
      </c>
      <c r="F69" s="60">
        <v>2.96</v>
      </c>
      <c r="G69" s="60">
        <v>59.042000000000002</v>
      </c>
      <c r="H69" s="60">
        <v>4.5110000000000001</v>
      </c>
      <c r="I69" s="60">
        <v>1.98</v>
      </c>
      <c r="J69" s="60">
        <v>3.3540000000000001</v>
      </c>
      <c r="L69" s="78">
        <f t="shared" si="0"/>
        <v>10.951956965312558</v>
      </c>
      <c r="M69" s="78">
        <f t="shared" si="1"/>
        <v>2.0868059237267169</v>
      </c>
      <c r="N69" s="89">
        <f t="shared" si="2"/>
        <v>6.9981974339942743E-2</v>
      </c>
      <c r="O69" s="78">
        <f t="shared" si="3"/>
        <v>0.66891891891891897</v>
      </c>
      <c r="P69" s="78">
        <f t="shared" si="4"/>
        <v>1.1950786965196187</v>
      </c>
      <c r="Q69" s="89">
        <f t="shared" si="5"/>
        <v>3.3535449341146981E-2</v>
      </c>
      <c r="S69" s="60" t="b">
        <f>F69=EPS!C68</f>
        <v>1</v>
      </c>
    </row>
    <row r="70" spans="1:19" x14ac:dyDescent="0.2">
      <c r="A70" s="60" t="s">
        <v>43</v>
      </c>
      <c r="B70" s="60" t="s">
        <v>157</v>
      </c>
      <c r="C70" s="60">
        <v>21.585999999999999</v>
      </c>
      <c r="D70" s="60">
        <v>26.841000000000001</v>
      </c>
      <c r="E70" s="60">
        <v>4.8319999999999999</v>
      </c>
      <c r="F70" s="60">
        <v>2.4300000000000002</v>
      </c>
      <c r="G70" s="60">
        <v>52.454000000000001</v>
      </c>
      <c r="H70" s="60">
        <v>7.6660000000000004</v>
      </c>
      <c r="I70" s="60">
        <v>1.52</v>
      </c>
      <c r="J70" s="60">
        <v>2.8980000000000001</v>
      </c>
      <c r="L70" s="78">
        <f t="shared" si="0"/>
        <v>10.855546357615895</v>
      </c>
      <c r="M70" s="78">
        <f t="shared" si="1"/>
        <v>1.9542490965314256</v>
      </c>
      <c r="N70" s="89">
        <f t="shared" si="2"/>
        <v>5.662978279497783E-2</v>
      </c>
      <c r="O70" s="78">
        <f t="shared" si="3"/>
        <v>0.625514403292181</v>
      </c>
      <c r="P70" s="78">
        <f t="shared" si="4"/>
        <v>0.63031567962431512</v>
      </c>
      <c r="Q70" s="89">
        <f t="shared" si="5"/>
        <v>2.8977770999351813E-2</v>
      </c>
      <c r="S70" s="60" t="b">
        <f>F70=EPS!C69</f>
        <v>1</v>
      </c>
    </row>
    <row r="71" spans="1:19" x14ac:dyDescent="0.2">
      <c r="A71" s="60" t="s">
        <v>206</v>
      </c>
      <c r="B71" s="60" t="s">
        <v>205</v>
      </c>
      <c r="C71" s="60">
        <v>20.047999999999998</v>
      </c>
      <c r="D71" s="60">
        <v>26.777999999999999</v>
      </c>
      <c r="E71" s="60">
        <v>5.7690000000000001</v>
      </c>
      <c r="F71" s="60">
        <v>3.27</v>
      </c>
      <c r="G71" s="60">
        <v>65.558000000000007</v>
      </c>
      <c r="H71" s="60">
        <v>10.324999999999999</v>
      </c>
      <c r="I71" s="60">
        <v>1.93</v>
      </c>
      <c r="J71" s="60">
        <v>2.944</v>
      </c>
      <c r="L71" s="78">
        <f t="shared" ref="L71:L73" si="6">IFERROR(G71/E71,"")</f>
        <v>11.36384122031548</v>
      </c>
      <c r="M71" s="78">
        <f t="shared" ref="M71:M73" si="7">IFERROR(G71/D71,"")</f>
        <v>2.448203749346479</v>
      </c>
      <c r="N71" s="89">
        <f t="shared" ref="N71:N73" si="8">IFERROR(I71/D71,"")</f>
        <v>7.2074090671446711E-2</v>
      </c>
      <c r="O71" s="78">
        <f t="shared" ref="O71:O73" si="9">IFERROR(I71/F71,"")</f>
        <v>0.5902140672782874</v>
      </c>
      <c r="P71" s="78">
        <f t="shared" ref="P71:P73" si="10">IFERROR(E71/H71,"")</f>
        <v>0.55874092009685239</v>
      </c>
      <c r="Q71" s="89">
        <f t="shared" ref="Q71:Q73" si="11">IFERROR(I71/G71,"")</f>
        <v>2.9439580219042676E-2</v>
      </c>
      <c r="S71" s="60" t="b">
        <f>F71=EPS!C70</f>
        <v>1</v>
      </c>
    </row>
    <row r="72" spans="1:19" x14ac:dyDescent="0.2">
      <c r="A72" s="60" t="s">
        <v>45</v>
      </c>
      <c r="B72" s="60" t="s">
        <v>158</v>
      </c>
      <c r="C72" s="60">
        <v>18.475000000000001</v>
      </c>
      <c r="D72" s="60">
        <v>21.728000000000002</v>
      </c>
      <c r="E72" s="60">
        <v>5.0430000000000001</v>
      </c>
      <c r="F72" s="60">
        <v>2.21</v>
      </c>
      <c r="G72" s="60">
        <v>40.829000000000001</v>
      </c>
      <c r="H72" s="60">
        <v>6.4180000000000001</v>
      </c>
      <c r="I72" s="60">
        <v>1.36</v>
      </c>
      <c r="J72" s="60">
        <v>3.331</v>
      </c>
      <c r="L72" s="78">
        <f t="shared" si="6"/>
        <v>8.0961729129486422</v>
      </c>
      <c r="M72" s="78">
        <f t="shared" si="7"/>
        <v>1.8790960972017672</v>
      </c>
      <c r="N72" s="89">
        <f t="shared" si="8"/>
        <v>6.2592047128129602E-2</v>
      </c>
      <c r="O72" s="78">
        <f t="shared" si="9"/>
        <v>0.61538461538461542</v>
      </c>
      <c r="P72" s="78">
        <f t="shared" si="10"/>
        <v>0.78575880336553439</v>
      </c>
      <c r="Q72" s="89">
        <f t="shared" si="11"/>
        <v>3.3309657351392394E-2</v>
      </c>
      <c r="S72" s="60" t="b">
        <f>F72=EPS!C71</f>
        <v>1</v>
      </c>
    </row>
    <row r="73" spans="1:19" x14ac:dyDescent="0.2">
      <c r="A73" s="60" t="s">
        <v>208</v>
      </c>
      <c r="B73" s="60" t="s">
        <v>207</v>
      </c>
      <c r="C73" s="60">
        <v>32.770000000000003</v>
      </c>
      <c r="D73" s="60">
        <v>8.875</v>
      </c>
      <c r="E73" s="60">
        <v>1.421</v>
      </c>
      <c r="F73" s="60">
        <v>0.92</v>
      </c>
      <c r="G73" s="60">
        <v>30.148</v>
      </c>
      <c r="H73" s="60">
        <v>1.028</v>
      </c>
      <c r="I73" s="60">
        <v>0.63</v>
      </c>
      <c r="J73" s="60">
        <v>2.09</v>
      </c>
      <c r="L73" s="78">
        <f t="shared" si="6"/>
        <v>21.216045038705136</v>
      </c>
      <c r="M73" s="78">
        <f t="shared" si="7"/>
        <v>3.3969577464788734</v>
      </c>
      <c r="N73" s="89">
        <f t="shared" si="8"/>
        <v>7.0985915492957741E-2</v>
      </c>
      <c r="O73" s="78">
        <f t="shared" si="9"/>
        <v>0.68478260869565211</v>
      </c>
      <c r="P73" s="78">
        <f t="shared" si="10"/>
        <v>1.382295719844358</v>
      </c>
      <c r="Q73" s="89">
        <f t="shared" si="11"/>
        <v>2.0896908584317368E-2</v>
      </c>
      <c r="S73" s="60" t="b">
        <f>F73=EPS!C72</f>
        <v>1</v>
      </c>
    </row>
  </sheetData>
  <autoFilter ref="A4:Q73"/>
  <pageMargins left="0.7" right="0.7" top="0.75" bottom="0.75" header="0.3" footer="0.3"/>
  <pageSetup scale="93" fitToHeight="0" orientation="landscape" r:id="rId1"/>
  <headerFooter>
    <oddHeader>&amp;R&amp;A
&amp;P/&amp;N</oddHeader>
    <oddFooter>&amp;R&amp;A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I69"/>
  <sheetViews>
    <sheetView workbookViewId="0">
      <selection activeCell="E1" sqref="E1:E1048576"/>
    </sheetView>
  </sheetViews>
  <sheetFormatPr defaultRowHeight="14.25" x14ac:dyDescent="0.2"/>
  <cols>
    <col min="2" max="2" width="17.875" bestFit="1" customWidth="1"/>
    <col min="3" max="3" width="16.375" bestFit="1" customWidth="1"/>
    <col min="4" max="4" width="18.125" bestFit="1" customWidth="1"/>
    <col min="5" max="5" width="6.5" customWidth="1"/>
    <col min="6" max="6" width="14.75" bestFit="1" customWidth="1"/>
    <col min="7" max="7" width="19.625" bestFit="1" customWidth="1"/>
    <col min="8" max="8" width="16.125" bestFit="1" customWidth="1"/>
    <col min="9" max="9" width="19" bestFit="1" customWidth="1"/>
  </cols>
  <sheetData>
    <row r="1" spans="1:9" x14ac:dyDescent="0.2">
      <c r="A1" s="29">
        <v>43272</v>
      </c>
      <c r="B1">
        <v>2017</v>
      </c>
      <c r="C1">
        <v>2017</v>
      </c>
      <c r="D1">
        <v>2017</v>
      </c>
      <c r="E1">
        <v>2017</v>
      </c>
      <c r="F1">
        <v>2017</v>
      </c>
      <c r="G1">
        <v>2017</v>
      </c>
      <c r="H1">
        <v>2017</v>
      </c>
      <c r="I1">
        <v>2017</v>
      </c>
    </row>
    <row r="2" spans="1:9" x14ac:dyDescent="0.2">
      <c r="B2" t="s">
        <v>332</v>
      </c>
      <c r="C2" t="s">
        <v>334</v>
      </c>
      <c r="D2" t="s">
        <v>336</v>
      </c>
      <c r="E2" t="s">
        <v>338</v>
      </c>
      <c r="F2" t="s">
        <v>333</v>
      </c>
      <c r="G2" t="s">
        <v>335</v>
      </c>
      <c r="H2" t="s">
        <v>337</v>
      </c>
      <c r="I2" t="s">
        <v>339</v>
      </c>
    </row>
    <row r="5" spans="1:9" x14ac:dyDescent="0.2">
      <c r="A5" t="s">
        <v>163</v>
      </c>
      <c r="C5">
        <v>34.878999999999998</v>
      </c>
      <c r="D5">
        <v>3.11</v>
      </c>
      <c r="E5">
        <v>-0.11</v>
      </c>
      <c r="F5">
        <v>40.198999999999998</v>
      </c>
      <c r="G5">
        <v>0.627</v>
      </c>
      <c r="H5">
        <v>0.88</v>
      </c>
      <c r="I5">
        <v>2.1890000000000001</v>
      </c>
    </row>
    <row r="6" spans="1:9" x14ac:dyDescent="0.2">
      <c r="A6" t="s">
        <v>0</v>
      </c>
      <c r="B6">
        <v>23.045999999999999</v>
      </c>
      <c r="C6">
        <v>40.473999999999997</v>
      </c>
      <c r="D6">
        <v>6.5890000000000004</v>
      </c>
      <c r="E6">
        <v>3.13</v>
      </c>
      <c r="F6">
        <v>72.134</v>
      </c>
      <c r="G6">
        <v>4.08</v>
      </c>
      <c r="H6">
        <v>2.14</v>
      </c>
      <c r="I6">
        <v>2.9670000000000001</v>
      </c>
    </row>
    <row r="7" spans="1:9" x14ac:dyDescent="0.2">
      <c r="A7" t="s">
        <v>1</v>
      </c>
      <c r="B7">
        <v>20.596</v>
      </c>
      <c r="C7">
        <v>17.213000000000001</v>
      </c>
      <c r="D7">
        <v>3.1019999999999999</v>
      </c>
      <c r="E7">
        <v>1.99</v>
      </c>
      <c r="F7">
        <v>40.985999999999997</v>
      </c>
      <c r="H7">
        <v>1.26</v>
      </c>
      <c r="I7">
        <v>3.0739999999999998</v>
      </c>
    </row>
    <row r="8" spans="1:9" x14ac:dyDescent="0.2">
      <c r="A8" t="s">
        <v>2</v>
      </c>
      <c r="B8">
        <v>19.329000000000001</v>
      </c>
      <c r="C8">
        <v>37.167999999999999</v>
      </c>
      <c r="D8">
        <v>7.9459999999999997</v>
      </c>
      <c r="E8">
        <v>3.62</v>
      </c>
      <c r="F8">
        <v>69.971000000000004</v>
      </c>
      <c r="G8">
        <v>11.787000000000001</v>
      </c>
      <c r="H8">
        <v>2.39</v>
      </c>
      <c r="I8">
        <v>3.4159999999999999</v>
      </c>
    </row>
    <row r="9" spans="1:9" x14ac:dyDescent="0.2">
      <c r="A9" t="s">
        <v>165</v>
      </c>
      <c r="B9">
        <v>25.713999999999999</v>
      </c>
      <c r="C9">
        <v>14.446999999999999</v>
      </c>
      <c r="D9">
        <v>2.9550000000000001</v>
      </c>
      <c r="E9">
        <v>1.88</v>
      </c>
      <c r="F9">
        <v>48.341999999999999</v>
      </c>
      <c r="G9">
        <v>3.0840000000000001</v>
      </c>
      <c r="H9">
        <v>0.99</v>
      </c>
      <c r="I9">
        <v>2.048</v>
      </c>
    </row>
    <row r="10" spans="1:9" x14ac:dyDescent="0.2">
      <c r="A10" t="s">
        <v>167</v>
      </c>
      <c r="B10">
        <v>33.786999999999999</v>
      </c>
      <c r="C10">
        <v>30.132999999999999</v>
      </c>
      <c r="D10">
        <v>5.14</v>
      </c>
      <c r="E10">
        <v>2.38</v>
      </c>
      <c r="F10">
        <v>80.414000000000001</v>
      </c>
      <c r="G10">
        <v>8.0359999999999996</v>
      </c>
      <c r="H10">
        <v>1.62</v>
      </c>
      <c r="I10">
        <v>2.0150000000000001</v>
      </c>
    </row>
    <row r="11" spans="1:9" x14ac:dyDescent="0.2">
      <c r="A11" t="s">
        <v>3</v>
      </c>
      <c r="B11">
        <v>20.596</v>
      </c>
      <c r="C11">
        <v>29.608000000000001</v>
      </c>
      <c r="D11">
        <v>6.8040000000000003</v>
      </c>
      <c r="E11">
        <v>2.77</v>
      </c>
      <c r="F11">
        <v>57.05</v>
      </c>
      <c r="G11">
        <v>9.0470000000000006</v>
      </c>
      <c r="H11">
        <v>1.778</v>
      </c>
      <c r="I11">
        <v>3.117</v>
      </c>
    </row>
    <row r="12" spans="1:9" x14ac:dyDescent="0.2">
      <c r="A12" t="s">
        <v>169</v>
      </c>
      <c r="B12">
        <v>36.398000000000003</v>
      </c>
      <c r="C12">
        <v>8.0459999999999994</v>
      </c>
      <c r="D12">
        <v>3.7930000000000001</v>
      </c>
      <c r="E12">
        <v>1.25</v>
      </c>
      <c r="F12">
        <v>45.497</v>
      </c>
      <c r="G12">
        <v>1.056</v>
      </c>
      <c r="H12">
        <v>3.78</v>
      </c>
      <c r="I12">
        <v>8.3079999999999998</v>
      </c>
    </row>
    <row r="13" spans="1:9" x14ac:dyDescent="0.2">
      <c r="A13" t="s">
        <v>171</v>
      </c>
      <c r="B13">
        <v>24.664000000000001</v>
      </c>
      <c r="C13">
        <v>11.016</v>
      </c>
      <c r="D13">
        <v>2.1179999999999999</v>
      </c>
      <c r="E13">
        <v>1.35</v>
      </c>
      <c r="F13">
        <v>33.295999999999999</v>
      </c>
      <c r="G13">
        <v>2.69</v>
      </c>
      <c r="H13">
        <v>0.79</v>
      </c>
      <c r="I13">
        <v>2.3730000000000002</v>
      </c>
    </row>
    <row r="14" spans="1:9" x14ac:dyDescent="0.2">
      <c r="A14" t="s">
        <v>173</v>
      </c>
      <c r="B14">
        <v>24.204999999999998</v>
      </c>
      <c r="C14">
        <v>15.914</v>
      </c>
      <c r="D14">
        <v>2.5539999999999998</v>
      </c>
      <c r="E14">
        <v>1.51</v>
      </c>
      <c r="F14">
        <v>36.549999999999997</v>
      </c>
      <c r="G14">
        <v>4.4589999999999996</v>
      </c>
      <c r="H14">
        <v>0.92700000000000005</v>
      </c>
      <c r="I14">
        <v>2.536</v>
      </c>
    </row>
    <row r="15" spans="1:9" x14ac:dyDescent="0.2">
      <c r="A15" t="s">
        <v>175</v>
      </c>
      <c r="B15">
        <v>22.035</v>
      </c>
      <c r="C15">
        <v>36.744</v>
      </c>
      <c r="D15">
        <v>6.6180000000000003</v>
      </c>
      <c r="E15">
        <v>3.6</v>
      </c>
      <c r="F15">
        <v>79.325000000000003</v>
      </c>
      <c r="G15">
        <v>10.717000000000001</v>
      </c>
      <c r="H15">
        <v>1.8</v>
      </c>
      <c r="I15">
        <v>2.2690000000000001</v>
      </c>
    </row>
    <row r="16" spans="1:9" x14ac:dyDescent="0.2">
      <c r="A16" t="s">
        <v>260</v>
      </c>
      <c r="B16">
        <v>27.265999999999998</v>
      </c>
      <c r="C16">
        <v>48.792000000000002</v>
      </c>
      <c r="D16">
        <v>4.4889999999999999</v>
      </c>
      <c r="E16">
        <v>1.67</v>
      </c>
      <c r="F16">
        <v>45.533999999999999</v>
      </c>
      <c r="G16">
        <v>7.819</v>
      </c>
      <c r="H16">
        <v>1.728</v>
      </c>
      <c r="I16">
        <v>3.7949999999999999</v>
      </c>
    </row>
    <row r="17" spans="1:9" x14ac:dyDescent="0.2">
      <c r="A17" t="s">
        <v>4</v>
      </c>
      <c r="B17">
        <v>23.373000000000001</v>
      </c>
      <c r="C17">
        <v>26.411999999999999</v>
      </c>
      <c r="D17">
        <v>4.8739999999999997</v>
      </c>
      <c r="E17">
        <v>1.95</v>
      </c>
      <c r="F17">
        <v>45.578000000000003</v>
      </c>
      <c r="G17">
        <v>6.2960000000000003</v>
      </c>
      <c r="H17">
        <v>1.43</v>
      </c>
      <c r="I17">
        <v>3.137</v>
      </c>
    </row>
    <row r="18" spans="1:9" x14ac:dyDescent="0.2">
      <c r="A18" t="s">
        <v>5</v>
      </c>
      <c r="B18">
        <v>19.478000000000002</v>
      </c>
      <c r="C18">
        <v>31.919</v>
      </c>
      <c r="D18">
        <v>7.1539999999999999</v>
      </c>
      <c r="E18">
        <v>3.38</v>
      </c>
      <c r="F18">
        <v>65.835999999999999</v>
      </c>
      <c r="G18">
        <v>6.0890000000000004</v>
      </c>
      <c r="H18">
        <v>1.81</v>
      </c>
      <c r="I18">
        <v>2.7490000000000001</v>
      </c>
    </row>
    <row r="19" spans="1:9" x14ac:dyDescent="0.2">
      <c r="A19" t="s">
        <v>177</v>
      </c>
      <c r="B19">
        <v>26.896000000000001</v>
      </c>
      <c r="C19">
        <v>14.444000000000001</v>
      </c>
      <c r="D19">
        <v>2.9990000000000001</v>
      </c>
      <c r="E19">
        <v>1.4</v>
      </c>
      <c r="F19">
        <v>37.654000000000003</v>
      </c>
      <c r="G19">
        <v>5.399</v>
      </c>
      <c r="H19">
        <v>0.72</v>
      </c>
      <c r="I19">
        <v>1.9119999999999999</v>
      </c>
    </row>
    <row r="20" spans="1:9" x14ac:dyDescent="0.2">
      <c r="A20" t="s">
        <v>6</v>
      </c>
      <c r="B20">
        <v>17.908000000000001</v>
      </c>
      <c r="C20">
        <v>10.875999999999999</v>
      </c>
      <c r="D20">
        <v>4.0339999999999998</v>
      </c>
      <c r="E20">
        <v>1.57</v>
      </c>
      <c r="F20">
        <v>28.114999999999998</v>
      </c>
      <c r="G20">
        <v>3.3079999999999998</v>
      </c>
      <c r="H20">
        <v>1.3480000000000001</v>
      </c>
      <c r="I20">
        <v>4.7949999999999999</v>
      </c>
    </row>
    <row r="21" spans="1:9" x14ac:dyDescent="0.2">
      <c r="A21" t="s">
        <v>178</v>
      </c>
      <c r="B21">
        <v>27.843</v>
      </c>
      <c r="C21">
        <v>29.753</v>
      </c>
      <c r="D21">
        <v>5.4169999999999998</v>
      </c>
      <c r="E21">
        <v>2.68</v>
      </c>
      <c r="F21">
        <v>74.62</v>
      </c>
      <c r="G21">
        <v>10.727</v>
      </c>
      <c r="H21">
        <v>1.26</v>
      </c>
      <c r="I21">
        <v>1.6890000000000001</v>
      </c>
    </row>
    <row r="22" spans="1:9" x14ac:dyDescent="0.2">
      <c r="A22" t="s">
        <v>9</v>
      </c>
      <c r="B22">
        <v>21.315999999999999</v>
      </c>
      <c r="C22">
        <v>15.768000000000001</v>
      </c>
      <c r="D22">
        <v>5.2869999999999999</v>
      </c>
      <c r="E22">
        <v>2.17</v>
      </c>
      <c r="F22">
        <v>46.255000000000003</v>
      </c>
      <c r="G22">
        <v>5.9119999999999999</v>
      </c>
      <c r="H22">
        <v>1.33</v>
      </c>
      <c r="I22">
        <v>2.875</v>
      </c>
    </row>
    <row r="23" spans="1:9" x14ac:dyDescent="0.2">
      <c r="A23" t="s">
        <v>180</v>
      </c>
      <c r="B23">
        <v>26.527999999999999</v>
      </c>
      <c r="C23">
        <v>24.337</v>
      </c>
      <c r="D23">
        <v>3.3919999999999999</v>
      </c>
      <c r="E23">
        <v>2.13</v>
      </c>
      <c r="F23">
        <v>56.503999999999998</v>
      </c>
      <c r="G23">
        <v>4.3949999999999996</v>
      </c>
      <c r="H23">
        <v>1.18</v>
      </c>
      <c r="I23">
        <v>2.0880000000000001</v>
      </c>
    </row>
    <row r="24" spans="1:9" x14ac:dyDescent="0.2">
      <c r="A24" t="s">
        <v>10</v>
      </c>
      <c r="B24">
        <v>19.774000000000001</v>
      </c>
      <c r="C24">
        <v>49.734999999999999</v>
      </c>
      <c r="D24">
        <v>8.41</v>
      </c>
      <c r="E24">
        <v>4.0999999999999996</v>
      </c>
      <c r="F24">
        <v>81.073999999999998</v>
      </c>
      <c r="G24">
        <v>11.106</v>
      </c>
      <c r="H24">
        <v>2.76</v>
      </c>
      <c r="I24">
        <v>3.4039999999999999</v>
      </c>
    </row>
    <row r="25" spans="1:9" x14ac:dyDescent="0.2">
      <c r="A25" t="s">
        <v>182</v>
      </c>
      <c r="B25">
        <v>29.004999999999999</v>
      </c>
      <c r="C25">
        <v>9.9139999999999997</v>
      </c>
      <c r="D25">
        <v>1.117</v>
      </c>
      <c r="E25">
        <v>0.41</v>
      </c>
      <c r="F25">
        <v>11.891999999999999</v>
      </c>
      <c r="G25">
        <v>0.307</v>
      </c>
      <c r="H25">
        <v>0.31</v>
      </c>
      <c r="I25">
        <v>2.6070000000000002</v>
      </c>
    </row>
    <row r="26" spans="1:9" x14ac:dyDescent="0.2">
      <c r="A26" t="s">
        <v>11</v>
      </c>
      <c r="B26">
        <v>22.172999999999998</v>
      </c>
      <c r="C26">
        <v>26.593</v>
      </c>
      <c r="D26">
        <v>6.8970000000000002</v>
      </c>
      <c r="E26">
        <v>3.53</v>
      </c>
      <c r="F26">
        <v>78.269000000000005</v>
      </c>
      <c r="G26">
        <v>8.5389999999999997</v>
      </c>
      <c r="H26">
        <v>3.0350000000000001</v>
      </c>
      <c r="I26">
        <v>3.8780000000000001</v>
      </c>
    </row>
    <row r="27" spans="1:9" x14ac:dyDescent="0.2">
      <c r="A27" t="s">
        <v>12</v>
      </c>
      <c r="B27">
        <v>18.593</v>
      </c>
      <c r="C27">
        <v>53.024999999999999</v>
      </c>
      <c r="D27">
        <v>11.773</v>
      </c>
      <c r="E27">
        <v>5.73</v>
      </c>
      <c r="F27">
        <v>106.53700000000001</v>
      </c>
      <c r="G27">
        <v>12.542999999999999</v>
      </c>
      <c r="H27">
        <v>3.36</v>
      </c>
      <c r="I27">
        <v>3.1539999999999999</v>
      </c>
    </row>
    <row r="28" spans="1:9" x14ac:dyDescent="0.2">
      <c r="A28" t="s">
        <v>13</v>
      </c>
      <c r="B28">
        <v>19.925999999999998</v>
      </c>
      <c r="C28">
        <v>59.627000000000002</v>
      </c>
      <c r="D28">
        <v>10.013</v>
      </c>
      <c r="E28">
        <v>4.22</v>
      </c>
      <c r="F28">
        <v>84.087000000000003</v>
      </c>
      <c r="G28">
        <v>11.503</v>
      </c>
      <c r="H28">
        <v>3.49</v>
      </c>
      <c r="I28">
        <v>4.1500000000000004</v>
      </c>
    </row>
    <row r="29" spans="1:9" x14ac:dyDescent="0.2">
      <c r="A29" t="s">
        <v>14</v>
      </c>
      <c r="B29">
        <v>17.234000000000002</v>
      </c>
      <c r="C29">
        <v>35.820999999999998</v>
      </c>
      <c r="D29">
        <v>11.031000000000001</v>
      </c>
      <c r="E29">
        <v>4.51</v>
      </c>
      <c r="F29">
        <v>77.727000000000004</v>
      </c>
      <c r="G29">
        <v>11.749000000000001</v>
      </c>
      <c r="H29">
        <v>2.2330000000000001</v>
      </c>
      <c r="I29">
        <v>2.8730000000000002</v>
      </c>
    </row>
    <row r="30" spans="1:9" x14ac:dyDescent="0.2">
      <c r="A30" t="s">
        <v>15</v>
      </c>
      <c r="B30">
        <v>21.783000000000001</v>
      </c>
      <c r="C30">
        <v>28.143000000000001</v>
      </c>
      <c r="D30">
        <v>6.173</v>
      </c>
      <c r="E30">
        <v>2.42</v>
      </c>
      <c r="F30">
        <v>52.715000000000003</v>
      </c>
      <c r="G30">
        <v>5.9089999999999998</v>
      </c>
      <c r="H30">
        <v>1.3149999999999999</v>
      </c>
      <c r="I30">
        <v>2.4950000000000001</v>
      </c>
    </row>
    <row r="31" spans="1:9" x14ac:dyDescent="0.2">
      <c r="A31" t="s">
        <v>17</v>
      </c>
      <c r="B31">
        <v>15.009</v>
      </c>
      <c r="C31">
        <v>44.276000000000003</v>
      </c>
      <c r="D31">
        <v>16.704999999999998</v>
      </c>
      <c r="E31">
        <v>5.19</v>
      </c>
      <c r="F31">
        <v>77.897999999999996</v>
      </c>
      <c r="G31">
        <v>22.074999999999999</v>
      </c>
      <c r="H31">
        <v>3.5</v>
      </c>
      <c r="I31">
        <v>4.4930000000000003</v>
      </c>
    </row>
    <row r="32" spans="1:9" x14ac:dyDescent="0.2">
      <c r="A32" t="s">
        <v>211</v>
      </c>
      <c r="B32">
        <v>19.465</v>
      </c>
      <c r="C32">
        <v>34.984999999999999</v>
      </c>
      <c r="D32">
        <v>5.8440000000000003</v>
      </c>
      <c r="E32">
        <v>3.11</v>
      </c>
      <c r="F32">
        <v>60.536999999999999</v>
      </c>
      <c r="G32">
        <v>7.41</v>
      </c>
      <c r="H32">
        <v>1.9</v>
      </c>
      <c r="I32">
        <v>3.1389999999999998</v>
      </c>
    </row>
    <row r="33" spans="1:9" x14ac:dyDescent="0.2">
      <c r="A33" t="s">
        <v>18</v>
      </c>
      <c r="B33">
        <v>13.41</v>
      </c>
      <c r="C33">
        <v>30.992999999999999</v>
      </c>
      <c r="D33">
        <v>8.3699999999999992</v>
      </c>
      <c r="E33">
        <v>2.78</v>
      </c>
      <c r="F33">
        <v>37.280999999999999</v>
      </c>
      <c r="G33">
        <v>7.8730000000000002</v>
      </c>
      <c r="H33">
        <v>1.31</v>
      </c>
      <c r="I33">
        <v>3.5139999999999998</v>
      </c>
    </row>
    <row r="34" spans="1:9" x14ac:dyDescent="0.2">
      <c r="A34" t="s">
        <v>19</v>
      </c>
      <c r="B34">
        <v>11.409000000000001</v>
      </c>
      <c r="C34">
        <v>8.8140000000000001</v>
      </c>
      <c r="D34">
        <v>6.5410000000000004</v>
      </c>
      <c r="E34">
        <v>2.73</v>
      </c>
      <c r="F34">
        <v>31.146000000000001</v>
      </c>
      <c r="G34">
        <v>6.3789999999999996</v>
      </c>
      <c r="H34">
        <v>1.44</v>
      </c>
      <c r="I34">
        <v>4.6230000000000002</v>
      </c>
    </row>
    <row r="35" spans="1:9" x14ac:dyDescent="0.2">
      <c r="A35" t="s">
        <v>266</v>
      </c>
      <c r="B35">
        <v>16.809999999999999</v>
      </c>
      <c r="C35">
        <v>31.774000000000001</v>
      </c>
      <c r="D35">
        <v>5.4329999999999998</v>
      </c>
      <c r="E35">
        <v>2.66</v>
      </c>
      <c r="F35">
        <v>44.715000000000003</v>
      </c>
      <c r="G35">
        <v>7.181</v>
      </c>
      <c r="H35">
        <v>1.65</v>
      </c>
      <c r="I35">
        <v>3.69</v>
      </c>
    </row>
    <row r="36" spans="1:9" x14ac:dyDescent="0.2">
      <c r="A36" t="s">
        <v>21</v>
      </c>
      <c r="B36">
        <v>20.693000000000001</v>
      </c>
      <c r="C36">
        <v>19.28</v>
      </c>
      <c r="D36">
        <v>3.6829999999999998</v>
      </c>
      <c r="E36">
        <v>1.64</v>
      </c>
      <c r="F36">
        <v>33.936999999999998</v>
      </c>
      <c r="G36">
        <v>4.5519999999999996</v>
      </c>
      <c r="H36">
        <v>1.24</v>
      </c>
      <c r="I36">
        <v>3.6539999999999999</v>
      </c>
    </row>
    <row r="37" spans="1:9" x14ac:dyDescent="0.2">
      <c r="A37" t="s">
        <v>22</v>
      </c>
      <c r="B37">
        <v>20.600999999999999</v>
      </c>
      <c r="C37">
        <v>44.652999999999999</v>
      </c>
      <c r="D37">
        <v>7.5039999999999996</v>
      </c>
      <c r="E37">
        <v>4.21</v>
      </c>
      <c r="F37">
        <v>86.728999999999999</v>
      </c>
      <c r="G37">
        <v>5.6619999999999999</v>
      </c>
      <c r="H37">
        <v>2.2400000000000002</v>
      </c>
      <c r="I37">
        <v>2.5830000000000002</v>
      </c>
    </row>
    <row r="38" spans="1:9" x14ac:dyDescent="0.2">
      <c r="A38" t="s">
        <v>25</v>
      </c>
      <c r="B38">
        <v>29.356999999999999</v>
      </c>
      <c r="C38">
        <v>22.446999999999999</v>
      </c>
      <c r="D38">
        <v>3.726</v>
      </c>
      <c r="E38">
        <v>2.2000000000000002</v>
      </c>
      <c r="F38">
        <v>64.585999999999999</v>
      </c>
      <c r="G38">
        <v>3.1190000000000002</v>
      </c>
      <c r="H38">
        <v>1.26</v>
      </c>
      <c r="I38">
        <v>1.9510000000000001</v>
      </c>
    </row>
    <row r="39" spans="1:9" x14ac:dyDescent="0.2">
      <c r="A39" t="s">
        <v>188</v>
      </c>
      <c r="B39">
        <v>28.385999999999999</v>
      </c>
      <c r="C39">
        <v>14.015000000000001</v>
      </c>
      <c r="D39">
        <v>2.2370000000000001</v>
      </c>
      <c r="E39">
        <v>1.38</v>
      </c>
      <c r="F39">
        <v>39.173000000000002</v>
      </c>
      <c r="G39">
        <v>3.0760000000000001</v>
      </c>
      <c r="H39">
        <v>0.85799999999999998</v>
      </c>
      <c r="I39">
        <v>2.19</v>
      </c>
    </row>
    <row r="40" spans="1:9" x14ac:dyDescent="0.2">
      <c r="A40" t="s">
        <v>190</v>
      </c>
      <c r="B40">
        <v>22.376999999999999</v>
      </c>
      <c r="C40">
        <v>14.326000000000001</v>
      </c>
      <c r="D40">
        <v>2.6789999999999998</v>
      </c>
      <c r="E40">
        <v>1.73</v>
      </c>
      <c r="F40">
        <v>38.712000000000003</v>
      </c>
      <c r="G40">
        <v>3.8010000000000002</v>
      </c>
      <c r="H40">
        <v>1.04</v>
      </c>
      <c r="I40">
        <v>2.6869999999999998</v>
      </c>
    </row>
    <row r="41" spans="1:9" x14ac:dyDescent="0.2">
      <c r="A41" t="s">
        <v>141</v>
      </c>
      <c r="B41">
        <v>21.649000000000001</v>
      </c>
      <c r="C41">
        <v>59.89</v>
      </c>
      <c r="D41">
        <v>12.108000000000001</v>
      </c>
      <c r="E41">
        <v>6.5</v>
      </c>
      <c r="F41">
        <v>140.71899999999999</v>
      </c>
      <c r="G41">
        <v>22.803000000000001</v>
      </c>
      <c r="H41">
        <v>3.93</v>
      </c>
      <c r="I41">
        <v>2.7930000000000001</v>
      </c>
    </row>
    <row r="42" spans="1:9" x14ac:dyDescent="0.2">
      <c r="A42" t="s">
        <v>26</v>
      </c>
      <c r="B42">
        <v>64.400000000000006</v>
      </c>
      <c r="C42">
        <v>12.819000000000001</v>
      </c>
      <c r="D42">
        <v>2.0739999999999998</v>
      </c>
      <c r="E42">
        <v>0.39</v>
      </c>
      <c r="F42">
        <v>25.116</v>
      </c>
      <c r="G42">
        <v>5.032</v>
      </c>
      <c r="H42">
        <v>0.7</v>
      </c>
      <c r="I42">
        <v>2.7869999999999999</v>
      </c>
    </row>
    <row r="43" spans="1:9" x14ac:dyDescent="0.2">
      <c r="A43" t="s">
        <v>192</v>
      </c>
      <c r="C43">
        <v>25.847999999999999</v>
      </c>
      <c r="D43">
        <v>1.042</v>
      </c>
      <c r="E43">
        <v>-1.94</v>
      </c>
      <c r="F43">
        <v>62.228000000000002</v>
      </c>
      <c r="G43">
        <v>7.4329999999999998</v>
      </c>
      <c r="H43">
        <v>1.88</v>
      </c>
      <c r="I43">
        <v>3.0209999999999999</v>
      </c>
    </row>
    <row r="44" spans="1:9" x14ac:dyDescent="0.2">
      <c r="A44" t="s">
        <v>144</v>
      </c>
      <c r="B44">
        <v>17.844999999999999</v>
      </c>
      <c r="C44">
        <v>36.436</v>
      </c>
      <c r="D44">
        <v>6.7569999999999997</v>
      </c>
      <c r="E44">
        <v>3.34</v>
      </c>
      <c r="F44">
        <v>59.603000000000002</v>
      </c>
      <c r="G44">
        <v>5.5990000000000002</v>
      </c>
      <c r="H44">
        <v>2.1</v>
      </c>
      <c r="I44">
        <v>3.5230000000000001</v>
      </c>
    </row>
    <row r="45" spans="1:9" x14ac:dyDescent="0.2">
      <c r="A45" t="s">
        <v>27</v>
      </c>
      <c r="B45">
        <v>18.323</v>
      </c>
      <c r="C45">
        <v>19.283999999999999</v>
      </c>
      <c r="D45">
        <v>3.3439999999999999</v>
      </c>
      <c r="E45">
        <v>1.92</v>
      </c>
      <c r="F45">
        <v>35.18</v>
      </c>
      <c r="G45">
        <v>4.1269999999999998</v>
      </c>
      <c r="H45">
        <v>1.27</v>
      </c>
      <c r="I45">
        <v>3.61</v>
      </c>
    </row>
    <row r="46" spans="1:9" x14ac:dyDescent="0.2">
      <c r="A46" t="s">
        <v>346</v>
      </c>
      <c r="B46">
        <v>23.465</v>
      </c>
      <c r="C46">
        <v>37.470999999999997</v>
      </c>
      <c r="D46">
        <v>5.96</v>
      </c>
      <c r="E46">
        <v>3.02</v>
      </c>
      <c r="F46">
        <v>70.864999999999995</v>
      </c>
      <c r="G46">
        <v>6.8120000000000003</v>
      </c>
      <c r="H46">
        <v>1.68</v>
      </c>
      <c r="I46">
        <v>2.371</v>
      </c>
    </row>
    <row r="47" spans="1:9" x14ac:dyDescent="0.2">
      <c r="A47" t="s">
        <v>28</v>
      </c>
      <c r="B47">
        <v>22.062999999999999</v>
      </c>
      <c r="C47">
        <v>17.617000000000001</v>
      </c>
      <c r="D47">
        <v>3.7010000000000001</v>
      </c>
      <c r="E47">
        <v>1.86</v>
      </c>
      <c r="F47">
        <v>41.036999999999999</v>
      </c>
      <c r="G47">
        <v>3.36</v>
      </c>
      <c r="H47">
        <v>1.28</v>
      </c>
      <c r="I47">
        <v>3.1190000000000002</v>
      </c>
    </row>
    <row r="48" spans="1:9" x14ac:dyDescent="0.2">
      <c r="A48" t="s">
        <v>30</v>
      </c>
      <c r="B48">
        <v>18.277000000000001</v>
      </c>
      <c r="C48">
        <v>37.338000000000001</v>
      </c>
      <c r="D48">
        <v>9.0280000000000005</v>
      </c>
      <c r="E48">
        <v>3.5</v>
      </c>
      <c r="F48">
        <v>63.969000000000001</v>
      </c>
      <c r="G48">
        <v>10.959</v>
      </c>
      <c r="H48">
        <v>1.55</v>
      </c>
      <c r="I48">
        <v>2.423</v>
      </c>
    </row>
    <row r="49" spans="1:9" x14ac:dyDescent="0.2">
      <c r="A49" t="s">
        <v>31</v>
      </c>
      <c r="B49">
        <v>19.280999999999999</v>
      </c>
      <c r="C49">
        <v>44.802</v>
      </c>
      <c r="D49">
        <v>9.7859999999999996</v>
      </c>
      <c r="E49">
        <v>4.43</v>
      </c>
      <c r="F49">
        <v>85.414000000000001</v>
      </c>
      <c r="G49">
        <v>12.804</v>
      </c>
      <c r="H49">
        <v>2.7</v>
      </c>
      <c r="I49">
        <v>3.161</v>
      </c>
    </row>
    <row r="50" spans="1:9" x14ac:dyDescent="0.2">
      <c r="A50" t="s">
        <v>32</v>
      </c>
      <c r="B50">
        <v>20.425999999999998</v>
      </c>
      <c r="C50">
        <v>21.283000000000001</v>
      </c>
      <c r="D50">
        <v>5.2990000000000004</v>
      </c>
      <c r="E50">
        <v>1.92</v>
      </c>
      <c r="F50">
        <v>39.216999999999999</v>
      </c>
      <c r="G50">
        <v>6.2830000000000004</v>
      </c>
      <c r="H50">
        <v>0.99299999999999999</v>
      </c>
      <c r="I50">
        <v>2.532</v>
      </c>
    </row>
    <row r="51" spans="1:9" x14ac:dyDescent="0.2">
      <c r="A51" t="s">
        <v>33</v>
      </c>
      <c r="B51">
        <v>20.030999999999999</v>
      </c>
      <c r="C51">
        <v>27.111000000000001</v>
      </c>
      <c r="D51">
        <v>6.1609999999999996</v>
      </c>
      <c r="E51">
        <v>2.29</v>
      </c>
      <c r="F51">
        <v>45.872</v>
      </c>
      <c r="G51">
        <v>5.7679999999999998</v>
      </c>
      <c r="H51">
        <v>1.34</v>
      </c>
      <c r="I51">
        <v>2.9209999999999998</v>
      </c>
    </row>
    <row r="52" spans="1:9" x14ac:dyDescent="0.2">
      <c r="A52" t="s">
        <v>34</v>
      </c>
      <c r="B52">
        <v>17.649999999999999</v>
      </c>
      <c r="C52">
        <v>15.519</v>
      </c>
      <c r="D52">
        <v>3.6829999999999998</v>
      </c>
      <c r="E52">
        <v>2.11</v>
      </c>
      <c r="F52">
        <v>37.241</v>
      </c>
      <c r="G52">
        <v>4.5179999999999998</v>
      </c>
      <c r="H52">
        <v>1.58</v>
      </c>
      <c r="I52">
        <v>4.2430000000000003</v>
      </c>
    </row>
    <row r="53" spans="1:9" x14ac:dyDescent="0.2">
      <c r="A53" t="s">
        <v>35</v>
      </c>
      <c r="B53">
        <v>16.305</v>
      </c>
      <c r="C53">
        <v>27.42</v>
      </c>
      <c r="D53">
        <v>5.3029999999999999</v>
      </c>
      <c r="E53">
        <v>2.82</v>
      </c>
      <c r="F53">
        <v>45.978999999999999</v>
      </c>
      <c r="G53">
        <v>8.2970000000000006</v>
      </c>
      <c r="H53">
        <v>1.72</v>
      </c>
      <c r="I53">
        <v>3.7410000000000001</v>
      </c>
    </row>
    <row r="54" spans="1:9" x14ac:dyDescent="0.2">
      <c r="A54" t="s">
        <v>194</v>
      </c>
      <c r="B54">
        <v>25.132999999999999</v>
      </c>
      <c r="C54">
        <v>8.2919999999999998</v>
      </c>
      <c r="D54">
        <v>1.7250000000000001</v>
      </c>
      <c r="E54">
        <v>0.86</v>
      </c>
      <c r="F54">
        <v>21.614000000000001</v>
      </c>
      <c r="G54">
        <v>2.8660000000000001</v>
      </c>
      <c r="H54">
        <v>0.57999999999999996</v>
      </c>
      <c r="I54">
        <v>2.6829999999999998</v>
      </c>
    </row>
    <row r="55" spans="1:9" x14ac:dyDescent="0.2">
      <c r="A55" t="s">
        <v>36</v>
      </c>
      <c r="B55">
        <v>14.46</v>
      </c>
      <c r="C55">
        <v>36.747999999999998</v>
      </c>
      <c r="D55">
        <v>7.35</v>
      </c>
      <c r="E55">
        <v>4.2</v>
      </c>
      <c r="F55">
        <v>60.73</v>
      </c>
      <c r="G55">
        <v>8.5660000000000007</v>
      </c>
      <c r="H55">
        <v>2.4500000000000002</v>
      </c>
      <c r="I55">
        <v>4.0339999999999998</v>
      </c>
    </row>
    <row r="56" spans="1:9" x14ac:dyDescent="0.2">
      <c r="A56" t="s">
        <v>37</v>
      </c>
      <c r="B56">
        <v>24.332999999999998</v>
      </c>
      <c r="C56">
        <v>50.405999999999999</v>
      </c>
      <c r="D56">
        <v>10.574999999999999</v>
      </c>
      <c r="E56">
        <v>4.63</v>
      </c>
      <c r="F56">
        <v>112.661</v>
      </c>
      <c r="G56">
        <v>15.711</v>
      </c>
      <c r="H56">
        <v>3.29</v>
      </c>
      <c r="I56">
        <v>2.92</v>
      </c>
    </row>
    <row r="57" spans="1:9" x14ac:dyDescent="0.2">
      <c r="A57" t="s">
        <v>196</v>
      </c>
      <c r="B57">
        <v>18.841000000000001</v>
      </c>
      <c r="C57">
        <v>22.571999999999999</v>
      </c>
      <c r="D57">
        <v>5.2380000000000004</v>
      </c>
      <c r="E57">
        <v>2.86</v>
      </c>
      <c r="F57">
        <v>53.884999999999998</v>
      </c>
      <c r="G57">
        <v>7.2640000000000002</v>
      </c>
      <c r="H57">
        <v>1.04</v>
      </c>
      <c r="I57">
        <v>1.93</v>
      </c>
    </row>
    <row r="58" spans="1:9" x14ac:dyDescent="0.2">
      <c r="A58" t="s">
        <v>198</v>
      </c>
      <c r="B58">
        <v>27.92</v>
      </c>
      <c r="C58">
        <v>14.99</v>
      </c>
      <c r="D58">
        <v>2.7850000000000001</v>
      </c>
      <c r="E58">
        <v>1.23</v>
      </c>
      <c r="F58">
        <v>34.341999999999999</v>
      </c>
      <c r="G58">
        <v>3.431</v>
      </c>
      <c r="H58">
        <v>1.1000000000000001</v>
      </c>
      <c r="I58">
        <v>3.2029999999999998</v>
      </c>
    </row>
    <row r="59" spans="1:9" x14ac:dyDescent="0.2">
      <c r="A59" t="s">
        <v>38</v>
      </c>
      <c r="B59">
        <v>15.484</v>
      </c>
      <c r="C59">
        <v>23.984999999999999</v>
      </c>
      <c r="D59">
        <v>6.6379999999999999</v>
      </c>
      <c r="E59">
        <v>3.21</v>
      </c>
      <c r="F59">
        <v>49.704000000000001</v>
      </c>
      <c r="G59">
        <v>7.367</v>
      </c>
      <c r="H59">
        <v>2.2999999999999998</v>
      </c>
      <c r="I59">
        <v>4.6269999999999998</v>
      </c>
    </row>
    <row r="60" spans="1:9" x14ac:dyDescent="0.2">
      <c r="A60" t="s">
        <v>200</v>
      </c>
      <c r="B60">
        <v>22.213999999999999</v>
      </c>
      <c r="C60">
        <v>37.737000000000002</v>
      </c>
      <c r="D60">
        <v>8.8330000000000002</v>
      </c>
      <c r="E60">
        <v>3.62</v>
      </c>
      <c r="F60">
        <v>80.414000000000001</v>
      </c>
      <c r="G60">
        <v>12.968</v>
      </c>
      <c r="H60">
        <v>1.98</v>
      </c>
      <c r="I60">
        <v>2.4620000000000002</v>
      </c>
    </row>
    <row r="61" spans="1:9" x14ac:dyDescent="0.2">
      <c r="A61" t="s">
        <v>244</v>
      </c>
      <c r="B61">
        <v>19.82</v>
      </c>
      <c r="C61">
        <v>41.259</v>
      </c>
      <c r="D61">
        <v>6.5410000000000004</v>
      </c>
      <c r="E61">
        <v>3.43</v>
      </c>
      <c r="F61">
        <v>67.980999999999995</v>
      </c>
      <c r="G61">
        <v>9.077</v>
      </c>
      <c r="H61">
        <v>2.1</v>
      </c>
      <c r="I61">
        <v>3.089</v>
      </c>
    </row>
    <row r="62" spans="1:9" x14ac:dyDescent="0.2">
      <c r="A62" t="s">
        <v>202</v>
      </c>
      <c r="B62">
        <v>22.053999999999998</v>
      </c>
      <c r="C62">
        <v>5.4450000000000003</v>
      </c>
      <c r="D62">
        <v>0.97499999999999998</v>
      </c>
      <c r="E62">
        <v>0.46</v>
      </c>
      <c r="F62">
        <v>10.145</v>
      </c>
      <c r="G62">
        <v>0.216</v>
      </c>
      <c r="H62">
        <v>0.42499999999999999</v>
      </c>
      <c r="I62">
        <v>4.1890000000000001</v>
      </c>
    </row>
    <row r="63" spans="1:9" x14ac:dyDescent="0.2">
      <c r="A63" t="s">
        <v>204</v>
      </c>
      <c r="B63">
        <v>20.84</v>
      </c>
      <c r="C63">
        <v>18.181000000000001</v>
      </c>
      <c r="D63">
        <v>4.7290000000000001</v>
      </c>
      <c r="E63">
        <v>2.29</v>
      </c>
      <c r="F63">
        <v>47.722999999999999</v>
      </c>
      <c r="G63">
        <v>3.6720000000000002</v>
      </c>
      <c r="H63">
        <v>0.96</v>
      </c>
      <c r="I63">
        <v>2.012</v>
      </c>
    </row>
    <row r="64" spans="1:9" x14ac:dyDescent="0.2">
      <c r="A64" t="s">
        <v>83</v>
      </c>
      <c r="B64">
        <v>23.34</v>
      </c>
      <c r="C64">
        <v>22.719000000000001</v>
      </c>
      <c r="D64">
        <v>5.1230000000000002</v>
      </c>
      <c r="E64">
        <v>2.06</v>
      </c>
      <c r="F64">
        <v>48.08</v>
      </c>
      <c r="G64">
        <v>8.0519999999999996</v>
      </c>
      <c r="H64">
        <v>1.44</v>
      </c>
      <c r="I64">
        <v>2.9950000000000001</v>
      </c>
    </row>
    <row r="65" spans="1:9" x14ac:dyDescent="0.2">
      <c r="A65" t="s">
        <v>42</v>
      </c>
      <c r="B65">
        <v>23.536000000000001</v>
      </c>
      <c r="C65">
        <v>22.280999999999999</v>
      </c>
      <c r="D65">
        <v>5.93</v>
      </c>
      <c r="E65">
        <v>2.6</v>
      </c>
      <c r="F65">
        <v>61.194000000000003</v>
      </c>
      <c r="G65">
        <v>7.26</v>
      </c>
      <c r="H65">
        <v>1.71</v>
      </c>
      <c r="I65">
        <v>2.794</v>
      </c>
    </row>
    <row r="66" spans="1:9" x14ac:dyDescent="0.2">
      <c r="A66" t="s">
        <v>44</v>
      </c>
      <c r="B66">
        <v>20.012</v>
      </c>
      <c r="C66">
        <v>29.981000000000002</v>
      </c>
      <c r="D66">
        <v>5.69</v>
      </c>
      <c r="E66">
        <v>3.14</v>
      </c>
      <c r="F66">
        <v>62.838999999999999</v>
      </c>
      <c r="G66">
        <v>6.2089999999999996</v>
      </c>
      <c r="H66">
        <v>2.08</v>
      </c>
      <c r="I66">
        <v>3.31</v>
      </c>
    </row>
    <row r="67" spans="1:9" x14ac:dyDescent="0.2">
      <c r="A67" t="s">
        <v>206</v>
      </c>
      <c r="B67">
        <v>25.396000000000001</v>
      </c>
      <c r="C67">
        <v>29.347000000000001</v>
      </c>
      <c r="D67">
        <v>6.1139999999999999</v>
      </c>
      <c r="E67">
        <v>3.11</v>
      </c>
      <c r="F67">
        <v>78.983000000000004</v>
      </c>
      <c r="G67">
        <v>10.087999999999999</v>
      </c>
      <c r="H67">
        <v>2.02</v>
      </c>
      <c r="I67">
        <v>2.5579999999999998</v>
      </c>
    </row>
    <row r="68" spans="1:9" x14ac:dyDescent="0.2">
      <c r="A68" t="s">
        <v>45</v>
      </c>
      <c r="B68">
        <v>20.196999999999999</v>
      </c>
      <c r="C68">
        <v>22.56</v>
      </c>
      <c r="D68">
        <v>5.4649999999999999</v>
      </c>
      <c r="E68">
        <v>2.2999999999999998</v>
      </c>
      <c r="F68">
        <v>46.453000000000003</v>
      </c>
      <c r="G68">
        <v>6.5369999999999999</v>
      </c>
      <c r="H68">
        <v>1.44</v>
      </c>
      <c r="I68">
        <v>3.1</v>
      </c>
    </row>
    <row r="69" spans="1:9" x14ac:dyDescent="0.2">
      <c r="A69" t="s">
        <v>208</v>
      </c>
      <c r="B69">
        <v>34.625</v>
      </c>
      <c r="C69">
        <v>9.2759999999999998</v>
      </c>
      <c r="D69">
        <v>1.534</v>
      </c>
      <c r="E69">
        <v>1.01</v>
      </c>
      <c r="F69">
        <v>34.970999999999997</v>
      </c>
      <c r="G69">
        <v>1.948</v>
      </c>
      <c r="H69">
        <v>0.65</v>
      </c>
      <c r="I69">
        <v>1.859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I69"/>
  <sheetViews>
    <sheetView view="pageBreakPreview" zoomScale="60" zoomScaleNormal="70" workbookViewId="0">
      <selection activeCell="C2" sqref="C2:U2"/>
    </sheetView>
  </sheetViews>
  <sheetFormatPr defaultRowHeight="14.25" x14ac:dyDescent="0.2"/>
  <cols>
    <col min="1" max="2" width="8" customWidth="1"/>
    <col min="3" max="3" width="5.875" bestFit="1" customWidth="1"/>
    <col min="4" max="4" width="1.75" customWidth="1"/>
    <col min="5" max="5" width="34.625" customWidth="1"/>
    <col min="6" max="19" width="9" customWidth="1"/>
    <col min="20" max="20" width="9.25" hidden="1" customWidth="1"/>
    <col min="21" max="22" width="8.75" hidden="1" customWidth="1"/>
    <col min="23" max="23" width="0" hidden="1" customWidth="1"/>
    <col min="26" max="26" width="9.375" bestFit="1" customWidth="1"/>
    <col min="27" max="27" width="9.875" bestFit="1" customWidth="1"/>
  </cols>
  <sheetData>
    <row r="1" spans="1:35" ht="27.75" x14ac:dyDescent="0.4">
      <c r="C1" s="236" t="str">
        <f>ElectricU</f>
        <v>Louisville Gas and Electric Company</v>
      </c>
      <c r="D1" s="236"/>
      <c r="E1" s="236"/>
      <c r="F1" s="236"/>
      <c r="G1" s="236"/>
      <c r="H1" s="236"/>
      <c r="I1" s="236"/>
      <c r="J1" s="236"/>
      <c r="K1" s="236"/>
      <c r="L1" s="236"/>
      <c r="M1" s="236"/>
      <c r="N1" s="236"/>
      <c r="O1" s="236"/>
      <c r="P1" s="236"/>
      <c r="Q1" s="236"/>
      <c r="R1" s="236"/>
      <c r="S1" s="236"/>
      <c r="T1" s="236"/>
      <c r="U1" s="236"/>
      <c r="V1" s="129"/>
    </row>
    <row r="2" spans="1:35" ht="27.75" x14ac:dyDescent="0.4">
      <c r="C2" s="236" t="s">
        <v>526</v>
      </c>
      <c r="D2" s="236"/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36"/>
      <c r="Q2" s="236"/>
      <c r="R2" s="236"/>
      <c r="S2" s="236"/>
      <c r="T2" s="236"/>
      <c r="U2" s="236"/>
      <c r="V2" s="233"/>
    </row>
    <row r="3" spans="1:35" x14ac:dyDescent="0.2">
      <c r="C3" s="4"/>
      <c r="D3" s="5"/>
      <c r="E3" s="6"/>
      <c r="F3" s="6"/>
      <c r="G3" s="6"/>
      <c r="H3" s="6"/>
      <c r="I3" s="6"/>
      <c r="J3" s="6"/>
      <c r="K3" s="6"/>
      <c r="L3" s="6"/>
      <c r="M3" s="6"/>
      <c r="N3" s="6"/>
      <c r="O3" s="7"/>
      <c r="P3" s="7"/>
      <c r="Q3" s="7"/>
      <c r="R3" s="7"/>
      <c r="S3" s="7"/>
      <c r="T3" s="7"/>
      <c r="U3" s="7"/>
    </row>
    <row r="4" spans="1:35" x14ac:dyDescent="0.2">
      <c r="C4" s="4"/>
      <c r="D4" s="5"/>
      <c r="E4" s="6"/>
      <c r="F4" s="6"/>
      <c r="G4" s="6"/>
      <c r="H4" s="6"/>
      <c r="I4" s="6"/>
      <c r="J4" s="6"/>
      <c r="K4" s="6"/>
      <c r="L4" s="6"/>
      <c r="M4" s="6"/>
      <c r="N4" s="6"/>
      <c r="O4" s="7"/>
      <c r="P4" s="7"/>
      <c r="Q4" s="7"/>
      <c r="R4" s="7"/>
      <c r="S4" s="7"/>
      <c r="T4" s="7"/>
      <c r="U4" s="7"/>
    </row>
    <row r="5" spans="1:35" ht="20.25" x14ac:dyDescent="0.3">
      <c r="C5" s="237" t="s">
        <v>272</v>
      </c>
      <c r="D5" s="237"/>
      <c r="E5" s="237"/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  <c r="T5" s="237"/>
      <c r="U5" s="237"/>
      <c r="V5" s="130"/>
    </row>
    <row r="6" spans="1:35" ht="18" x14ac:dyDescent="0.25">
      <c r="C6" s="238" t="s">
        <v>274</v>
      </c>
      <c r="D6" s="238"/>
      <c r="E6" s="238"/>
      <c r="F6" s="238"/>
      <c r="G6" s="238"/>
      <c r="H6" s="238"/>
      <c r="I6" s="238"/>
      <c r="J6" s="238"/>
      <c r="K6" s="238"/>
      <c r="L6" s="238"/>
      <c r="M6" s="238"/>
      <c r="N6" s="238"/>
      <c r="O6" s="238"/>
      <c r="P6" s="238"/>
      <c r="Q6" s="238"/>
      <c r="R6" s="238"/>
      <c r="S6" s="238"/>
      <c r="T6" s="238"/>
      <c r="U6" s="238"/>
      <c r="V6" s="131"/>
    </row>
    <row r="7" spans="1:35" x14ac:dyDescent="0.2">
      <c r="C7" s="6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</row>
    <row r="8" spans="1:35" x14ac:dyDescent="0.2">
      <c r="C8" s="6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</row>
    <row r="9" spans="1:35" ht="17.25" x14ac:dyDescent="0.25">
      <c r="C9" s="6"/>
      <c r="D9" s="7"/>
      <c r="E9" s="7"/>
      <c r="F9" s="239" t="s">
        <v>381</v>
      </c>
      <c r="G9" s="239"/>
      <c r="H9" s="239"/>
      <c r="I9" s="239"/>
      <c r="J9" s="239"/>
      <c r="K9" s="239"/>
      <c r="L9" s="239"/>
      <c r="M9" s="239"/>
      <c r="N9" s="239"/>
      <c r="O9" s="239"/>
      <c r="P9" s="239"/>
      <c r="Q9" s="239"/>
      <c r="R9" s="239"/>
      <c r="S9" s="239"/>
      <c r="T9" s="239"/>
      <c r="U9" s="239"/>
      <c r="V9" s="218"/>
      <c r="AB9" s="210"/>
    </row>
    <row r="10" spans="1:35" ht="15" x14ac:dyDescent="0.25">
      <c r="A10" s="42" t="s">
        <v>99</v>
      </c>
      <c r="B10" s="42" t="s">
        <v>241</v>
      </c>
      <c r="C10" s="6"/>
      <c r="D10" s="7"/>
      <c r="E10" s="7"/>
      <c r="F10" s="8" t="s">
        <v>429</v>
      </c>
      <c r="G10" s="116">
        <v>2017</v>
      </c>
      <c r="H10" s="8"/>
      <c r="I10" s="8"/>
      <c r="J10" s="8"/>
      <c r="K10" s="8"/>
      <c r="L10" s="8"/>
      <c r="M10" s="8"/>
      <c r="N10" s="7"/>
      <c r="O10" s="7"/>
      <c r="P10" s="7"/>
      <c r="Q10" s="7"/>
      <c r="R10" s="7"/>
      <c r="S10" s="7"/>
      <c r="T10" s="210"/>
      <c r="U10" s="210">
        <v>2017</v>
      </c>
      <c r="V10" s="210">
        <v>2017</v>
      </c>
      <c r="W10" s="210"/>
      <c r="X10" s="210"/>
      <c r="Y10" s="210"/>
      <c r="Z10" s="210"/>
      <c r="AA10" s="7"/>
      <c r="AB10" s="210"/>
      <c r="AC10" s="210"/>
      <c r="AD10" s="210"/>
      <c r="AE10" s="210"/>
      <c r="AF10" s="210"/>
      <c r="AG10" s="210"/>
      <c r="AH10" s="210"/>
      <c r="AI10" s="210"/>
    </row>
    <row r="11" spans="1:35" ht="17.25" x14ac:dyDescent="0.25">
      <c r="A11" s="42" t="s">
        <v>100</v>
      </c>
      <c r="B11" s="42" t="s">
        <v>242</v>
      </c>
      <c r="C11" s="9" t="s">
        <v>96</v>
      </c>
      <c r="D11" s="234" t="s">
        <v>97</v>
      </c>
      <c r="E11" s="234"/>
      <c r="F11" s="10" t="s">
        <v>98</v>
      </c>
      <c r="G11" s="41" t="s">
        <v>422</v>
      </c>
      <c r="H11" s="41">
        <v>2017</v>
      </c>
      <c r="I11" s="41">
        <v>2016</v>
      </c>
      <c r="J11" s="41">
        <v>2015</v>
      </c>
      <c r="K11" s="41">
        <v>2014</v>
      </c>
      <c r="L11" s="41">
        <v>2013</v>
      </c>
      <c r="M11" s="41">
        <v>2012</v>
      </c>
      <c r="N11" s="41">
        <v>2011</v>
      </c>
      <c r="O11" s="41">
        <v>2010</v>
      </c>
      <c r="P11" s="41">
        <v>2009</v>
      </c>
      <c r="Q11" s="41">
        <v>2008</v>
      </c>
      <c r="R11" s="41">
        <v>2007</v>
      </c>
      <c r="S11" s="41">
        <v>2006</v>
      </c>
      <c r="T11" s="41"/>
      <c r="U11" s="41" t="s">
        <v>471</v>
      </c>
      <c r="V11" s="41" t="s">
        <v>482</v>
      </c>
      <c r="W11" s="41" t="s">
        <v>482</v>
      </c>
      <c r="X11" s="41"/>
      <c r="Y11" s="41"/>
      <c r="Z11" s="41"/>
      <c r="AA11" s="212"/>
      <c r="AB11" s="41"/>
      <c r="AC11" s="41"/>
      <c r="AD11" s="41"/>
      <c r="AE11" s="41"/>
      <c r="AF11" s="41"/>
      <c r="AG11" s="41"/>
      <c r="AH11" s="41"/>
      <c r="AI11" s="41"/>
    </row>
    <row r="12" spans="1:35" ht="15" x14ac:dyDescent="0.25">
      <c r="A12" s="42"/>
      <c r="B12" s="42"/>
      <c r="C12" s="9"/>
      <c r="D12" s="128"/>
      <c r="E12" s="128"/>
      <c r="F12" s="12">
        <f>-1</f>
        <v>-1</v>
      </c>
      <c r="G12" s="12">
        <f>+F12-1</f>
        <v>-2</v>
      </c>
      <c r="H12" s="12">
        <f t="shared" ref="H12" si="0">+G12-1</f>
        <v>-3</v>
      </c>
      <c r="I12" s="12">
        <f t="shared" ref="I12:J12" si="1">+H12-1</f>
        <v>-4</v>
      </c>
      <c r="J12" s="12">
        <f t="shared" si="1"/>
        <v>-5</v>
      </c>
      <c r="K12" s="12">
        <f t="shared" ref="K12" si="2">+J12-1</f>
        <v>-6</v>
      </c>
      <c r="L12" s="12">
        <f t="shared" ref="L12:M12" si="3">+K12-1</f>
        <v>-7</v>
      </c>
      <c r="M12" s="12">
        <f t="shared" si="3"/>
        <v>-8</v>
      </c>
      <c r="N12" s="12">
        <f t="shared" ref="N12" si="4">+M12-1</f>
        <v>-9</v>
      </c>
      <c r="O12" s="12">
        <f t="shared" ref="O12:P12" si="5">+N12-1</f>
        <v>-10</v>
      </c>
      <c r="P12" s="12">
        <f t="shared" si="5"/>
        <v>-11</v>
      </c>
      <c r="Q12" s="12">
        <f t="shared" ref="Q12" si="6">+P12-1</f>
        <v>-12</v>
      </c>
      <c r="R12" s="12">
        <f>+Q12-1</f>
        <v>-13</v>
      </c>
      <c r="S12" s="12">
        <f>+R12-1</f>
        <v>-14</v>
      </c>
      <c r="T12" s="12"/>
      <c r="U12" s="12"/>
      <c r="V12" s="12"/>
      <c r="W12" s="12"/>
      <c r="X12" s="12"/>
      <c r="Y12" s="12"/>
      <c r="Z12" s="12"/>
      <c r="AA12" s="12"/>
    </row>
    <row r="13" spans="1:35" ht="15" x14ac:dyDescent="0.25">
      <c r="A13" s="43"/>
      <c r="B13" s="44"/>
      <c r="C13" s="9"/>
      <c r="D13" s="14" t="s">
        <v>101</v>
      </c>
      <c r="E13" s="11"/>
      <c r="F13" s="36"/>
      <c r="G13" s="36"/>
      <c r="H13" s="52"/>
      <c r="I13" s="134">
        <f t="shared" ref="I13:S13" ca="1" si="7">MATCH(I11,OFFSET(Dividends,-2,0,1,),0)</f>
        <v>2</v>
      </c>
      <c r="J13" s="134">
        <f t="shared" ca="1" si="7"/>
        <v>3</v>
      </c>
      <c r="K13" s="134">
        <f t="shared" ca="1" si="7"/>
        <v>4</v>
      </c>
      <c r="L13" s="134">
        <f t="shared" ca="1" si="7"/>
        <v>5</v>
      </c>
      <c r="M13" s="134">
        <f t="shared" ca="1" si="7"/>
        <v>6</v>
      </c>
      <c r="N13" s="134">
        <f t="shared" ca="1" si="7"/>
        <v>7</v>
      </c>
      <c r="O13" s="134">
        <f t="shared" ca="1" si="7"/>
        <v>8</v>
      </c>
      <c r="P13" s="134">
        <f t="shared" ca="1" si="7"/>
        <v>9</v>
      </c>
      <c r="Q13" s="134">
        <f t="shared" ca="1" si="7"/>
        <v>10</v>
      </c>
      <c r="R13" s="134">
        <f t="shared" ca="1" si="7"/>
        <v>11</v>
      </c>
      <c r="S13" s="134">
        <f t="shared" ca="1" si="7"/>
        <v>12</v>
      </c>
      <c r="T13" s="16"/>
      <c r="U13" s="16"/>
      <c r="V13" s="16"/>
      <c r="W13" s="16"/>
      <c r="X13" s="16"/>
      <c r="Y13" s="16"/>
      <c r="Z13" s="16"/>
      <c r="AA13" s="16"/>
    </row>
    <row r="14" spans="1:35" x14ac:dyDescent="0.2">
      <c r="A14" s="45" t="s">
        <v>0</v>
      </c>
      <c r="B14" s="117">
        <f t="shared" ref="B14:B59" ca="1" si="8">IFERROR(MATCH(A14,OFFSET(Dividends,0,0,,1),0),"")</f>
        <v>3</v>
      </c>
      <c r="C14" s="1">
        <f>IF(ISERROR(D14),"",IF(D14="","",MAX($C$13:C13)+1))</f>
        <v>1</v>
      </c>
      <c r="D14" t="str">
        <f t="shared" ref="D14:D59" si="9">VLOOKUP(A14,LUCurYr,2,FALSE)</f>
        <v xml:space="preserve">ALLETE                        </v>
      </c>
      <c r="E14" s="15"/>
      <c r="F14" s="133">
        <f t="shared" ref="F14:F59" ca="1" si="10">IFERROR(AVERAGE(G14:S14),"N/A")</f>
        <v>1.8684615384615386</v>
      </c>
      <c r="G14" s="133">
        <f t="shared" ref="G14:G59" si="11">IFERROR(IF(VLOOKUP(A14,LUCurYr,9,FALSE)=0,"",VLOOKUP(A14,LUCurYr,9,FALSE)),"N/A")</f>
        <v>2.2400000000000002</v>
      </c>
      <c r="H14" s="133">
        <f ca="1">IFERROR(IF(VLOOKUP($A14,LASTYR,'2017'!$I$3,FALSE)=0,"N/A",VLOOKUP($A14,LASTYR,'2017'!$I$3,FALSE)),"N/A")</f>
        <v>2.14</v>
      </c>
      <c r="I14" s="133">
        <f t="shared" ref="I14:S23" ca="1" si="12">IFERROR(IF(INDEX(Dividends,$B14,I$13)=0,"N/A",INDEX(Dividends,$B14,I$13)),"N/A")</f>
        <v>2.08</v>
      </c>
      <c r="J14" s="133">
        <f t="shared" ca="1" si="12"/>
        <v>2.02</v>
      </c>
      <c r="K14" s="133">
        <f t="shared" ca="1" si="12"/>
        <v>1.96</v>
      </c>
      <c r="L14" s="133">
        <f t="shared" ca="1" si="12"/>
        <v>1.9</v>
      </c>
      <c r="M14" s="133">
        <f t="shared" ca="1" si="12"/>
        <v>1.84</v>
      </c>
      <c r="N14" s="133">
        <f t="shared" ca="1" si="12"/>
        <v>1.78</v>
      </c>
      <c r="O14" s="133">
        <f t="shared" ca="1" si="12"/>
        <v>1.76</v>
      </c>
      <c r="P14" s="133">
        <f t="shared" ca="1" si="12"/>
        <v>1.76</v>
      </c>
      <c r="Q14" s="133">
        <f t="shared" ca="1" si="12"/>
        <v>1.72</v>
      </c>
      <c r="R14" s="133">
        <f t="shared" ca="1" si="12"/>
        <v>1.64</v>
      </c>
      <c r="S14" s="133">
        <f t="shared" ca="1" si="12"/>
        <v>1.45</v>
      </c>
      <c r="U14" s="80" t="str">
        <f t="shared" ref="U14:U31" ca="1" si="13">IFERROR(IF(H14&gt;0,((H14/VLOOKUP(A14,$A$14:$S$55,AX14,0))^(1/(Y14)))-1,"N/A"),"N/A")</f>
        <v>N/A</v>
      </c>
      <c r="V14" s="133" t="e">
        <f ca="1">+S14*(1+U14)^11</f>
        <v>#VALUE!</v>
      </c>
      <c r="W14" s="80" t="e">
        <f ca="1">ROUND(V14,10)=ROUND(H14,10)</f>
        <v>#VALUE!</v>
      </c>
      <c r="X14" s="80"/>
      <c r="Y14" s="211"/>
      <c r="Z14" s="208"/>
      <c r="AA14" s="217"/>
      <c r="AB14" s="213"/>
      <c r="AC14" s="214"/>
      <c r="AD14" s="214"/>
      <c r="AE14" s="215"/>
      <c r="AF14" s="215"/>
      <c r="AG14" s="215"/>
      <c r="AH14" s="215"/>
      <c r="AI14" s="215"/>
    </row>
    <row r="15" spans="1:35" x14ac:dyDescent="0.2">
      <c r="A15" s="45" t="s">
        <v>1</v>
      </c>
      <c r="B15" s="117">
        <f t="shared" ca="1" si="8"/>
        <v>4</v>
      </c>
      <c r="C15" s="1">
        <f>IF(ISERROR(D15),"",IF(D15="","",MAX($C$13:C14)+1))</f>
        <v>2</v>
      </c>
      <c r="D15" t="str">
        <f t="shared" si="9"/>
        <v xml:space="preserve">Alliant Energy                </v>
      </c>
      <c r="E15" s="15"/>
      <c r="F15" s="133">
        <f t="shared" ca="1" si="10"/>
        <v>0.92615384615384599</v>
      </c>
      <c r="G15" s="133">
        <f t="shared" si="11"/>
        <v>1.34</v>
      </c>
      <c r="H15" s="133">
        <f ca="1">IFERROR(IF(VLOOKUP($A15,LASTYR,'2017'!$I$3,FALSE)=0,"N/A",VLOOKUP($A15,LASTYR,'2017'!$I$3,FALSE)),"N/A")</f>
        <v>1.26</v>
      </c>
      <c r="I15" s="133">
        <f t="shared" ca="1" si="12"/>
        <v>1.18</v>
      </c>
      <c r="J15" s="133">
        <f t="shared" ca="1" si="12"/>
        <v>1.1000000000000001</v>
      </c>
      <c r="K15" s="133">
        <f t="shared" ca="1" si="12"/>
        <v>1.02</v>
      </c>
      <c r="L15" s="133">
        <f t="shared" ca="1" si="12"/>
        <v>0.94</v>
      </c>
      <c r="M15" s="133">
        <f t="shared" ca="1" si="12"/>
        <v>0.9</v>
      </c>
      <c r="N15" s="133">
        <f t="shared" ca="1" si="12"/>
        <v>0.85</v>
      </c>
      <c r="O15" s="133">
        <f t="shared" ca="1" si="12"/>
        <v>0.79</v>
      </c>
      <c r="P15" s="133">
        <f t="shared" ca="1" si="12"/>
        <v>0.75</v>
      </c>
      <c r="Q15" s="133">
        <f t="shared" ca="1" si="12"/>
        <v>0.7</v>
      </c>
      <c r="R15" s="133">
        <f t="shared" ca="1" si="12"/>
        <v>0.63500000000000001</v>
      </c>
      <c r="S15" s="133">
        <f t="shared" ca="1" si="12"/>
        <v>0.57499999999999996</v>
      </c>
      <c r="U15" s="80" t="str">
        <f t="shared" ca="1" si="13"/>
        <v>N/A</v>
      </c>
      <c r="V15" s="133" t="e">
        <f t="shared" ref="V15:V59" ca="1" si="14">+S15*(1+U15)^11</f>
        <v>#VALUE!</v>
      </c>
      <c r="W15" s="80" t="e">
        <f t="shared" ref="W15:W59" ca="1" si="15">ROUND(V15,10)=ROUND(H15,10)</f>
        <v>#VALUE!</v>
      </c>
      <c r="X15" s="80"/>
      <c r="Y15" s="211"/>
      <c r="Z15" s="208"/>
      <c r="AA15" s="217"/>
      <c r="AB15" s="213"/>
      <c r="AC15" s="214"/>
      <c r="AD15" s="214"/>
      <c r="AE15" s="215"/>
    </row>
    <row r="16" spans="1:35" x14ac:dyDescent="0.2">
      <c r="A16" s="45" t="s">
        <v>3</v>
      </c>
      <c r="B16" s="117">
        <f t="shared" ca="1" si="8"/>
        <v>8</v>
      </c>
      <c r="C16" s="1">
        <f>IF(ISERROR(D16),"",IF(D16="","",MAX($C$13:C15)+1))</f>
        <v>3</v>
      </c>
      <c r="D16" t="str">
        <f t="shared" si="9"/>
        <v xml:space="preserve">Ameren Corp.                  </v>
      </c>
      <c r="E16" s="15"/>
      <c r="F16" s="133">
        <f t="shared" ca="1" si="10"/>
        <v>1.8509999999999995</v>
      </c>
      <c r="G16" s="133">
        <f t="shared" si="11"/>
        <v>1.85</v>
      </c>
      <c r="H16" s="133">
        <f ca="1">IFERROR(IF(VLOOKUP($A16,LASTYR,'2017'!$I$3,FALSE)=0,"N/A",VLOOKUP($A16,LASTYR,'2017'!$I$3,FALSE)),"N/A")</f>
        <v>1.778</v>
      </c>
      <c r="I16" s="133">
        <f t="shared" ca="1" si="12"/>
        <v>1.7150000000000001</v>
      </c>
      <c r="J16" s="133">
        <f t="shared" ca="1" si="12"/>
        <v>1.655</v>
      </c>
      <c r="K16" s="133">
        <f t="shared" ca="1" si="12"/>
        <v>1.61</v>
      </c>
      <c r="L16" s="133">
        <f t="shared" ca="1" si="12"/>
        <v>1.6</v>
      </c>
      <c r="M16" s="133">
        <f t="shared" ca="1" si="12"/>
        <v>1.6</v>
      </c>
      <c r="N16" s="133">
        <f t="shared" ca="1" si="12"/>
        <v>1.5549999999999999</v>
      </c>
      <c r="O16" s="133">
        <f t="shared" ca="1" si="12"/>
        <v>1.54</v>
      </c>
      <c r="P16" s="133">
        <f t="shared" ca="1" si="12"/>
        <v>1.54</v>
      </c>
      <c r="Q16" s="133">
        <f t="shared" ca="1" si="12"/>
        <v>2.54</v>
      </c>
      <c r="R16" s="133">
        <f t="shared" ca="1" si="12"/>
        <v>2.54</v>
      </c>
      <c r="S16" s="133">
        <f t="shared" ca="1" si="12"/>
        <v>2.54</v>
      </c>
      <c r="U16" s="80" t="str">
        <f t="shared" ca="1" si="13"/>
        <v>N/A</v>
      </c>
      <c r="V16" s="133" t="e">
        <f t="shared" ca="1" si="14"/>
        <v>#VALUE!</v>
      </c>
      <c r="W16" s="80" t="e">
        <f t="shared" ca="1" si="15"/>
        <v>#VALUE!</v>
      </c>
      <c r="X16" s="80"/>
      <c r="Y16" s="211"/>
      <c r="Z16" s="208"/>
      <c r="AA16" s="217"/>
      <c r="AB16" s="213"/>
      <c r="AC16" s="214"/>
      <c r="AD16" s="214"/>
      <c r="AE16" s="215"/>
      <c r="AH16" s="215"/>
    </row>
    <row r="17" spans="1:31" x14ac:dyDescent="0.2">
      <c r="A17" s="45" t="s">
        <v>2</v>
      </c>
      <c r="B17" s="117">
        <f t="shared" ca="1" si="8"/>
        <v>5</v>
      </c>
      <c r="C17" s="1">
        <f>IF(ISERROR(D17),"",IF(D17="","",MAX($C$13:C16)+1))</f>
        <v>4</v>
      </c>
      <c r="D17" t="str">
        <f t="shared" si="9"/>
        <v>American Electric Power</v>
      </c>
      <c r="E17" s="15"/>
      <c r="F17" s="133">
        <f t="shared" ca="1" si="10"/>
        <v>1.9323076923076927</v>
      </c>
      <c r="G17" s="133">
        <f t="shared" si="11"/>
        <v>2.5299999999999998</v>
      </c>
      <c r="H17" s="133">
        <f ca="1">IFERROR(IF(VLOOKUP($A17,LASTYR,'2017'!$I$3,FALSE)=0,"N/A",VLOOKUP($A17,LASTYR,'2017'!$I$3,FALSE)),"N/A")</f>
        <v>2.39</v>
      </c>
      <c r="I17" s="133">
        <f t="shared" ca="1" si="12"/>
        <v>2.27</v>
      </c>
      <c r="J17" s="133">
        <f t="shared" ca="1" si="12"/>
        <v>2.15</v>
      </c>
      <c r="K17" s="133">
        <f t="shared" ca="1" si="12"/>
        <v>2.0299999999999998</v>
      </c>
      <c r="L17" s="133">
        <f t="shared" ca="1" si="12"/>
        <v>1.95</v>
      </c>
      <c r="M17" s="133">
        <f t="shared" ca="1" si="12"/>
        <v>1.88</v>
      </c>
      <c r="N17" s="133">
        <f t="shared" ca="1" si="12"/>
        <v>1.85</v>
      </c>
      <c r="O17" s="133">
        <f t="shared" ca="1" si="12"/>
        <v>1.71</v>
      </c>
      <c r="P17" s="133">
        <f t="shared" ca="1" si="12"/>
        <v>1.64</v>
      </c>
      <c r="Q17" s="133">
        <f t="shared" ca="1" si="12"/>
        <v>1.64</v>
      </c>
      <c r="R17" s="133">
        <f t="shared" ca="1" si="12"/>
        <v>1.58</v>
      </c>
      <c r="S17" s="133">
        <f t="shared" ca="1" si="12"/>
        <v>1.5</v>
      </c>
      <c r="U17" s="80" t="str">
        <f t="shared" ca="1" si="13"/>
        <v>N/A</v>
      </c>
      <c r="V17" s="133" t="e">
        <f t="shared" ca="1" si="14"/>
        <v>#VALUE!</v>
      </c>
      <c r="W17" s="80" t="e">
        <f t="shared" ca="1" si="15"/>
        <v>#VALUE!</v>
      </c>
      <c r="X17" s="80"/>
      <c r="Y17" s="211"/>
      <c r="Z17" s="208"/>
      <c r="AA17" s="217"/>
      <c r="AB17" s="213"/>
      <c r="AC17" s="214"/>
      <c r="AD17" s="214"/>
      <c r="AE17" s="215"/>
    </row>
    <row r="18" spans="1:31" x14ac:dyDescent="0.2">
      <c r="A18" s="45" t="s">
        <v>260</v>
      </c>
      <c r="B18" s="117">
        <f t="shared" ca="1" si="8"/>
        <v>13</v>
      </c>
      <c r="C18" s="1">
        <f>IF(ISERROR(D18),"",IF(D18="","",MAX($C$13:C17)+1))</f>
        <v>5</v>
      </c>
      <c r="D18" t="str">
        <f t="shared" si="9"/>
        <v>Avangrid, Inc.</v>
      </c>
      <c r="E18" s="15"/>
      <c r="F18" s="133">
        <f t="shared" ca="1" si="10"/>
        <v>1.732</v>
      </c>
      <c r="G18" s="133">
        <f t="shared" si="11"/>
        <v>1.74</v>
      </c>
      <c r="H18" s="133">
        <f ca="1">IFERROR(IF(VLOOKUP($A18,LASTYR,'2017'!$I$3,FALSE)=0,"N/A",VLOOKUP($A18,LASTYR,'2017'!$I$3,FALSE)),"N/A")</f>
        <v>1.728</v>
      </c>
      <c r="I18" s="133">
        <f t="shared" ca="1" si="12"/>
        <v>1.728</v>
      </c>
      <c r="J18" s="133" t="str">
        <f t="shared" ca="1" si="12"/>
        <v>N/A</v>
      </c>
      <c r="K18" s="133" t="str">
        <f t="shared" ca="1" si="12"/>
        <v>N/A</v>
      </c>
      <c r="L18" s="133" t="str">
        <f t="shared" ca="1" si="12"/>
        <v>N/A</v>
      </c>
      <c r="M18" s="133" t="str">
        <f t="shared" ca="1" si="12"/>
        <v>N/A</v>
      </c>
      <c r="N18" s="133" t="str">
        <f t="shared" ca="1" si="12"/>
        <v>N/A</v>
      </c>
      <c r="O18" s="133" t="str">
        <f t="shared" ca="1" si="12"/>
        <v>N/A</v>
      </c>
      <c r="P18" s="133" t="str">
        <f t="shared" ca="1" si="12"/>
        <v>N/A</v>
      </c>
      <c r="Q18" s="133" t="str">
        <f t="shared" ca="1" si="12"/>
        <v>N/A</v>
      </c>
      <c r="R18" s="133" t="str">
        <f t="shared" ca="1" si="12"/>
        <v>N/A</v>
      </c>
      <c r="S18" s="133" t="str">
        <f t="shared" ca="1" si="12"/>
        <v>N/A</v>
      </c>
      <c r="U18" s="80" t="str">
        <f t="shared" ca="1" si="13"/>
        <v>N/A</v>
      </c>
      <c r="V18" s="133" t="e">
        <f ca="1">+I18*(1+U18)</f>
        <v>#VALUE!</v>
      </c>
      <c r="W18" s="80" t="e">
        <f t="shared" ca="1" si="15"/>
        <v>#VALUE!</v>
      </c>
      <c r="X18" s="80"/>
      <c r="Y18" s="211"/>
      <c r="Z18" s="208"/>
      <c r="AA18" s="217"/>
      <c r="AB18" s="213"/>
      <c r="AC18" s="214"/>
      <c r="AD18" s="214"/>
      <c r="AE18" s="215"/>
    </row>
    <row r="19" spans="1:31" x14ac:dyDescent="0.2">
      <c r="A19" s="45" t="s">
        <v>4</v>
      </c>
      <c r="B19" s="117">
        <f t="shared" ca="1" si="8"/>
        <v>14</v>
      </c>
      <c r="C19" s="1">
        <f>IF(ISERROR(D19),"",IF(D19="","",MAX($C$13:C18)+1))</f>
        <v>6</v>
      </c>
      <c r="D19" t="str">
        <f t="shared" si="9"/>
        <v xml:space="preserve">Avista Corp.                  </v>
      </c>
      <c r="E19" s="15"/>
      <c r="F19" s="133">
        <f t="shared" ca="1" si="10"/>
        <v>1.078846153846154</v>
      </c>
      <c r="G19" s="133">
        <f t="shared" si="11"/>
        <v>1.49</v>
      </c>
      <c r="H19" s="133">
        <f ca="1">IFERROR(IF(VLOOKUP($A19,LASTYR,'2017'!$I$3,FALSE)=0,"N/A",VLOOKUP($A19,LASTYR,'2017'!$I$3,FALSE)),"N/A")</f>
        <v>1.43</v>
      </c>
      <c r="I19" s="133">
        <f t="shared" ca="1" si="12"/>
        <v>1.37</v>
      </c>
      <c r="J19" s="133">
        <f t="shared" ca="1" si="12"/>
        <v>1.32</v>
      </c>
      <c r="K19" s="133">
        <f t="shared" ca="1" si="12"/>
        <v>1.27</v>
      </c>
      <c r="L19" s="133">
        <f t="shared" ca="1" si="12"/>
        <v>1.22</v>
      </c>
      <c r="M19" s="133">
        <f t="shared" ca="1" si="12"/>
        <v>1.1599999999999999</v>
      </c>
      <c r="N19" s="133">
        <f t="shared" ca="1" si="12"/>
        <v>1.1000000000000001</v>
      </c>
      <c r="O19" s="133">
        <f t="shared" ca="1" si="12"/>
        <v>1</v>
      </c>
      <c r="P19" s="133">
        <f t="shared" ca="1" si="12"/>
        <v>0.81</v>
      </c>
      <c r="Q19" s="133">
        <f t="shared" ca="1" si="12"/>
        <v>0.69</v>
      </c>
      <c r="R19" s="133">
        <f t="shared" ca="1" si="12"/>
        <v>0.59499999999999997</v>
      </c>
      <c r="S19" s="133">
        <f t="shared" ca="1" si="12"/>
        <v>0.56999999999999995</v>
      </c>
      <c r="U19" s="80" t="str">
        <f t="shared" ca="1" si="13"/>
        <v>N/A</v>
      </c>
      <c r="V19" s="133" t="e">
        <f t="shared" ca="1" si="14"/>
        <v>#VALUE!</v>
      </c>
      <c r="W19" s="80" t="e">
        <f t="shared" ca="1" si="15"/>
        <v>#VALUE!</v>
      </c>
      <c r="X19" s="80"/>
      <c r="Y19" s="211"/>
      <c r="Z19" s="208"/>
      <c r="AA19" s="217"/>
      <c r="AB19" s="213"/>
      <c r="AC19" s="214"/>
      <c r="AD19" s="214"/>
      <c r="AE19" s="215"/>
    </row>
    <row r="20" spans="1:31" x14ac:dyDescent="0.2">
      <c r="A20" s="45" t="s">
        <v>5</v>
      </c>
      <c r="B20" s="117">
        <f t="shared" ca="1" si="8"/>
        <v>15</v>
      </c>
      <c r="C20" s="1">
        <f>IF(ISERROR(D20),"",IF(D20="","",MAX($C$13:C19)+1))</f>
        <v>7</v>
      </c>
      <c r="D20" t="str">
        <f t="shared" si="9"/>
        <v xml:space="preserve">Black Hills                   </v>
      </c>
      <c r="E20" s="15"/>
      <c r="F20" s="133">
        <f t="shared" ca="1" si="10"/>
        <v>1.5369230769230771</v>
      </c>
      <c r="G20" s="133">
        <f t="shared" si="11"/>
        <v>1.9</v>
      </c>
      <c r="H20" s="133">
        <f ca="1">IFERROR(IF(VLOOKUP($A20,LASTYR,'2017'!$I$3,FALSE)=0,"N/A",VLOOKUP($A20,LASTYR,'2017'!$I$3,FALSE)),"N/A")</f>
        <v>1.81</v>
      </c>
      <c r="I20" s="133">
        <f t="shared" ca="1" si="12"/>
        <v>1.68</v>
      </c>
      <c r="J20" s="133">
        <f t="shared" ca="1" si="12"/>
        <v>1.62</v>
      </c>
      <c r="K20" s="133">
        <f t="shared" ca="1" si="12"/>
        <v>1.56</v>
      </c>
      <c r="L20" s="133">
        <f t="shared" ca="1" si="12"/>
        <v>1.52</v>
      </c>
      <c r="M20" s="133">
        <f t="shared" ca="1" si="12"/>
        <v>1.48</v>
      </c>
      <c r="N20" s="133">
        <f t="shared" ca="1" si="12"/>
        <v>1.46</v>
      </c>
      <c r="O20" s="133">
        <f t="shared" ca="1" si="12"/>
        <v>1.44</v>
      </c>
      <c r="P20" s="133">
        <f t="shared" ca="1" si="12"/>
        <v>1.42</v>
      </c>
      <c r="Q20" s="133">
        <f t="shared" ca="1" si="12"/>
        <v>1.4</v>
      </c>
      <c r="R20" s="133">
        <f t="shared" ca="1" si="12"/>
        <v>1.37</v>
      </c>
      <c r="S20" s="133">
        <f t="shared" ca="1" si="12"/>
        <v>1.32</v>
      </c>
      <c r="U20" s="80" t="str">
        <f t="shared" ca="1" si="13"/>
        <v>N/A</v>
      </c>
      <c r="V20" s="133" t="e">
        <f t="shared" ca="1" si="14"/>
        <v>#VALUE!</v>
      </c>
      <c r="W20" s="80" t="e">
        <f t="shared" ca="1" si="15"/>
        <v>#VALUE!</v>
      </c>
      <c r="X20" s="80"/>
      <c r="Y20" s="211"/>
      <c r="Z20" s="208"/>
      <c r="AA20" s="217"/>
      <c r="AB20" s="213"/>
      <c r="AC20" s="214"/>
      <c r="AD20" s="214"/>
      <c r="AE20" s="215"/>
    </row>
    <row r="21" spans="1:31" x14ac:dyDescent="0.2">
      <c r="A21" s="45" t="s">
        <v>6</v>
      </c>
      <c r="B21" s="117">
        <f t="shared" ca="1" si="8"/>
        <v>17</v>
      </c>
      <c r="C21" s="1">
        <f>IF(ISERROR(D21),"",IF(D21="","",MAX($C$13:C20)+1))</f>
        <v>8</v>
      </c>
      <c r="D21" t="str">
        <f t="shared" si="9"/>
        <v xml:space="preserve">CenterPoint Energy            </v>
      </c>
      <c r="E21" s="15"/>
      <c r="F21" s="133">
        <f t="shared" ca="1" si="10"/>
        <v>0.8775384615384616</v>
      </c>
      <c r="G21" s="133">
        <f t="shared" si="11"/>
        <v>1.1100000000000001</v>
      </c>
      <c r="H21" s="133">
        <f ca="1">IFERROR(IF(VLOOKUP($A21,LASTYR,'2017'!$I$3,FALSE)=0,"N/A",VLOOKUP($A21,LASTYR,'2017'!$I$3,FALSE)),"N/A")</f>
        <v>1.3480000000000001</v>
      </c>
      <c r="I21" s="133">
        <f t="shared" ca="1" si="12"/>
        <v>1.03</v>
      </c>
      <c r="J21" s="133">
        <f t="shared" ca="1" si="12"/>
        <v>0.99</v>
      </c>
      <c r="K21" s="133">
        <f t="shared" ca="1" si="12"/>
        <v>0.95</v>
      </c>
      <c r="L21" s="133">
        <f t="shared" ca="1" si="12"/>
        <v>0.83</v>
      </c>
      <c r="M21" s="133">
        <f t="shared" ca="1" si="12"/>
        <v>0.81</v>
      </c>
      <c r="N21" s="133">
        <f t="shared" ca="1" si="12"/>
        <v>0.79</v>
      </c>
      <c r="O21" s="133">
        <f t="shared" ca="1" si="12"/>
        <v>0.78</v>
      </c>
      <c r="P21" s="133">
        <f t="shared" ca="1" si="12"/>
        <v>0.76</v>
      </c>
      <c r="Q21" s="133">
        <f t="shared" ca="1" si="12"/>
        <v>0.73</v>
      </c>
      <c r="R21" s="133">
        <f t="shared" ca="1" si="12"/>
        <v>0.68</v>
      </c>
      <c r="S21" s="133">
        <f t="shared" ca="1" si="12"/>
        <v>0.6</v>
      </c>
      <c r="U21" s="80" t="str">
        <f t="shared" ca="1" si="13"/>
        <v>N/A</v>
      </c>
      <c r="V21" s="133" t="e">
        <f t="shared" ca="1" si="14"/>
        <v>#VALUE!</v>
      </c>
      <c r="W21" s="80" t="e">
        <f t="shared" ca="1" si="15"/>
        <v>#VALUE!</v>
      </c>
      <c r="X21" s="80"/>
      <c r="Y21" s="211"/>
      <c r="Z21" s="208"/>
      <c r="AA21" s="217"/>
      <c r="AB21" s="213"/>
      <c r="AC21" s="214"/>
      <c r="AD21" s="214"/>
      <c r="AE21" s="215"/>
    </row>
    <row r="22" spans="1:31" x14ac:dyDescent="0.2">
      <c r="A22" s="45" t="s">
        <v>9</v>
      </c>
      <c r="B22" s="117">
        <f t="shared" ca="1" si="8"/>
        <v>19</v>
      </c>
      <c r="C22" s="1">
        <f>IF(ISERROR(D22),"",IF(D22="","",MAX($C$13:C21)+1))</f>
        <v>9</v>
      </c>
      <c r="D22" t="str">
        <f t="shared" si="9"/>
        <v xml:space="preserve">CMS Energy Corp.              </v>
      </c>
      <c r="E22" s="15"/>
      <c r="F22" s="133">
        <f t="shared" ca="1" si="10"/>
        <v>0.8983333333333331</v>
      </c>
      <c r="G22" s="133">
        <f t="shared" si="11"/>
        <v>1.43</v>
      </c>
      <c r="H22" s="133">
        <f ca="1">IFERROR(IF(VLOOKUP($A22,LASTYR,'2017'!$I$3,FALSE)=0,"N/A",VLOOKUP($A22,LASTYR,'2017'!$I$3,FALSE)),"N/A")</f>
        <v>1.33</v>
      </c>
      <c r="I22" s="133">
        <f t="shared" ca="1" si="12"/>
        <v>1.24</v>
      </c>
      <c r="J22" s="133">
        <f t="shared" ca="1" si="12"/>
        <v>1.1599999999999999</v>
      </c>
      <c r="K22" s="133">
        <f t="shared" ca="1" si="12"/>
        <v>1.08</v>
      </c>
      <c r="L22" s="133">
        <f t="shared" ca="1" si="12"/>
        <v>1.02</v>
      </c>
      <c r="M22" s="133">
        <f t="shared" ca="1" si="12"/>
        <v>0.96</v>
      </c>
      <c r="N22" s="133">
        <f t="shared" ca="1" si="12"/>
        <v>0.84</v>
      </c>
      <c r="O22" s="133">
        <f t="shared" ca="1" si="12"/>
        <v>0.66</v>
      </c>
      <c r="P22" s="133">
        <f t="shared" ca="1" si="12"/>
        <v>0.5</v>
      </c>
      <c r="Q22" s="133">
        <f t="shared" ca="1" si="12"/>
        <v>0.36</v>
      </c>
      <c r="R22" s="133">
        <f t="shared" ca="1" si="12"/>
        <v>0.2</v>
      </c>
      <c r="S22" s="133" t="str">
        <f t="shared" ca="1" si="12"/>
        <v>N/A</v>
      </c>
      <c r="U22" s="80" t="str">
        <f t="shared" ca="1" si="13"/>
        <v>N/A</v>
      </c>
      <c r="V22" s="133" t="e">
        <f ca="1">+R22*(1+U22)^10</f>
        <v>#VALUE!</v>
      </c>
      <c r="W22" s="80" t="e">
        <f t="shared" ca="1" si="15"/>
        <v>#VALUE!</v>
      </c>
      <c r="X22" s="80"/>
      <c r="Y22" s="211"/>
      <c r="Z22" s="208"/>
      <c r="AA22" s="217"/>
      <c r="AB22" s="213"/>
      <c r="AC22" s="214"/>
      <c r="AD22" s="214"/>
      <c r="AE22" s="215"/>
    </row>
    <row r="23" spans="1:31" x14ac:dyDescent="0.2">
      <c r="A23" s="45" t="s">
        <v>10</v>
      </c>
      <c r="B23" s="117">
        <f t="shared" ca="1" si="8"/>
        <v>21</v>
      </c>
      <c r="C23" s="1">
        <f>IF(ISERROR(D23),"",IF(D23="","",MAX($C$13:C22)+1))</f>
        <v>10</v>
      </c>
      <c r="D23" t="str">
        <f t="shared" si="9"/>
        <v xml:space="preserve">Consol. Edison                </v>
      </c>
      <c r="E23" s="15"/>
      <c r="F23" s="133">
        <f t="shared" ca="1" si="10"/>
        <v>2.4923076923076914</v>
      </c>
      <c r="G23" s="133">
        <f t="shared" si="11"/>
        <v>2.86</v>
      </c>
      <c r="H23" s="133">
        <f ca="1">IFERROR(IF(VLOOKUP($A23,LASTYR,'2017'!$I$3,FALSE)=0,"N/A",VLOOKUP($A23,LASTYR,'2017'!$I$3,FALSE)),"N/A")</f>
        <v>2.76</v>
      </c>
      <c r="I23" s="133">
        <f t="shared" ca="1" si="12"/>
        <v>2.68</v>
      </c>
      <c r="J23" s="133">
        <f t="shared" ca="1" si="12"/>
        <v>2.6</v>
      </c>
      <c r="K23" s="133">
        <f t="shared" ca="1" si="12"/>
        <v>2.52</v>
      </c>
      <c r="L23" s="133">
        <f t="shared" ca="1" si="12"/>
        <v>2.46</v>
      </c>
      <c r="M23" s="133">
        <f t="shared" ca="1" si="12"/>
        <v>2.42</v>
      </c>
      <c r="N23" s="133">
        <f t="shared" ca="1" si="12"/>
        <v>2.4</v>
      </c>
      <c r="O23" s="133">
        <f t="shared" ca="1" si="12"/>
        <v>2.38</v>
      </c>
      <c r="P23" s="133">
        <f t="shared" ca="1" si="12"/>
        <v>2.36</v>
      </c>
      <c r="Q23" s="133">
        <f t="shared" ca="1" si="12"/>
        <v>2.34</v>
      </c>
      <c r="R23" s="133">
        <f t="shared" ca="1" si="12"/>
        <v>2.3199999999999998</v>
      </c>
      <c r="S23" s="133">
        <f t="shared" ca="1" si="12"/>
        <v>2.2999999999999998</v>
      </c>
      <c r="U23" s="80" t="str">
        <f t="shared" ca="1" si="13"/>
        <v>N/A</v>
      </c>
      <c r="V23" s="133" t="e">
        <f t="shared" ca="1" si="14"/>
        <v>#VALUE!</v>
      </c>
      <c r="W23" s="80" t="e">
        <f t="shared" ca="1" si="15"/>
        <v>#VALUE!</v>
      </c>
      <c r="X23" s="80"/>
      <c r="Y23" s="211"/>
      <c r="Z23" s="208"/>
      <c r="AA23" s="217"/>
      <c r="AB23" s="213"/>
      <c r="AC23" s="214"/>
      <c r="AD23" s="214"/>
      <c r="AE23" s="215"/>
    </row>
    <row r="24" spans="1:31" x14ac:dyDescent="0.2">
      <c r="A24" s="45" t="s">
        <v>11</v>
      </c>
      <c r="B24" s="117">
        <f t="shared" ca="1" si="8"/>
        <v>24</v>
      </c>
      <c r="C24" s="1">
        <f>IF(ISERROR(D24),"",IF(D24="","",MAX($C$13:C23)+1))</f>
        <v>11</v>
      </c>
      <c r="D24" t="str">
        <f t="shared" si="9"/>
        <v xml:space="preserve">Dominion Resources            </v>
      </c>
      <c r="E24" s="15"/>
      <c r="F24" s="133">
        <f t="shared" ca="1" si="10"/>
        <v>2.1919230769230764</v>
      </c>
      <c r="G24" s="133">
        <f t="shared" si="11"/>
        <v>3.34</v>
      </c>
      <c r="H24" s="133">
        <f ca="1">IFERROR(IF(VLOOKUP($A24,LASTYR,'2017'!$I$3,FALSE)=0,"N/A",VLOOKUP($A24,LASTYR,'2017'!$I$3,FALSE)),"N/A")</f>
        <v>3.0350000000000001</v>
      </c>
      <c r="I24" s="133">
        <f t="shared" ref="I24:S34" ca="1" si="16">IFERROR(IF(INDEX(Dividends,$B24,I$13)=0,"N/A",INDEX(Dividends,$B24,I$13)),"N/A")</f>
        <v>2.8</v>
      </c>
      <c r="J24" s="133">
        <f t="shared" ca="1" si="16"/>
        <v>2.59</v>
      </c>
      <c r="K24" s="133">
        <f t="shared" ca="1" si="16"/>
        <v>2.4</v>
      </c>
      <c r="L24" s="133">
        <f t="shared" ca="1" si="16"/>
        <v>2.25</v>
      </c>
      <c r="M24" s="133">
        <f t="shared" ca="1" si="16"/>
        <v>2.11</v>
      </c>
      <c r="N24" s="133">
        <f t="shared" ca="1" si="16"/>
        <v>1.97</v>
      </c>
      <c r="O24" s="133">
        <f t="shared" ca="1" si="16"/>
        <v>1.83</v>
      </c>
      <c r="P24" s="133">
        <f t="shared" ca="1" si="16"/>
        <v>1.75</v>
      </c>
      <c r="Q24" s="133">
        <f t="shared" ca="1" si="16"/>
        <v>1.58</v>
      </c>
      <c r="R24" s="133">
        <f t="shared" ca="1" si="16"/>
        <v>1.46</v>
      </c>
      <c r="S24" s="133">
        <f t="shared" ca="1" si="16"/>
        <v>1.38</v>
      </c>
      <c r="U24" s="80" t="str">
        <f t="shared" ca="1" si="13"/>
        <v>N/A</v>
      </c>
      <c r="V24" s="133" t="e">
        <f t="shared" ca="1" si="14"/>
        <v>#VALUE!</v>
      </c>
      <c r="W24" s="80" t="e">
        <f t="shared" ca="1" si="15"/>
        <v>#VALUE!</v>
      </c>
      <c r="X24" s="80"/>
      <c r="Y24" s="211"/>
      <c r="Z24" s="208"/>
      <c r="AA24" s="217"/>
      <c r="AB24" s="213"/>
      <c r="AC24" s="214"/>
      <c r="AD24" s="214"/>
      <c r="AE24" s="215"/>
    </row>
    <row r="25" spans="1:31" x14ac:dyDescent="0.2">
      <c r="A25" s="45" t="s">
        <v>12</v>
      </c>
      <c r="B25" s="117">
        <f t="shared" ca="1" si="8"/>
        <v>25</v>
      </c>
      <c r="C25" s="1">
        <f>IF(ISERROR(D25),"",IF(D25="","",MAX($C$13:C24)+1))</f>
        <v>12</v>
      </c>
      <c r="D25" t="str">
        <f t="shared" si="9"/>
        <v xml:space="preserve">DTE Energy                    </v>
      </c>
      <c r="E25" s="15"/>
      <c r="F25" s="133">
        <f t="shared" ca="1" si="10"/>
        <v>2.5757692307692306</v>
      </c>
      <c r="G25" s="133">
        <f t="shared" si="11"/>
        <v>3.59</v>
      </c>
      <c r="H25" s="133">
        <f ca="1">IFERROR(IF(VLOOKUP($A25,LASTYR,'2017'!$I$3,FALSE)=0,"N/A",VLOOKUP($A25,LASTYR,'2017'!$I$3,FALSE)),"N/A")</f>
        <v>3.36</v>
      </c>
      <c r="I25" s="133">
        <f t="shared" ca="1" si="16"/>
        <v>3.06</v>
      </c>
      <c r="J25" s="133">
        <f t="shared" ca="1" si="16"/>
        <v>2.84</v>
      </c>
      <c r="K25" s="133">
        <f t="shared" ca="1" si="16"/>
        <v>2.69</v>
      </c>
      <c r="L25" s="133">
        <f t="shared" ca="1" si="16"/>
        <v>2.59</v>
      </c>
      <c r="M25" s="133">
        <f t="shared" ca="1" si="16"/>
        <v>2.42</v>
      </c>
      <c r="N25" s="133">
        <f t="shared" ca="1" si="16"/>
        <v>2.3199999999999998</v>
      </c>
      <c r="O25" s="133">
        <f t="shared" ca="1" si="16"/>
        <v>2.1800000000000002</v>
      </c>
      <c r="P25" s="133">
        <f t="shared" ca="1" si="16"/>
        <v>2.12</v>
      </c>
      <c r="Q25" s="133">
        <f t="shared" ca="1" si="16"/>
        <v>2.12</v>
      </c>
      <c r="R25" s="133">
        <f t="shared" ca="1" si="16"/>
        <v>2.12</v>
      </c>
      <c r="S25" s="133">
        <f t="shared" ca="1" si="16"/>
        <v>2.0750000000000002</v>
      </c>
      <c r="U25" s="80" t="str">
        <f t="shared" ca="1" si="13"/>
        <v>N/A</v>
      </c>
      <c r="V25" s="133" t="e">
        <f t="shared" ca="1" si="14"/>
        <v>#VALUE!</v>
      </c>
      <c r="W25" s="80" t="e">
        <f t="shared" ca="1" si="15"/>
        <v>#VALUE!</v>
      </c>
      <c r="X25" s="80"/>
      <c r="Y25" s="211"/>
      <c r="Z25" s="208"/>
      <c r="AA25" s="217"/>
      <c r="AB25" s="213"/>
      <c r="AC25" s="214"/>
      <c r="AD25" s="214"/>
      <c r="AE25" s="215"/>
    </row>
    <row r="26" spans="1:31" x14ac:dyDescent="0.2">
      <c r="A26" s="45" t="s">
        <v>13</v>
      </c>
      <c r="B26" s="117">
        <f t="shared" ca="1" si="8"/>
        <v>26</v>
      </c>
      <c r="C26" s="1">
        <f>IF(ISERROR(D26),"",IF(D26="","",MAX($C$13:C25)+1))</f>
        <v>13</v>
      </c>
      <c r="D26" t="str">
        <f t="shared" si="9"/>
        <v xml:space="preserve">Duke Energy                   </v>
      </c>
      <c r="E26" s="15"/>
      <c r="F26" s="133">
        <f t="shared" ca="1" si="10"/>
        <v>3.0816666666666666</v>
      </c>
      <c r="G26" s="133">
        <f t="shared" si="11"/>
        <v>3.64</v>
      </c>
      <c r="H26" s="133">
        <f ca="1">IFERROR(IF(VLOOKUP($A26,LASTYR,'2017'!$I$3,FALSE)=0,"N/A",VLOOKUP($A26,LASTYR,'2017'!$I$3,FALSE)),"N/A")</f>
        <v>3.49</v>
      </c>
      <c r="I26" s="133">
        <f t="shared" ca="1" si="16"/>
        <v>3.36</v>
      </c>
      <c r="J26" s="133">
        <f t="shared" ca="1" si="16"/>
        <v>3.24</v>
      </c>
      <c r="K26" s="133">
        <f t="shared" ca="1" si="16"/>
        <v>3.15</v>
      </c>
      <c r="L26" s="133">
        <f t="shared" ca="1" si="16"/>
        <v>3.09</v>
      </c>
      <c r="M26" s="133">
        <f t="shared" ca="1" si="16"/>
        <v>3.03</v>
      </c>
      <c r="N26" s="133">
        <f t="shared" ca="1" si="16"/>
        <v>2.97</v>
      </c>
      <c r="O26" s="133">
        <f t="shared" ca="1" si="16"/>
        <v>2.91</v>
      </c>
      <c r="P26" s="133">
        <f t="shared" ca="1" si="16"/>
        <v>2.82</v>
      </c>
      <c r="Q26" s="133">
        <f t="shared" ca="1" si="16"/>
        <v>2.7</v>
      </c>
      <c r="R26" s="133">
        <f t="shared" ca="1" si="16"/>
        <v>2.58</v>
      </c>
      <c r="S26" s="133" t="str">
        <f t="shared" ca="1" si="16"/>
        <v>N/A</v>
      </c>
      <c r="U26" s="80" t="str">
        <f t="shared" ca="1" si="13"/>
        <v>N/A</v>
      </c>
      <c r="V26" s="133" t="e">
        <f ca="1">+R26*(1+U26)^10</f>
        <v>#VALUE!</v>
      </c>
      <c r="W26" s="80" t="e">
        <f t="shared" ca="1" si="15"/>
        <v>#VALUE!</v>
      </c>
      <c r="X26" s="80"/>
      <c r="Y26" s="211"/>
      <c r="Z26" s="208"/>
      <c r="AA26" s="217"/>
      <c r="AB26" s="213"/>
      <c r="AC26" s="214"/>
      <c r="AD26" s="214"/>
      <c r="AE26" s="215"/>
    </row>
    <row r="27" spans="1:31" x14ac:dyDescent="0.2">
      <c r="A27" s="45" t="s">
        <v>14</v>
      </c>
      <c r="B27" s="117">
        <f t="shared" ca="1" si="8"/>
        <v>27</v>
      </c>
      <c r="C27" s="1">
        <f>IF(ISERROR(D27),"",IF(D27="","",MAX($C$13:C26)+1))</f>
        <v>14</v>
      </c>
      <c r="D27" t="str">
        <f t="shared" si="9"/>
        <v xml:space="preserve">Edison Int'l                  </v>
      </c>
      <c r="E27" s="15"/>
      <c r="F27" s="133">
        <f t="shared" ca="1" si="10"/>
        <v>1.5275384615384622</v>
      </c>
      <c r="G27" s="133">
        <f t="shared" si="11"/>
        <v>2.4500000000000002</v>
      </c>
      <c r="H27" s="133">
        <f ca="1">IFERROR(IF(VLOOKUP($A27,LASTYR,'2017'!$I$3,FALSE)=0,"N/A",VLOOKUP($A27,LASTYR,'2017'!$I$3,FALSE)),"N/A")</f>
        <v>2.2330000000000001</v>
      </c>
      <c r="I27" s="133">
        <f t="shared" ca="1" si="16"/>
        <v>1.9830000000000001</v>
      </c>
      <c r="J27" s="133">
        <f t="shared" ca="1" si="16"/>
        <v>1.7330000000000001</v>
      </c>
      <c r="K27" s="133">
        <f t="shared" ca="1" si="16"/>
        <v>1.4830000000000001</v>
      </c>
      <c r="L27" s="133">
        <f t="shared" ca="1" si="16"/>
        <v>1.3680000000000001</v>
      </c>
      <c r="M27" s="133">
        <f t="shared" ca="1" si="16"/>
        <v>1.3129999999999999</v>
      </c>
      <c r="N27" s="133">
        <f t="shared" ca="1" si="16"/>
        <v>1.2849999999999999</v>
      </c>
      <c r="O27" s="133">
        <f t="shared" ca="1" si="16"/>
        <v>1.2649999999999999</v>
      </c>
      <c r="P27" s="133">
        <f t="shared" ca="1" si="16"/>
        <v>1.2450000000000001</v>
      </c>
      <c r="Q27" s="133">
        <f t="shared" ca="1" si="16"/>
        <v>1.2250000000000001</v>
      </c>
      <c r="R27" s="133">
        <f t="shared" ca="1" si="16"/>
        <v>1.175</v>
      </c>
      <c r="S27" s="133">
        <f t="shared" ca="1" si="16"/>
        <v>1.1000000000000001</v>
      </c>
      <c r="U27" s="80" t="str">
        <f t="shared" ca="1" si="13"/>
        <v>N/A</v>
      </c>
      <c r="V27" s="133" t="e">
        <f t="shared" ca="1" si="14"/>
        <v>#VALUE!</v>
      </c>
      <c r="W27" s="80" t="e">
        <f t="shared" ca="1" si="15"/>
        <v>#VALUE!</v>
      </c>
      <c r="X27" s="80"/>
      <c r="Y27" s="211"/>
      <c r="Z27" s="208"/>
      <c r="AA27" s="217"/>
      <c r="AB27" s="213"/>
      <c r="AC27" s="214"/>
      <c r="AD27" s="214"/>
      <c r="AE27" s="215"/>
    </row>
    <row r="28" spans="1:31" x14ac:dyDescent="0.2">
      <c r="A28" s="45" t="s">
        <v>15</v>
      </c>
      <c r="B28" s="117">
        <f t="shared" ca="1" si="8"/>
        <v>28</v>
      </c>
      <c r="C28" s="1">
        <f>IF(ISERROR(D28),"",IF(D28="","",MAX($C$13:C27)+1))</f>
        <v>15</v>
      </c>
      <c r="D28" t="str">
        <f t="shared" si="9"/>
        <v xml:space="preserve">El Paso Electric              </v>
      </c>
      <c r="E28" s="15"/>
      <c r="F28" s="133">
        <f t="shared" ca="1" si="10"/>
        <v>1.1131250000000001</v>
      </c>
      <c r="G28" s="133">
        <f t="shared" si="11"/>
        <v>1.42</v>
      </c>
      <c r="H28" s="133">
        <f ca="1">IFERROR(IF(VLOOKUP($A28,LASTYR,'2017'!$I$3,FALSE)=0,"N/A",VLOOKUP($A28,LASTYR,'2017'!$I$3,FALSE)),"N/A")</f>
        <v>1.3149999999999999</v>
      </c>
      <c r="I28" s="133">
        <f t="shared" ca="1" si="16"/>
        <v>1.2250000000000001</v>
      </c>
      <c r="J28" s="133">
        <f t="shared" ca="1" si="16"/>
        <v>1.165</v>
      </c>
      <c r="K28" s="133">
        <f t="shared" ca="1" si="16"/>
        <v>1.105</v>
      </c>
      <c r="L28" s="133">
        <f t="shared" ca="1" si="16"/>
        <v>1.0449999999999999</v>
      </c>
      <c r="M28" s="133">
        <f t="shared" ca="1" si="16"/>
        <v>0.97</v>
      </c>
      <c r="N28" s="133">
        <f t="shared" ca="1" si="16"/>
        <v>0.66</v>
      </c>
      <c r="O28" s="133" t="str">
        <f t="shared" ca="1" si="16"/>
        <v>N/A</v>
      </c>
      <c r="P28" s="133" t="str">
        <f t="shared" ca="1" si="16"/>
        <v>N/A</v>
      </c>
      <c r="Q28" s="133" t="str">
        <f t="shared" ca="1" si="16"/>
        <v>N/A</v>
      </c>
      <c r="R28" s="133" t="str">
        <f t="shared" ca="1" si="16"/>
        <v>N/A</v>
      </c>
      <c r="S28" s="133" t="str">
        <f t="shared" ca="1" si="16"/>
        <v>N/A</v>
      </c>
      <c r="U28" s="80" t="str">
        <f t="shared" ca="1" si="13"/>
        <v>N/A</v>
      </c>
      <c r="V28" s="133" t="e">
        <f ca="1">+N28*(1+U28)^6</f>
        <v>#VALUE!</v>
      </c>
      <c r="W28" s="80" t="e">
        <f t="shared" ca="1" si="15"/>
        <v>#VALUE!</v>
      </c>
      <c r="X28" s="80"/>
      <c r="Y28" s="211"/>
      <c r="Z28" s="208"/>
      <c r="AA28" s="217"/>
      <c r="AB28" s="213"/>
      <c r="AC28" s="214"/>
      <c r="AD28" s="214"/>
      <c r="AE28" s="215"/>
    </row>
    <row r="29" spans="1:31" x14ac:dyDescent="0.2">
      <c r="A29" s="45" t="s">
        <v>17</v>
      </c>
      <c r="B29" s="117">
        <f t="shared" ca="1" si="8"/>
        <v>29</v>
      </c>
      <c r="C29" s="1">
        <f>IF(ISERROR(D29),"",IF(D29="","",MAX($C$13:C28)+1))</f>
        <v>16</v>
      </c>
      <c r="D29" t="str">
        <f t="shared" si="9"/>
        <v xml:space="preserve">Entergy Corp.                 </v>
      </c>
      <c r="E29" s="15"/>
      <c r="F29" s="133">
        <f t="shared" ca="1" si="10"/>
        <v>3.161538461538461</v>
      </c>
      <c r="G29" s="133">
        <f t="shared" si="11"/>
        <v>3.58</v>
      </c>
      <c r="H29" s="133">
        <f ca="1">IFERROR(IF(VLOOKUP($A29,LASTYR,'2017'!$I$3,FALSE)=0,"N/A",VLOOKUP($A29,LASTYR,'2017'!$I$3,FALSE)),"N/A")</f>
        <v>3.5</v>
      </c>
      <c r="I29" s="133">
        <f t="shared" ca="1" si="16"/>
        <v>3.42</v>
      </c>
      <c r="J29" s="133">
        <f t="shared" ca="1" si="16"/>
        <v>3.34</v>
      </c>
      <c r="K29" s="133">
        <f t="shared" ca="1" si="16"/>
        <v>3.32</v>
      </c>
      <c r="L29" s="133">
        <f t="shared" ca="1" si="16"/>
        <v>3.32</v>
      </c>
      <c r="M29" s="133">
        <f t="shared" ca="1" si="16"/>
        <v>3.32</v>
      </c>
      <c r="N29" s="133">
        <f t="shared" ca="1" si="16"/>
        <v>3.32</v>
      </c>
      <c r="O29" s="133">
        <f t="shared" ca="1" si="16"/>
        <v>3.24</v>
      </c>
      <c r="P29" s="133">
        <f t="shared" ca="1" si="16"/>
        <v>3</v>
      </c>
      <c r="Q29" s="133">
        <f t="shared" ca="1" si="16"/>
        <v>3</v>
      </c>
      <c r="R29" s="133">
        <f t="shared" ca="1" si="16"/>
        <v>2.58</v>
      </c>
      <c r="S29" s="133">
        <f t="shared" ca="1" si="16"/>
        <v>2.16</v>
      </c>
      <c r="U29" s="80" t="str">
        <f t="shared" ca="1" si="13"/>
        <v>N/A</v>
      </c>
      <c r="V29" s="133" t="e">
        <f t="shared" ca="1" si="14"/>
        <v>#VALUE!</v>
      </c>
      <c r="W29" s="80" t="e">
        <f t="shared" ca="1" si="15"/>
        <v>#VALUE!</v>
      </c>
      <c r="X29" s="80"/>
      <c r="Y29" s="211"/>
      <c r="Z29" s="208"/>
      <c r="AA29" s="217"/>
      <c r="AB29" s="213"/>
      <c r="AC29" s="214"/>
      <c r="AD29" s="214"/>
      <c r="AE29" s="215"/>
    </row>
    <row r="30" spans="1:31" x14ac:dyDescent="0.2">
      <c r="A30" s="45" t="s">
        <v>211</v>
      </c>
      <c r="B30" s="117">
        <f t="shared" ca="1" si="8"/>
        <v>30</v>
      </c>
      <c r="C30" s="1">
        <f>IF(ISERROR(D30),"",IF(D30="","",MAX($C$13:C29)+1))</f>
        <v>17</v>
      </c>
      <c r="D30" t="str">
        <f t="shared" si="9"/>
        <v xml:space="preserve">Eversource Energy    </v>
      </c>
      <c r="E30" s="15"/>
      <c r="F30" s="133">
        <f t="shared" ca="1" si="10"/>
        <v>1.3176923076923077</v>
      </c>
      <c r="G30" s="133">
        <f t="shared" si="11"/>
        <v>2.02</v>
      </c>
      <c r="H30" s="133">
        <f ca="1">IFERROR(IF(VLOOKUP($A30,LASTYR,'2017'!$I$3,FALSE)=0,"N/A",VLOOKUP($A30,LASTYR,'2017'!$I$3,FALSE)),"N/A")</f>
        <v>1.9</v>
      </c>
      <c r="I30" s="133">
        <f t="shared" ca="1" si="16"/>
        <v>1.78</v>
      </c>
      <c r="J30" s="133">
        <f t="shared" ca="1" si="16"/>
        <v>1.67</v>
      </c>
      <c r="K30" s="133">
        <f t="shared" ca="1" si="16"/>
        <v>1.57</v>
      </c>
      <c r="L30" s="133">
        <f t="shared" ca="1" si="16"/>
        <v>1.47</v>
      </c>
      <c r="M30" s="133">
        <f t="shared" ca="1" si="16"/>
        <v>1.32</v>
      </c>
      <c r="N30" s="133">
        <f t="shared" ca="1" si="16"/>
        <v>1.1000000000000001</v>
      </c>
      <c r="O30" s="133">
        <f t="shared" ca="1" si="16"/>
        <v>1.0249999999999999</v>
      </c>
      <c r="P30" s="133">
        <f t="shared" ca="1" si="16"/>
        <v>0.95</v>
      </c>
      <c r="Q30" s="133">
        <f t="shared" ca="1" si="16"/>
        <v>0.82499999999999996</v>
      </c>
      <c r="R30" s="133">
        <f t="shared" ca="1" si="16"/>
        <v>0.77500000000000002</v>
      </c>
      <c r="S30" s="133">
        <f t="shared" ca="1" si="16"/>
        <v>0.72499999999999998</v>
      </c>
      <c r="U30" s="80" t="str">
        <f t="shared" ca="1" si="13"/>
        <v>N/A</v>
      </c>
      <c r="V30" s="133" t="e">
        <f t="shared" ca="1" si="14"/>
        <v>#VALUE!</v>
      </c>
      <c r="W30" s="80" t="e">
        <f t="shared" ca="1" si="15"/>
        <v>#VALUE!</v>
      </c>
      <c r="X30" s="80"/>
      <c r="Y30" s="211"/>
      <c r="Z30" s="208"/>
      <c r="AA30" s="217"/>
      <c r="AB30" s="213"/>
      <c r="AC30" s="214"/>
      <c r="AD30" s="214"/>
      <c r="AE30" s="215"/>
    </row>
    <row r="31" spans="1:31" x14ac:dyDescent="0.2">
      <c r="A31" s="45" t="s">
        <v>487</v>
      </c>
      <c r="B31" s="117" t="str">
        <f t="shared" ref="B31" ca="1" si="17">IFERROR(MATCH(A31,OFFSET(Dividends,0,0,,1),0),"")</f>
        <v/>
      </c>
      <c r="C31" s="1">
        <f>IF(ISERROR(D31),"",IF(D31="","",MAX($C$13:C30)+1))</f>
        <v>18</v>
      </c>
      <c r="D31" t="s">
        <v>488</v>
      </c>
      <c r="E31" s="15"/>
      <c r="F31" s="133">
        <f t="shared" ref="F31" ca="1" si="18">IFERROR(AVERAGE(G31:S31),"N/A")</f>
        <v>1.74</v>
      </c>
      <c r="G31" s="133">
        <f t="shared" ref="G31" si="19">IFERROR(IF(VLOOKUP(A31,LUCurYr,9,FALSE)=0,"",VLOOKUP(A31,LUCurYr,9,FALSE)),"N/A")</f>
        <v>1.74</v>
      </c>
      <c r="H31" s="133" t="str">
        <f ca="1">IFERROR(IF(VLOOKUP($A31,LASTYR,'2017'!$I$3,FALSE)=0,"N/A",VLOOKUP($A31,LASTYR,'2017'!$I$3,FALSE)),"N/A")</f>
        <v>N/A</v>
      </c>
      <c r="I31" s="133" t="str">
        <f t="shared" ca="1" si="16"/>
        <v>N/A</v>
      </c>
      <c r="J31" s="133" t="str">
        <f t="shared" ca="1" si="16"/>
        <v>N/A</v>
      </c>
      <c r="K31" s="133" t="str">
        <f t="shared" ca="1" si="16"/>
        <v>N/A</v>
      </c>
      <c r="L31" s="133" t="str">
        <f t="shared" ca="1" si="16"/>
        <v>N/A</v>
      </c>
      <c r="M31" s="133" t="str">
        <f t="shared" ca="1" si="16"/>
        <v>N/A</v>
      </c>
      <c r="N31" s="133" t="str">
        <f t="shared" ca="1" si="16"/>
        <v>N/A</v>
      </c>
      <c r="O31" s="133" t="str">
        <f t="shared" ca="1" si="16"/>
        <v>N/A</v>
      </c>
      <c r="P31" s="133" t="str">
        <f t="shared" ca="1" si="16"/>
        <v>N/A</v>
      </c>
      <c r="Q31" s="133" t="str">
        <f t="shared" ca="1" si="16"/>
        <v>N/A</v>
      </c>
      <c r="R31" s="133" t="str">
        <f t="shared" ca="1" si="16"/>
        <v>N/A</v>
      </c>
      <c r="S31" s="133" t="str">
        <f t="shared" ca="1" si="16"/>
        <v>N/A</v>
      </c>
      <c r="U31" s="80" t="str">
        <f t="shared" ca="1" si="13"/>
        <v>N/A</v>
      </c>
      <c r="V31" s="133"/>
      <c r="W31" s="80"/>
      <c r="X31" s="80"/>
      <c r="Y31" s="211"/>
      <c r="Z31" s="208"/>
      <c r="AA31" s="217"/>
      <c r="AB31" s="213"/>
      <c r="AC31" s="214"/>
      <c r="AD31" s="214"/>
      <c r="AE31" s="215"/>
    </row>
    <row r="32" spans="1:31" x14ac:dyDescent="0.2">
      <c r="A32" s="45" t="s">
        <v>18</v>
      </c>
      <c r="B32" s="117">
        <f t="shared" ca="1" si="8"/>
        <v>31</v>
      </c>
      <c r="C32" s="1">
        <f>IF(ISERROR(D32),"",IF(D32="","",MAX($C$13:C30)+1))</f>
        <v>18</v>
      </c>
      <c r="D32" t="str">
        <f t="shared" si="9"/>
        <v xml:space="preserve">Exelon Corp.                  </v>
      </c>
      <c r="E32" s="15"/>
      <c r="F32" s="133">
        <f t="shared" ca="1" si="10"/>
        <v>1.6765384615384618</v>
      </c>
      <c r="G32" s="133">
        <f t="shared" si="11"/>
        <v>1.38</v>
      </c>
      <c r="H32" s="133">
        <f ca="1">IFERROR(IF(VLOOKUP($A32,LASTYR,'2017'!$I$3,FALSE)=0,"N/A",VLOOKUP($A32,LASTYR,'2017'!$I$3,FALSE)),"N/A")</f>
        <v>1.31</v>
      </c>
      <c r="I32" s="133">
        <f t="shared" ca="1" si="16"/>
        <v>1.26</v>
      </c>
      <c r="J32" s="133">
        <f t="shared" ca="1" si="16"/>
        <v>1.24</v>
      </c>
      <c r="K32" s="133">
        <f t="shared" ca="1" si="16"/>
        <v>1.24</v>
      </c>
      <c r="L32" s="133">
        <f t="shared" ca="1" si="16"/>
        <v>1.4550000000000001</v>
      </c>
      <c r="M32" s="133">
        <f t="shared" ca="1" si="16"/>
        <v>2.1</v>
      </c>
      <c r="N32" s="133">
        <f t="shared" ca="1" si="16"/>
        <v>2.1</v>
      </c>
      <c r="O32" s="133">
        <f t="shared" ca="1" si="16"/>
        <v>2.1</v>
      </c>
      <c r="P32" s="133">
        <f t="shared" ca="1" si="16"/>
        <v>2.1</v>
      </c>
      <c r="Q32" s="133">
        <f t="shared" ca="1" si="16"/>
        <v>2.0499999999999998</v>
      </c>
      <c r="R32" s="133">
        <f t="shared" ca="1" si="16"/>
        <v>1.82</v>
      </c>
      <c r="S32" s="133">
        <f t="shared" ca="1" si="16"/>
        <v>1.64</v>
      </c>
      <c r="U32" s="80" t="str">
        <f t="shared" ref="U32:U59" ca="1" si="20">IFERROR(IF(H32&gt;0,((H32/VLOOKUP(A32,$A$14:$S$55,AX32,0))^(1/(Y32)))-1,"N/A"),"N/A")</f>
        <v>N/A</v>
      </c>
      <c r="V32" s="133" t="e">
        <f t="shared" ca="1" si="14"/>
        <v>#VALUE!</v>
      </c>
      <c r="W32" s="80" t="e">
        <f t="shared" ca="1" si="15"/>
        <v>#VALUE!</v>
      </c>
      <c r="X32" s="80"/>
      <c r="Y32" s="211"/>
      <c r="Z32" s="208"/>
      <c r="AA32" s="217"/>
      <c r="AB32" s="213"/>
      <c r="AC32" s="214"/>
      <c r="AD32" s="214"/>
      <c r="AE32" s="215"/>
    </row>
    <row r="33" spans="1:31" x14ac:dyDescent="0.2">
      <c r="A33" s="45" t="s">
        <v>19</v>
      </c>
      <c r="B33" s="117">
        <f t="shared" ca="1" si="8"/>
        <v>32</v>
      </c>
      <c r="C33" s="1">
        <f>IF(ISERROR(D33),"",IF(D33="","",MAX($C$13:C32)+1))</f>
        <v>19</v>
      </c>
      <c r="D33" t="str">
        <f t="shared" si="9"/>
        <v xml:space="preserve">FirstEnergy Corp.             </v>
      </c>
      <c r="E33" s="15"/>
      <c r="F33" s="133">
        <f t="shared" ca="1" si="10"/>
        <v>1.8269230769230769</v>
      </c>
      <c r="G33" s="133">
        <f t="shared" si="11"/>
        <v>1.44</v>
      </c>
      <c r="H33" s="133">
        <f ca="1">IFERROR(IF(VLOOKUP($A33,LASTYR,'2017'!$I$3,FALSE)=0,"N/A",VLOOKUP($A33,LASTYR,'2017'!$I$3,FALSE)),"N/A")</f>
        <v>1.44</v>
      </c>
      <c r="I33" s="133">
        <f t="shared" ca="1" si="16"/>
        <v>1.44</v>
      </c>
      <c r="J33" s="133">
        <f t="shared" ca="1" si="16"/>
        <v>1.44</v>
      </c>
      <c r="K33" s="133">
        <f t="shared" ca="1" si="16"/>
        <v>1.44</v>
      </c>
      <c r="L33" s="133">
        <f t="shared" ca="1" si="16"/>
        <v>1.65</v>
      </c>
      <c r="M33" s="133">
        <f t="shared" ca="1" si="16"/>
        <v>2.2000000000000002</v>
      </c>
      <c r="N33" s="133">
        <f t="shared" ca="1" si="16"/>
        <v>2.2000000000000002</v>
      </c>
      <c r="O33" s="133">
        <f t="shared" ca="1" si="16"/>
        <v>2.2000000000000002</v>
      </c>
      <c r="P33" s="133">
        <f t="shared" ca="1" si="16"/>
        <v>2.2000000000000002</v>
      </c>
      <c r="Q33" s="133">
        <f t="shared" ca="1" si="16"/>
        <v>2.2000000000000002</v>
      </c>
      <c r="R33" s="133">
        <f t="shared" ca="1" si="16"/>
        <v>2.0499999999999998</v>
      </c>
      <c r="S33" s="133">
        <f t="shared" ca="1" si="16"/>
        <v>1.85</v>
      </c>
      <c r="U33" s="80" t="str">
        <f t="shared" ca="1" si="20"/>
        <v>N/A</v>
      </c>
      <c r="V33" s="133" t="e">
        <f t="shared" ca="1" si="14"/>
        <v>#VALUE!</v>
      </c>
      <c r="W33" s="80" t="e">
        <f t="shared" ca="1" si="15"/>
        <v>#VALUE!</v>
      </c>
      <c r="X33" s="80"/>
      <c r="Y33" s="211"/>
      <c r="Z33" s="208"/>
      <c r="AA33" s="217"/>
      <c r="AB33" s="213"/>
      <c r="AC33" s="214"/>
      <c r="AD33" s="214"/>
      <c r="AE33" s="215"/>
    </row>
    <row r="34" spans="1:31" x14ac:dyDescent="0.2">
      <c r="A34" s="45" t="s">
        <v>266</v>
      </c>
      <c r="B34" s="117">
        <f t="shared" ca="1" si="8"/>
        <v>33</v>
      </c>
      <c r="C34" s="1">
        <f>IF(ISERROR(D34),"",IF(D34="","",MAX($C$13:C33)+1))</f>
        <v>20</v>
      </c>
      <c r="D34" t="str">
        <f t="shared" si="9"/>
        <v>Fortis Inc.</v>
      </c>
      <c r="E34" s="15"/>
      <c r="F34" s="133">
        <f t="shared" ca="1" si="10"/>
        <v>1.2276923076923076</v>
      </c>
      <c r="G34" s="133">
        <f t="shared" si="11"/>
        <v>1.75</v>
      </c>
      <c r="H34" s="133">
        <f ca="1">IFERROR(IF(VLOOKUP($A34,LASTYR,'2017'!$I$3,FALSE)=0,"N/A",VLOOKUP($A34,LASTYR,'2017'!$I$3,FALSE)),"N/A")</f>
        <v>1.65</v>
      </c>
      <c r="I34" s="133">
        <f t="shared" ca="1" si="16"/>
        <v>1.55</v>
      </c>
      <c r="J34" s="133">
        <f t="shared" ca="1" si="16"/>
        <v>1.43</v>
      </c>
      <c r="K34" s="133">
        <f t="shared" ca="1" si="16"/>
        <v>1.3</v>
      </c>
      <c r="L34" s="133">
        <f t="shared" ca="1" si="16"/>
        <v>1.25</v>
      </c>
      <c r="M34" s="133">
        <f t="shared" ca="1" si="16"/>
        <v>1.21</v>
      </c>
      <c r="N34" s="133">
        <f t="shared" ca="1" si="16"/>
        <v>1.17</v>
      </c>
      <c r="O34" s="133">
        <f t="shared" ca="1" si="16"/>
        <v>1.1200000000000001</v>
      </c>
      <c r="P34" s="133">
        <f t="shared" ca="1" si="16"/>
        <v>1.04</v>
      </c>
      <c r="Q34" s="133">
        <f t="shared" ca="1" si="16"/>
        <v>1</v>
      </c>
      <c r="R34" s="133">
        <f t="shared" ca="1" si="16"/>
        <v>0.82</v>
      </c>
      <c r="S34" s="133">
        <f t="shared" ca="1" si="16"/>
        <v>0.67</v>
      </c>
      <c r="U34" s="80" t="str">
        <f t="shared" ca="1" si="20"/>
        <v>N/A</v>
      </c>
      <c r="V34" s="133" t="e">
        <f t="shared" ca="1" si="14"/>
        <v>#VALUE!</v>
      </c>
      <c r="W34" s="80" t="e">
        <f t="shared" ca="1" si="15"/>
        <v>#VALUE!</v>
      </c>
      <c r="X34" s="80"/>
      <c r="Y34" s="211"/>
      <c r="Z34" s="208"/>
      <c r="AA34" s="217"/>
      <c r="AB34" s="213"/>
      <c r="AC34" s="214"/>
      <c r="AD34" s="214"/>
      <c r="AE34" s="215"/>
    </row>
    <row r="35" spans="1:31" x14ac:dyDescent="0.2">
      <c r="A35" s="45" t="s">
        <v>20</v>
      </c>
      <c r="B35" s="117">
        <f t="shared" ca="1" si="8"/>
        <v>35</v>
      </c>
      <c r="C35" s="1">
        <f>IF(ISERROR(D35),"",IF(D35="","",MAX($C$13:C34)+1))</f>
        <v>21</v>
      </c>
      <c r="D35" t="str">
        <f t="shared" si="9"/>
        <v xml:space="preserve">Great Plains Energy             </v>
      </c>
      <c r="E35" s="15"/>
      <c r="F35" s="133">
        <f t="shared" ca="1" si="10"/>
        <v>1.1083333333333334</v>
      </c>
      <c r="G35" s="133" t="str">
        <f t="shared" si="11"/>
        <v>N/A</v>
      </c>
      <c r="H35" s="133">
        <f ca="1">IFERROR(IF(VLOOKUP($A35,LASTYR,'2017'!$I$3,FALSE)=0,"N/A",VLOOKUP($A35,LASTYR,'2017'!$I$3,FALSE)),"N/A")</f>
        <v>1.1000000000000001</v>
      </c>
      <c r="I35" s="133">
        <f t="shared" ref="I35:S44" ca="1" si="21">IFERROR(IF(INDEX(Dividends,$B35,I$13)=0,"N/A",INDEX(Dividends,$B35,I$13)),"N/A")</f>
        <v>1.0549999999999999</v>
      </c>
      <c r="J35" s="133">
        <f t="shared" ca="1" si="21"/>
        <v>0.998</v>
      </c>
      <c r="K35" s="133">
        <f t="shared" ca="1" si="21"/>
        <v>0.93500000000000005</v>
      </c>
      <c r="L35" s="133">
        <f t="shared" ca="1" si="21"/>
        <v>0.88200000000000001</v>
      </c>
      <c r="M35" s="133">
        <f t="shared" ca="1" si="21"/>
        <v>0.85499999999999998</v>
      </c>
      <c r="N35" s="133">
        <f t="shared" ca="1" si="21"/>
        <v>0.83499999999999996</v>
      </c>
      <c r="O35" s="133">
        <f t="shared" ca="1" si="21"/>
        <v>0.83</v>
      </c>
      <c r="P35" s="133">
        <f t="shared" ca="1" si="21"/>
        <v>0.83</v>
      </c>
      <c r="Q35" s="133">
        <f t="shared" ca="1" si="21"/>
        <v>1.66</v>
      </c>
      <c r="R35" s="133">
        <f t="shared" ca="1" si="21"/>
        <v>1.66</v>
      </c>
      <c r="S35" s="133">
        <f t="shared" ca="1" si="21"/>
        <v>1.66</v>
      </c>
      <c r="U35" s="80" t="str">
        <f t="shared" ca="1" si="20"/>
        <v>N/A</v>
      </c>
      <c r="V35" s="133" t="e">
        <f ca="1">+S35*(1+U35)^10</f>
        <v>#VALUE!</v>
      </c>
      <c r="W35" s="80" t="e">
        <f t="shared" ca="1" si="15"/>
        <v>#VALUE!</v>
      </c>
      <c r="X35" s="80"/>
      <c r="Y35" s="211"/>
      <c r="Z35" s="208"/>
      <c r="AA35" s="217"/>
      <c r="AB35" s="213"/>
      <c r="AC35" s="214"/>
      <c r="AD35" s="214"/>
      <c r="AE35" s="215"/>
    </row>
    <row r="36" spans="1:31" x14ac:dyDescent="0.2">
      <c r="A36" s="45" t="s">
        <v>21</v>
      </c>
      <c r="B36" s="117">
        <f t="shared" ca="1" si="8"/>
        <v>36</v>
      </c>
      <c r="C36" s="1">
        <f>IF(ISERROR(D36),"",IF(D36="","",MAX($C$13:C35)+1))</f>
        <v>22</v>
      </c>
      <c r="D36" t="str">
        <f t="shared" si="9"/>
        <v xml:space="preserve">Hawaiian Elec.                </v>
      </c>
      <c r="E36" s="15"/>
      <c r="F36" s="133">
        <f t="shared" ca="1" si="10"/>
        <v>1.24</v>
      </c>
      <c r="G36" s="133">
        <f t="shared" si="11"/>
        <v>1.24</v>
      </c>
      <c r="H36" s="133">
        <f ca="1">IFERROR(IF(VLOOKUP($A36,LASTYR,'2017'!$I$3,FALSE)=0,"N/A",VLOOKUP($A36,LASTYR,'2017'!$I$3,FALSE)),"N/A")</f>
        <v>1.24</v>
      </c>
      <c r="I36" s="133">
        <f t="shared" ca="1" si="21"/>
        <v>1.24</v>
      </c>
      <c r="J36" s="133">
        <f t="shared" ca="1" si="21"/>
        <v>1.24</v>
      </c>
      <c r="K36" s="133">
        <f t="shared" ca="1" si="21"/>
        <v>1.24</v>
      </c>
      <c r="L36" s="133">
        <f t="shared" ca="1" si="21"/>
        <v>1.24</v>
      </c>
      <c r="M36" s="133">
        <f t="shared" ca="1" si="21"/>
        <v>1.24</v>
      </c>
      <c r="N36" s="133">
        <f t="shared" ca="1" si="21"/>
        <v>1.24</v>
      </c>
      <c r="O36" s="133">
        <f t="shared" ca="1" si="21"/>
        <v>1.24</v>
      </c>
      <c r="P36" s="133">
        <f t="shared" ca="1" si="21"/>
        <v>1.24</v>
      </c>
      <c r="Q36" s="133">
        <f t="shared" ca="1" si="21"/>
        <v>1.24</v>
      </c>
      <c r="R36" s="133">
        <f t="shared" ca="1" si="21"/>
        <v>1.24</v>
      </c>
      <c r="S36" s="133">
        <f t="shared" ca="1" si="21"/>
        <v>1.24</v>
      </c>
      <c r="U36" s="80" t="str">
        <f t="shared" ca="1" si="20"/>
        <v>N/A</v>
      </c>
      <c r="V36" s="133" t="e">
        <f t="shared" ca="1" si="14"/>
        <v>#VALUE!</v>
      </c>
      <c r="W36" s="80" t="e">
        <f t="shared" ca="1" si="15"/>
        <v>#VALUE!</v>
      </c>
      <c r="X36" s="80"/>
      <c r="Y36" s="211"/>
      <c r="Z36" s="208"/>
      <c r="AA36" s="217"/>
      <c r="AB36" s="213"/>
      <c r="AC36" s="214"/>
      <c r="AD36" s="214"/>
      <c r="AE36" s="215"/>
    </row>
    <row r="37" spans="1:31" x14ac:dyDescent="0.2">
      <c r="A37" s="45" t="s">
        <v>22</v>
      </c>
      <c r="B37" s="117">
        <f t="shared" ca="1" si="8"/>
        <v>37</v>
      </c>
      <c r="C37" s="1">
        <f>IF(ISERROR(D37),"",IF(D37="","",MAX($C$13:C36)+1))</f>
        <v>23</v>
      </c>
      <c r="D37" t="str">
        <f t="shared" si="9"/>
        <v xml:space="preserve">IDACORP, Inc.                 </v>
      </c>
      <c r="E37" s="15"/>
      <c r="F37" s="133">
        <f t="shared" ca="1" si="10"/>
        <v>1.5799999999999996</v>
      </c>
      <c r="G37" s="133">
        <f t="shared" si="11"/>
        <v>2.4</v>
      </c>
      <c r="H37" s="133">
        <f ca="1">IFERROR(IF(VLOOKUP($A37,LASTYR,'2017'!$I$3,FALSE)=0,"N/A",VLOOKUP($A37,LASTYR,'2017'!$I$3,FALSE)),"N/A")</f>
        <v>2.2400000000000002</v>
      </c>
      <c r="I37" s="133">
        <f t="shared" ca="1" si="21"/>
        <v>2.08</v>
      </c>
      <c r="J37" s="133">
        <f t="shared" ca="1" si="21"/>
        <v>1.92</v>
      </c>
      <c r="K37" s="133">
        <f t="shared" ca="1" si="21"/>
        <v>1.76</v>
      </c>
      <c r="L37" s="133">
        <f t="shared" ca="1" si="21"/>
        <v>1.57</v>
      </c>
      <c r="M37" s="133">
        <f t="shared" ca="1" si="21"/>
        <v>1.37</v>
      </c>
      <c r="N37" s="133">
        <f t="shared" ca="1" si="21"/>
        <v>1.2</v>
      </c>
      <c r="O37" s="133">
        <f t="shared" ca="1" si="21"/>
        <v>1.2</v>
      </c>
      <c r="P37" s="133">
        <f t="shared" ca="1" si="21"/>
        <v>1.2</v>
      </c>
      <c r="Q37" s="133">
        <f t="shared" ca="1" si="21"/>
        <v>1.2</v>
      </c>
      <c r="R37" s="133">
        <f t="shared" ca="1" si="21"/>
        <v>1.2</v>
      </c>
      <c r="S37" s="133">
        <f t="shared" ca="1" si="21"/>
        <v>1.2</v>
      </c>
      <c r="U37" s="80" t="str">
        <f t="shared" ca="1" si="20"/>
        <v>N/A</v>
      </c>
      <c r="V37" s="133" t="e">
        <f t="shared" ca="1" si="14"/>
        <v>#VALUE!</v>
      </c>
      <c r="W37" s="80" t="e">
        <f t="shared" ca="1" si="15"/>
        <v>#VALUE!</v>
      </c>
      <c r="X37" s="80"/>
      <c r="Y37" s="211"/>
      <c r="Z37" s="208"/>
      <c r="AA37" s="217"/>
      <c r="AB37" s="213"/>
      <c r="AC37" s="214"/>
      <c r="AD37" s="214"/>
      <c r="AE37" s="215"/>
    </row>
    <row r="38" spans="1:31" x14ac:dyDescent="0.2">
      <c r="A38" s="45" t="s">
        <v>25</v>
      </c>
      <c r="B38" s="117">
        <f t="shared" ca="1" si="8"/>
        <v>38</v>
      </c>
      <c r="C38" s="1">
        <f>IF(ISERROR(D38),"",IF(D38="","",MAX($C$13:C37)+1))</f>
        <v>24</v>
      </c>
      <c r="D38" t="str">
        <f t="shared" si="9"/>
        <v xml:space="preserve">MGE Energy                    </v>
      </c>
      <c r="E38" s="15"/>
      <c r="F38" s="133">
        <f t="shared" ca="1" si="10"/>
        <v>1.0746153846153847</v>
      </c>
      <c r="G38" s="133">
        <f t="shared" si="11"/>
        <v>1.32</v>
      </c>
      <c r="H38" s="133">
        <f ca="1">IFERROR(IF(VLOOKUP($A38,LASTYR,'2017'!$I$3,FALSE)=0,"N/A",VLOOKUP($A38,LASTYR,'2017'!$I$3,FALSE)),"N/A")</f>
        <v>1.26</v>
      </c>
      <c r="I38" s="133">
        <f t="shared" ca="1" si="21"/>
        <v>1.21</v>
      </c>
      <c r="J38" s="133">
        <f t="shared" ca="1" si="21"/>
        <v>1.1599999999999999</v>
      </c>
      <c r="K38" s="133">
        <f t="shared" ca="1" si="21"/>
        <v>1.1100000000000001</v>
      </c>
      <c r="L38" s="133">
        <f t="shared" ca="1" si="21"/>
        <v>1.07</v>
      </c>
      <c r="M38" s="133">
        <f t="shared" ca="1" si="21"/>
        <v>1.04</v>
      </c>
      <c r="N38" s="133">
        <f t="shared" ca="1" si="21"/>
        <v>1.0109999999999999</v>
      </c>
      <c r="O38" s="133">
        <f t="shared" ca="1" si="21"/>
        <v>0.99299999999999999</v>
      </c>
      <c r="P38" s="133">
        <f t="shared" ca="1" si="21"/>
        <v>0.97299999999999998</v>
      </c>
      <c r="Q38" s="133">
        <f t="shared" ca="1" si="21"/>
        <v>0.95599999999999996</v>
      </c>
      <c r="R38" s="133">
        <f t="shared" ca="1" si="21"/>
        <v>0.94</v>
      </c>
      <c r="S38" s="133">
        <f t="shared" ca="1" si="21"/>
        <v>0.92700000000000005</v>
      </c>
      <c r="U38" s="80" t="str">
        <f t="shared" ca="1" si="20"/>
        <v>N/A</v>
      </c>
      <c r="V38" s="133" t="e">
        <f t="shared" ca="1" si="14"/>
        <v>#VALUE!</v>
      </c>
      <c r="W38" s="80" t="e">
        <f t="shared" ca="1" si="15"/>
        <v>#VALUE!</v>
      </c>
      <c r="X38" s="80"/>
      <c r="Y38" s="211"/>
      <c r="Z38" s="208"/>
      <c r="AA38" s="217"/>
      <c r="AB38" s="213"/>
      <c r="AC38" s="214"/>
      <c r="AD38" s="214"/>
      <c r="AE38" s="215"/>
    </row>
    <row r="39" spans="1:31" x14ac:dyDescent="0.2">
      <c r="A39" s="45" t="s">
        <v>141</v>
      </c>
      <c r="B39" s="117">
        <f t="shared" ca="1" si="8"/>
        <v>41</v>
      </c>
      <c r="C39" s="1">
        <f>IF(ISERROR(D39),"",IF(D39="","",MAX($C$13:C38)+1))</f>
        <v>25</v>
      </c>
      <c r="D39" t="str">
        <f t="shared" si="9"/>
        <v>NextEra Energy, Inc.</v>
      </c>
      <c r="E39" s="15"/>
      <c r="F39" s="133">
        <f t="shared" ca="1" si="10"/>
        <v>2.6061538461538465</v>
      </c>
      <c r="G39" s="133">
        <f t="shared" si="11"/>
        <v>4.4400000000000004</v>
      </c>
      <c r="H39" s="133">
        <f ca="1">IFERROR(IF(VLOOKUP($A39,LASTYR,'2017'!$I$3,FALSE)=0,"N/A",VLOOKUP($A39,LASTYR,'2017'!$I$3,FALSE)),"N/A")</f>
        <v>3.93</v>
      </c>
      <c r="I39" s="133">
        <f t="shared" ca="1" si="21"/>
        <v>3.48</v>
      </c>
      <c r="J39" s="133">
        <f t="shared" ca="1" si="21"/>
        <v>3.08</v>
      </c>
      <c r="K39" s="133">
        <f t="shared" ca="1" si="21"/>
        <v>2.9</v>
      </c>
      <c r="L39" s="133">
        <f t="shared" ca="1" si="21"/>
        <v>2.64</v>
      </c>
      <c r="M39" s="133">
        <f t="shared" ca="1" si="21"/>
        <v>2.4</v>
      </c>
      <c r="N39" s="133">
        <f t="shared" ca="1" si="21"/>
        <v>2.2000000000000002</v>
      </c>
      <c r="O39" s="133">
        <f t="shared" ca="1" si="21"/>
        <v>2</v>
      </c>
      <c r="P39" s="133">
        <f t="shared" ca="1" si="21"/>
        <v>1.89</v>
      </c>
      <c r="Q39" s="133">
        <f t="shared" ca="1" si="21"/>
        <v>1.78</v>
      </c>
      <c r="R39" s="133">
        <f t="shared" ca="1" si="21"/>
        <v>1.64</v>
      </c>
      <c r="S39" s="133">
        <f t="shared" ca="1" si="21"/>
        <v>1.5</v>
      </c>
      <c r="U39" s="80" t="str">
        <f t="shared" ca="1" si="20"/>
        <v>N/A</v>
      </c>
      <c r="V39" s="133" t="e">
        <f ca="1">+S39*(1+U39)^11</f>
        <v>#VALUE!</v>
      </c>
      <c r="W39" s="80" t="e">
        <f t="shared" ca="1" si="15"/>
        <v>#VALUE!</v>
      </c>
      <c r="X39" s="80"/>
      <c r="Y39" s="211"/>
      <c r="Z39" s="208"/>
      <c r="AA39" s="217"/>
      <c r="AB39" s="213"/>
      <c r="AC39" s="214"/>
      <c r="AD39" s="214"/>
      <c r="AE39" s="215"/>
    </row>
    <row r="40" spans="1:31" x14ac:dyDescent="0.2">
      <c r="A40" s="45" t="s">
        <v>144</v>
      </c>
      <c r="B40" s="117">
        <f t="shared" ca="1" si="8"/>
        <v>44</v>
      </c>
      <c r="C40" s="1">
        <f>IF(ISERROR(D40),"",IF(D40="","",MAX($C$13:C39)+1))</f>
        <v>26</v>
      </c>
      <c r="D40" t="str">
        <f t="shared" si="9"/>
        <v xml:space="preserve">NorthWestern Corp             </v>
      </c>
      <c r="E40" s="15"/>
      <c r="F40" s="133">
        <f t="shared" ca="1" si="10"/>
        <v>1.6</v>
      </c>
      <c r="G40" s="133">
        <f t="shared" si="11"/>
        <v>2.2000000000000002</v>
      </c>
      <c r="H40" s="133">
        <f ca="1">IFERROR(IF(VLOOKUP($A40,LASTYR,'2017'!$I$3,FALSE)=0,"N/A",VLOOKUP($A40,LASTYR,'2017'!$I$3,FALSE)),"N/A")</f>
        <v>2.1</v>
      </c>
      <c r="I40" s="133">
        <f t="shared" ca="1" si="21"/>
        <v>2</v>
      </c>
      <c r="J40" s="133">
        <f t="shared" ca="1" si="21"/>
        <v>1.92</v>
      </c>
      <c r="K40" s="133">
        <f t="shared" ca="1" si="21"/>
        <v>1.6</v>
      </c>
      <c r="L40" s="133">
        <f t="shared" ca="1" si="21"/>
        <v>1.52</v>
      </c>
      <c r="M40" s="133">
        <f t="shared" ca="1" si="21"/>
        <v>1.48</v>
      </c>
      <c r="N40" s="133">
        <f t="shared" ca="1" si="21"/>
        <v>1.44</v>
      </c>
      <c r="O40" s="133">
        <f t="shared" ca="1" si="21"/>
        <v>1.36</v>
      </c>
      <c r="P40" s="133">
        <f t="shared" ca="1" si="21"/>
        <v>1.34</v>
      </c>
      <c r="Q40" s="133">
        <f t="shared" ca="1" si="21"/>
        <v>1.32</v>
      </c>
      <c r="R40" s="133">
        <f t="shared" ca="1" si="21"/>
        <v>1.28</v>
      </c>
      <c r="S40" s="133">
        <f t="shared" ca="1" si="21"/>
        <v>1.24</v>
      </c>
      <c r="U40" s="80" t="str">
        <f t="shared" ca="1" si="20"/>
        <v>N/A</v>
      </c>
      <c r="V40" s="133" t="e">
        <f t="shared" ca="1" si="14"/>
        <v>#VALUE!</v>
      </c>
      <c r="W40" s="80" t="e">
        <f t="shared" ca="1" si="15"/>
        <v>#VALUE!</v>
      </c>
      <c r="X40" s="80"/>
      <c r="Y40" s="211"/>
      <c r="Z40" s="208"/>
      <c r="AA40" s="217"/>
      <c r="AB40" s="213"/>
      <c r="AC40" s="214"/>
      <c r="AD40" s="214"/>
      <c r="AE40" s="215"/>
    </row>
    <row r="41" spans="1:31" x14ac:dyDescent="0.2">
      <c r="A41" s="45" t="s">
        <v>27</v>
      </c>
      <c r="B41" s="117">
        <f t="shared" ca="1" si="8"/>
        <v>45</v>
      </c>
      <c r="C41" s="1">
        <f>IF(ISERROR(D41),"",IF(D41="","",MAX($C$13:C40)+1))</f>
        <v>27</v>
      </c>
      <c r="D41" t="str">
        <f t="shared" si="9"/>
        <v xml:space="preserve">OGE Energy                    </v>
      </c>
      <c r="E41" s="15"/>
      <c r="F41" s="133">
        <f t="shared" ca="1" si="10"/>
        <v>0.90238461538461534</v>
      </c>
      <c r="G41" s="133">
        <f t="shared" si="11"/>
        <v>1.4</v>
      </c>
      <c r="H41" s="133">
        <f ca="1">IFERROR(IF(VLOOKUP($A41,LASTYR,'2017'!$I$3,FALSE)=0,"N/A",VLOOKUP($A41,LASTYR,'2017'!$I$3,FALSE)),"N/A")</f>
        <v>1.27</v>
      </c>
      <c r="I41" s="133">
        <f t="shared" ca="1" si="21"/>
        <v>1.155</v>
      </c>
      <c r="J41" s="133">
        <f t="shared" ca="1" si="21"/>
        <v>1.05</v>
      </c>
      <c r="K41" s="133">
        <f t="shared" ca="1" si="21"/>
        <v>0.95</v>
      </c>
      <c r="L41" s="133">
        <f t="shared" ca="1" si="21"/>
        <v>0.85099999999999998</v>
      </c>
      <c r="M41" s="133">
        <f t="shared" ca="1" si="21"/>
        <v>0.79800000000000004</v>
      </c>
      <c r="N41" s="133">
        <f t="shared" ca="1" si="21"/>
        <v>0.75900000000000001</v>
      </c>
      <c r="O41" s="133">
        <f t="shared" ca="1" si="21"/>
        <v>0.73199999999999998</v>
      </c>
      <c r="P41" s="133">
        <f t="shared" ca="1" si="21"/>
        <v>0.71399999999999997</v>
      </c>
      <c r="Q41" s="133">
        <f t="shared" ca="1" si="21"/>
        <v>0.69899999999999995</v>
      </c>
      <c r="R41" s="133">
        <f t="shared" ca="1" si="21"/>
        <v>0.68400000000000005</v>
      </c>
      <c r="S41" s="133">
        <f t="shared" ca="1" si="21"/>
        <v>0.66900000000000004</v>
      </c>
      <c r="U41" s="80" t="str">
        <f t="shared" ca="1" si="20"/>
        <v>N/A</v>
      </c>
      <c r="V41" s="133" t="e">
        <f t="shared" ca="1" si="14"/>
        <v>#VALUE!</v>
      </c>
      <c r="W41" s="80" t="e">
        <f t="shared" ca="1" si="15"/>
        <v>#VALUE!</v>
      </c>
      <c r="X41" s="80"/>
      <c r="Y41" s="211"/>
      <c r="Z41" s="208"/>
      <c r="AA41" s="217"/>
      <c r="AB41" s="213"/>
      <c r="AC41" s="214"/>
      <c r="AD41" s="214"/>
      <c r="AE41" s="215"/>
    </row>
    <row r="42" spans="1:31" x14ac:dyDescent="0.2">
      <c r="A42" s="45" t="s">
        <v>28</v>
      </c>
      <c r="B42" s="117">
        <f t="shared" ca="1" si="8"/>
        <v>47</v>
      </c>
      <c r="C42" s="1">
        <f>IF(ISERROR(D42),"",IF(D42="","",MAX($C$13:C41)+1))</f>
        <v>28</v>
      </c>
      <c r="D42" t="str">
        <f t="shared" si="9"/>
        <v xml:space="preserve">Otter Tail Corp.              </v>
      </c>
      <c r="E42" s="15"/>
      <c r="F42" s="133">
        <f t="shared" ca="1" si="10"/>
        <v>1.2130769230769229</v>
      </c>
      <c r="G42" s="133">
        <f t="shared" si="11"/>
        <v>1.34</v>
      </c>
      <c r="H42" s="133">
        <f ca="1">IFERROR(IF(VLOOKUP($A42,LASTYR,'2017'!$I$3,FALSE)=0,"N/A",VLOOKUP($A42,LASTYR,'2017'!$I$3,FALSE)),"N/A")</f>
        <v>1.28</v>
      </c>
      <c r="I42" s="133">
        <f t="shared" ca="1" si="21"/>
        <v>1.25</v>
      </c>
      <c r="J42" s="133">
        <f t="shared" ca="1" si="21"/>
        <v>1.23</v>
      </c>
      <c r="K42" s="133">
        <f t="shared" ca="1" si="21"/>
        <v>1.21</v>
      </c>
      <c r="L42" s="133">
        <f t="shared" ca="1" si="21"/>
        <v>1.19</v>
      </c>
      <c r="M42" s="133">
        <f t="shared" ca="1" si="21"/>
        <v>1.19</v>
      </c>
      <c r="N42" s="133">
        <f t="shared" ca="1" si="21"/>
        <v>1.19</v>
      </c>
      <c r="O42" s="133">
        <f t="shared" ca="1" si="21"/>
        <v>1.19</v>
      </c>
      <c r="P42" s="133">
        <f t="shared" ca="1" si="21"/>
        <v>1.19</v>
      </c>
      <c r="Q42" s="133">
        <f t="shared" ca="1" si="21"/>
        <v>1.19</v>
      </c>
      <c r="R42" s="133">
        <f t="shared" ca="1" si="21"/>
        <v>1.17</v>
      </c>
      <c r="S42" s="133">
        <f t="shared" ca="1" si="21"/>
        <v>1.1499999999999999</v>
      </c>
      <c r="U42" s="80" t="str">
        <f t="shared" ca="1" si="20"/>
        <v>N/A</v>
      </c>
      <c r="V42" s="133" t="e">
        <f t="shared" ca="1" si="14"/>
        <v>#VALUE!</v>
      </c>
      <c r="W42" s="80" t="e">
        <f t="shared" ca="1" si="15"/>
        <v>#VALUE!</v>
      </c>
      <c r="X42" s="80"/>
      <c r="Y42" s="211"/>
      <c r="Z42" s="208"/>
      <c r="AA42" s="217"/>
      <c r="AB42" s="213"/>
      <c r="AC42" s="214"/>
      <c r="AD42" s="214"/>
      <c r="AE42" s="215"/>
    </row>
    <row r="43" spans="1:31" x14ac:dyDescent="0.2">
      <c r="A43" s="45" t="s">
        <v>30</v>
      </c>
      <c r="B43" s="117">
        <f t="shared" ca="1" si="8"/>
        <v>48</v>
      </c>
      <c r="C43" s="1">
        <f>IF(ISERROR(D43),"",IF(D43="","",MAX($C$13:C42)+1))</f>
        <v>29</v>
      </c>
      <c r="D43" t="str">
        <f t="shared" si="9"/>
        <v xml:space="preserve">PG&amp;E Corp.                    </v>
      </c>
      <c r="E43" s="15"/>
      <c r="F43" s="133">
        <f t="shared" ca="1" si="10"/>
        <v>1.6995833333333337</v>
      </c>
      <c r="G43" s="133" t="str">
        <f t="shared" si="11"/>
        <v>Nil</v>
      </c>
      <c r="H43" s="133">
        <f ca="1">IFERROR(IF(VLOOKUP($A43,LASTYR,'2017'!$I$3,FALSE)=0,"N/A",VLOOKUP($A43,LASTYR,'2017'!$I$3,FALSE)),"N/A")</f>
        <v>1.55</v>
      </c>
      <c r="I43" s="133">
        <f t="shared" ca="1" si="21"/>
        <v>1.925</v>
      </c>
      <c r="J43" s="133">
        <f t="shared" ca="1" si="21"/>
        <v>1.82</v>
      </c>
      <c r="K43" s="133">
        <f t="shared" ca="1" si="21"/>
        <v>1.82</v>
      </c>
      <c r="L43" s="133">
        <f t="shared" ca="1" si="21"/>
        <v>1.82</v>
      </c>
      <c r="M43" s="133">
        <f t="shared" ca="1" si="21"/>
        <v>1.82</v>
      </c>
      <c r="N43" s="133">
        <f t="shared" ca="1" si="21"/>
        <v>1.82</v>
      </c>
      <c r="O43" s="133">
        <f t="shared" ca="1" si="21"/>
        <v>1.82</v>
      </c>
      <c r="P43" s="133">
        <f t="shared" ca="1" si="21"/>
        <v>1.68</v>
      </c>
      <c r="Q43" s="133">
        <f t="shared" ca="1" si="21"/>
        <v>1.56</v>
      </c>
      <c r="R43" s="133">
        <f t="shared" ca="1" si="21"/>
        <v>1.44</v>
      </c>
      <c r="S43" s="133">
        <f t="shared" ca="1" si="21"/>
        <v>1.32</v>
      </c>
      <c r="U43" s="80" t="str">
        <f t="shared" ca="1" si="20"/>
        <v>N/A</v>
      </c>
      <c r="V43" s="133" t="e">
        <f t="shared" ca="1" si="14"/>
        <v>#VALUE!</v>
      </c>
      <c r="W43" s="80" t="e">
        <f t="shared" ca="1" si="15"/>
        <v>#VALUE!</v>
      </c>
      <c r="X43" s="80"/>
      <c r="Y43" s="211"/>
      <c r="Z43" s="208"/>
      <c r="AA43" s="217"/>
      <c r="AB43" s="213"/>
      <c r="AC43" s="214"/>
      <c r="AD43" s="214"/>
      <c r="AE43" s="215"/>
    </row>
    <row r="44" spans="1:31" x14ac:dyDescent="0.2">
      <c r="A44" s="45" t="s">
        <v>31</v>
      </c>
      <c r="B44" s="117">
        <f t="shared" ca="1" si="8"/>
        <v>49</v>
      </c>
      <c r="C44" s="1">
        <f>IF(ISERROR(D44),"",IF(D44="","",MAX($C$13:C43)+1))</f>
        <v>30</v>
      </c>
      <c r="D44" t="str">
        <f t="shared" si="9"/>
        <v xml:space="preserve">Pinnacle West Capital         </v>
      </c>
      <c r="E44" s="15"/>
      <c r="F44" s="133">
        <f t="shared" ca="1" si="10"/>
        <v>2.3311538461538466</v>
      </c>
      <c r="G44" s="133">
        <f t="shared" si="11"/>
        <v>2.86</v>
      </c>
      <c r="H44" s="133">
        <f ca="1">IFERROR(IF(VLOOKUP($A44,LASTYR,'2017'!$I$3,FALSE)=0,"N/A",VLOOKUP($A44,LASTYR,'2017'!$I$3,FALSE)),"N/A")</f>
        <v>2.7</v>
      </c>
      <c r="I44" s="133">
        <f t="shared" ca="1" si="21"/>
        <v>2.56</v>
      </c>
      <c r="J44" s="133">
        <f t="shared" ca="1" si="21"/>
        <v>2.44</v>
      </c>
      <c r="K44" s="133">
        <f t="shared" ca="1" si="21"/>
        <v>2.3250000000000002</v>
      </c>
      <c r="L44" s="133">
        <f t="shared" ca="1" si="21"/>
        <v>2.2250000000000001</v>
      </c>
      <c r="M44" s="133">
        <f t="shared" ca="1" si="21"/>
        <v>2.67</v>
      </c>
      <c r="N44" s="133">
        <f t="shared" ca="1" si="21"/>
        <v>2.1</v>
      </c>
      <c r="O44" s="133">
        <f t="shared" ca="1" si="21"/>
        <v>2.1</v>
      </c>
      <c r="P44" s="133">
        <f t="shared" ca="1" si="21"/>
        <v>2.1</v>
      </c>
      <c r="Q44" s="133">
        <f t="shared" ca="1" si="21"/>
        <v>2.1</v>
      </c>
      <c r="R44" s="133">
        <f t="shared" ca="1" si="21"/>
        <v>2.1</v>
      </c>
      <c r="S44" s="133">
        <f t="shared" ca="1" si="21"/>
        <v>2.0249999999999999</v>
      </c>
      <c r="U44" s="80" t="str">
        <f t="shared" ca="1" si="20"/>
        <v>N/A</v>
      </c>
      <c r="V44" s="133" t="e">
        <f t="shared" ca="1" si="14"/>
        <v>#VALUE!</v>
      </c>
      <c r="W44" s="80" t="e">
        <f t="shared" ca="1" si="15"/>
        <v>#VALUE!</v>
      </c>
      <c r="X44" s="80"/>
      <c r="Y44" s="211"/>
      <c r="Z44" s="208"/>
      <c r="AA44" s="217"/>
      <c r="AB44" s="213"/>
      <c r="AC44" s="214"/>
      <c r="AD44" s="214"/>
      <c r="AE44" s="215"/>
    </row>
    <row r="45" spans="1:31" x14ac:dyDescent="0.2">
      <c r="A45" s="45" t="s">
        <v>32</v>
      </c>
      <c r="B45" s="117">
        <f t="shared" ca="1" si="8"/>
        <v>50</v>
      </c>
      <c r="C45" s="1">
        <f>IF(ISERROR(D45),"",IF(D45="","",MAX($C$13:C44)+1))</f>
        <v>31</v>
      </c>
      <c r="D45" t="str">
        <f t="shared" si="9"/>
        <v xml:space="preserve">PNM Resources                 </v>
      </c>
      <c r="E45" s="15"/>
      <c r="F45" s="133">
        <f t="shared" ca="1" si="10"/>
        <v>0.74176923076923074</v>
      </c>
      <c r="G45" s="133">
        <f t="shared" si="11"/>
        <v>1.08</v>
      </c>
      <c r="H45" s="133">
        <f ca="1">IFERROR(IF(VLOOKUP($A45,LASTYR,'2017'!$I$3,FALSE)=0,"N/A",VLOOKUP($A45,LASTYR,'2017'!$I$3,FALSE)),"N/A")</f>
        <v>0.99299999999999999</v>
      </c>
      <c r="I45" s="133">
        <f t="shared" ref="I45:S59" ca="1" si="22">IFERROR(IF(INDEX(Dividends,$B45,I$13)=0,"N/A",INDEX(Dividends,$B45,I$13)),"N/A")</f>
        <v>0.88</v>
      </c>
      <c r="J45" s="133">
        <f t="shared" ca="1" si="22"/>
        <v>0.8</v>
      </c>
      <c r="K45" s="133">
        <f t="shared" ca="1" si="22"/>
        <v>0.755</v>
      </c>
      <c r="L45" s="133">
        <f t="shared" ca="1" si="22"/>
        <v>0.68</v>
      </c>
      <c r="M45" s="133">
        <f t="shared" ca="1" si="22"/>
        <v>0.57999999999999996</v>
      </c>
      <c r="N45" s="133">
        <f t="shared" ca="1" si="22"/>
        <v>0.5</v>
      </c>
      <c r="O45" s="133">
        <f t="shared" ca="1" si="22"/>
        <v>0.5</v>
      </c>
      <c r="P45" s="133">
        <f t="shared" ca="1" si="22"/>
        <v>0.5</v>
      </c>
      <c r="Q45" s="133">
        <f t="shared" ca="1" si="22"/>
        <v>0.60499999999999998</v>
      </c>
      <c r="R45" s="133">
        <f t="shared" ca="1" si="22"/>
        <v>0.91</v>
      </c>
      <c r="S45" s="133">
        <f t="shared" ca="1" si="22"/>
        <v>0.86</v>
      </c>
      <c r="U45" s="80" t="str">
        <f t="shared" ca="1" si="20"/>
        <v>N/A</v>
      </c>
      <c r="V45" s="133" t="e">
        <f t="shared" ca="1" si="14"/>
        <v>#VALUE!</v>
      </c>
      <c r="W45" s="80" t="e">
        <f t="shared" ca="1" si="15"/>
        <v>#VALUE!</v>
      </c>
      <c r="X45" s="80"/>
      <c r="Y45" s="211"/>
      <c r="Z45" s="208"/>
      <c r="AA45" s="217"/>
      <c r="AB45" s="213"/>
      <c r="AC45" s="214"/>
      <c r="AD45" s="214"/>
      <c r="AE45" s="215"/>
    </row>
    <row r="46" spans="1:31" x14ac:dyDescent="0.2">
      <c r="A46" s="45" t="s">
        <v>33</v>
      </c>
      <c r="B46" s="117">
        <f t="shared" ca="1" si="8"/>
        <v>51</v>
      </c>
      <c r="C46" s="1">
        <f>IF(ISERROR(D46),"",IF(D46="","",MAX($C$13:C45)+1))</f>
        <v>32</v>
      </c>
      <c r="D46" t="str">
        <f t="shared" si="9"/>
        <v xml:space="preserve">Portland General              </v>
      </c>
      <c r="E46" s="15"/>
      <c r="F46" s="133">
        <f t="shared" ca="1" si="10"/>
        <v>1.0900000000000001</v>
      </c>
      <c r="G46" s="133">
        <f t="shared" si="11"/>
        <v>1.43</v>
      </c>
      <c r="H46" s="133">
        <f ca="1">IFERROR(IF(VLOOKUP($A46,LASTYR,'2017'!$I$3,FALSE)=0,"N/A",VLOOKUP($A46,LASTYR,'2017'!$I$3,FALSE)),"N/A")</f>
        <v>1.34</v>
      </c>
      <c r="I46" s="133">
        <f t="shared" ca="1" si="22"/>
        <v>1.26</v>
      </c>
      <c r="J46" s="133">
        <f t="shared" ca="1" si="22"/>
        <v>1.18</v>
      </c>
      <c r="K46" s="133">
        <f t="shared" ca="1" si="22"/>
        <v>1.115</v>
      </c>
      <c r="L46" s="133">
        <f t="shared" ca="1" si="22"/>
        <v>1.095</v>
      </c>
      <c r="M46" s="133">
        <f t="shared" ca="1" si="22"/>
        <v>1.075</v>
      </c>
      <c r="N46" s="133">
        <f t="shared" ca="1" si="22"/>
        <v>1.0549999999999999</v>
      </c>
      <c r="O46" s="133">
        <f t="shared" ca="1" si="22"/>
        <v>1.0349999999999999</v>
      </c>
      <c r="P46" s="133">
        <f t="shared" ca="1" si="22"/>
        <v>1.01</v>
      </c>
      <c r="Q46" s="133">
        <f t="shared" ca="1" si="22"/>
        <v>0.97</v>
      </c>
      <c r="R46" s="133">
        <f t="shared" ca="1" si="22"/>
        <v>0.93</v>
      </c>
      <c r="S46" s="133">
        <f t="shared" ca="1" si="22"/>
        <v>0.67500000000000004</v>
      </c>
      <c r="U46" s="80" t="str">
        <f t="shared" ca="1" si="20"/>
        <v>N/A</v>
      </c>
      <c r="V46" s="133" t="e">
        <f t="shared" ca="1" si="14"/>
        <v>#VALUE!</v>
      </c>
      <c r="W46" s="80" t="e">
        <f t="shared" ca="1" si="15"/>
        <v>#VALUE!</v>
      </c>
      <c r="X46" s="80"/>
      <c r="Y46" s="211"/>
      <c r="Z46" s="208"/>
      <c r="AA46" s="217"/>
      <c r="AB46" s="213"/>
      <c r="AC46" s="214"/>
      <c r="AD46" s="214"/>
      <c r="AE46" s="215"/>
    </row>
    <row r="47" spans="1:31" x14ac:dyDescent="0.2">
      <c r="A47" s="45" t="s">
        <v>34</v>
      </c>
      <c r="B47" s="117">
        <f t="shared" ca="1" si="8"/>
        <v>52</v>
      </c>
      <c r="C47" s="1">
        <f>IF(ISERROR(D47),"",IF(D47="","",MAX($C$13:C46)+1))</f>
        <v>33</v>
      </c>
      <c r="D47" t="str">
        <f t="shared" si="9"/>
        <v xml:space="preserve">PPL Corp.                     </v>
      </c>
      <c r="E47" s="15"/>
      <c r="F47" s="133">
        <f t="shared" ca="1" si="10"/>
        <v>1.4215384615384616</v>
      </c>
      <c r="G47" s="133">
        <f t="shared" si="11"/>
        <v>1.64</v>
      </c>
      <c r="H47" s="133">
        <f ca="1">IFERROR(IF(VLOOKUP($A47,LASTYR,'2017'!$I$3,FALSE)=0,"N/A",VLOOKUP($A47,LASTYR,'2017'!$I$3,FALSE)),"N/A")</f>
        <v>1.58</v>
      </c>
      <c r="I47" s="133">
        <f t="shared" ca="1" si="22"/>
        <v>1.52</v>
      </c>
      <c r="J47" s="133">
        <f t="shared" ca="1" si="22"/>
        <v>1.5</v>
      </c>
      <c r="K47" s="133">
        <f t="shared" ca="1" si="22"/>
        <v>1.49</v>
      </c>
      <c r="L47" s="133">
        <f t="shared" ca="1" si="22"/>
        <v>1.47</v>
      </c>
      <c r="M47" s="133">
        <f t="shared" ca="1" si="22"/>
        <v>1.44</v>
      </c>
      <c r="N47" s="133">
        <f t="shared" ca="1" si="22"/>
        <v>1.4</v>
      </c>
      <c r="O47" s="133">
        <f t="shared" ca="1" si="22"/>
        <v>1.4</v>
      </c>
      <c r="P47" s="133">
        <f t="shared" ca="1" si="22"/>
        <v>1.38</v>
      </c>
      <c r="Q47" s="133">
        <f t="shared" ca="1" si="22"/>
        <v>1.34</v>
      </c>
      <c r="R47" s="133">
        <f t="shared" ca="1" si="22"/>
        <v>1.22</v>
      </c>
      <c r="S47" s="133">
        <f t="shared" ca="1" si="22"/>
        <v>1.1000000000000001</v>
      </c>
      <c r="U47" s="80" t="str">
        <f t="shared" ca="1" si="20"/>
        <v>N/A</v>
      </c>
      <c r="V47" s="133" t="e">
        <f t="shared" ca="1" si="14"/>
        <v>#VALUE!</v>
      </c>
      <c r="W47" s="80" t="e">
        <f t="shared" ca="1" si="15"/>
        <v>#VALUE!</v>
      </c>
      <c r="X47" s="80"/>
      <c r="Y47" s="211"/>
      <c r="Z47" s="208"/>
      <c r="AA47" s="217"/>
      <c r="AB47" s="213"/>
      <c r="AC47" s="214"/>
      <c r="AD47" s="214"/>
      <c r="AE47" s="215"/>
    </row>
    <row r="48" spans="1:31" x14ac:dyDescent="0.2">
      <c r="A48" s="45" t="s">
        <v>35</v>
      </c>
      <c r="B48" s="117">
        <f t="shared" ca="1" si="8"/>
        <v>53</v>
      </c>
      <c r="C48" s="1">
        <f>IF(ISERROR(D48),"",IF(D48="","",MAX($C$13:C47)+1))</f>
        <v>34</v>
      </c>
      <c r="D48" t="str">
        <f t="shared" si="9"/>
        <v xml:space="preserve">Public Serv. Enterprise       </v>
      </c>
      <c r="E48" s="15"/>
      <c r="F48" s="133">
        <f t="shared" ca="1" si="10"/>
        <v>1.440769230769231</v>
      </c>
      <c r="G48" s="133">
        <f t="shared" si="11"/>
        <v>1.8</v>
      </c>
      <c r="H48" s="133">
        <f ca="1">IFERROR(IF(VLOOKUP($A48,LASTYR,'2017'!$I$3,FALSE)=0,"N/A",VLOOKUP($A48,LASTYR,'2017'!$I$3,FALSE)),"N/A")</f>
        <v>1.72</v>
      </c>
      <c r="I48" s="133">
        <f t="shared" ca="1" si="22"/>
        <v>1.64</v>
      </c>
      <c r="J48" s="133">
        <f t="shared" ca="1" si="22"/>
        <v>1.56</v>
      </c>
      <c r="K48" s="133">
        <f t="shared" ca="1" si="22"/>
        <v>1.48</v>
      </c>
      <c r="L48" s="133">
        <f t="shared" ca="1" si="22"/>
        <v>1.44</v>
      </c>
      <c r="M48" s="133">
        <f t="shared" ca="1" si="22"/>
        <v>1.42</v>
      </c>
      <c r="N48" s="133">
        <f t="shared" ca="1" si="22"/>
        <v>1.37</v>
      </c>
      <c r="O48" s="133">
        <f t="shared" ca="1" si="22"/>
        <v>1.37</v>
      </c>
      <c r="P48" s="133">
        <f t="shared" ca="1" si="22"/>
        <v>1.33</v>
      </c>
      <c r="Q48" s="133">
        <f t="shared" ca="1" si="22"/>
        <v>1.29</v>
      </c>
      <c r="R48" s="133">
        <f t="shared" ca="1" si="22"/>
        <v>1.17</v>
      </c>
      <c r="S48" s="133">
        <f t="shared" ca="1" si="22"/>
        <v>1.1399999999999999</v>
      </c>
      <c r="U48" s="80" t="str">
        <f t="shared" ca="1" si="20"/>
        <v>N/A</v>
      </c>
      <c r="V48" s="133" t="e">
        <f t="shared" ca="1" si="14"/>
        <v>#VALUE!</v>
      </c>
      <c r="W48" s="80" t="e">
        <f t="shared" ca="1" si="15"/>
        <v>#VALUE!</v>
      </c>
      <c r="X48" s="80"/>
      <c r="Y48" s="211"/>
      <c r="Z48" s="208"/>
      <c r="AA48" s="217"/>
      <c r="AB48" s="213"/>
      <c r="AC48" s="214"/>
      <c r="AD48" s="214"/>
      <c r="AE48" s="215"/>
    </row>
    <row r="49" spans="1:35" x14ac:dyDescent="0.2">
      <c r="A49" s="45" t="s">
        <v>36</v>
      </c>
      <c r="B49" s="117">
        <f t="shared" ca="1" si="8"/>
        <v>55</v>
      </c>
      <c r="C49" s="1">
        <f>IF(ISERROR(D49),"",IF(D49="","",MAX($C$13:C48)+1))</f>
        <v>35</v>
      </c>
      <c r="D49" t="str">
        <f t="shared" si="9"/>
        <v xml:space="preserve">SCANA Corp.                   </v>
      </c>
      <c r="E49" s="15"/>
      <c r="F49" s="133">
        <f t="shared" ca="1" si="10"/>
        <v>1.9246153846153846</v>
      </c>
      <c r="G49" s="133">
        <f t="shared" si="11"/>
        <v>0.98</v>
      </c>
      <c r="H49" s="133">
        <f ca="1">IFERROR(IF(VLOOKUP($A49,LASTYR,'2017'!$I$3,FALSE)=0,"N/A",VLOOKUP($A49,LASTYR,'2017'!$I$3,FALSE)),"N/A")</f>
        <v>2.4500000000000002</v>
      </c>
      <c r="I49" s="133">
        <f t="shared" ca="1" si="22"/>
        <v>2.2999999999999998</v>
      </c>
      <c r="J49" s="133">
        <f t="shared" ca="1" si="22"/>
        <v>2.1800000000000002</v>
      </c>
      <c r="K49" s="133">
        <f t="shared" ca="1" si="22"/>
        <v>2.1</v>
      </c>
      <c r="L49" s="133">
        <f t="shared" ca="1" si="22"/>
        <v>2.0299999999999998</v>
      </c>
      <c r="M49" s="133">
        <f t="shared" ca="1" si="22"/>
        <v>1.98</v>
      </c>
      <c r="N49" s="133">
        <f t="shared" ca="1" si="22"/>
        <v>1.94</v>
      </c>
      <c r="O49" s="133">
        <f t="shared" ca="1" si="22"/>
        <v>1.9</v>
      </c>
      <c r="P49" s="133">
        <f t="shared" ca="1" si="22"/>
        <v>1.88</v>
      </c>
      <c r="Q49" s="133">
        <f t="shared" ca="1" si="22"/>
        <v>1.84</v>
      </c>
      <c r="R49" s="133">
        <f t="shared" ca="1" si="22"/>
        <v>1.76</v>
      </c>
      <c r="S49" s="133">
        <f t="shared" ca="1" si="22"/>
        <v>1.68</v>
      </c>
      <c r="U49" s="80" t="str">
        <f t="shared" ca="1" si="20"/>
        <v>N/A</v>
      </c>
      <c r="V49" s="133" t="e">
        <f t="shared" ca="1" si="14"/>
        <v>#VALUE!</v>
      </c>
      <c r="W49" s="80" t="e">
        <f t="shared" ca="1" si="15"/>
        <v>#VALUE!</v>
      </c>
      <c r="X49" s="80"/>
      <c r="Y49" s="211"/>
      <c r="Z49" s="208"/>
      <c r="AA49" s="217"/>
      <c r="AB49" s="213"/>
      <c r="AC49" s="214"/>
      <c r="AD49" s="214"/>
      <c r="AE49" s="215"/>
    </row>
    <row r="50" spans="1:35" x14ac:dyDescent="0.2">
      <c r="A50" s="45" t="s">
        <v>37</v>
      </c>
      <c r="B50" s="117">
        <f t="shared" ca="1" si="8"/>
        <v>56</v>
      </c>
      <c r="C50" s="1">
        <f>IF(ISERROR(D50),"",IF(D50="","",MAX($C$13:C49)+1))</f>
        <v>36</v>
      </c>
      <c r="D50" t="str">
        <f t="shared" si="9"/>
        <v xml:space="preserve">Sempra Energy                 </v>
      </c>
      <c r="E50" s="15"/>
      <c r="F50" s="133">
        <f t="shared" ca="1" si="10"/>
        <v>2.2384615384615385</v>
      </c>
      <c r="G50" s="133">
        <f t="shared" si="11"/>
        <v>3.58</v>
      </c>
      <c r="H50" s="133">
        <f ca="1">IFERROR(IF(VLOOKUP($A50,LASTYR,'2017'!$I$3,FALSE)=0,"N/A",VLOOKUP($A50,LASTYR,'2017'!$I$3,FALSE)),"N/A")</f>
        <v>3.29</v>
      </c>
      <c r="I50" s="133">
        <f t="shared" ca="1" si="22"/>
        <v>3.02</v>
      </c>
      <c r="J50" s="133">
        <f t="shared" ca="1" si="22"/>
        <v>2.8</v>
      </c>
      <c r="K50" s="133">
        <f t="shared" ca="1" si="22"/>
        <v>2.64</v>
      </c>
      <c r="L50" s="133">
        <f t="shared" ca="1" si="22"/>
        <v>2.52</v>
      </c>
      <c r="M50" s="133">
        <f t="shared" ca="1" si="22"/>
        <v>2.4</v>
      </c>
      <c r="N50" s="133">
        <f t="shared" ca="1" si="22"/>
        <v>1.92</v>
      </c>
      <c r="O50" s="133">
        <f t="shared" ca="1" si="22"/>
        <v>1.56</v>
      </c>
      <c r="P50" s="133">
        <f t="shared" ca="1" si="22"/>
        <v>1.56</v>
      </c>
      <c r="Q50" s="133">
        <f t="shared" ca="1" si="22"/>
        <v>1.37</v>
      </c>
      <c r="R50" s="133">
        <f t="shared" ca="1" si="22"/>
        <v>1.24</v>
      </c>
      <c r="S50" s="133">
        <f t="shared" ca="1" si="22"/>
        <v>1.2</v>
      </c>
      <c r="U50" s="80" t="str">
        <f t="shared" ca="1" si="20"/>
        <v>N/A</v>
      </c>
      <c r="V50" s="133" t="e">
        <f t="shared" ca="1" si="14"/>
        <v>#VALUE!</v>
      </c>
      <c r="W50" s="80" t="e">
        <f t="shared" ca="1" si="15"/>
        <v>#VALUE!</v>
      </c>
      <c r="X50" s="80"/>
      <c r="Y50" s="211"/>
      <c r="Z50" s="208"/>
      <c r="AA50" s="217"/>
      <c r="AB50" s="213"/>
      <c r="AC50" s="214"/>
      <c r="AD50" s="214"/>
      <c r="AE50" s="215"/>
    </row>
    <row r="51" spans="1:35" x14ac:dyDescent="0.2">
      <c r="A51" s="45" t="s">
        <v>38</v>
      </c>
      <c r="B51" s="117">
        <f t="shared" ca="1" si="8"/>
        <v>59</v>
      </c>
      <c r="C51" s="1">
        <f>IF(ISERROR(D51),"",IF(D51="","",MAX($C$13:C50)+1))</f>
        <v>37</v>
      </c>
      <c r="D51" t="str">
        <f t="shared" si="9"/>
        <v xml:space="preserve">Southern Co.                  </v>
      </c>
      <c r="E51" s="15"/>
      <c r="F51" s="133">
        <f t="shared" ca="1" si="10"/>
        <v>1.9459230769230769</v>
      </c>
      <c r="G51" s="133">
        <f t="shared" si="11"/>
        <v>2.38</v>
      </c>
      <c r="H51" s="133">
        <f ca="1">IFERROR(IF(VLOOKUP($A51,LASTYR,'2017'!$I$3,FALSE)=0,"N/A",VLOOKUP($A51,LASTYR,'2017'!$I$3,FALSE)),"N/A")</f>
        <v>2.2999999999999998</v>
      </c>
      <c r="I51" s="133">
        <f t="shared" ca="1" si="22"/>
        <v>2.2229999999999999</v>
      </c>
      <c r="J51" s="133">
        <f t="shared" ca="1" si="22"/>
        <v>2.153</v>
      </c>
      <c r="K51" s="133">
        <f t="shared" ca="1" si="22"/>
        <v>2.0830000000000002</v>
      </c>
      <c r="L51" s="133">
        <f t="shared" ca="1" si="22"/>
        <v>2.0129999999999999</v>
      </c>
      <c r="M51" s="133">
        <f t="shared" ca="1" si="22"/>
        <v>1.9430000000000001</v>
      </c>
      <c r="N51" s="133">
        <f t="shared" ca="1" si="22"/>
        <v>1.873</v>
      </c>
      <c r="O51" s="133">
        <f t="shared" ca="1" si="22"/>
        <v>1.8029999999999999</v>
      </c>
      <c r="P51" s="133">
        <f t="shared" ca="1" si="22"/>
        <v>1.7330000000000001</v>
      </c>
      <c r="Q51" s="133">
        <f t="shared" ca="1" si="22"/>
        <v>1.663</v>
      </c>
      <c r="R51" s="133">
        <f t="shared" ca="1" si="22"/>
        <v>1.595</v>
      </c>
      <c r="S51" s="133">
        <f t="shared" ca="1" si="22"/>
        <v>1.5349999999999999</v>
      </c>
      <c r="U51" s="80" t="str">
        <f t="shared" ca="1" si="20"/>
        <v>N/A</v>
      </c>
      <c r="V51" s="133" t="e">
        <f t="shared" ca="1" si="14"/>
        <v>#VALUE!</v>
      </c>
      <c r="W51" s="80" t="e">
        <f t="shared" ca="1" si="15"/>
        <v>#VALUE!</v>
      </c>
      <c r="X51" s="80"/>
      <c r="Y51" s="211"/>
      <c r="Z51" s="208"/>
      <c r="AA51" s="217"/>
      <c r="AB51" s="213"/>
      <c r="AC51" s="214"/>
      <c r="AD51" s="214"/>
      <c r="AE51" s="215"/>
    </row>
    <row r="52" spans="1:35" x14ac:dyDescent="0.2">
      <c r="A52" s="45" t="s">
        <v>42</v>
      </c>
      <c r="B52" s="117">
        <f t="shared" ca="1" si="8"/>
        <v>65</v>
      </c>
      <c r="C52" s="1">
        <f>IF(ISERROR(D52),"",IF(D52="","",MAX($C$13:C51)+1))</f>
        <v>38</v>
      </c>
      <c r="D52" t="str">
        <f t="shared" si="9"/>
        <v xml:space="preserve">Vectren Corp.                 </v>
      </c>
      <c r="E52" s="15"/>
      <c r="F52" s="133">
        <f t="shared" ca="1" si="10"/>
        <v>1.4542307692307692</v>
      </c>
      <c r="G52" s="133">
        <f t="shared" si="11"/>
        <v>1.83</v>
      </c>
      <c r="H52" s="133">
        <f ca="1">IFERROR(IF(VLOOKUP($A52,LASTYR,'2017'!$I$3,FALSE)=0,"N/A",VLOOKUP($A52,LASTYR,'2017'!$I$3,FALSE)),"N/A")</f>
        <v>1.71</v>
      </c>
      <c r="I52" s="133">
        <f t="shared" ca="1" si="22"/>
        <v>1.62</v>
      </c>
      <c r="J52" s="133">
        <f t="shared" ca="1" si="22"/>
        <v>1.54</v>
      </c>
      <c r="K52" s="133">
        <f t="shared" ca="1" si="22"/>
        <v>1.46</v>
      </c>
      <c r="L52" s="133">
        <f t="shared" ca="1" si="22"/>
        <v>1.425</v>
      </c>
      <c r="M52" s="133">
        <f t="shared" ca="1" si="22"/>
        <v>1.405</v>
      </c>
      <c r="N52" s="133">
        <f t="shared" ca="1" si="22"/>
        <v>1.385</v>
      </c>
      <c r="O52" s="133">
        <f t="shared" ca="1" si="22"/>
        <v>1.37</v>
      </c>
      <c r="P52" s="133">
        <f t="shared" ca="1" si="22"/>
        <v>1.35</v>
      </c>
      <c r="Q52" s="133">
        <f t="shared" ca="1" si="22"/>
        <v>1.31</v>
      </c>
      <c r="R52" s="133">
        <f t="shared" ca="1" si="22"/>
        <v>1.27</v>
      </c>
      <c r="S52" s="133">
        <f t="shared" ca="1" si="22"/>
        <v>1.23</v>
      </c>
      <c r="U52" s="80" t="str">
        <f t="shared" ca="1" si="20"/>
        <v>N/A</v>
      </c>
      <c r="V52" s="133" t="e">
        <f t="shared" ca="1" si="14"/>
        <v>#VALUE!</v>
      </c>
      <c r="W52" s="80" t="e">
        <f t="shared" ca="1" si="15"/>
        <v>#VALUE!</v>
      </c>
      <c r="X52" s="80"/>
      <c r="Y52" s="211"/>
      <c r="Z52" s="208"/>
      <c r="AA52" s="217"/>
      <c r="AB52" s="213"/>
      <c r="AC52" s="214"/>
      <c r="AD52" s="214"/>
      <c r="AE52" s="215"/>
    </row>
    <row r="53" spans="1:35" x14ac:dyDescent="0.2">
      <c r="A53" s="45" t="s">
        <v>44</v>
      </c>
      <c r="B53" s="117">
        <f t="shared" ca="1" si="8"/>
        <v>66</v>
      </c>
      <c r="C53" s="1">
        <f>IF(ISERROR(D53),"",IF(D53="","",MAX($C$13:C52)+1))</f>
        <v>39</v>
      </c>
      <c r="D53" t="str">
        <f t="shared" si="9"/>
        <v>WEC Energy Group</v>
      </c>
      <c r="E53" s="15"/>
      <c r="F53" s="133">
        <f t="shared" ca="1" si="10"/>
        <v>1.2484615384615385</v>
      </c>
      <c r="G53" s="133">
        <f t="shared" si="11"/>
        <v>2.21</v>
      </c>
      <c r="H53" s="133">
        <f ca="1">IFERROR(IF(VLOOKUP($A53,LASTYR,'2017'!$I$3,FALSE)=0,"N/A",VLOOKUP($A53,LASTYR,'2017'!$I$3,FALSE)),"N/A")</f>
        <v>2.08</v>
      </c>
      <c r="I53" s="133">
        <f t="shared" ca="1" si="22"/>
        <v>1.98</v>
      </c>
      <c r="J53" s="133">
        <f t="shared" ca="1" si="22"/>
        <v>1.74</v>
      </c>
      <c r="K53" s="133">
        <f t="shared" ca="1" si="22"/>
        <v>1.56</v>
      </c>
      <c r="L53" s="133">
        <f t="shared" ca="1" si="22"/>
        <v>1.4450000000000001</v>
      </c>
      <c r="M53" s="133">
        <f t="shared" ca="1" si="22"/>
        <v>1.2</v>
      </c>
      <c r="N53" s="133">
        <f t="shared" ca="1" si="22"/>
        <v>1.04</v>
      </c>
      <c r="O53" s="133">
        <f t="shared" ca="1" si="22"/>
        <v>0.8</v>
      </c>
      <c r="P53" s="133">
        <f t="shared" ca="1" si="22"/>
        <v>0.67500000000000004</v>
      </c>
      <c r="Q53" s="133">
        <f t="shared" ca="1" si="22"/>
        <v>0.54</v>
      </c>
      <c r="R53" s="133">
        <f t="shared" ca="1" si="22"/>
        <v>0.5</v>
      </c>
      <c r="S53" s="133">
        <f t="shared" ca="1" si="22"/>
        <v>0.46</v>
      </c>
      <c r="U53" s="80" t="str">
        <f t="shared" ca="1" si="20"/>
        <v>N/A</v>
      </c>
      <c r="V53" s="133" t="e">
        <f t="shared" ca="1" si="14"/>
        <v>#VALUE!</v>
      </c>
      <c r="W53" s="80" t="e">
        <f t="shared" ca="1" si="15"/>
        <v>#VALUE!</v>
      </c>
      <c r="X53" s="80"/>
      <c r="Y53" s="211"/>
      <c r="Z53" s="208"/>
      <c r="AA53" s="217"/>
      <c r="AB53" s="213"/>
      <c r="AC53" s="214"/>
      <c r="AD53" s="214"/>
      <c r="AE53" s="215"/>
    </row>
    <row r="54" spans="1:35" x14ac:dyDescent="0.2">
      <c r="A54" s="45" t="s">
        <v>43</v>
      </c>
      <c r="B54" s="117">
        <f t="shared" ca="1" si="8"/>
        <v>67</v>
      </c>
      <c r="C54" s="1">
        <f>IF(ISERROR(D54),"",IF(D54="","",MAX($C$13:C53)+1))</f>
        <v>40</v>
      </c>
      <c r="D54" t="str">
        <f t="shared" si="9"/>
        <v xml:space="preserve">Westar Energy                 </v>
      </c>
      <c r="E54" s="15"/>
      <c r="F54" s="133">
        <f t="shared" ca="1" si="10"/>
        <v>1.2983333333333333</v>
      </c>
      <c r="G54" s="133" t="str">
        <f t="shared" si="11"/>
        <v>N/A</v>
      </c>
      <c r="H54" s="133">
        <f ca="1">IFERROR(IF(VLOOKUP($A54,LASTYR,'2017'!$I$3,FALSE)=0,"N/A",VLOOKUP($A54,LASTYR,'2017'!$I$3,FALSE)),"N/A")</f>
        <v>1.6</v>
      </c>
      <c r="I54" s="133">
        <f t="shared" ca="1" si="22"/>
        <v>1.52</v>
      </c>
      <c r="J54" s="133">
        <f t="shared" ca="1" si="22"/>
        <v>1.44</v>
      </c>
      <c r="K54" s="133">
        <f t="shared" ca="1" si="22"/>
        <v>1.4</v>
      </c>
      <c r="L54" s="133">
        <f t="shared" ca="1" si="22"/>
        <v>1.36</v>
      </c>
      <c r="M54" s="133">
        <f t="shared" ca="1" si="22"/>
        <v>1.32</v>
      </c>
      <c r="N54" s="133">
        <f t="shared" ca="1" si="22"/>
        <v>1.28</v>
      </c>
      <c r="O54" s="133">
        <f t="shared" ca="1" si="22"/>
        <v>1.24</v>
      </c>
      <c r="P54" s="133">
        <f t="shared" ca="1" si="22"/>
        <v>1.2</v>
      </c>
      <c r="Q54" s="133">
        <f t="shared" ca="1" si="22"/>
        <v>1.1599999999999999</v>
      </c>
      <c r="R54" s="133">
        <f t="shared" ca="1" si="22"/>
        <v>1.08</v>
      </c>
      <c r="S54" s="133">
        <f t="shared" ca="1" si="22"/>
        <v>0.98</v>
      </c>
      <c r="U54" s="80" t="str">
        <f t="shared" ca="1" si="20"/>
        <v>N/A</v>
      </c>
      <c r="V54" s="133" t="e">
        <f t="shared" ca="1" si="14"/>
        <v>#VALUE!</v>
      </c>
      <c r="W54" s="80" t="e">
        <f t="shared" ca="1" si="15"/>
        <v>#VALUE!</v>
      </c>
      <c r="X54" s="80"/>
      <c r="Y54" s="211"/>
      <c r="Z54" s="208"/>
      <c r="AA54" s="217"/>
      <c r="AB54" s="213"/>
      <c r="AC54" s="214"/>
      <c r="AD54" s="214"/>
      <c r="AE54" s="215"/>
    </row>
    <row r="55" spans="1:35" x14ac:dyDescent="0.2">
      <c r="A55" s="45" t="s">
        <v>45</v>
      </c>
      <c r="B55" s="117">
        <f t="shared" ca="1" si="8"/>
        <v>69</v>
      </c>
      <c r="C55" s="1">
        <f>IF(ISERROR(D55),"",IF(D55="","",MAX($C$13:C54)+1))</f>
        <v>41</v>
      </c>
      <c r="D55" t="str">
        <f t="shared" si="9"/>
        <v xml:space="preserve">Xcel Energy Inc.              </v>
      </c>
      <c r="E55" s="15"/>
      <c r="F55" s="133">
        <f t="shared" ca="1" si="10"/>
        <v>1.1315384615384616</v>
      </c>
      <c r="G55" s="133">
        <f t="shared" si="11"/>
        <v>1.52</v>
      </c>
      <c r="H55" s="133">
        <f ca="1">IFERROR(IF(VLOOKUP($A55,LASTYR,'2017'!$I$3,FALSE)=0,"N/A",VLOOKUP($A55,LASTYR,'2017'!$I$3,FALSE)),"N/A")</f>
        <v>1.44</v>
      </c>
      <c r="I55" s="133">
        <f t="shared" ca="1" si="22"/>
        <v>1.36</v>
      </c>
      <c r="J55" s="133">
        <f t="shared" ca="1" si="22"/>
        <v>1.28</v>
      </c>
      <c r="K55" s="133">
        <f t="shared" ca="1" si="22"/>
        <v>1.2</v>
      </c>
      <c r="L55" s="133">
        <f t="shared" ca="1" si="22"/>
        <v>1.1100000000000001</v>
      </c>
      <c r="M55" s="133">
        <f t="shared" ca="1" si="22"/>
        <v>1.07</v>
      </c>
      <c r="N55" s="133">
        <f t="shared" ca="1" si="22"/>
        <v>1.03</v>
      </c>
      <c r="O55" s="133">
        <f t="shared" ca="1" si="22"/>
        <v>1</v>
      </c>
      <c r="P55" s="133">
        <f t="shared" ca="1" si="22"/>
        <v>0.97</v>
      </c>
      <c r="Q55" s="133">
        <f t="shared" ca="1" si="22"/>
        <v>0.94</v>
      </c>
      <c r="R55" s="133">
        <f t="shared" ca="1" si="22"/>
        <v>0.91</v>
      </c>
      <c r="S55" s="133">
        <f t="shared" ca="1" si="22"/>
        <v>0.88</v>
      </c>
      <c r="U55" s="80" t="str">
        <f t="shared" ca="1" si="20"/>
        <v>N/A</v>
      </c>
      <c r="V55" s="133" t="e">
        <f t="shared" ca="1" si="14"/>
        <v>#VALUE!</v>
      </c>
      <c r="W55" s="80" t="e">
        <f t="shared" ca="1" si="15"/>
        <v>#VALUE!</v>
      </c>
      <c r="X55" s="80"/>
      <c r="Y55" s="211"/>
      <c r="Z55" s="208"/>
      <c r="AA55" s="217"/>
      <c r="AB55" s="213"/>
      <c r="AC55" s="214"/>
      <c r="AD55" s="214"/>
      <c r="AE55" s="215"/>
    </row>
    <row r="56" spans="1:35" hidden="1" x14ac:dyDescent="0.2">
      <c r="A56" s="45"/>
      <c r="B56" s="117" t="str">
        <f t="shared" ca="1" si="8"/>
        <v/>
      </c>
      <c r="C56" s="1" t="str">
        <f>IF(ISERROR(D56),"",IF(D56="","",MAX($C$13:C55)+1))</f>
        <v/>
      </c>
      <c r="D56" t="e">
        <f t="shared" si="9"/>
        <v>#N/A</v>
      </c>
      <c r="E56" s="15"/>
      <c r="F56" s="133" t="str">
        <f t="shared" ca="1" si="10"/>
        <v>N/A</v>
      </c>
      <c r="G56" s="133" t="str">
        <f t="shared" si="11"/>
        <v>N/A</v>
      </c>
      <c r="H56" s="133" t="str">
        <f ca="1">IFERROR(IF(VLOOKUP($A56,LASTYR,'2017'!$I$3,FALSE)=0,"N/A",VLOOKUP($A56,LASTYR,'2017'!$I$3,FALSE)),"N/A")</f>
        <v>N/A</v>
      </c>
      <c r="I56" s="133"/>
      <c r="J56" s="133" t="str">
        <f t="shared" ca="1" si="22"/>
        <v>N/A</v>
      </c>
      <c r="K56" s="133" t="str">
        <f t="shared" ca="1" si="22"/>
        <v>N/A</v>
      </c>
      <c r="L56" s="133" t="str">
        <f t="shared" ca="1" si="22"/>
        <v>N/A</v>
      </c>
      <c r="M56" s="133" t="str">
        <f t="shared" ca="1" si="22"/>
        <v>N/A</v>
      </c>
      <c r="N56" s="133" t="str">
        <f t="shared" ca="1" si="22"/>
        <v>N/A</v>
      </c>
      <c r="O56" s="133" t="str">
        <f t="shared" ca="1" si="22"/>
        <v>N/A</v>
      </c>
      <c r="P56" s="133" t="str">
        <f t="shared" ca="1" si="22"/>
        <v>N/A</v>
      </c>
      <c r="Q56" s="133" t="str">
        <f t="shared" ca="1" si="22"/>
        <v>N/A</v>
      </c>
      <c r="R56" s="133" t="str">
        <f t="shared" ca="1" si="22"/>
        <v>N/A</v>
      </c>
      <c r="S56" s="133" t="str">
        <f t="shared" ca="1" si="22"/>
        <v>N/A</v>
      </c>
      <c r="U56" s="80" t="str">
        <f t="shared" ca="1" si="20"/>
        <v>N/A</v>
      </c>
      <c r="V56" s="133" t="e">
        <f t="shared" ca="1" si="14"/>
        <v>#VALUE!</v>
      </c>
      <c r="W56" s="80" t="e">
        <f t="shared" ca="1" si="15"/>
        <v>#VALUE!</v>
      </c>
      <c r="X56" s="80"/>
      <c r="Y56" s="211">
        <f t="shared" ref="Y56:Y59" si="23">AW56-2</f>
        <v>-2</v>
      </c>
      <c r="Z56" s="211">
        <v>43100</v>
      </c>
      <c r="AA56" s="209" t="str">
        <f>IFERROR(IF(VLOOKUP(A56,LUCurYr,16,FALSE)=0,"",VLOOKUP(A56,LUCurYr,16,FALSE)),"N/A")</f>
        <v>N/A</v>
      </c>
      <c r="AB56" s="213" t="e">
        <f t="shared" ref="AB56:AB59" si="24">Z56-AA56</f>
        <v>#VALUE!</v>
      </c>
      <c r="AC56" s="214" t="e">
        <f t="shared" ref="AC56:AC59" si="25">AB56/365</f>
        <v>#VALUE!</v>
      </c>
      <c r="AD56" s="214" t="e">
        <f t="shared" ref="AD56:AD59" si="26">Y56+AC56</f>
        <v>#VALUE!</v>
      </c>
      <c r="AE56" s="215" t="e">
        <f t="shared" ref="AE56:AE59" ca="1" si="27">(G56/S56)^(1/AD56)-1</f>
        <v>#VALUE!</v>
      </c>
      <c r="AF56" s="63"/>
      <c r="AG56" s="63"/>
      <c r="AH56" s="63"/>
      <c r="AI56" s="63"/>
    </row>
    <row r="57" spans="1:35" hidden="1" x14ac:dyDescent="0.2">
      <c r="A57" s="51"/>
      <c r="B57" s="117" t="str">
        <f t="shared" ca="1" si="8"/>
        <v/>
      </c>
      <c r="C57" s="1" t="str">
        <f>IF(ISERROR(D57),"",IF(D57="","",MAX($C$13:C56)+1))</f>
        <v/>
      </c>
      <c r="D57" t="e">
        <f t="shared" si="9"/>
        <v>#N/A</v>
      </c>
      <c r="F57" s="133" t="str">
        <f t="shared" ca="1" si="10"/>
        <v>N/A</v>
      </c>
      <c r="G57" s="133" t="str">
        <f t="shared" si="11"/>
        <v>N/A</v>
      </c>
      <c r="H57" s="133" t="str">
        <f ca="1">IFERROR(IF(VLOOKUP($A57,LASTYR,'2017'!$I$3,FALSE)=0,"N/A",VLOOKUP($A57,LASTYR,'2017'!$I$3,FALSE)),"N/A")</f>
        <v>N/A</v>
      </c>
      <c r="I57" s="133"/>
      <c r="J57" s="133" t="str">
        <f t="shared" ca="1" si="22"/>
        <v>N/A</v>
      </c>
      <c r="K57" s="133" t="str">
        <f t="shared" ca="1" si="22"/>
        <v>N/A</v>
      </c>
      <c r="L57" s="133" t="str">
        <f t="shared" ca="1" si="22"/>
        <v>N/A</v>
      </c>
      <c r="M57" s="133" t="str">
        <f t="shared" ca="1" si="22"/>
        <v>N/A</v>
      </c>
      <c r="N57" s="133" t="str">
        <f t="shared" ca="1" si="22"/>
        <v>N/A</v>
      </c>
      <c r="O57" s="133" t="str">
        <f t="shared" ca="1" si="22"/>
        <v>N/A</v>
      </c>
      <c r="P57" s="133" t="str">
        <f t="shared" ca="1" si="22"/>
        <v>N/A</v>
      </c>
      <c r="Q57" s="133" t="str">
        <f t="shared" ca="1" si="22"/>
        <v>N/A</v>
      </c>
      <c r="R57" s="133" t="str">
        <f t="shared" ca="1" si="22"/>
        <v>N/A</v>
      </c>
      <c r="S57" s="133" t="str">
        <f t="shared" ca="1" si="22"/>
        <v>N/A</v>
      </c>
      <c r="U57" s="80" t="str">
        <f t="shared" ca="1" si="20"/>
        <v>N/A</v>
      </c>
      <c r="V57" s="133" t="e">
        <f t="shared" ca="1" si="14"/>
        <v>#VALUE!</v>
      </c>
      <c r="W57" s="80" t="e">
        <f t="shared" ca="1" si="15"/>
        <v>#VALUE!</v>
      </c>
      <c r="X57" s="80"/>
      <c r="Y57" s="211">
        <f t="shared" si="23"/>
        <v>-2</v>
      </c>
      <c r="Z57" s="211">
        <v>43100</v>
      </c>
      <c r="AA57" s="209" t="str">
        <f>IFERROR(IF(VLOOKUP(A57,LUCurYr,16,FALSE)=0,"",VLOOKUP(A57,LUCurYr,16,FALSE)),"N/A")</f>
        <v>N/A</v>
      </c>
      <c r="AB57" s="213" t="e">
        <f t="shared" si="24"/>
        <v>#VALUE!</v>
      </c>
      <c r="AC57" s="214" t="e">
        <f t="shared" si="25"/>
        <v>#VALUE!</v>
      </c>
      <c r="AD57" s="214" t="e">
        <f t="shared" si="26"/>
        <v>#VALUE!</v>
      </c>
      <c r="AE57" s="215" t="e">
        <f t="shared" ca="1" si="27"/>
        <v>#VALUE!</v>
      </c>
      <c r="AF57" s="63"/>
      <c r="AG57" s="63"/>
      <c r="AH57" s="63"/>
      <c r="AI57" s="63"/>
    </row>
    <row r="58" spans="1:35" hidden="1" x14ac:dyDescent="0.2">
      <c r="A58" s="51"/>
      <c r="B58" s="117" t="str">
        <f t="shared" ca="1" si="8"/>
        <v/>
      </c>
      <c r="C58" s="1" t="str">
        <f>IF(ISERROR(D58),"",IF(D58="","",MAX($C$13:C57)+1))</f>
        <v/>
      </c>
      <c r="D58" t="e">
        <f t="shared" si="9"/>
        <v>#N/A</v>
      </c>
      <c r="F58" s="133" t="str">
        <f t="shared" ca="1" si="10"/>
        <v>N/A</v>
      </c>
      <c r="G58" s="133" t="str">
        <f t="shared" si="11"/>
        <v>N/A</v>
      </c>
      <c r="H58" s="133" t="str">
        <f ca="1">IFERROR(IF(VLOOKUP($A58,LASTYR,'2017'!$I$3,FALSE)=0,"N/A",VLOOKUP($A58,LASTYR,'2017'!$I$3,FALSE)),"N/A")</f>
        <v>N/A</v>
      </c>
      <c r="I58" s="133"/>
      <c r="J58" s="133" t="str">
        <f t="shared" ca="1" si="22"/>
        <v>N/A</v>
      </c>
      <c r="K58" s="133" t="str">
        <f t="shared" ca="1" si="22"/>
        <v>N/A</v>
      </c>
      <c r="L58" s="133" t="str">
        <f t="shared" ca="1" si="22"/>
        <v>N/A</v>
      </c>
      <c r="M58" s="133" t="str">
        <f t="shared" ca="1" si="22"/>
        <v>N/A</v>
      </c>
      <c r="N58" s="133" t="str">
        <f t="shared" ca="1" si="22"/>
        <v>N/A</v>
      </c>
      <c r="O58" s="133" t="str">
        <f t="shared" ca="1" si="22"/>
        <v>N/A</v>
      </c>
      <c r="P58" s="133" t="str">
        <f t="shared" ca="1" si="22"/>
        <v>N/A</v>
      </c>
      <c r="Q58" s="133" t="str">
        <f t="shared" ca="1" si="22"/>
        <v>N/A</v>
      </c>
      <c r="R58" s="133" t="str">
        <f t="shared" ca="1" si="22"/>
        <v>N/A</v>
      </c>
      <c r="S58" s="133" t="str">
        <f t="shared" ca="1" si="22"/>
        <v>N/A</v>
      </c>
      <c r="U58" s="80" t="str">
        <f t="shared" ca="1" si="20"/>
        <v>N/A</v>
      </c>
      <c r="V58" s="133" t="e">
        <f t="shared" ca="1" si="14"/>
        <v>#VALUE!</v>
      </c>
      <c r="W58" s="80" t="e">
        <f t="shared" ca="1" si="15"/>
        <v>#VALUE!</v>
      </c>
      <c r="X58" s="80"/>
      <c r="Y58" s="211">
        <f t="shared" si="23"/>
        <v>-2</v>
      </c>
      <c r="Z58" s="211">
        <v>43100</v>
      </c>
      <c r="AA58" s="209" t="str">
        <f>IFERROR(IF(VLOOKUP(A58,LUCurYr,16,FALSE)=0,"",VLOOKUP(A58,LUCurYr,16,FALSE)),"N/A")</f>
        <v>N/A</v>
      </c>
      <c r="AB58" s="213" t="e">
        <f t="shared" si="24"/>
        <v>#VALUE!</v>
      </c>
      <c r="AC58" s="214" t="e">
        <f t="shared" si="25"/>
        <v>#VALUE!</v>
      </c>
      <c r="AD58" s="214" t="e">
        <f t="shared" si="26"/>
        <v>#VALUE!</v>
      </c>
      <c r="AE58" s="215" t="e">
        <f t="shared" ca="1" si="27"/>
        <v>#VALUE!</v>
      </c>
      <c r="AF58" s="63"/>
      <c r="AG58" s="63"/>
      <c r="AH58" s="63"/>
      <c r="AI58" s="63"/>
    </row>
    <row r="59" spans="1:35" hidden="1" x14ac:dyDescent="0.2">
      <c r="A59" s="51"/>
      <c r="B59" s="117" t="str">
        <f t="shared" ca="1" si="8"/>
        <v/>
      </c>
      <c r="C59" s="1" t="str">
        <f>IF(ISERROR(D59),"",IF(D59="","",MAX($C$13:C58)+1))</f>
        <v/>
      </c>
      <c r="D59" t="e">
        <f t="shared" si="9"/>
        <v>#N/A</v>
      </c>
      <c r="F59" s="133" t="str">
        <f t="shared" ca="1" si="10"/>
        <v>N/A</v>
      </c>
      <c r="G59" s="133" t="str">
        <f t="shared" si="11"/>
        <v>N/A</v>
      </c>
      <c r="H59" s="133" t="str">
        <f ca="1">IFERROR(IF(VLOOKUP($A59,LASTYR,'2017'!$I$3,FALSE)=0,"N/A",VLOOKUP($A59,LASTYR,'2017'!$I$3,FALSE)),"N/A")</f>
        <v>N/A</v>
      </c>
      <c r="I59" s="133"/>
      <c r="J59" s="133" t="str">
        <f t="shared" ca="1" si="22"/>
        <v>N/A</v>
      </c>
      <c r="K59" s="133" t="str">
        <f t="shared" ca="1" si="22"/>
        <v>N/A</v>
      </c>
      <c r="L59" s="133" t="str">
        <f t="shared" ca="1" si="22"/>
        <v>N/A</v>
      </c>
      <c r="M59" s="133" t="str">
        <f t="shared" ca="1" si="22"/>
        <v>N/A</v>
      </c>
      <c r="N59" s="133" t="str">
        <f t="shared" ca="1" si="22"/>
        <v>N/A</v>
      </c>
      <c r="O59" s="133" t="str">
        <f t="shared" ca="1" si="22"/>
        <v>N/A</v>
      </c>
      <c r="P59" s="133" t="str">
        <f t="shared" ca="1" si="22"/>
        <v>N/A</v>
      </c>
      <c r="Q59" s="133" t="str">
        <f t="shared" ca="1" si="22"/>
        <v>N/A</v>
      </c>
      <c r="R59" s="133" t="str">
        <f t="shared" ca="1" si="22"/>
        <v>N/A</v>
      </c>
      <c r="S59" s="133" t="str">
        <f t="shared" ca="1" si="22"/>
        <v>N/A</v>
      </c>
      <c r="U59" s="80" t="str">
        <f t="shared" ca="1" si="20"/>
        <v>N/A</v>
      </c>
      <c r="V59" s="133" t="e">
        <f t="shared" ca="1" si="14"/>
        <v>#VALUE!</v>
      </c>
      <c r="W59" s="80" t="e">
        <f t="shared" ca="1" si="15"/>
        <v>#VALUE!</v>
      </c>
      <c r="X59" s="80"/>
      <c r="Y59" s="211">
        <f t="shared" si="23"/>
        <v>-2</v>
      </c>
      <c r="Z59" s="211">
        <v>43100</v>
      </c>
      <c r="AA59" s="209" t="str">
        <f>IFERROR(IF(VLOOKUP(A59,LUCurYr,16,FALSE)=0,"",VLOOKUP(A59,LUCurYr,16,FALSE)),"N/A")</f>
        <v>N/A</v>
      </c>
      <c r="AB59" s="213" t="e">
        <f t="shared" si="24"/>
        <v>#VALUE!</v>
      </c>
      <c r="AC59" s="214" t="e">
        <f t="shared" si="25"/>
        <v>#VALUE!</v>
      </c>
      <c r="AD59" s="214" t="e">
        <f t="shared" si="26"/>
        <v>#VALUE!</v>
      </c>
      <c r="AE59" s="215" t="e">
        <f t="shared" ca="1" si="27"/>
        <v>#VALUE!</v>
      </c>
      <c r="AF59" s="63"/>
      <c r="AG59" s="63"/>
      <c r="AH59" s="63"/>
      <c r="AI59" s="63"/>
    </row>
    <row r="60" spans="1:35" x14ac:dyDescent="0.2">
      <c r="A60" s="31"/>
      <c r="B60" s="31"/>
      <c r="C60" s="1" t="str">
        <f>IF(ISERROR(D60),"",IF(D60="","",MAX($C$13:C59)+1))</f>
        <v/>
      </c>
      <c r="F60" s="80"/>
      <c r="G60" s="80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80"/>
      <c r="U60" s="80"/>
      <c r="V60" s="133"/>
      <c r="W60" s="80"/>
      <c r="X60" s="80"/>
      <c r="Y60" s="211"/>
      <c r="Z60" s="211"/>
      <c r="AA60" s="209"/>
      <c r="AB60" s="213"/>
      <c r="AC60" s="214"/>
      <c r="AD60" s="214"/>
      <c r="AE60" s="215"/>
      <c r="AF60" s="63"/>
      <c r="AG60" s="63"/>
      <c r="AH60" s="63"/>
      <c r="AI60" s="63"/>
    </row>
    <row r="61" spans="1:35" ht="15" x14ac:dyDescent="0.25">
      <c r="A61" s="31"/>
      <c r="B61" s="31"/>
      <c r="C61" s="1">
        <f>IF(ISERROR(D61),"",IF(D61="","",MAX($C$13:C60)+1))</f>
        <v>42</v>
      </c>
      <c r="D61" s="111" t="s">
        <v>98</v>
      </c>
      <c r="E61" s="111"/>
      <c r="F61" s="135">
        <f ca="1">AVERAGE(G61:S61)</f>
        <v>1.6140938690241693</v>
      </c>
      <c r="G61" s="135">
        <f t="shared" ref="G61:R61" si="28">AVERAGE(G14:G60)</f>
        <v>2.0638461538461539</v>
      </c>
      <c r="H61" s="135">
        <f ca="1">AVERAGE(H14:H42,H44:H55)</f>
        <v>1.97075</v>
      </c>
      <c r="I61" s="135">
        <f t="shared" ca="1" si="28"/>
        <v>1.8568048780487802</v>
      </c>
      <c r="J61" s="135">
        <f t="shared" ca="1" si="28"/>
        <v>1.7583499999999996</v>
      </c>
      <c r="K61" s="135">
        <f t="shared" ca="1" si="28"/>
        <v>1.6707750000000003</v>
      </c>
      <c r="L61" s="135">
        <f t="shared" ca="1" si="28"/>
        <v>1.6130999999999998</v>
      </c>
      <c r="M61" s="135">
        <f t="shared" ca="1" si="28"/>
        <v>1.5934749999999998</v>
      </c>
      <c r="N61" s="135">
        <f t="shared" ca="1" si="28"/>
        <v>1.5077</v>
      </c>
      <c r="O61" s="135">
        <f t="shared" ca="1" si="28"/>
        <v>1.4711025641025637</v>
      </c>
      <c r="P61" s="135">
        <f t="shared" ca="1" si="28"/>
        <v>1.4233333333333333</v>
      </c>
      <c r="Q61" s="135">
        <f t="shared" ca="1" si="28"/>
        <v>1.4244358974358973</v>
      </c>
      <c r="R61" s="135">
        <f t="shared" ca="1" si="28"/>
        <v>1.3558717948717947</v>
      </c>
      <c r="S61" s="135">
        <f ca="1">AVERAGE(S14:S60)</f>
        <v>1.2736756756756755</v>
      </c>
      <c r="U61" s="136" t="e">
        <f ca="1">AVERAGE(U14:U60)</f>
        <v>#DIV/0!</v>
      </c>
      <c r="V61" s="136"/>
      <c r="W61" s="136"/>
      <c r="X61" s="136"/>
      <c r="Y61" s="136"/>
      <c r="Z61" s="136"/>
      <c r="AA61" s="63"/>
      <c r="AB61" s="63"/>
      <c r="AC61" s="63"/>
      <c r="AD61" s="63"/>
      <c r="AE61" s="63"/>
      <c r="AF61" s="63"/>
      <c r="AG61" s="63"/>
      <c r="AH61" s="63"/>
      <c r="AI61" s="63"/>
    </row>
    <row r="62" spans="1:35" ht="15" x14ac:dyDescent="0.25">
      <c r="A62" s="31"/>
      <c r="B62" s="31"/>
      <c r="C62" s="1">
        <f>IF(ISERROR(D62),"",IF(D62="","",MAX($C$13:C61)+1))</f>
        <v>43</v>
      </c>
      <c r="D62" s="111" t="s">
        <v>483</v>
      </c>
      <c r="E62" s="111"/>
      <c r="F62" s="115">
        <f ca="1">AVERAGE(G62:R62)</f>
        <v>4.1228576217534944E-2</v>
      </c>
      <c r="G62" s="115">
        <f ca="1">G61/H61-1</f>
        <v>4.7238946515871572E-2</v>
      </c>
      <c r="H62" s="115">
        <f ca="1">H61/I61-1</f>
        <v>6.1366233629760236E-2</v>
      </c>
      <c r="I62" s="115">
        <f t="shared" ref="I62:Q62" ca="1" si="29">I61/J61-1</f>
        <v>5.5992764835658848E-2</v>
      </c>
      <c r="J62" s="115">
        <f t="shared" ca="1" si="29"/>
        <v>5.2415795065164028E-2</v>
      </c>
      <c r="K62" s="115">
        <f t="shared" ca="1" si="29"/>
        <v>3.5754137995164914E-2</v>
      </c>
      <c r="L62" s="115">
        <f t="shared" ca="1" si="29"/>
        <v>1.2315850578138887E-2</v>
      </c>
      <c r="M62" s="115">
        <f t="shared" ca="1" si="29"/>
        <v>5.6891291370962271E-2</v>
      </c>
      <c r="N62" s="115">
        <f t="shared" ca="1" si="29"/>
        <v>2.4877555644641447E-2</v>
      </c>
      <c r="O62" s="115">
        <f t="shared" ca="1" si="29"/>
        <v>3.356152044676608E-2</v>
      </c>
      <c r="P62" s="115">
        <f t="shared" ca="1" si="29"/>
        <v>-7.740356056377129E-4</v>
      </c>
      <c r="Q62" s="115">
        <f t="shared" ca="1" si="29"/>
        <v>5.05682785226651E-2</v>
      </c>
      <c r="R62" s="115">
        <f ca="1">R61/S61-1</f>
        <v>6.4534575611263634E-2</v>
      </c>
      <c r="S62" s="135"/>
      <c r="U62" s="136"/>
      <c r="V62" s="136"/>
      <c r="W62" s="136"/>
      <c r="X62" s="136"/>
      <c r="Y62" s="136"/>
      <c r="Z62" s="136"/>
      <c r="AA62" s="63"/>
      <c r="AB62" s="63"/>
      <c r="AC62" s="63"/>
      <c r="AD62" s="63"/>
      <c r="AE62" s="63"/>
      <c r="AF62" s="63"/>
      <c r="AG62" s="63"/>
      <c r="AH62" s="63"/>
      <c r="AI62" s="63"/>
    </row>
    <row r="63" spans="1:35" ht="15" x14ac:dyDescent="0.25">
      <c r="A63" s="31"/>
      <c r="B63" s="31"/>
      <c r="C63" s="1"/>
      <c r="F63" s="135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80"/>
      <c r="T63" s="63"/>
      <c r="U63" s="63"/>
      <c r="V63" s="63"/>
      <c r="W63" s="63"/>
      <c r="X63" s="63"/>
      <c r="Y63" s="63"/>
      <c r="Z63" s="63"/>
      <c r="AA63" s="63"/>
      <c r="AB63" s="63"/>
      <c r="AC63" s="63"/>
      <c r="AD63" s="63"/>
      <c r="AE63" s="63"/>
      <c r="AF63" s="63"/>
      <c r="AG63" s="63"/>
      <c r="AH63" s="63"/>
      <c r="AI63" s="63"/>
    </row>
    <row r="64" spans="1:35" s="102" customFormat="1" x14ac:dyDescent="0.2">
      <c r="B64" s="105"/>
      <c r="C64" s="106"/>
      <c r="D64" s="18"/>
      <c r="E64" s="91"/>
      <c r="F64"/>
      <c r="G64"/>
      <c r="H64"/>
      <c r="I64"/>
      <c r="J64" s="104"/>
      <c r="K64" s="104"/>
      <c r="L64" s="104"/>
      <c r="M64" s="104"/>
      <c r="N64" s="104"/>
      <c r="O64" s="104"/>
      <c r="P64" s="104"/>
      <c r="Q64" s="104"/>
      <c r="R64" s="104"/>
      <c r="S64" s="104"/>
      <c r="T64" s="103"/>
      <c r="U64" s="103"/>
      <c r="V64" s="103"/>
    </row>
    <row r="65" spans="1:22" s="102" customFormat="1" x14ac:dyDescent="0.2">
      <c r="B65" s="105"/>
      <c r="C65" s="1"/>
      <c r="D65" s="20" t="s">
        <v>107</v>
      </c>
      <c r="E65"/>
      <c r="F65"/>
      <c r="G65"/>
      <c r="H65"/>
      <c r="I65"/>
      <c r="J65" s="104"/>
      <c r="K65" s="104"/>
      <c r="L65" s="104"/>
      <c r="M65" s="104"/>
      <c r="N65" s="104"/>
      <c r="O65" s="104"/>
      <c r="P65" s="104"/>
      <c r="Q65" s="104"/>
      <c r="R65" s="104"/>
      <c r="S65" s="104"/>
      <c r="T65" s="103"/>
      <c r="U65" s="103"/>
      <c r="V65" s="103"/>
    </row>
    <row r="66" spans="1:22" s="102" customFormat="1" ht="16.5" x14ac:dyDescent="0.2">
      <c r="B66" s="105"/>
      <c r="C66"/>
      <c r="D66" s="79">
        <v>1</v>
      </c>
      <c r="E66" s="21" t="str">
        <f>"The Value Line Investment Survey Investment Analyzer Software, downloaded on "&amp;TEXT('2017'!$A$1,"mmmm d, yyyy.")</f>
        <v>The Value Line Investment Survey Investment Analyzer Software, downloaded on June 21, 2018.</v>
      </c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 s="103"/>
      <c r="U66" s="103"/>
      <c r="V66" s="103"/>
    </row>
    <row r="67" spans="1:22" ht="16.5" x14ac:dyDescent="0.2">
      <c r="A67" s="31"/>
      <c r="B67" s="31"/>
      <c r="D67" s="79">
        <v>2</v>
      </c>
      <c r="E67" s="21" t="str">
        <f>"The Value Line Investment Survey, "&amp;'2018 Data (WP)'!$D$1</f>
        <v>The Value Line Investment Survey, October 26, November 16, and December 14, 2018.</v>
      </c>
    </row>
    <row r="68" spans="1:22" x14ac:dyDescent="0.2">
      <c r="A68" s="31"/>
      <c r="B68" s="31"/>
      <c r="D68" s="20" t="s">
        <v>329</v>
      </c>
    </row>
    <row r="69" spans="1:22" x14ac:dyDescent="0.2">
      <c r="D69" t="s">
        <v>484</v>
      </c>
    </row>
  </sheetData>
  <mergeCells count="6">
    <mergeCell ref="D11:E11"/>
    <mergeCell ref="F9:U9"/>
    <mergeCell ref="C6:U6"/>
    <mergeCell ref="C5:U5"/>
    <mergeCell ref="C1:U1"/>
    <mergeCell ref="C2:U2"/>
  </mergeCells>
  <printOptions horizontalCentered="1"/>
  <pageMargins left="0.7" right="0.7" top="1" bottom="0.75" header="0.55000000000000004" footer="0.51"/>
  <pageSetup scale="48" fitToWidth="2" orientation="landscape" useFirstPageNumber="1" r:id="rId1"/>
  <headerFooter>
    <oddHeader>&amp;R&amp;19Exhibit CCW-1
Page 5 of 7</oddHeader>
  </headerFooter>
  <colBreaks count="1" manualBreakCount="1">
    <brk id="24" max="66" man="1"/>
  </col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N73"/>
  <sheetViews>
    <sheetView zoomScale="111" zoomScaleNormal="111" workbookViewId="0">
      <pane xSplit="2" ySplit="3" topLeftCell="C4" activePane="bottomRight" state="frozen"/>
      <selection activeCell="C1" sqref="C1:C1048576"/>
      <selection pane="topRight" activeCell="C1" sqref="C1:C1048576"/>
      <selection pane="bottomLeft" activeCell="C1" sqref="C1:C1048576"/>
      <selection pane="bottomRight" activeCell="C4" sqref="C4:C73"/>
    </sheetView>
  </sheetViews>
  <sheetFormatPr defaultColWidth="8.75" defaultRowHeight="11.25" x14ac:dyDescent="0.2"/>
  <cols>
    <col min="1" max="1" width="18.375" style="60" bestFit="1" customWidth="1"/>
    <col min="2" max="2" width="5.375" style="60" bestFit="1" customWidth="1"/>
    <col min="3" max="3" width="7" style="60" bestFit="1" customWidth="1"/>
    <col min="4" max="9" width="7.75" style="60" bestFit="1" customWidth="1"/>
    <col min="10" max="10" width="7.125" style="60" bestFit="1" customWidth="1"/>
    <col min="11" max="11" width="7.75" style="60" bestFit="1" customWidth="1"/>
    <col min="12" max="13" width="7.125" style="60" bestFit="1" customWidth="1"/>
    <col min="14" max="16384" width="8.75" style="60"/>
  </cols>
  <sheetData>
    <row r="1" spans="1:14" ht="45" x14ac:dyDescent="0.2">
      <c r="A1" s="59" t="s">
        <v>218</v>
      </c>
      <c r="C1" s="61">
        <v>2016</v>
      </c>
      <c r="D1" s="61">
        <f t="shared" ref="D1:M1" si="0">VALUE(RIGHT(D3,4))</f>
        <v>2015</v>
      </c>
      <c r="E1" s="61">
        <f t="shared" si="0"/>
        <v>2014</v>
      </c>
      <c r="F1" s="61">
        <f t="shared" si="0"/>
        <v>2013</v>
      </c>
      <c r="G1" s="61">
        <f t="shared" si="0"/>
        <v>2012</v>
      </c>
      <c r="H1" s="61">
        <f t="shared" si="0"/>
        <v>2011</v>
      </c>
      <c r="I1" s="61">
        <f t="shared" si="0"/>
        <v>2010</v>
      </c>
      <c r="J1" s="61">
        <f t="shared" si="0"/>
        <v>2009</v>
      </c>
      <c r="K1" s="61">
        <f t="shared" si="0"/>
        <v>2008</v>
      </c>
      <c r="L1" s="61">
        <f t="shared" si="0"/>
        <v>2007</v>
      </c>
      <c r="M1" s="61">
        <f t="shared" si="0"/>
        <v>2006</v>
      </c>
    </row>
    <row r="2" spans="1:14" x14ac:dyDescent="0.2">
      <c r="A2" s="60" t="s">
        <v>315</v>
      </c>
      <c r="B2" s="62"/>
      <c r="C2" s="71">
        <f>'2016'!$A$1</f>
        <v>42907</v>
      </c>
      <c r="D2" s="71">
        <v>42718</v>
      </c>
      <c r="E2" s="71">
        <v>42718</v>
      </c>
      <c r="F2" s="71">
        <v>42718</v>
      </c>
      <c r="G2" s="71">
        <v>42718</v>
      </c>
      <c r="H2" s="71">
        <v>42718</v>
      </c>
      <c r="I2" s="71">
        <v>42718</v>
      </c>
      <c r="J2" s="71">
        <v>42718</v>
      </c>
      <c r="K2" s="71">
        <v>42718</v>
      </c>
      <c r="L2" s="71">
        <v>42718</v>
      </c>
      <c r="M2" s="71">
        <v>42718</v>
      </c>
      <c r="N2" s="60" t="s">
        <v>348</v>
      </c>
    </row>
    <row r="3" spans="1:14" x14ac:dyDescent="0.2">
      <c r="A3" s="60" t="s">
        <v>117</v>
      </c>
      <c r="B3" s="60" t="s">
        <v>99</v>
      </c>
      <c r="D3" s="60" t="s">
        <v>231</v>
      </c>
      <c r="E3" s="60" t="s">
        <v>232</v>
      </c>
      <c r="F3" s="60" t="s">
        <v>233</v>
      </c>
      <c r="G3" s="60" t="s">
        <v>234</v>
      </c>
      <c r="H3" s="60" t="s">
        <v>235</v>
      </c>
      <c r="I3" s="60" t="s">
        <v>236</v>
      </c>
      <c r="J3" s="60" t="s">
        <v>237</v>
      </c>
      <c r="K3" s="60" t="s">
        <v>238</v>
      </c>
      <c r="L3" s="60" t="s">
        <v>239</v>
      </c>
      <c r="M3" s="60" t="s">
        <v>240</v>
      </c>
    </row>
    <row r="4" spans="1:14" x14ac:dyDescent="0.2">
      <c r="A4" s="60" t="s">
        <v>162</v>
      </c>
      <c r="B4" s="60" t="s">
        <v>163</v>
      </c>
      <c r="C4" s="69">
        <f>IF(IFERROR(INDEX('2016'!$G$5:$G$72,MATCH(B4,'2016'!$A$5:$A$72,0)),0)=0,"N/A",INDEX('2016'!$G$5:$G$72,MATCH(B4,'2016'!$A$5:$A$72,0)))</f>
        <v>37.026000000000003</v>
      </c>
      <c r="D4" s="60">
        <v>49.274000000000001</v>
      </c>
      <c r="E4" s="60">
        <v>61.976999999999997</v>
      </c>
      <c r="F4" s="60">
        <v>54.917000000000002</v>
      </c>
      <c r="G4" s="60">
        <v>40.618000000000002</v>
      </c>
      <c r="H4" s="60">
        <v>25.192</v>
      </c>
      <c r="I4" s="60">
        <v>19.861000000000001</v>
      </c>
      <c r="J4" s="60">
        <v>17.91</v>
      </c>
      <c r="K4" s="60">
        <v>25.855</v>
      </c>
      <c r="L4" s="60">
        <v>29.949000000000002</v>
      </c>
      <c r="M4" s="60">
        <v>32.863</v>
      </c>
    </row>
    <row r="5" spans="1:14" x14ac:dyDescent="0.2">
      <c r="A5" s="60" t="s">
        <v>119</v>
      </c>
      <c r="B5" s="60" t="s">
        <v>0</v>
      </c>
      <c r="C5" s="69">
        <f>IF(IFERROR(INDEX('2016'!$G$5:$G$72,MATCH(B5,'2016'!$A$5:$A$72,0)),0)=0,"N/A",INDEX('2016'!$G$5:$G$72,MATCH(B5,'2016'!$A$5:$A$72,0)))</f>
        <v>58.503999999999998</v>
      </c>
      <c r="D5" s="60">
        <v>50.89</v>
      </c>
      <c r="E5" s="60">
        <v>49.963999999999999</v>
      </c>
      <c r="F5" s="60">
        <v>48.902999999999999</v>
      </c>
      <c r="G5" s="60">
        <v>40.973999999999997</v>
      </c>
      <c r="H5" s="60">
        <v>38.854999999999997</v>
      </c>
      <c r="I5" s="60">
        <v>34.987000000000002</v>
      </c>
      <c r="J5" s="60">
        <v>30.391999999999999</v>
      </c>
      <c r="K5" s="60">
        <v>39.332000000000001</v>
      </c>
      <c r="L5" s="60">
        <v>45.526000000000003</v>
      </c>
      <c r="M5" s="60">
        <v>45.83</v>
      </c>
    </row>
    <row r="6" spans="1:14" x14ac:dyDescent="0.2">
      <c r="A6" s="60" t="s">
        <v>120</v>
      </c>
      <c r="B6" s="60" t="s">
        <v>1</v>
      </c>
      <c r="C6" s="69">
        <f>IF(IFERROR(INDEX('2016'!$G$5:$G$72,MATCH(B6,'2016'!$A$5:$A$72,0)),0)=0,"N/A",INDEX('2016'!$G$5:$G$72,MATCH(B6,'2016'!$A$5:$A$72,0)))</f>
        <v>36.801000000000002</v>
      </c>
      <c r="D6" s="60">
        <v>30.541</v>
      </c>
      <c r="E6" s="60">
        <v>28.89</v>
      </c>
      <c r="F6" s="60">
        <v>25.129000000000001</v>
      </c>
      <c r="G6" s="60">
        <v>22.109000000000002</v>
      </c>
      <c r="H6" s="60">
        <v>19.87</v>
      </c>
      <c r="I6" s="60">
        <v>17.149999999999999</v>
      </c>
      <c r="J6" s="60">
        <v>13.099</v>
      </c>
      <c r="K6" s="60">
        <v>17.059999999999999</v>
      </c>
      <c r="L6" s="60">
        <v>20.279</v>
      </c>
      <c r="M6" s="60">
        <v>17.324999999999999</v>
      </c>
    </row>
    <row r="7" spans="1:14" x14ac:dyDescent="0.2">
      <c r="A7" s="60" t="s">
        <v>121</v>
      </c>
      <c r="B7" s="60" t="s">
        <v>2</v>
      </c>
      <c r="C7" s="69">
        <f>IF(IFERROR(INDEX('2016'!$G$5:$G$72,MATCH(B7,'2016'!$A$5:$A$72,0)),0)=0,"N/A",INDEX('2016'!$G$5:$G$72,MATCH(B7,'2016'!$A$5:$A$72,0)))</f>
        <v>64.116</v>
      </c>
      <c r="D7" s="60">
        <v>56.610999999999997</v>
      </c>
      <c r="E7" s="60">
        <v>53.024999999999999</v>
      </c>
      <c r="F7" s="60">
        <v>46.091000000000001</v>
      </c>
      <c r="G7" s="60">
        <v>41.026000000000003</v>
      </c>
      <c r="H7" s="60">
        <v>37.302999999999997</v>
      </c>
      <c r="I7" s="60">
        <v>34.881999999999998</v>
      </c>
      <c r="J7" s="60">
        <v>29.795000000000002</v>
      </c>
      <c r="K7" s="60">
        <v>39.051000000000002</v>
      </c>
      <c r="L7" s="60">
        <v>46.526000000000003</v>
      </c>
      <c r="M7" s="60">
        <v>36.911000000000001</v>
      </c>
    </row>
    <row r="8" spans="1:14" x14ac:dyDescent="0.2">
      <c r="A8" s="60" t="s">
        <v>164</v>
      </c>
      <c r="B8" s="60" t="s">
        <v>165</v>
      </c>
      <c r="C8" s="69">
        <f>IF(IFERROR(INDEX('2016'!$G$5:$G$72,MATCH(B8,'2016'!$A$5:$A$72,0)),0)=0,"N/A",INDEX('2016'!$G$5:$G$72,MATCH(B8,'2016'!$A$5:$A$72,0)))</f>
        <v>41.460999999999999</v>
      </c>
      <c r="D8" s="60">
        <v>39.564999999999998</v>
      </c>
      <c r="E8" s="60">
        <v>31.548999999999999</v>
      </c>
      <c r="F8" s="60">
        <v>27.638000000000002</v>
      </c>
      <c r="G8" s="60">
        <v>20.164000000000001</v>
      </c>
      <c r="H8" s="60">
        <v>17.2</v>
      </c>
      <c r="I8" s="60">
        <v>17.462</v>
      </c>
      <c r="J8" s="60">
        <v>17.169</v>
      </c>
      <c r="K8" s="60">
        <v>17.503</v>
      </c>
      <c r="L8" s="60">
        <v>19.443000000000001</v>
      </c>
      <c r="M8" s="60">
        <v>18.440000000000001</v>
      </c>
    </row>
    <row r="9" spans="1:14" x14ac:dyDescent="0.2">
      <c r="A9" s="60" t="s">
        <v>166</v>
      </c>
      <c r="B9" s="60" t="s">
        <v>167</v>
      </c>
      <c r="C9" s="69">
        <f>IF(IFERROR(INDEX('2016'!$G$5:$G$72,MATCH(B9,'2016'!$A$5:$A$72,0)),0)=0,"N/A",INDEX('2016'!$G$5:$G$72,MATCH(B9,'2016'!$A$5:$A$72,0)))</f>
        <v>72.603999999999999</v>
      </c>
      <c r="D9" s="60">
        <v>54.140999999999998</v>
      </c>
      <c r="E9" s="60">
        <v>47.841000000000001</v>
      </c>
      <c r="F9" s="60">
        <v>40.997</v>
      </c>
      <c r="G9" s="60">
        <v>35.252000000000002</v>
      </c>
      <c r="H9" s="60">
        <v>28.893000000000001</v>
      </c>
      <c r="I9" s="60">
        <v>22.358000000000001</v>
      </c>
      <c r="J9" s="60">
        <v>19.544</v>
      </c>
      <c r="K9" s="60">
        <v>20.809000000000001</v>
      </c>
      <c r="L9" s="69" t="s">
        <v>106</v>
      </c>
      <c r="M9" s="69" t="s">
        <v>106</v>
      </c>
    </row>
    <row r="10" spans="1:14" x14ac:dyDescent="0.2">
      <c r="A10" s="60" t="s">
        <v>122</v>
      </c>
      <c r="B10" s="60" t="s">
        <v>3</v>
      </c>
      <c r="C10" s="69">
        <f>IF(IFERROR(INDEX('2016'!$G$5:$G$72,MATCH(B10,'2016'!$A$5:$A$72,0)),0)=0,"N/A",INDEX('2016'!$G$5:$G$72,MATCH(B10,'2016'!$A$5:$A$72,0)))</f>
        <v>49.027999999999999</v>
      </c>
      <c r="D10" s="60">
        <v>41.758000000000003</v>
      </c>
      <c r="E10" s="60">
        <v>40.094999999999999</v>
      </c>
      <c r="F10" s="60">
        <v>34.685000000000002</v>
      </c>
      <c r="G10" s="60">
        <v>32.177</v>
      </c>
      <c r="H10" s="60">
        <v>29.477</v>
      </c>
      <c r="I10" s="60">
        <v>26.742999999999999</v>
      </c>
      <c r="J10" s="60">
        <v>25.745000000000001</v>
      </c>
      <c r="K10" s="60">
        <v>40.911000000000001</v>
      </c>
      <c r="L10" s="60">
        <v>52</v>
      </c>
      <c r="M10" s="60">
        <v>51.564999999999998</v>
      </c>
    </row>
    <row r="11" spans="1:14" x14ac:dyDescent="0.2">
      <c r="A11" s="60" t="s">
        <v>168</v>
      </c>
      <c r="B11" s="60" t="s">
        <v>169</v>
      </c>
      <c r="C11" s="69">
        <f>IF(IFERROR(INDEX('2016'!$G$5:$G$72,MATCH(B11,'2016'!$A$5:$A$72,0)),0)=0,"N/A",INDEX('2016'!$G$5:$G$72,MATCH(B11,'2016'!$A$5:$A$72,0)))</f>
        <v>42.222999999999999</v>
      </c>
      <c r="D11" s="60">
        <v>47.04</v>
      </c>
      <c r="E11" s="60">
        <v>44.317</v>
      </c>
      <c r="F11" s="60">
        <v>43.633000000000003</v>
      </c>
      <c r="G11" s="60">
        <v>42.305</v>
      </c>
      <c r="H11" s="60">
        <v>46.231000000000002</v>
      </c>
      <c r="I11" s="60">
        <v>40.701000000000001</v>
      </c>
      <c r="J11" s="60">
        <v>30.943000000000001</v>
      </c>
      <c r="K11" s="60">
        <v>33.209000000000003</v>
      </c>
      <c r="L11" s="60">
        <v>33.975000000000001</v>
      </c>
      <c r="M11" s="60">
        <v>29.739000000000001</v>
      </c>
    </row>
    <row r="12" spans="1:14" x14ac:dyDescent="0.2">
      <c r="A12" s="60" t="s">
        <v>170</v>
      </c>
      <c r="B12" s="60" t="s">
        <v>171</v>
      </c>
      <c r="C12" s="69">
        <f>IF(IFERROR(INDEX('2016'!$G$5:$G$72,MATCH(B12,'2016'!$A$5:$A$72,0)),0)=0,"N/A",INDEX('2016'!$G$5:$G$72,MATCH(B12,'2016'!$A$5:$A$72,0)))</f>
        <v>31.498999999999999</v>
      </c>
      <c r="D12" s="60">
        <v>26.8</v>
      </c>
      <c r="E12" s="60">
        <v>24.913</v>
      </c>
      <c r="F12" s="60">
        <v>24.568999999999999</v>
      </c>
      <c r="G12" s="60">
        <v>19.129000000000001</v>
      </c>
      <c r="H12" s="60">
        <v>17.686</v>
      </c>
      <c r="I12" s="60">
        <v>15.176</v>
      </c>
      <c r="J12" s="60">
        <v>14.226000000000001</v>
      </c>
      <c r="K12" s="60">
        <v>14.558</v>
      </c>
      <c r="L12" s="60">
        <v>18.158000000000001</v>
      </c>
      <c r="M12" s="60">
        <v>19.434000000000001</v>
      </c>
    </row>
    <row r="13" spans="1:14" x14ac:dyDescent="0.2">
      <c r="A13" s="60" t="s">
        <v>172</v>
      </c>
      <c r="B13" s="60" t="s">
        <v>173</v>
      </c>
      <c r="C13" s="69">
        <f>IF(IFERROR(INDEX('2016'!$G$5:$G$72,MATCH(B13,'2016'!$A$5:$A$72,0)),0)=0,"N/A",INDEX('2016'!$G$5:$G$72,MATCH(B13,'2016'!$A$5:$A$72,0)))</f>
        <v>29.407</v>
      </c>
      <c r="D13" s="60">
        <v>22.716999999999999</v>
      </c>
      <c r="E13" s="60">
        <v>21.899000000000001</v>
      </c>
      <c r="F13" s="60">
        <v>22.491</v>
      </c>
      <c r="G13" s="60">
        <v>20.689</v>
      </c>
      <c r="H13" s="60">
        <v>18.657</v>
      </c>
      <c r="I13" s="60">
        <v>18.244</v>
      </c>
      <c r="J13" s="60">
        <v>15.926</v>
      </c>
      <c r="K13" s="60">
        <v>17.260000000000002</v>
      </c>
      <c r="L13" s="60">
        <v>19.324999999999999</v>
      </c>
      <c r="M13" s="60">
        <v>19.681000000000001</v>
      </c>
    </row>
    <row r="14" spans="1:14" x14ac:dyDescent="0.2">
      <c r="A14" s="60" t="s">
        <v>174</v>
      </c>
      <c r="B14" s="60" t="s">
        <v>175</v>
      </c>
      <c r="C14" s="69">
        <f>IF(IFERROR(INDEX('2016'!$G$5:$G$72,MATCH(B14,'2016'!$A$5:$A$72,0)),0)=0,"N/A",INDEX('2016'!$G$5:$G$72,MATCH(B14,'2016'!$A$5:$A$72,0)))</f>
        <v>70.305000000000007</v>
      </c>
      <c r="D14" s="60">
        <v>54.079000000000001</v>
      </c>
      <c r="E14" s="60">
        <v>47.633000000000003</v>
      </c>
      <c r="F14" s="60">
        <v>39.683</v>
      </c>
      <c r="G14" s="60">
        <v>33.451999999999998</v>
      </c>
      <c r="H14" s="60">
        <v>32.442</v>
      </c>
      <c r="I14" s="60">
        <v>28.533000000000001</v>
      </c>
      <c r="J14" s="60">
        <v>24.7</v>
      </c>
      <c r="K14" s="60">
        <v>27.169</v>
      </c>
      <c r="L14" s="60">
        <v>30.78</v>
      </c>
      <c r="M14" s="60">
        <v>27.047999999999998</v>
      </c>
    </row>
    <row r="15" spans="1:14" x14ac:dyDescent="0.2">
      <c r="A15" s="60" t="s">
        <v>263</v>
      </c>
      <c r="B15" s="60" t="s">
        <v>260</v>
      </c>
      <c r="C15" s="69">
        <f>IF(IFERROR(INDEX('2016'!$G$5:$G$72,MATCH(B15,'2016'!$A$5:$A$72,0)),0)=0,"N/A",INDEX('2016'!$G$5:$G$72,MATCH(B15,'2016'!$A$5:$A$72,0)))</f>
        <v>40.575000000000003</v>
      </c>
      <c r="D15" s="60">
        <v>35.204999999999998</v>
      </c>
      <c r="E15" s="69" t="s">
        <v>106</v>
      </c>
      <c r="F15" s="69" t="s">
        <v>106</v>
      </c>
      <c r="G15" s="69" t="s">
        <v>106</v>
      </c>
      <c r="H15" s="69" t="s">
        <v>106</v>
      </c>
      <c r="I15" s="69" t="s">
        <v>106</v>
      </c>
      <c r="J15" s="69" t="s">
        <v>106</v>
      </c>
      <c r="K15" s="69" t="s">
        <v>106</v>
      </c>
      <c r="L15" s="69" t="s">
        <v>106</v>
      </c>
      <c r="M15" s="69" t="s">
        <v>106</v>
      </c>
    </row>
    <row r="16" spans="1:14" x14ac:dyDescent="0.2">
      <c r="A16" s="60" t="s">
        <v>123</v>
      </c>
      <c r="B16" s="60" t="s">
        <v>4</v>
      </c>
      <c r="C16" s="69">
        <f>IF(IFERROR(INDEX('2016'!$G$5:$G$72,MATCH(B16,'2016'!$A$5:$A$72,0)),0)=0,"N/A",INDEX('2016'!$G$5:$G$72,MATCH(B16,'2016'!$A$5:$A$72,0)))</f>
        <v>40.408999999999999</v>
      </c>
      <c r="D16" s="60">
        <v>33.270000000000003</v>
      </c>
      <c r="E16" s="60">
        <v>31.798999999999999</v>
      </c>
      <c r="F16" s="60">
        <v>27.074000000000002</v>
      </c>
      <c r="G16" s="60">
        <v>25.472000000000001</v>
      </c>
      <c r="H16" s="60">
        <v>24.213999999999999</v>
      </c>
      <c r="I16" s="60">
        <v>21.02</v>
      </c>
      <c r="J16" s="60">
        <v>18.036999999999999</v>
      </c>
      <c r="K16" s="60">
        <v>20.361999999999998</v>
      </c>
      <c r="L16" s="60">
        <v>22.23</v>
      </c>
      <c r="M16" s="60">
        <v>22.623999999999999</v>
      </c>
    </row>
    <row r="17" spans="1:13" x14ac:dyDescent="0.2">
      <c r="A17" s="60" t="s">
        <v>124</v>
      </c>
      <c r="B17" s="60" t="s">
        <v>5</v>
      </c>
      <c r="C17" s="69">
        <f>IF(IFERROR(INDEX('2016'!$G$5:$G$72,MATCH(B17,'2016'!$A$5:$A$72,0)),0)=0,"N/A",INDEX('2016'!$G$5:$G$72,MATCH(B17,'2016'!$A$5:$A$72,0)))</f>
        <v>58.619</v>
      </c>
      <c r="D17" s="60">
        <v>45.667999999999999</v>
      </c>
      <c r="E17" s="60">
        <v>54.994999999999997</v>
      </c>
      <c r="F17" s="60">
        <v>47.6</v>
      </c>
      <c r="G17" s="60">
        <v>33.749000000000002</v>
      </c>
      <c r="H17" s="60">
        <v>31.44</v>
      </c>
      <c r="I17" s="60">
        <v>30.04</v>
      </c>
      <c r="J17" s="60">
        <v>23.027999999999999</v>
      </c>
      <c r="K17" s="60">
        <v>33.241999999999997</v>
      </c>
      <c r="L17" s="60">
        <v>40.261000000000003</v>
      </c>
      <c r="M17" s="60">
        <v>34.845999999999997</v>
      </c>
    </row>
    <row r="18" spans="1:13" x14ac:dyDescent="0.2">
      <c r="A18" s="60" t="s">
        <v>176</v>
      </c>
      <c r="B18" s="60" t="s">
        <v>177</v>
      </c>
      <c r="C18" s="69">
        <f>IF(IFERROR(INDEX('2016'!$G$5:$G$72,MATCH(B18,'2016'!$A$5:$A$72,0)),0)=0,"N/A",INDEX('2016'!$G$5:$G$72,MATCH(B18,'2016'!$A$5:$A$72,0)))</f>
        <v>29.946000000000002</v>
      </c>
      <c r="D18" s="60">
        <v>23.286999999999999</v>
      </c>
      <c r="E18" s="60">
        <v>23.431999999999999</v>
      </c>
      <c r="F18" s="60">
        <v>20.527999999999999</v>
      </c>
      <c r="G18" s="60">
        <v>18.236000000000001</v>
      </c>
      <c r="H18" s="60">
        <v>18.297999999999998</v>
      </c>
      <c r="I18" s="60">
        <v>18.367000000000001</v>
      </c>
      <c r="J18" s="60">
        <v>19.193999999999999</v>
      </c>
      <c r="K18" s="60">
        <v>18.777999999999999</v>
      </c>
      <c r="L18" s="60">
        <v>19.542999999999999</v>
      </c>
      <c r="M18" s="60">
        <v>19.59</v>
      </c>
    </row>
    <row r="19" spans="1:13" x14ac:dyDescent="0.2">
      <c r="A19" s="60" t="s">
        <v>125</v>
      </c>
      <c r="B19" s="60" t="s">
        <v>6</v>
      </c>
      <c r="C19" s="69">
        <f>IF(IFERROR(INDEX('2016'!$G$5:$G$72,MATCH(B19,'2016'!$A$5:$A$72,0)),0)=0,"N/A",INDEX('2016'!$G$5:$G$72,MATCH(B19,'2016'!$A$5:$A$72,0)))</f>
        <v>21.91</v>
      </c>
      <c r="D19" s="60">
        <v>19.545999999999999</v>
      </c>
      <c r="E19" s="60">
        <v>24.082999999999998</v>
      </c>
      <c r="F19" s="60">
        <v>23.245999999999999</v>
      </c>
      <c r="G19" s="60">
        <v>20.042999999999999</v>
      </c>
      <c r="H19" s="60">
        <v>18.510000000000002</v>
      </c>
      <c r="I19" s="60">
        <v>14.746</v>
      </c>
      <c r="J19" s="60">
        <v>11.925000000000001</v>
      </c>
      <c r="K19" s="60">
        <v>14.654</v>
      </c>
      <c r="L19" s="60">
        <v>17.552</v>
      </c>
      <c r="M19" s="60">
        <v>13.651999999999999</v>
      </c>
    </row>
    <row r="20" spans="1:13" x14ac:dyDescent="0.2">
      <c r="A20" s="60" t="s">
        <v>215</v>
      </c>
      <c r="B20" s="60" t="s">
        <v>178</v>
      </c>
      <c r="C20" s="69">
        <f>IF(IFERROR(INDEX('2016'!$G$5:$G$72,MATCH(B20,'2016'!$A$5:$A$72,0)),0)=0,"N/A",INDEX('2016'!$G$5:$G$72,MATCH(B20,'2016'!$A$5:$A$72,0)))</f>
        <v>62.274999999999999</v>
      </c>
      <c r="D20" s="60">
        <v>51.308999999999997</v>
      </c>
      <c r="E20" s="60">
        <v>43.722999999999999</v>
      </c>
      <c r="F20" s="60">
        <v>35.305999999999997</v>
      </c>
      <c r="G20" s="60">
        <v>29.513000000000002</v>
      </c>
      <c r="H20" s="60">
        <v>27.088000000000001</v>
      </c>
      <c r="I20" s="60">
        <v>22.228999999999999</v>
      </c>
      <c r="J20" s="60">
        <v>20.353000000000002</v>
      </c>
      <c r="K20" s="60">
        <v>19.702000000000002</v>
      </c>
      <c r="L20" s="60">
        <v>21.617000000000001</v>
      </c>
      <c r="M20" s="60">
        <v>20.478000000000002</v>
      </c>
    </row>
    <row r="21" spans="1:13" x14ac:dyDescent="0.2">
      <c r="A21" s="60" t="s">
        <v>126</v>
      </c>
      <c r="B21" s="60" t="s">
        <v>9</v>
      </c>
      <c r="C21" s="69">
        <f>IF(IFERROR(INDEX('2016'!$G$5:$G$72,MATCH(B21,'2016'!$A$5:$A$72,0)),0)=0,"N/A",INDEX('2016'!$G$5:$G$72,MATCH(B21,'2016'!$A$5:$A$72,0)))</f>
        <v>41.466999999999999</v>
      </c>
      <c r="D21" s="60">
        <v>34.57</v>
      </c>
      <c r="E21" s="60">
        <v>30.1</v>
      </c>
      <c r="F21" s="60">
        <v>27.096</v>
      </c>
      <c r="G21" s="60">
        <v>23.056000000000001</v>
      </c>
      <c r="H21" s="60">
        <v>19.742000000000001</v>
      </c>
      <c r="I21" s="60">
        <v>16.567</v>
      </c>
      <c r="J21" s="60">
        <v>12.606999999999999</v>
      </c>
      <c r="K21" s="60">
        <v>13.365</v>
      </c>
      <c r="L21" s="60">
        <v>17.175999999999998</v>
      </c>
      <c r="M21" s="60">
        <v>14.196</v>
      </c>
    </row>
    <row r="22" spans="1:13" x14ac:dyDescent="0.2">
      <c r="A22" s="60" t="s">
        <v>179</v>
      </c>
      <c r="B22" s="60" t="s">
        <v>180</v>
      </c>
      <c r="C22" s="69">
        <f>IF(IFERROR(INDEX('2016'!$G$5:$G$72,MATCH(B22,'2016'!$A$5:$A$72,0)),0)=0,"N/A",INDEX('2016'!$G$5:$G$72,MATCH(B22,'2016'!$A$5:$A$72,0)))</f>
        <v>48.433</v>
      </c>
      <c r="D22" s="60">
        <v>35.856999999999999</v>
      </c>
      <c r="E22" s="60">
        <v>33.640999999999998</v>
      </c>
      <c r="F22" s="60">
        <v>30.489000000000001</v>
      </c>
      <c r="G22" s="60">
        <v>29.658999999999999</v>
      </c>
      <c r="H22" s="60">
        <v>25.984999999999999</v>
      </c>
      <c r="I22" s="60">
        <v>23.356000000000002</v>
      </c>
      <c r="J22" s="60">
        <v>21.902000000000001</v>
      </c>
      <c r="K22" s="60">
        <v>24.606000000000002</v>
      </c>
      <c r="L22" s="60">
        <v>24.151</v>
      </c>
      <c r="M22" s="60">
        <v>23.471</v>
      </c>
    </row>
    <row r="23" spans="1:13" x14ac:dyDescent="0.2">
      <c r="A23" s="60" t="s">
        <v>127</v>
      </c>
      <c r="B23" s="60" t="s">
        <v>10</v>
      </c>
      <c r="C23" s="69">
        <f>IF(IFERROR(INDEX('2016'!$G$5:$G$72,MATCH(B23,'2016'!$A$5:$A$72,0)),0)=0,"N/A",INDEX('2016'!$G$5:$G$72,MATCH(B23,'2016'!$A$5:$A$72,0)))</f>
        <v>74.078999999999994</v>
      </c>
      <c r="D23" s="60">
        <v>63.134999999999998</v>
      </c>
      <c r="E23" s="60">
        <v>57.563000000000002</v>
      </c>
      <c r="F23" s="60">
        <v>57.860999999999997</v>
      </c>
      <c r="G23" s="60">
        <v>59.405999999999999</v>
      </c>
      <c r="H23" s="60">
        <v>53.819000000000003</v>
      </c>
      <c r="I23" s="60">
        <v>46.140999999999998</v>
      </c>
      <c r="J23" s="60">
        <v>39.393000000000001</v>
      </c>
      <c r="K23" s="60">
        <v>41.279000000000003</v>
      </c>
      <c r="L23" s="60">
        <v>47.963000000000001</v>
      </c>
      <c r="M23" s="60">
        <v>45.68</v>
      </c>
    </row>
    <row r="24" spans="1:13" x14ac:dyDescent="0.2">
      <c r="A24" s="60" t="s">
        <v>181</v>
      </c>
      <c r="B24" s="60" t="s">
        <v>182</v>
      </c>
      <c r="C24" s="69">
        <f>IF(IFERROR(INDEX('2016'!$G$5:$G$72,MATCH(B24,'2016'!$A$5:$A$72,0)),0)=0,"N/A",INDEX('2016'!$G$5:$G$72,MATCH(B24,'2016'!$A$5:$A$72,0)))</f>
        <v>12.098000000000001</v>
      </c>
      <c r="D24" s="60">
        <v>11.573</v>
      </c>
      <c r="E24" s="60">
        <v>11.881</v>
      </c>
      <c r="F24" s="60">
        <v>11.613</v>
      </c>
      <c r="G24" s="60">
        <v>7.9450000000000003</v>
      </c>
      <c r="H24" s="60">
        <v>9.4049999999999994</v>
      </c>
      <c r="I24" s="60">
        <v>11.553000000000001</v>
      </c>
      <c r="J24" s="60">
        <v>14.083</v>
      </c>
      <c r="K24" s="60">
        <v>18.895</v>
      </c>
      <c r="L24" s="60">
        <v>27.957999999999998</v>
      </c>
      <c r="M24" s="60">
        <v>25.399000000000001</v>
      </c>
    </row>
    <row r="25" spans="1:13" x14ac:dyDescent="0.2">
      <c r="A25" s="60" t="s">
        <v>183</v>
      </c>
      <c r="B25" s="60" t="s">
        <v>184</v>
      </c>
      <c r="C25" s="69">
        <f>IF(IFERROR(INDEX('2016'!$G$5:$G$72,MATCH(B25,'2016'!$A$5:$A$72,0)),0)=0,"N/A",INDEX('2016'!$G$5:$G$72,MATCH(B25,'2016'!$A$5:$A$72,0)))</f>
        <v>21.96</v>
      </c>
      <c r="D25" s="60">
        <v>20.297000000000001</v>
      </c>
      <c r="E25" s="60">
        <v>21.018999999999998</v>
      </c>
      <c r="F25" s="60">
        <v>20.677</v>
      </c>
      <c r="G25" s="60">
        <v>17.611000000000001</v>
      </c>
      <c r="H25" s="60">
        <v>15.372999999999999</v>
      </c>
      <c r="I25" s="60">
        <v>13.842000000000001</v>
      </c>
      <c r="J25" s="60">
        <v>11.829000000000001</v>
      </c>
      <c r="K25" s="60">
        <v>12.77</v>
      </c>
      <c r="L25" s="60">
        <v>12.555999999999999</v>
      </c>
      <c r="M25" s="60">
        <v>13.119</v>
      </c>
    </row>
    <row r="26" spans="1:13" x14ac:dyDescent="0.2">
      <c r="A26" s="60" t="s">
        <v>128</v>
      </c>
      <c r="B26" s="60" t="s">
        <v>11</v>
      </c>
      <c r="C26" s="69">
        <f>IF(IFERROR(INDEX('2016'!$G$5:$G$72,MATCH(B26,'2016'!$A$5:$A$72,0)),0)=0,"N/A",INDEX('2016'!$G$5:$G$72,MATCH(B26,'2016'!$A$5:$A$72,0)))</f>
        <v>73.358000000000004</v>
      </c>
      <c r="D26" s="60">
        <v>70.837000000000003</v>
      </c>
      <c r="E26" s="60">
        <v>70.066000000000003</v>
      </c>
      <c r="F26" s="60">
        <v>59.466000000000001</v>
      </c>
      <c r="G26" s="60">
        <v>52.008000000000003</v>
      </c>
      <c r="H26" s="60">
        <v>47.665999999999997</v>
      </c>
      <c r="I26" s="60">
        <v>41.466999999999999</v>
      </c>
      <c r="J26" s="60">
        <v>33.639000000000003</v>
      </c>
      <c r="K26" s="60">
        <v>41.89</v>
      </c>
      <c r="L26" s="60">
        <v>43.933</v>
      </c>
      <c r="M26" s="60">
        <v>38.343000000000004</v>
      </c>
    </row>
    <row r="27" spans="1:13" x14ac:dyDescent="0.2">
      <c r="A27" s="60" t="s">
        <v>129</v>
      </c>
      <c r="B27" s="60" t="s">
        <v>12</v>
      </c>
      <c r="C27" s="69">
        <f>IF(IFERROR(INDEX('2016'!$G$5:$G$72,MATCH(B27,'2016'!$A$5:$A$72,0)),0)=0,"N/A",INDEX('2016'!$G$5:$G$72,MATCH(B27,'2016'!$A$5:$A$72,0)))</f>
        <v>91.605999999999995</v>
      </c>
      <c r="D27" s="60">
        <v>80.423000000000002</v>
      </c>
      <c r="E27" s="60">
        <v>76.052999999999997</v>
      </c>
      <c r="F27" s="60">
        <v>67.361000000000004</v>
      </c>
      <c r="G27" s="60">
        <v>57.771000000000001</v>
      </c>
      <c r="H27" s="60">
        <v>49.579000000000001</v>
      </c>
      <c r="I27" s="60">
        <v>45.874000000000002</v>
      </c>
      <c r="J27" s="60">
        <v>33.728000000000002</v>
      </c>
      <c r="K27" s="60">
        <v>40.433999999999997</v>
      </c>
      <c r="L27" s="60">
        <v>48.585000000000001</v>
      </c>
      <c r="M27" s="60">
        <v>42.707000000000001</v>
      </c>
    </row>
    <row r="28" spans="1:13" x14ac:dyDescent="0.2">
      <c r="A28" s="60" t="s">
        <v>130</v>
      </c>
      <c r="B28" s="60" t="s">
        <v>13</v>
      </c>
      <c r="C28" s="69">
        <f>IF(IFERROR(INDEX('2016'!$G$5:$G$72,MATCH(B28,'2016'!$A$5:$A$72,0)),0)=0,"N/A",INDEX('2016'!$G$5:$G$72,MATCH(B28,'2016'!$A$5:$A$72,0)))</f>
        <v>78.843000000000004</v>
      </c>
      <c r="D28" s="60">
        <v>74.694000000000003</v>
      </c>
      <c r="E28" s="60">
        <v>73.978999999999999</v>
      </c>
      <c r="F28" s="60">
        <v>69.447000000000003</v>
      </c>
      <c r="G28" s="60">
        <v>64.790000000000006</v>
      </c>
      <c r="H28" s="60">
        <v>56.978999999999999</v>
      </c>
      <c r="I28" s="60">
        <v>50.993000000000002</v>
      </c>
      <c r="J28" s="60">
        <v>45.143000000000001</v>
      </c>
      <c r="K28" s="60">
        <v>52.366999999999997</v>
      </c>
      <c r="L28" s="60">
        <v>58.064999999999998</v>
      </c>
      <c r="M28" s="69" t="s">
        <v>106</v>
      </c>
    </row>
    <row r="29" spans="1:13" x14ac:dyDescent="0.2">
      <c r="A29" s="60" t="s">
        <v>131</v>
      </c>
      <c r="B29" s="60" t="s">
        <v>14</v>
      </c>
      <c r="C29" s="69">
        <f>IF(IFERROR(INDEX('2016'!$G$5:$G$72,MATCH(B29,'2016'!$A$5:$A$72,0)),0)=0,"N/A",INDEX('2016'!$G$5:$G$72,MATCH(B29,'2016'!$A$5:$A$72,0)))</f>
        <v>70.603999999999999</v>
      </c>
      <c r="D29" s="60">
        <v>61.281999999999996</v>
      </c>
      <c r="E29" s="60">
        <v>56.506</v>
      </c>
      <c r="F29" s="60">
        <v>48.003999999999998</v>
      </c>
      <c r="G29" s="60">
        <v>44.164999999999999</v>
      </c>
      <c r="H29" s="60">
        <v>38.139000000000003</v>
      </c>
      <c r="I29" s="60">
        <v>34.569000000000003</v>
      </c>
      <c r="J29" s="60">
        <v>31.486999999999998</v>
      </c>
      <c r="K29" s="60">
        <v>45.475000000000001</v>
      </c>
      <c r="L29" s="60">
        <v>53.213999999999999</v>
      </c>
      <c r="M29" s="60">
        <v>42.598999999999997</v>
      </c>
    </row>
    <row r="30" spans="1:13" x14ac:dyDescent="0.2">
      <c r="A30" s="60" t="s">
        <v>132</v>
      </c>
      <c r="B30" s="60" t="s">
        <v>15</v>
      </c>
      <c r="C30" s="69">
        <f>IF(IFERROR(INDEX('2016'!$G$5:$G$72,MATCH(B30,'2016'!$A$5:$A$72,0)),0)=0,"N/A",INDEX('2016'!$G$5:$G$72,MATCH(B30,'2016'!$A$5:$A$72,0)))</f>
        <v>44.59</v>
      </c>
      <c r="D30" s="60">
        <v>37.207000000000001</v>
      </c>
      <c r="E30" s="60">
        <v>37.19</v>
      </c>
      <c r="F30" s="60">
        <v>34.933</v>
      </c>
      <c r="G30" s="60">
        <v>32.71</v>
      </c>
      <c r="H30" s="60">
        <v>31.236000000000001</v>
      </c>
      <c r="I30" s="60">
        <v>22.19</v>
      </c>
      <c r="J30" s="60">
        <v>16.190000000000001</v>
      </c>
      <c r="K30" s="60">
        <v>20.577000000000002</v>
      </c>
      <c r="L30" s="60">
        <v>24.873999999999999</v>
      </c>
      <c r="M30" s="60">
        <v>21.489000000000001</v>
      </c>
    </row>
    <row r="31" spans="1:13" x14ac:dyDescent="0.2">
      <c r="A31" s="60" t="s">
        <v>133</v>
      </c>
      <c r="B31" s="60" t="s">
        <v>16</v>
      </c>
      <c r="C31" s="69" t="str">
        <f>IF(IFERROR(INDEX('2016'!$G$5:$G$72,MATCH(B31,'2016'!$A$5:$A$72,0)),0)=0,"N/A",INDEX('2016'!$G$5:$G$72,MATCH(B31,'2016'!$A$5:$A$72,0)))</f>
        <v>N/A</v>
      </c>
      <c r="D31" s="60">
        <v>24.135999999999999</v>
      </c>
      <c r="E31" s="60">
        <v>25.129000000000001</v>
      </c>
      <c r="F31" s="60">
        <v>22.195</v>
      </c>
      <c r="G31" s="60">
        <v>20.800999999999998</v>
      </c>
      <c r="H31" s="60">
        <v>20.649000000000001</v>
      </c>
      <c r="I31" s="60">
        <v>19.600000000000001</v>
      </c>
      <c r="J31" s="60">
        <v>16.919</v>
      </c>
      <c r="K31" s="60">
        <v>20.187999999999999</v>
      </c>
      <c r="L31" s="60">
        <v>23.655000000000001</v>
      </c>
      <c r="M31" s="60">
        <v>22.442</v>
      </c>
    </row>
    <row r="32" spans="1:13" x14ac:dyDescent="0.2">
      <c r="A32" s="60" t="s">
        <v>134</v>
      </c>
      <c r="B32" s="60" t="s">
        <v>17</v>
      </c>
      <c r="C32" s="69">
        <f>IF(IFERROR(INDEX('2016'!$G$5:$G$72,MATCH(B32,'2016'!$A$5:$A$72,0)),0)=0,"N/A",INDEX('2016'!$G$5:$G$72,MATCH(B32,'2016'!$A$5:$A$72,0)))</f>
        <v>75.143000000000001</v>
      </c>
      <c r="D32" s="60">
        <v>72.795000000000002</v>
      </c>
      <c r="E32" s="60">
        <v>74.349999999999994</v>
      </c>
      <c r="F32" s="60">
        <v>65.540000000000006</v>
      </c>
      <c r="G32" s="60">
        <v>67.567999999999998</v>
      </c>
      <c r="H32" s="60">
        <v>68.417000000000002</v>
      </c>
      <c r="I32" s="60">
        <v>77.06</v>
      </c>
      <c r="J32" s="60">
        <v>75.480999999999995</v>
      </c>
      <c r="K32" s="60">
        <v>102.649</v>
      </c>
      <c r="L32" s="60">
        <v>108.095</v>
      </c>
      <c r="M32" s="60">
        <v>76.521000000000001</v>
      </c>
    </row>
    <row r="33" spans="1:13" x14ac:dyDescent="0.2">
      <c r="A33" s="60" t="s">
        <v>210</v>
      </c>
      <c r="B33" s="60" t="s">
        <v>211</v>
      </c>
      <c r="C33" s="69">
        <f>IF(IFERROR(INDEX('2016'!$G$5:$G$72,MATCH(B33,'2016'!$A$5:$A$72,0)),0)=0,"N/A",INDEX('2016'!$G$5:$G$72,MATCH(B33,'2016'!$A$5:$A$72,0)))</f>
        <v>55.326999999999998</v>
      </c>
      <c r="D33" s="60">
        <v>49.982999999999997</v>
      </c>
      <c r="E33" s="60">
        <v>46.232999999999997</v>
      </c>
      <c r="F33" s="60">
        <v>42.183</v>
      </c>
      <c r="G33" s="60">
        <v>37.526000000000003</v>
      </c>
      <c r="H33" s="60">
        <v>34.076999999999998</v>
      </c>
      <c r="I33" s="60">
        <v>28.189</v>
      </c>
      <c r="J33" s="60">
        <v>22.844000000000001</v>
      </c>
      <c r="K33" s="60">
        <v>25.411999999999999</v>
      </c>
      <c r="L33" s="60">
        <v>29.806000000000001</v>
      </c>
      <c r="M33" s="60">
        <v>22.193000000000001</v>
      </c>
    </row>
    <row r="34" spans="1:13" x14ac:dyDescent="0.2">
      <c r="A34" s="60" t="s">
        <v>135</v>
      </c>
      <c r="B34" s="60" t="s">
        <v>18</v>
      </c>
      <c r="C34" s="69">
        <f>IF(IFERROR(INDEX('2016'!$G$5:$G$72,MATCH(B34,'2016'!$A$5:$A$72,0)),0)=0,"N/A",INDEX('2016'!$G$5:$G$72,MATCH(B34,'2016'!$A$5:$A$72,0)))</f>
        <v>33.625999999999998</v>
      </c>
      <c r="D34" s="60">
        <v>31.943000000000001</v>
      </c>
      <c r="E34" s="60">
        <v>33.637999999999998</v>
      </c>
      <c r="F34" s="60">
        <v>31.03</v>
      </c>
      <c r="G34" s="60">
        <v>36.630000000000003</v>
      </c>
      <c r="H34" s="60">
        <v>42.38</v>
      </c>
      <c r="I34" s="60">
        <v>42.453000000000003</v>
      </c>
      <c r="J34" s="60">
        <v>49.283999999999999</v>
      </c>
      <c r="K34" s="60">
        <v>73.686000000000007</v>
      </c>
      <c r="L34" s="60">
        <v>73.433999999999997</v>
      </c>
      <c r="M34" s="60">
        <v>57.85</v>
      </c>
    </row>
    <row r="35" spans="1:13" x14ac:dyDescent="0.2">
      <c r="A35" s="60" t="s">
        <v>136</v>
      </c>
      <c r="B35" s="60" t="s">
        <v>19</v>
      </c>
      <c r="C35" s="69">
        <f>IF(IFERROR(INDEX('2016'!$G$5:$G$72,MATCH(B35,'2016'!$A$5:$A$72,0)),0)=0,"N/A",INDEX('2016'!$G$5:$G$72,MATCH(B35,'2016'!$A$5:$A$72,0)))</f>
        <v>33.418999999999997</v>
      </c>
      <c r="D35" s="60">
        <v>34.045000000000002</v>
      </c>
      <c r="E35" s="60">
        <v>33.820999999999998</v>
      </c>
      <c r="F35" s="60">
        <v>38.771999999999998</v>
      </c>
      <c r="G35" s="60">
        <v>44.932000000000002</v>
      </c>
      <c r="H35" s="60">
        <v>42.094000000000001</v>
      </c>
      <c r="I35" s="60">
        <v>38.18</v>
      </c>
      <c r="J35" s="60">
        <v>43.24</v>
      </c>
      <c r="K35" s="60">
        <v>68.518000000000001</v>
      </c>
      <c r="L35" s="60">
        <v>65.777000000000001</v>
      </c>
      <c r="M35" s="60">
        <v>54.353999999999999</v>
      </c>
    </row>
    <row r="36" spans="1:13" x14ac:dyDescent="0.2">
      <c r="A36" s="60" t="s">
        <v>265</v>
      </c>
      <c r="B36" s="60" t="s">
        <v>266</v>
      </c>
      <c r="C36" s="69">
        <f>IF(IFERROR(INDEX('2016'!$G$5:$G$72,MATCH(B36,'2016'!$A$5:$A$72,0)),0)=0,"N/A",INDEX('2016'!$G$5:$G$72,MATCH(B36,'2016'!$A$5:$A$72,0)))</f>
        <v>40.829000000000001</v>
      </c>
      <c r="D36" s="60">
        <v>37.984999999999999</v>
      </c>
      <c r="E36" s="60">
        <v>33.515000000000001</v>
      </c>
      <c r="F36" s="60">
        <v>32.551000000000002</v>
      </c>
      <c r="G36" s="60">
        <v>33.201999999999998</v>
      </c>
      <c r="H36" s="60">
        <v>32.698999999999998</v>
      </c>
      <c r="I36" s="60">
        <v>29.507999999999999</v>
      </c>
      <c r="J36" s="60">
        <v>24.71</v>
      </c>
      <c r="K36" s="60">
        <v>26.573</v>
      </c>
      <c r="L36" s="60">
        <v>27.212</v>
      </c>
      <c r="M36" s="60">
        <v>24.033000000000001</v>
      </c>
    </row>
    <row r="37" spans="1:13" x14ac:dyDescent="0.2">
      <c r="A37" s="60" t="s">
        <v>185</v>
      </c>
      <c r="B37" s="60" t="s">
        <v>186</v>
      </c>
      <c r="C37" s="69">
        <f>IF(IFERROR(INDEX('2016'!$G$5:$G$72,MATCH(B37,'2016'!$A$5:$A$72,0)),0)=0,"N/A",INDEX('2016'!$G$5:$G$72,MATCH(B37,'2016'!$A$5:$A$72,0)))</f>
        <v>8.6920000000000002</v>
      </c>
      <c r="D37" s="60">
        <v>9.4740000000000002</v>
      </c>
      <c r="E37" s="60">
        <v>10.760999999999999</v>
      </c>
      <c r="F37" s="60">
        <v>9.968</v>
      </c>
      <c r="G37" s="60">
        <v>10.432</v>
      </c>
      <c r="H37" s="60">
        <v>11.112</v>
      </c>
      <c r="I37" s="60">
        <v>10.814</v>
      </c>
      <c r="J37" s="60">
        <v>8.5739999999999998</v>
      </c>
      <c r="K37" s="60">
        <v>9.42</v>
      </c>
      <c r="L37" s="60">
        <v>8.1549999999999994</v>
      </c>
      <c r="M37" s="60">
        <v>6.4859999999999998</v>
      </c>
    </row>
    <row r="38" spans="1:13" x14ac:dyDescent="0.2">
      <c r="A38" s="60" t="s">
        <v>137</v>
      </c>
      <c r="B38" s="60" t="s">
        <v>20</v>
      </c>
      <c r="C38" s="69">
        <f>IF(IFERROR(INDEX('2016'!$G$5:$G$72,MATCH(B38,'2016'!$A$5:$A$72,0)),0)=0,"N/A",INDEX('2016'!$G$5:$G$72,MATCH(B38,'2016'!$A$5:$A$72,0)))</f>
        <v>28.949000000000002</v>
      </c>
      <c r="D38" s="60">
        <v>26.530999999999999</v>
      </c>
      <c r="E38" s="60">
        <v>25.858000000000001</v>
      </c>
      <c r="F38" s="60">
        <v>22.981999999999999</v>
      </c>
      <c r="G38" s="60">
        <v>20.971</v>
      </c>
      <c r="H38" s="60">
        <v>20.131</v>
      </c>
      <c r="I38" s="60">
        <v>18.504999999999999</v>
      </c>
      <c r="J38" s="60">
        <v>16.513999999999999</v>
      </c>
      <c r="K38" s="60">
        <v>23.834</v>
      </c>
      <c r="L38" s="60">
        <v>30.242999999999999</v>
      </c>
      <c r="M38" s="60">
        <v>29.643999999999998</v>
      </c>
    </row>
    <row r="39" spans="1:13" x14ac:dyDescent="0.2">
      <c r="A39" s="60" t="s">
        <v>138</v>
      </c>
      <c r="B39" s="60" t="s">
        <v>21</v>
      </c>
      <c r="C39" s="69">
        <f>IF(IFERROR(INDEX('2016'!$G$5:$G$72,MATCH(B39,'2016'!$A$5:$A$72,0)),0)=0,"N/A",INDEX('2016'!$G$5:$G$72,MATCH(B39,'2016'!$A$5:$A$72,0)))</f>
        <v>31.044</v>
      </c>
      <c r="D39" s="60">
        <v>30.603999999999999</v>
      </c>
      <c r="E39" s="60">
        <v>26.045000000000002</v>
      </c>
      <c r="F39" s="60">
        <v>26.265000000000001</v>
      </c>
      <c r="G39" s="60">
        <v>26.408000000000001</v>
      </c>
      <c r="H39" s="60">
        <v>24.609000000000002</v>
      </c>
      <c r="I39" s="60">
        <v>22.491</v>
      </c>
      <c r="J39" s="60">
        <v>18.004999999999999</v>
      </c>
      <c r="K39" s="60">
        <v>24.782</v>
      </c>
      <c r="L39" s="60">
        <v>23.946999999999999</v>
      </c>
      <c r="M39" s="60">
        <v>27.038</v>
      </c>
    </row>
    <row r="40" spans="1:13" x14ac:dyDescent="0.2">
      <c r="A40" s="60" t="s">
        <v>216</v>
      </c>
      <c r="B40" s="60" t="s">
        <v>22</v>
      </c>
      <c r="C40" s="69">
        <f>IF(IFERROR(INDEX('2016'!$G$5:$G$72,MATCH(B40,'2016'!$A$5:$A$72,0)),0)=0,"N/A",INDEX('2016'!$G$5:$G$72,MATCH(B40,'2016'!$A$5:$A$72,0)))</f>
        <v>75.097999999999999</v>
      </c>
      <c r="D40" s="60">
        <v>62.764000000000003</v>
      </c>
      <c r="E40" s="60">
        <v>56.459000000000003</v>
      </c>
      <c r="F40" s="60">
        <v>48.957000000000001</v>
      </c>
      <c r="G40" s="60">
        <v>41.82</v>
      </c>
      <c r="H40" s="60">
        <v>38.758000000000003</v>
      </c>
      <c r="I40" s="60">
        <v>34.89</v>
      </c>
      <c r="J40" s="60">
        <v>26.920999999999999</v>
      </c>
      <c r="K40" s="60">
        <v>30.356999999999999</v>
      </c>
      <c r="L40" s="60">
        <v>33.840000000000003</v>
      </c>
      <c r="M40" s="60">
        <v>35.414000000000001</v>
      </c>
    </row>
    <row r="41" spans="1:13" x14ac:dyDescent="0.2">
      <c r="A41" s="60" t="s">
        <v>139</v>
      </c>
      <c r="B41" s="60" t="s">
        <v>25</v>
      </c>
      <c r="C41" s="69">
        <f>IF(IFERROR(INDEX('2016'!$G$5:$G$72,MATCH(B41,'2016'!$A$5:$A$72,0)),0)=0,"N/A",INDEX('2016'!$G$5:$G$72,MATCH(B41,'2016'!$A$5:$A$72,0)))</f>
        <v>54.29</v>
      </c>
      <c r="D41" s="60">
        <v>41.774999999999999</v>
      </c>
      <c r="E41" s="60">
        <v>39.883000000000003</v>
      </c>
      <c r="F41" s="60">
        <v>36.750999999999998</v>
      </c>
      <c r="G41" s="60">
        <v>32.048999999999999</v>
      </c>
      <c r="H41" s="60">
        <v>27.849</v>
      </c>
      <c r="I41" s="60">
        <v>24.966999999999999</v>
      </c>
      <c r="J41" s="60">
        <v>22.3</v>
      </c>
      <c r="K41" s="60">
        <v>22.568000000000001</v>
      </c>
      <c r="L41" s="60">
        <v>22.706</v>
      </c>
      <c r="M41" s="60">
        <v>21.802</v>
      </c>
    </row>
    <row r="42" spans="1:13" x14ac:dyDescent="0.2">
      <c r="A42" s="60" t="s">
        <v>187</v>
      </c>
      <c r="B42" s="60" t="s">
        <v>188</v>
      </c>
      <c r="C42" s="69">
        <f>IF(IFERROR(INDEX('2016'!$G$5:$G$72,MATCH(B42,'2016'!$A$5:$A$72,0)),0)=0,"N/A",INDEX('2016'!$G$5:$G$72,MATCH(B42,'2016'!$A$5:$A$72,0)))</f>
        <v>35.39</v>
      </c>
      <c r="D42" s="60">
        <v>23.314</v>
      </c>
      <c r="E42" s="60">
        <v>20.89</v>
      </c>
      <c r="F42" s="60">
        <v>20.295000000000002</v>
      </c>
      <c r="G42" s="60">
        <v>18.745999999999999</v>
      </c>
      <c r="H42" s="60">
        <v>18.25</v>
      </c>
      <c r="I42" s="60">
        <v>17.097000000000001</v>
      </c>
      <c r="J42" s="60">
        <v>15.132</v>
      </c>
      <c r="K42" s="60">
        <v>17.620999999999999</v>
      </c>
      <c r="L42" s="60">
        <v>18.782</v>
      </c>
      <c r="M42" s="60">
        <v>18.629000000000001</v>
      </c>
    </row>
    <row r="43" spans="1:13" x14ac:dyDescent="0.2">
      <c r="A43" s="60" t="s">
        <v>189</v>
      </c>
      <c r="B43" s="60" t="s">
        <v>190</v>
      </c>
      <c r="C43" s="69">
        <f>IF(IFERROR(INDEX('2016'!$G$5:$G$72,MATCH(B43,'2016'!$A$5:$A$72,0)),0)=0,"N/A",INDEX('2016'!$G$5:$G$72,MATCH(B43,'2016'!$A$5:$A$72,0)))</f>
        <v>34.213000000000001</v>
      </c>
      <c r="D43" s="60">
        <v>29.571000000000002</v>
      </c>
      <c r="E43" s="60">
        <v>24.402999999999999</v>
      </c>
      <c r="F43" s="60">
        <v>21.817</v>
      </c>
      <c r="G43" s="60">
        <v>22.803000000000001</v>
      </c>
      <c r="H43" s="60">
        <v>21.614000000000001</v>
      </c>
      <c r="I43" s="60">
        <v>18.43</v>
      </c>
      <c r="J43" s="60">
        <v>17.91</v>
      </c>
      <c r="K43" s="60">
        <v>16.57</v>
      </c>
      <c r="L43" s="60">
        <v>16.792000000000002</v>
      </c>
      <c r="M43" s="60">
        <v>15.045</v>
      </c>
    </row>
    <row r="44" spans="1:13" x14ac:dyDescent="0.2">
      <c r="A44" s="60" t="s">
        <v>140</v>
      </c>
      <c r="B44" s="60" t="s">
        <v>141</v>
      </c>
      <c r="C44" s="69">
        <f>IF(IFERROR(INDEX('2016'!$G$5:$G$72,MATCH(B44,'2016'!$A$5:$A$72,0)),0)=0,"N/A",INDEX('2016'!$G$5:$G$72,MATCH(B44,'2016'!$A$5:$A$72,0)))</f>
        <v>119.712</v>
      </c>
      <c r="D44" s="60">
        <v>102.38</v>
      </c>
      <c r="E44" s="60">
        <v>96.625</v>
      </c>
      <c r="F44" s="60">
        <v>80.039000000000001</v>
      </c>
      <c r="G44" s="60">
        <v>65.816999999999993</v>
      </c>
      <c r="H44" s="60">
        <v>55.601999999999997</v>
      </c>
      <c r="I44" s="60">
        <v>51.326999999999998</v>
      </c>
      <c r="J44" s="60">
        <v>53.26</v>
      </c>
      <c r="K44" s="60">
        <v>58.942999999999998</v>
      </c>
      <c r="L44" s="60">
        <v>61.792999999999999</v>
      </c>
      <c r="M44" s="60">
        <v>44.097000000000001</v>
      </c>
    </row>
    <row r="45" spans="1:13" x14ac:dyDescent="0.2">
      <c r="A45" s="60" t="s">
        <v>142</v>
      </c>
      <c r="B45" s="60" t="s">
        <v>26</v>
      </c>
      <c r="C45" s="69">
        <f>IF(IFERROR(INDEX('2016'!$G$5:$G$72,MATCH(B45,'2016'!$A$5:$A$72,0)),0)=0,"N/A",INDEX('2016'!$G$5:$G$72,MATCH(B45,'2016'!$A$5:$A$72,0)))</f>
        <v>23.183</v>
      </c>
      <c r="D45" s="60">
        <v>23.524000000000001</v>
      </c>
      <c r="E45" s="60">
        <v>37.978999999999999</v>
      </c>
      <c r="F45" s="60">
        <v>29.655000000000001</v>
      </c>
      <c r="G45" s="60">
        <v>24.481999999999999</v>
      </c>
      <c r="H45" s="60">
        <v>20.331</v>
      </c>
      <c r="I45" s="60">
        <v>16.247</v>
      </c>
      <c r="J45" s="60">
        <v>12.041</v>
      </c>
      <c r="K45" s="60">
        <v>16.167000000000002</v>
      </c>
      <c r="L45" s="60">
        <v>21.45</v>
      </c>
      <c r="M45" s="60">
        <v>21.841999999999999</v>
      </c>
    </row>
    <row r="46" spans="1:13" x14ac:dyDescent="0.2">
      <c r="A46" s="60" t="s">
        <v>191</v>
      </c>
      <c r="B46" s="60" t="s">
        <v>192</v>
      </c>
      <c r="C46" s="69">
        <f>IF(IFERROR(INDEX('2016'!$G$5:$G$72,MATCH(B46,'2016'!$A$5:$A$72,0)),0)=0,"N/A",INDEX('2016'!$G$5:$G$72,MATCH(B46,'2016'!$A$5:$A$72,0)))</f>
        <v>57.076000000000001</v>
      </c>
      <c r="D46" s="60">
        <v>46.436</v>
      </c>
      <c r="E46" s="60">
        <v>44.691000000000003</v>
      </c>
      <c r="F46" s="60">
        <v>43.41</v>
      </c>
      <c r="G46" s="60">
        <v>46.789000000000001</v>
      </c>
      <c r="H46" s="60">
        <v>45.454000000000001</v>
      </c>
      <c r="I46" s="60">
        <v>46.332000000000001</v>
      </c>
      <c r="J46" s="60">
        <v>42.94</v>
      </c>
      <c r="K46" s="60">
        <v>46.453000000000003</v>
      </c>
      <c r="L46" s="60">
        <v>46.198</v>
      </c>
      <c r="M46" s="60">
        <v>37.247999999999998</v>
      </c>
    </row>
    <row r="47" spans="1:13" x14ac:dyDescent="0.2">
      <c r="A47" s="60" t="s">
        <v>143</v>
      </c>
      <c r="B47" s="60" t="s">
        <v>144</v>
      </c>
      <c r="C47" s="69">
        <f>IF(IFERROR(INDEX('2016'!$G$5:$G$72,MATCH(B47,'2016'!$A$5:$A$72,0)),0)=0,"N/A",INDEX('2016'!$G$5:$G$72,MATCH(B47,'2016'!$A$5:$A$72,0)))</f>
        <v>58.261000000000003</v>
      </c>
      <c r="D47" s="60">
        <v>53.249000000000002</v>
      </c>
      <c r="E47" s="60">
        <v>48.543999999999997</v>
      </c>
      <c r="F47" s="60">
        <v>41.475000000000001</v>
      </c>
      <c r="G47" s="60">
        <v>35.521000000000001</v>
      </c>
      <c r="H47" s="60">
        <v>31.934999999999999</v>
      </c>
      <c r="I47" s="60">
        <v>27.596</v>
      </c>
      <c r="J47" s="60">
        <v>23.306999999999999</v>
      </c>
      <c r="K47" s="60">
        <v>24.542999999999999</v>
      </c>
      <c r="L47" s="60">
        <v>31.297999999999998</v>
      </c>
      <c r="M47" s="60">
        <v>33.997999999999998</v>
      </c>
    </row>
    <row r="48" spans="1:13" x14ac:dyDescent="0.2">
      <c r="A48" s="60" t="s">
        <v>145</v>
      </c>
      <c r="B48" s="60" t="s">
        <v>27</v>
      </c>
      <c r="C48" s="69">
        <f>IF(IFERROR(INDEX('2016'!$G$5:$G$72,MATCH(B48,'2016'!$A$5:$A$72,0)),0)=0,"N/A",INDEX('2016'!$G$5:$G$72,MATCH(B48,'2016'!$A$5:$A$72,0)))</f>
        <v>29.88</v>
      </c>
      <c r="D48" s="60">
        <v>29.895</v>
      </c>
      <c r="E48" s="60">
        <v>36.165999999999997</v>
      </c>
      <c r="F48" s="60">
        <v>34.323999999999998</v>
      </c>
      <c r="G48" s="60">
        <v>27.129000000000001</v>
      </c>
      <c r="H48" s="60">
        <v>24.782</v>
      </c>
      <c r="I48" s="60">
        <v>19.904</v>
      </c>
      <c r="J48" s="60">
        <v>14.409000000000001</v>
      </c>
      <c r="K48" s="60">
        <v>15.448</v>
      </c>
      <c r="L48" s="60">
        <v>18.151</v>
      </c>
      <c r="M48" s="60">
        <v>16.751999999999999</v>
      </c>
    </row>
    <row r="49" spans="1:13" x14ac:dyDescent="0.2">
      <c r="A49" s="60" t="s">
        <v>349</v>
      </c>
      <c r="B49" s="60" t="s">
        <v>346</v>
      </c>
      <c r="C49" s="69">
        <f>IF(IFERROR(INDEX('2016'!$G$5:$G$72,MATCH(B49,'2016'!$A$5:$A$72,0)),0)=0,"N/A",INDEX('2016'!$G$5:$G$72,MATCH(B49,'2016'!$A$5:$A$72,0)))</f>
        <v>60.256999999999998</v>
      </c>
      <c r="D49" s="60">
        <v>44.33</v>
      </c>
      <c r="E49" s="60">
        <v>36.902000000000001</v>
      </c>
    </row>
    <row r="50" spans="1:13" x14ac:dyDescent="0.2">
      <c r="A50" s="60" t="s">
        <v>146</v>
      </c>
      <c r="B50" s="60" t="s">
        <v>28</v>
      </c>
      <c r="C50" s="69">
        <f>IF(IFERROR(INDEX('2016'!$G$5:$G$72,MATCH(B50,'2016'!$A$5:$A$72,0)),0)=0,"N/A",INDEX('2016'!$G$5:$G$72,MATCH(B50,'2016'!$A$5:$A$72,0)))</f>
        <v>32.308999999999997</v>
      </c>
      <c r="D50" s="60">
        <v>28.39</v>
      </c>
      <c r="E50" s="60">
        <v>29.199000000000002</v>
      </c>
      <c r="F50" s="60">
        <v>28.934000000000001</v>
      </c>
      <c r="G50" s="60">
        <v>22.837</v>
      </c>
      <c r="H50" s="60">
        <v>21.367000000000001</v>
      </c>
      <c r="I50" s="60">
        <v>20.937000000000001</v>
      </c>
      <c r="J50" s="60">
        <v>22.123000000000001</v>
      </c>
      <c r="K50" s="60">
        <v>32.761000000000003</v>
      </c>
      <c r="L50" s="60">
        <v>33.854999999999997</v>
      </c>
      <c r="M50" s="60">
        <v>29.318999999999999</v>
      </c>
    </row>
    <row r="51" spans="1:13" x14ac:dyDescent="0.2">
      <c r="A51" s="60" t="s">
        <v>147</v>
      </c>
      <c r="B51" s="60" t="s">
        <v>30</v>
      </c>
      <c r="C51" s="69">
        <f>IF(IFERROR(INDEX('2016'!$G$5:$G$72,MATCH(B51,'2016'!$A$5:$A$72,0)),0)=0,"N/A",INDEX('2016'!$G$5:$G$72,MATCH(B51,'2016'!$A$5:$A$72,0)))</f>
        <v>59.787999999999997</v>
      </c>
      <c r="D51" s="60">
        <v>52.796999999999997</v>
      </c>
      <c r="E51" s="60">
        <v>45.908999999999999</v>
      </c>
      <c r="F51" s="60">
        <v>43.308999999999997</v>
      </c>
      <c r="G51" s="60">
        <v>42.853000000000002</v>
      </c>
      <c r="H51" s="60">
        <v>42.972999999999999</v>
      </c>
      <c r="I51" s="60">
        <v>44.564999999999998</v>
      </c>
      <c r="J51" s="60">
        <v>39.418999999999997</v>
      </c>
      <c r="K51" s="60">
        <v>38.911000000000001</v>
      </c>
      <c r="L51" s="60">
        <v>46.835999999999999</v>
      </c>
      <c r="M51" s="60">
        <v>40.963999999999999</v>
      </c>
    </row>
    <row r="52" spans="1:13" x14ac:dyDescent="0.2">
      <c r="A52" s="60" t="s">
        <v>148</v>
      </c>
      <c r="B52" s="60" t="s">
        <v>31</v>
      </c>
      <c r="C52" s="69">
        <f>IF(IFERROR(INDEX('2016'!$G$5:$G$72,MATCH(B52,'2016'!$A$5:$A$72,0)),0)=0,"N/A",INDEX('2016'!$G$5:$G$72,MATCH(B52,'2016'!$A$5:$A$72,0)))</f>
        <v>74.034999999999997</v>
      </c>
      <c r="D52" s="60">
        <v>62.86</v>
      </c>
      <c r="E52" s="60">
        <v>56.872</v>
      </c>
      <c r="F52" s="60">
        <v>55.88</v>
      </c>
      <c r="G52" s="60">
        <v>50.21</v>
      </c>
      <c r="H52" s="60">
        <v>43.665999999999997</v>
      </c>
      <c r="I52" s="60">
        <v>38.698999999999998</v>
      </c>
      <c r="J52" s="60">
        <v>31.056000000000001</v>
      </c>
      <c r="K52" s="60">
        <v>34.06</v>
      </c>
      <c r="L52" s="60">
        <v>44.195999999999998</v>
      </c>
      <c r="M52" s="60">
        <v>43.399000000000001</v>
      </c>
    </row>
    <row r="53" spans="1:13" x14ac:dyDescent="0.2">
      <c r="A53" s="60" t="s">
        <v>149</v>
      </c>
      <c r="B53" s="60" t="s">
        <v>32</v>
      </c>
      <c r="C53" s="69">
        <f>IF(IFERROR(INDEX('2016'!$G$5:$G$72,MATCH(B53,'2016'!$A$5:$A$72,0)),0)=0,"N/A",INDEX('2016'!$G$5:$G$72,MATCH(B53,'2016'!$A$5:$A$72,0)))</f>
        <v>32.722000000000001</v>
      </c>
      <c r="D53" s="60">
        <v>27.629000000000001</v>
      </c>
      <c r="E53" s="60">
        <v>27.08</v>
      </c>
      <c r="F53" s="60">
        <v>22.745000000000001</v>
      </c>
      <c r="G53" s="60">
        <v>19.611999999999998</v>
      </c>
      <c r="H53" s="60">
        <v>15.695</v>
      </c>
      <c r="I53" s="60">
        <v>12.218999999999999</v>
      </c>
      <c r="J53" s="60">
        <v>10.494</v>
      </c>
      <c r="K53" s="60">
        <v>12.468999999999999</v>
      </c>
      <c r="L53" s="60">
        <v>27.093</v>
      </c>
      <c r="M53" s="60">
        <v>26.786000000000001</v>
      </c>
    </row>
    <row r="54" spans="1:13" x14ac:dyDescent="0.2">
      <c r="A54" s="60" t="s">
        <v>150</v>
      </c>
      <c r="B54" s="60" t="s">
        <v>33</v>
      </c>
      <c r="C54" s="69">
        <f>IF(IFERROR(INDEX('2016'!$G$5:$G$72,MATCH(B54,'2016'!$A$5:$A$72,0)),0)=0,"N/A",INDEX('2016'!$G$5:$G$72,MATCH(B54,'2016'!$A$5:$A$72,0)))</f>
        <v>41.164999999999999</v>
      </c>
      <c r="D54" s="60">
        <v>36.137</v>
      </c>
      <c r="E54" s="60">
        <v>33.393000000000001</v>
      </c>
      <c r="F54" s="60">
        <v>29.876999999999999</v>
      </c>
      <c r="G54" s="60">
        <v>26.14</v>
      </c>
      <c r="H54" s="60">
        <v>24.120999999999999</v>
      </c>
      <c r="I54" s="60">
        <v>19.920000000000002</v>
      </c>
      <c r="J54" s="60">
        <v>18.856999999999999</v>
      </c>
      <c r="K54" s="60">
        <v>22.651</v>
      </c>
      <c r="L54" s="60">
        <v>27.824000000000002</v>
      </c>
      <c r="M54" s="60">
        <v>26.619</v>
      </c>
    </row>
    <row r="55" spans="1:13" x14ac:dyDescent="0.2">
      <c r="A55" s="60" t="s">
        <v>151</v>
      </c>
      <c r="B55" s="60" t="s">
        <v>34</v>
      </c>
      <c r="C55" s="69">
        <f>IF(IFERROR(INDEX('2016'!$G$5:$G$72,MATCH(B55,'2016'!$A$5:$A$72,0)),0)=0,"N/A",INDEX('2016'!$G$5:$G$72,MATCH(B55,'2016'!$A$5:$A$72,0)))</f>
        <v>35.793999999999997</v>
      </c>
      <c r="D55" s="60">
        <v>32.978999999999999</v>
      </c>
      <c r="E55" s="60">
        <v>33.502000000000002</v>
      </c>
      <c r="F55" s="60">
        <v>30.568000000000001</v>
      </c>
      <c r="G55" s="60">
        <v>28.401</v>
      </c>
      <c r="H55" s="60">
        <v>27.446000000000002</v>
      </c>
      <c r="I55" s="60">
        <v>27.318999999999999</v>
      </c>
      <c r="J55" s="60">
        <v>30.567</v>
      </c>
      <c r="K55" s="60">
        <v>43.213999999999999</v>
      </c>
      <c r="L55" s="60">
        <v>45.4</v>
      </c>
      <c r="M55" s="60">
        <v>32.289000000000001</v>
      </c>
    </row>
    <row r="56" spans="1:13" x14ac:dyDescent="0.2">
      <c r="A56" s="60" t="s">
        <v>152</v>
      </c>
      <c r="B56" s="60" t="s">
        <v>35</v>
      </c>
      <c r="C56" s="69">
        <f>IF(IFERROR(INDEX('2016'!$G$5:$G$72,MATCH(B56,'2016'!$A$5:$A$72,0)),0)=0,"N/A",INDEX('2016'!$G$5:$G$72,MATCH(B56,'2016'!$A$5:$A$72,0)))</f>
        <v>43.433</v>
      </c>
      <c r="D56" s="60">
        <v>40.96</v>
      </c>
      <c r="E56" s="60">
        <v>37.715000000000003</v>
      </c>
      <c r="F56" s="60">
        <v>33.075000000000003</v>
      </c>
      <c r="G56" s="60">
        <v>31.202999999999999</v>
      </c>
      <c r="H56" s="60">
        <v>32.326999999999998</v>
      </c>
      <c r="I56" s="60">
        <v>31.832000000000001</v>
      </c>
      <c r="J56" s="60">
        <v>30.92</v>
      </c>
      <c r="K56" s="60">
        <v>39.573</v>
      </c>
      <c r="L56" s="60">
        <v>42.845999999999997</v>
      </c>
      <c r="M56" s="60">
        <v>32.856000000000002</v>
      </c>
    </row>
    <row r="57" spans="1:13" x14ac:dyDescent="0.2">
      <c r="A57" s="60" t="s">
        <v>193</v>
      </c>
      <c r="B57" s="60" t="s">
        <v>194</v>
      </c>
      <c r="C57" s="69">
        <f>IF(IFERROR(INDEX('2016'!$G$5:$G$72,MATCH(B57,'2016'!$A$5:$A$72,0)),0)=0,"N/A",INDEX('2016'!$G$5:$G$72,MATCH(B57,'2016'!$A$5:$A$72,0)))</f>
        <v>14.97</v>
      </c>
      <c r="D57" s="60">
        <v>20.946999999999999</v>
      </c>
      <c r="E57" s="60">
        <v>19.355</v>
      </c>
      <c r="F57" s="60">
        <v>18.885999999999999</v>
      </c>
      <c r="G57" s="60">
        <v>17.975000000000001</v>
      </c>
      <c r="H57" s="60">
        <v>16.324999999999999</v>
      </c>
      <c r="I57" s="60">
        <v>15.202999999999999</v>
      </c>
      <c r="J57" s="60">
        <v>12.958</v>
      </c>
      <c r="K57" s="60">
        <v>14.269</v>
      </c>
      <c r="L57" s="60">
        <v>13.407999999999999</v>
      </c>
      <c r="M57" s="60">
        <v>12.746</v>
      </c>
    </row>
    <row r="58" spans="1:13" x14ac:dyDescent="0.2">
      <c r="A58" s="60" t="s">
        <v>153</v>
      </c>
      <c r="B58" s="60" t="s">
        <v>36</v>
      </c>
      <c r="C58" s="69">
        <f>IF(IFERROR(INDEX('2016'!$G$5:$G$72,MATCH(B58,'2016'!$A$5:$A$72,0)),0)=0,"N/A",INDEX('2016'!$G$5:$G$72,MATCH(B58,'2016'!$A$5:$A$72,0)))</f>
        <v>69.870999999999995</v>
      </c>
      <c r="D58" s="60">
        <v>55.875</v>
      </c>
      <c r="E58" s="60">
        <v>51.834000000000003</v>
      </c>
      <c r="F58" s="60">
        <v>48.905999999999999</v>
      </c>
      <c r="G58" s="60">
        <v>46.616999999999997</v>
      </c>
      <c r="H58" s="60">
        <v>40.601999999999997</v>
      </c>
      <c r="I58" s="60">
        <v>38.542999999999999</v>
      </c>
      <c r="J58" s="60">
        <v>33.134999999999998</v>
      </c>
      <c r="K58" s="60">
        <v>37.369</v>
      </c>
      <c r="L58" s="60">
        <v>40.981000000000002</v>
      </c>
      <c r="M58" s="60">
        <v>39.936999999999998</v>
      </c>
    </row>
    <row r="59" spans="1:13" x14ac:dyDescent="0.2">
      <c r="A59" s="60" t="s">
        <v>154</v>
      </c>
      <c r="B59" s="60" t="s">
        <v>37</v>
      </c>
      <c r="C59" s="69">
        <f>IF(IFERROR(INDEX('2016'!$G$5:$G$72,MATCH(B59,'2016'!$A$5:$A$72,0)),0)=0,"N/A",INDEX('2016'!$G$5:$G$72,MATCH(B59,'2016'!$A$5:$A$72,0)))</f>
        <v>103.34</v>
      </c>
      <c r="D59" s="60">
        <v>103.166</v>
      </c>
      <c r="E59" s="60">
        <v>101.265</v>
      </c>
      <c r="F59" s="60">
        <v>83.064999999999998</v>
      </c>
      <c r="G59" s="60">
        <v>64.763000000000005</v>
      </c>
      <c r="H59" s="60">
        <v>52.616</v>
      </c>
      <c r="I59" s="60">
        <v>50.631999999999998</v>
      </c>
      <c r="J59" s="60">
        <v>48.228999999999999</v>
      </c>
      <c r="K59" s="60">
        <v>52.271999999999998</v>
      </c>
      <c r="L59" s="60">
        <v>59.668999999999997</v>
      </c>
      <c r="M59" s="60">
        <v>48.648000000000003</v>
      </c>
    </row>
    <row r="60" spans="1:13" x14ac:dyDescent="0.2">
      <c r="A60" s="60" t="s">
        <v>195</v>
      </c>
      <c r="B60" s="60" t="s">
        <v>196</v>
      </c>
      <c r="C60" s="69">
        <f>IF(IFERROR(INDEX('2016'!$G$5:$G$72,MATCH(B60,'2016'!$A$5:$A$72,0)),0)=0,"N/A",INDEX('2016'!$G$5:$G$72,MATCH(B60,'2016'!$A$5:$A$72,0)))</f>
        <v>40.286999999999999</v>
      </c>
      <c r="D60" s="60">
        <v>30.788</v>
      </c>
      <c r="E60" s="60">
        <v>28.417999999999999</v>
      </c>
      <c r="F60" s="60">
        <v>27.257999999999999</v>
      </c>
      <c r="G60" s="60">
        <v>24.032</v>
      </c>
      <c r="H60" s="60">
        <v>23.503</v>
      </c>
      <c r="I60" s="60">
        <v>24.463000000000001</v>
      </c>
      <c r="J60" s="60">
        <v>23.22</v>
      </c>
      <c r="K60" s="60">
        <v>28.442</v>
      </c>
      <c r="L60" s="60">
        <v>34.764000000000003</v>
      </c>
      <c r="M60" s="60">
        <v>27.975000000000001</v>
      </c>
    </row>
    <row r="61" spans="1:13" x14ac:dyDescent="0.2">
      <c r="A61" s="60" t="s">
        <v>197</v>
      </c>
      <c r="B61" s="60" t="s">
        <v>198</v>
      </c>
      <c r="C61" s="69">
        <f>IF(IFERROR(INDEX('2016'!$G$5:$G$72,MATCH(B61,'2016'!$A$5:$A$72,0)),0)=0,"N/A",INDEX('2016'!$G$5:$G$72,MATCH(B61,'2016'!$A$5:$A$72,0)))</f>
        <v>29.097000000000001</v>
      </c>
      <c r="D61" s="60">
        <v>25.846</v>
      </c>
      <c r="E61" s="60">
        <v>28.222999999999999</v>
      </c>
      <c r="F61" s="60">
        <v>28.638000000000002</v>
      </c>
      <c r="G61" s="60">
        <v>25.655999999999999</v>
      </c>
      <c r="H61" s="60">
        <v>26.706</v>
      </c>
      <c r="I61" s="60">
        <v>22.69</v>
      </c>
      <c r="J61" s="60">
        <v>17.797000000000001</v>
      </c>
      <c r="K61" s="60">
        <v>18.042999999999999</v>
      </c>
      <c r="L61" s="60">
        <v>17.954000000000001</v>
      </c>
      <c r="M61" s="60">
        <v>14.585000000000001</v>
      </c>
    </row>
    <row r="62" spans="1:13" x14ac:dyDescent="0.2">
      <c r="A62" s="60" t="s">
        <v>155</v>
      </c>
      <c r="B62" s="60" t="s">
        <v>38</v>
      </c>
      <c r="C62" s="69">
        <f>IF(IFERROR(INDEX('2016'!$G$5:$G$72,MATCH(B62,'2016'!$A$5:$A$72,0)),0)=0,"N/A",INDEX('2016'!$G$5:$G$72,MATCH(B62,'2016'!$A$5:$A$72,0)))</f>
        <v>50.256</v>
      </c>
      <c r="D62" s="60">
        <v>45.01</v>
      </c>
      <c r="E62" s="60">
        <v>44.442</v>
      </c>
      <c r="F62" s="60">
        <v>43.701999999999998</v>
      </c>
      <c r="G62" s="60">
        <v>45.304000000000002</v>
      </c>
      <c r="H62" s="60">
        <v>40.409999999999997</v>
      </c>
      <c r="I62" s="60">
        <v>35.156999999999996</v>
      </c>
      <c r="J62" s="60">
        <v>31.367999999999999</v>
      </c>
      <c r="K62" s="60">
        <v>36.286000000000001</v>
      </c>
      <c r="L62" s="60">
        <v>36.369999999999997</v>
      </c>
      <c r="M62" s="60">
        <v>33.996000000000002</v>
      </c>
    </row>
    <row r="63" spans="1:13" x14ac:dyDescent="0.2">
      <c r="A63" s="60" t="s">
        <v>199</v>
      </c>
      <c r="B63" s="60" t="s">
        <v>200</v>
      </c>
      <c r="C63" s="69">
        <f>IF(IFERROR(INDEX('2016'!$G$5:$G$72,MATCH(B63,'2016'!$A$5:$A$72,0)),0)=0,"N/A",INDEX('2016'!$G$5:$G$72,MATCH(B63,'2016'!$A$5:$A$72,0)))</f>
        <v>68.823999999999998</v>
      </c>
      <c r="D63" s="60">
        <v>56.515000000000001</v>
      </c>
      <c r="E63" s="60">
        <v>53.759</v>
      </c>
      <c r="F63" s="60">
        <v>49.005000000000003</v>
      </c>
      <c r="G63" s="60">
        <v>42.906999999999996</v>
      </c>
      <c r="H63" s="60">
        <v>38.121000000000002</v>
      </c>
      <c r="I63" s="60">
        <v>31.71</v>
      </c>
      <c r="J63" s="60">
        <v>23.666</v>
      </c>
      <c r="K63" s="60">
        <v>28.173999999999999</v>
      </c>
      <c r="L63" s="60">
        <v>33.658000000000001</v>
      </c>
      <c r="M63" s="60">
        <v>31.556000000000001</v>
      </c>
    </row>
    <row r="64" spans="1:13" x14ac:dyDescent="0.2">
      <c r="A64" s="60" t="s">
        <v>243</v>
      </c>
      <c r="B64" s="60" t="s">
        <v>244</v>
      </c>
      <c r="C64" s="69">
        <f>IF(IFERROR(INDEX('2016'!$G$5:$G$72,MATCH(B64,'2016'!$A$5:$A$72,0)),0)=0,"N/A",INDEX('2016'!$G$5:$G$72,MATCH(B64,'2016'!$A$5:$A$72,0)))</f>
        <v>63.55</v>
      </c>
      <c r="D64" s="60">
        <v>52.097999999999999</v>
      </c>
      <c r="E64" s="60">
        <v>46.524999999999999</v>
      </c>
      <c r="F64" s="60">
        <v>42.932000000000002</v>
      </c>
      <c r="G64" s="60">
        <v>40.344000000000001</v>
      </c>
      <c r="H64" s="60">
        <v>37.313000000000002</v>
      </c>
      <c r="I64" s="60">
        <v>33.384999999999998</v>
      </c>
      <c r="J64" s="60">
        <v>39.095999999999997</v>
      </c>
      <c r="K64" s="60">
        <v>37.787999999999997</v>
      </c>
      <c r="L64" s="60">
        <v>32.767000000000003</v>
      </c>
      <c r="M64" s="60">
        <v>32.231000000000002</v>
      </c>
    </row>
    <row r="65" spans="1:13" x14ac:dyDescent="0.2">
      <c r="A65" s="60" t="s">
        <v>201</v>
      </c>
      <c r="B65" s="60" t="s">
        <v>202</v>
      </c>
      <c r="C65" s="69">
        <f>IF(IFERROR(INDEX('2016'!$G$5:$G$72,MATCH(B65,'2016'!$A$5:$A$72,0)),0)=0,"N/A",INDEX('2016'!$G$5:$G$72,MATCH(B65,'2016'!$A$5:$A$72,0)))</f>
        <v>8.2889999999999997</v>
      </c>
      <c r="D65" s="60">
        <v>7.5670000000000002</v>
      </c>
      <c r="E65" s="60">
        <v>5.8380000000000001</v>
      </c>
      <c r="F65" s="60">
        <v>4.5910000000000002</v>
      </c>
      <c r="G65" s="60">
        <v>4.4260000000000002</v>
      </c>
      <c r="H65" s="60">
        <v>5.2859999999999996</v>
      </c>
      <c r="I65" s="60">
        <v>4.2370000000000001</v>
      </c>
      <c r="J65" s="60">
        <v>2.8370000000000002</v>
      </c>
      <c r="K65" s="60">
        <v>3.2229999999999999</v>
      </c>
      <c r="L65" s="60">
        <v>3.7919999999999998</v>
      </c>
      <c r="M65" s="60">
        <v>2.27</v>
      </c>
    </row>
    <row r="66" spans="1:13" x14ac:dyDescent="0.2">
      <c r="A66" s="60" t="s">
        <v>203</v>
      </c>
      <c r="B66" s="60" t="s">
        <v>204</v>
      </c>
      <c r="C66" s="69">
        <f>IF(IFERROR(INDEX('2016'!$G$5:$G$72,MATCH(B66,'2016'!$A$5:$A$72,0)),0)=0,"N/A",INDEX('2016'!$G$5:$G$72,MATCH(B66,'2016'!$A$5:$A$72,0)))</f>
        <v>39.622999999999998</v>
      </c>
      <c r="D66" s="60">
        <v>35.604999999999997</v>
      </c>
      <c r="E66" s="60">
        <v>30.346</v>
      </c>
      <c r="F66" s="60">
        <v>24.588000000000001</v>
      </c>
      <c r="G66" s="60">
        <v>19.210999999999999</v>
      </c>
      <c r="H66" s="60">
        <v>20.632999999999999</v>
      </c>
      <c r="I66" s="60">
        <v>17.239000000000001</v>
      </c>
      <c r="J66" s="60">
        <v>16.193999999999999</v>
      </c>
      <c r="K66" s="60">
        <v>17.651</v>
      </c>
      <c r="L66" s="60">
        <v>17.87</v>
      </c>
      <c r="M66" s="60">
        <v>15.362</v>
      </c>
    </row>
    <row r="67" spans="1:13" x14ac:dyDescent="0.2">
      <c r="A67" s="60" t="s">
        <v>159</v>
      </c>
      <c r="B67" s="60" t="s">
        <v>83</v>
      </c>
      <c r="C67" s="69">
        <f>IF(IFERROR(INDEX('2016'!$G$5:$G$72,MATCH(B67,'2016'!$A$5:$A$72,0)),0)=0,"N/A",INDEX('2016'!$G$5:$G$72,MATCH(B67,'2016'!$A$5:$A$72,0)))</f>
        <v>40.67</v>
      </c>
      <c r="D67" s="60">
        <v>35.021999999999998</v>
      </c>
      <c r="E67" s="60">
        <v>32.920999999999999</v>
      </c>
      <c r="F67" s="60">
        <v>29.036999999999999</v>
      </c>
      <c r="G67" s="60">
        <v>26.72</v>
      </c>
      <c r="H67" s="60">
        <v>25.177</v>
      </c>
      <c r="I67" s="60">
        <v>22.091999999999999</v>
      </c>
      <c r="J67" s="60">
        <v>20.919</v>
      </c>
      <c r="K67" s="60">
        <v>26.099</v>
      </c>
      <c r="L67" s="60">
        <v>27.931000000000001</v>
      </c>
      <c r="M67" s="60">
        <v>24.841999999999999</v>
      </c>
    </row>
    <row r="68" spans="1:13" x14ac:dyDescent="0.2">
      <c r="A68" s="60" t="s">
        <v>156</v>
      </c>
      <c r="B68" s="60" t="s">
        <v>42</v>
      </c>
      <c r="C68" s="69">
        <f>IF(IFERROR(INDEX('2016'!$G$5:$G$72,MATCH(B68,'2016'!$A$5:$A$72,0)),0)=0,"N/A",INDEX('2016'!$G$5:$G$72,MATCH(B68,'2016'!$A$5:$A$72,0)))</f>
        <v>48.904000000000003</v>
      </c>
      <c r="D68" s="60">
        <v>42.834000000000003</v>
      </c>
      <c r="E68" s="60">
        <v>40.365000000000002</v>
      </c>
      <c r="F68" s="60">
        <v>34.302999999999997</v>
      </c>
      <c r="G68" s="60">
        <v>29.135000000000002</v>
      </c>
      <c r="H68" s="60">
        <v>27.379000000000001</v>
      </c>
      <c r="I68" s="60">
        <v>24.768000000000001</v>
      </c>
      <c r="J68" s="60">
        <v>23.074000000000002</v>
      </c>
      <c r="K68" s="60">
        <v>27.364999999999998</v>
      </c>
      <c r="L68" s="60">
        <v>28.061</v>
      </c>
      <c r="M68" s="60">
        <v>27.241</v>
      </c>
    </row>
    <row r="69" spans="1:13" x14ac:dyDescent="0.2">
      <c r="A69" s="60" t="s">
        <v>217</v>
      </c>
      <c r="B69" s="60" t="s">
        <v>44</v>
      </c>
      <c r="C69" s="69">
        <f>IF(IFERROR(INDEX('2016'!$G$5:$G$72,MATCH(B69,'2016'!$A$5:$A$72,0)),0)=0,"N/A",INDEX('2016'!$G$5:$G$72,MATCH(B69,'2016'!$A$5:$A$72,0)))</f>
        <v>59.042000000000002</v>
      </c>
      <c r="D69" s="60">
        <v>49.920999999999999</v>
      </c>
      <c r="E69" s="60">
        <v>45.869</v>
      </c>
      <c r="F69" s="60">
        <v>41.426000000000002</v>
      </c>
      <c r="G69" s="60">
        <v>37.027999999999999</v>
      </c>
      <c r="H69" s="60">
        <v>31.062000000000001</v>
      </c>
      <c r="I69" s="60">
        <v>26.9</v>
      </c>
      <c r="J69" s="60">
        <v>21.353999999999999</v>
      </c>
      <c r="K69" s="60">
        <v>22.379000000000001</v>
      </c>
      <c r="L69" s="60">
        <v>23.39</v>
      </c>
      <c r="M69" s="60">
        <v>21.076000000000001</v>
      </c>
    </row>
    <row r="70" spans="1:13" x14ac:dyDescent="0.2">
      <c r="A70" s="60" t="s">
        <v>157</v>
      </c>
      <c r="B70" s="60" t="s">
        <v>43</v>
      </c>
      <c r="C70" s="69">
        <f>IF(IFERROR(INDEX('2016'!$G$5:$G$72,MATCH(B70,'2016'!$A$5:$A$72,0)),0)=0,"N/A",INDEX('2016'!$G$5:$G$72,MATCH(B70,'2016'!$A$5:$A$72,0)))</f>
        <v>52.454000000000001</v>
      </c>
      <c r="D70" s="60">
        <v>38.569000000000003</v>
      </c>
      <c r="E70" s="60">
        <v>36.091000000000001</v>
      </c>
      <c r="F70" s="60">
        <v>31.864000000000001</v>
      </c>
      <c r="G70" s="60">
        <v>28.873999999999999</v>
      </c>
      <c r="H70" s="60">
        <v>26.452999999999999</v>
      </c>
      <c r="I70" s="60">
        <v>23.321999999999999</v>
      </c>
      <c r="J70" s="60">
        <v>19.132000000000001</v>
      </c>
      <c r="K70" s="60">
        <v>22.221</v>
      </c>
      <c r="L70" s="60">
        <v>25.95</v>
      </c>
      <c r="M70" s="60">
        <v>22.893000000000001</v>
      </c>
    </row>
    <row r="71" spans="1:13" x14ac:dyDescent="0.2">
      <c r="A71" s="60" t="s">
        <v>205</v>
      </c>
      <c r="B71" s="60" t="s">
        <v>206</v>
      </c>
      <c r="C71" s="69">
        <f>IF(IFERROR(INDEX('2016'!$G$5:$G$72,MATCH(B71,'2016'!$A$5:$A$72,0)),0)=0,"N/A",INDEX('2016'!$G$5:$G$72,MATCH(B71,'2016'!$A$5:$A$72,0)))</f>
        <v>65.558000000000007</v>
      </c>
      <c r="D71" s="60">
        <v>53.697000000000003</v>
      </c>
      <c r="E71" s="60">
        <v>40.604999999999997</v>
      </c>
      <c r="F71" s="60">
        <v>42.145000000000003</v>
      </c>
      <c r="G71" s="60">
        <v>40.918999999999997</v>
      </c>
      <c r="H71" s="60">
        <v>38.188000000000002</v>
      </c>
      <c r="I71" s="60">
        <v>34.302</v>
      </c>
      <c r="J71" s="60">
        <v>31.838000000000001</v>
      </c>
      <c r="K71" s="60">
        <v>33.332999999999998</v>
      </c>
      <c r="L71" s="60">
        <v>32.612000000000002</v>
      </c>
      <c r="M71" s="60">
        <v>29.992000000000001</v>
      </c>
    </row>
    <row r="72" spans="1:13" x14ac:dyDescent="0.2">
      <c r="A72" s="60" t="s">
        <v>158</v>
      </c>
      <c r="B72" s="60" t="s">
        <v>45</v>
      </c>
      <c r="C72" s="69">
        <f>IF(IFERROR(INDEX('2016'!$G$5:$G$72,MATCH(B72,'2016'!$A$5:$A$72,0)),0)=0,"N/A",INDEX('2016'!$G$5:$G$72,MATCH(B72,'2016'!$A$5:$A$72,0)))</f>
        <v>40.829000000000001</v>
      </c>
      <c r="D72" s="60">
        <v>34.728999999999999</v>
      </c>
      <c r="E72" s="60">
        <v>31.344000000000001</v>
      </c>
      <c r="F72" s="60">
        <v>28.725000000000001</v>
      </c>
      <c r="G72" s="60">
        <v>27.42</v>
      </c>
      <c r="H72" s="60">
        <v>24.497</v>
      </c>
      <c r="I72" s="60">
        <v>22.041</v>
      </c>
      <c r="J72" s="60">
        <v>18.87</v>
      </c>
      <c r="K72" s="60">
        <v>19.981999999999999</v>
      </c>
      <c r="L72" s="60">
        <v>22.481999999999999</v>
      </c>
      <c r="M72" s="60">
        <v>19.981999999999999</v>
      </c>
    </row>
    <row r="73" spans="1:13" x14ac:dyDescent="0.2">
      <c r="A73" s="60" t="s">
        <v>207</v>
      </c>
      <c r="B73" s="60" t="s">
        <v>208</v>
      </c>
      <c r="C73" s="69" t="str">
        <f>IF(IFERROR(INDEX('2016'!$G$5:$G$72,MATCH(B73,'2016'!$A$5:$A$72,0)),0)=0,"N/A",INDEX('2016'!$G$5:$G$72,MATCH(B73,'2016'!$A$5:$A$72,0)))</f>
        <v>N/A</v>
      </c>
      <c r="D73" s="60">
        <v>22.817</v>
      </c>
      <c r="E73" s="60">
        <v>20.529</v>
      </c>
      <c r="F73" s="60">
        <v>19.696999999999999</v>
      </c>
      <c r="G73" s="60">
        <v>17.600000000000001</v>
      </c>
      <c r="H73" s="60">
        <v>16.972999999999999</v>
      </c>
      <c r="I73" s="60">
        <v>14.711</v>
      </c>
      <c r="J73" s="60">
        <v>13.994999999999999</v>
      </c>
      <c r="K73" s="60">
        <v>14.007999999999999</v>
      </c>
      <c r="L73" s="60">
        <v>17.25</v>
      </c>
      <c r="M73" s="60">
        <v>18.123999999999999</v>
      </c>
    </row>
  </sheetData>
  <autoFilter ref="A3:N73"/>
  <sortState ref="A2:M90">
    <sortCondition ref="B2:B90"/>
  </sortState>
  <printOptions headings="1"/>
  <pageMargins left="0.3" right="0.3" top="0.75" bottom="0.75" header="0.3" footer="0.3"/>
  <pageSetup fitToHeight="0" orientation="landscape" r:id="rId1"/>
  <headerFooter>
    <oddHeader>&amp;R&amp;A
&amp;P/&amp;N</oddHeader>
    <oddFooter>&amp;R&amp;A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N73"/>
  <sheetViews>
    <sheetView zoomScale="105" zoomScaleNormal="105" workbookViewId="0">
      <pane xSplit="1" ySplit="3" topLeftCell="B4" activePane="bottomRight" state="frozen"/>
      <selection activeCell="C1" sqref="C1:C1048576"/>
      <selection pane="topRight" activeCell="C1" sqref="C1:C1048576"/>
      <selection pane="bottomLeft" activeCell="C1" sqref="C1:C1048576"/>
      <selection pane="bottomRight" activeCell="C4" sqref="C4"/>
    </sheetView>
  </sheetViews>
  <sheetFormatPr defaultColWidth="8.75" defaultRowHeight="11.25" x14ac:dyDescent="0.2"/>
  <cols>
    <col min="1" max="1" width="18.75" style="60" bestFit="1" customWidth="1"/>
    <col min="2" max="2" width="5.5" style="60" bestFit="1" customWidth="1"/>
    <col min="3" max="3" width="6.75" style="60" bestFit="1" customWidth="1"/>
    <col min="4" max="13" width="7.625" style="60" bestFit="1" customWidth="1"/>
    <col min="14" max="16384" width="8.75" style="60"/>
  </cols>
  <sheetData>
    <row r="1" spans="1:14" ht="45" x14ac:dyDescent="0.2">
      <c r="A1" s="59" t="s">
        <v>218</v>
      </c>
      <c r="B1" s="65">
        <f>COUNTA(B4:B86)</f>
        <v>70</v>
      </c>
      <c r="C1" s="61">
        <f>VALUE(RIGHT(C3,4))</f>
        <v>2016</v>
      </c>
      <c r="D1" s="61">
        <f t="shared" ref="D1:M1" si="0">VALUE(RIGHT(D3,4))</f>
        <v>2015</v>
      </c>
      <c r="E1" s="61">
        <f t="shared" si="0"/>
        <v>2014</v>
      </c>
      <c r="F1" s="61">
        <f t="shared" si="0"/>
        <v>2013</v>
      </c>
      <c r="G1" s="61">
        <f t="shared" si="0"/>
        <v>2012</v>
      </c>
      <c r="H1" s="61">
        <f t="shared" si="0"/>
        <v>2011</v>
      </c>
      <c r="I1" s="61">
        <f t="shared" si="0"/>
        <v>2010</v>
      </c>
      <c r="J1" s="61">
        <f t="shared" si="0"/>
        <v>2009</v>
      </c>
      <c r="K1" s="61">
        <f t="shared" si="0"/>
        <v>2008</v>
      </c>
      <c r="L1" s="61">
        <f t="shared" si="0"/>
        <v>2007</v>
      </c>
      <c r="M1" s="61">
        <f t="shared" si="0"/>
        <v>2006</v>
      </c>
    </row>
    <row r="2" spans="1:14" x14ac:dyDescent="0.2">
      <c r="A2" s="69" t="s">
        <v>315</v>
      </c>
      <c r="B2" s="62"/>
      <c r="C2" s="71">
        <f>'2016'!$A$1</f>
        <v>42907</v>
      </c>
      <c r="D2" s="71">
        <v>42718</v>
      </c>
      <c r="E2" s="71">
        <v>42718</v>
      </c>
      <c r="F2" s="71">
        <v>42718</v>
      </c>
      <c r="G2" s="71">
        <v>42718</v>
      </c>
      <c r="H2" s="71">
        <v>42718</v>
      </c>
      <c r="I2" s="71">
        <v>42718</v>
      </c>
      <c r="J2" s="71">
        <v>42718</v>
      </c>
      <c r="K2" s="71">
        <v>42718</v>
      </c>
      <c r="L2" s="71">
        <v>42718</v>
      </c>
      <c r="M2" s="71">
        <v>42718</v>
      </c>
      <c r="N2" s="60" t="s">
        <v>348</v>
      </c>
    </row>
    <row r="3" spans="1:14" x14ac:dyDescent="0.2">
      <c r="A3" s="60" t="s">
        <v>117</v>
      </c>
      <c r="B3" s="60" t="s">
        <v>99</v>
      </c>
      <c r="C3" s="60" t="s">
        <v>262</v>
      </c>
      <c r="D3" s="60" t="s">
        <v>221</v>
      </c>
      <c r="E3" s="60" t="s">
        <v>222</v>
      </c>
      <c r="F3" s="60" t="s">
        <v>223</v>
      </c>
      <c r="G3" s="60" t="s">
        <v>224</v>
      </c>
      <c r="H3" s="60" t="s">
        <v>225</v>
      </c>
      <c r="I3" s="60" t="s">
        <v>226</v>
      </c>
      <c r="J3" s="60" t="s">
        <v>227</v>
      </c>
      <c r="K3" s="60" t="s">
        <v>228</v>
      </c>
      <c r="L3" s="60" t="s">
        <v>229</v>
      </c>
      <c r="M3" s="60" t="s">
        <v>230</v>
      </c>
    </row>
    <row r="4" spans="1:14" x14ac:dyDescent="0.2">
      <c r="A4" s="60" t="s">
        <v>162</v>
      </c>
      <c r="B4" s="60" t="s">
        <v>163</v>
      </c>
      <c r="C4" s="69">
        <f>IF(IFERROR(INDEX('2016'!$E$5:$E$72,MATCH(B4,'2016'!$A$5:$A$72,0)),0)=0,"N/A",INDEX('2016'!$E$5:$E$72,MATCH(B4,'2016'!$A$5:$A$72,0)))</f>
        <v>5.0510000000000002</v>
      </c>
      <c r="D4" s="60">
        <v>5.3209999999999997</v>
      </c>
      <c r="E4" s="60">
        <v>7.3109999999999999</v>
      </c>
      <c r="F4" s="60">
        <v>10.526</v>
      </c>
      <c r="G4" s="60">
        <v>11.439</v>
      </c>
      <c r="H4" s="60">
        <v>8.8420000000000005</v>
      </c>
      <c r="I4" s="60">
        <v>4.8490000000000002</v>
      </c>
      <c r="J4" s="60">
        <v>3.431</v>
      </c>
      <c r="K4" s="60">
        <v>1.85</v>
      </c>
      <c r="L4" s="60">
        <v>4.8819999999999997</v>
      </c>
      <c r="M4" s="60">
        <v>4.734</v>
      </c>
    </row>
    <row r="5" spans="1:14" x14ac:dyDescent="0.2">
      <c r="A5" s="60" t="s">
        <v>119</v>
      </c>
      <c r="B5" s="60" t="s">
        <v>0</v>
      </c>
      <c r="C5" s="69">
        <f>IF(IFERROR(INDEX('2016'!$E$5:$E$72,MATCH(B5,'2016'!$A$5:$A$72,0)),0)=0,"N/A",INDEX('2016'!$E$5:$E$72,MATCH(B5,'2016'!$A$5:$A$72,0)))</f>
        <v>7.0789999999999997</v>
      </c>
      <c r="D5" s="60">
        <v>6.79</v>
      </c>
      <c r="E5" s="60">
        <v>5.6749999999999998</v>
      </c>
      <c r="F5" s="60">
        <v>5.3449999999999998</v>
      </c>
      <c r="G5" s="60">
        <v>5.008</v>
      </c>
      <c r="H5" s="60">
        <v>4.9119999999999999</v>
      </c>
      <c r="I5" s="60">
        <v>4.3520000000000003</v>
      </c>
      <c r="J5" s="60">
        <v>3.5710000000000002</v>
      </c>
      <c r="K5" s="60">
        <v>4.2329999999999997</v>
      </c>
      <c r="L5" s="60">
        <v>4.4189999999999996</v>
      </c>
      <c r="M5" s="60">
        <v>4.1449999999999996</v>
      </c>
    </row>
    <row r="6" spans="1:14" x14ac:dyDescent="0.2">
      <c r="A6" s="60" t="s">
        <v>120</v>
      </c>
      <c r="B6" s="60" t="s">
        <v>1</v>
      </c>
      <c r="C6" s="69">
        <f>IF(IFERROR(INDEX('2016'!$E$5:$E$72,MATCH(B6,'2016'!$A$5:$A$72,0)),0)=0,"N/A",INDEX('2016'!$E$5:$E$72,MATCH(B6,'2016'!$A$5:$A$72,0)))</f>
        <v>3.45</v>
      </c>
      <c r="D6" s="60">
        <v>3.4460000000000002</v>
      </c>
      <c r="E6" s="60">
        <v>3.4409999999999998</v>
      </c>
      <c r="F6" s="60">
        <v>3.3420000000000001</v>
      </c>
      <c r="G6" s="60">
        <v>2.948</v>
      </c>
      <c r="H6" s="60">
        <v>2.754</v>
      </c>
      <c r="I6" s="60">
        <v>2.6040000000000001</v>
      </c>
      <c r="J6" s="60">
        <v>2.1030000000000002</v>
      </c>
      <c r="K6" s="60">
        <v>2.278</v>
      </c>
      <c r="L6" s="60">
        <v>2.5590000000000002</v>
      </c>
      <c r="M6" s="60">
        <v>2.165</v>
      </c>
    </row>
    <row r="7" spans="1:14" x14ac:dyDescent="0.2">
      <c r="A7" s="60" t="s">
        <v>121</v>
      </c>
      <c r="B7" s="60" t="s">
        <v>2</v>
      </c>
      <c r="C7" s="69">
        <f>IF(IFERROR(INDEX('2016'!$E$5:$E$72,MATCH(B7,'2016'!$A$5:$A$72,0)),0)=0,"N/A",INDEX('2016'!$E$5:$E$72,MATCH(B7,'2016'!$A$5:$A$72,0)))</f>
        <v>8.4689999999999994</v>
      </c>
      <c r="D7" s="60">
        <v>7.9790000000000001</v>
      </c>
      <c r="E7" s="60">
        <v>7.5750000000000002</v>
      </c>
      <c r="F7" s="60">
        <v>7.0179999999999998</v>
      </c>
      <c r="G7" s="60">
        <v>6.92</v>
      </c>
      <c r="H7" s="60">
        <v>6.8259999999999996</v>
      </c>
      <c r="I7" s="60">
        <v>6.2919999999999998</v>
      </c>
      <c r="J7" s="60">
        <v>6.3209999999999997</v>
      </c>
      <c r="K7" s="60">
        <v>6.8360000000000003</v>
      </c>
      <c r="L7" s="60">
        <v>6.798</v>
      </c>
      <c r="M7" s="60">
        <v>6.6680000000000001</v>
      </c>
    </row>
    <row r="8" spans="1:14" x14ac:dyDescent="0.2">
      <c r="A8" s="60" t="s">
        <v>164</v>
      </c>
      <c r="B8" s="60" t="s">
        <v>165</v>
      </c>
      <c r="C8" s="69">
        <f>IF(IFERROR(INDEX('2016'!$E$5:$E$72,MATCH(B8,'2016'!$A$5:$A$72,0)),0)=0,"N/A",INDEX('2016'!$E$5:$E$72,MATCH(B8,'2016'!$A$5:$A$72,0)))</f>
        <v>2.7029999999999998</v>
      </c>
      <c r="D8" s="60">
        <v>2.8090000000000002</v>
      </c>
      <c r="E8" s="60">
        <v>2.6680000000000001</v>
      </c>
      <c r="F8" s="60">
        <v>2.6539999999999999</v>
      </c>
      <c r="G8" s="60">
        <v>2.48</v>
      </c>
      <c r="H8" s="60">
        <v>2.1320000000000001</v>
      </c>
      <c r="I8" s="60">
        <v>2.1150000000000002</v>
      </c>
      <c r="J8" s="60">
        <v>1.702</v>
      </c>
      <c r="K8" s="60">
        <v>1.6859999999999999</v>
      </c>
      <c r="L8" s="60">
        <v>1.653</v>
      </c>
      <c r="M8" s="60">
        <v>1.4470000000000001</v>
      </c>
    </row>
    <row r="9" spans="1:14" x14ac:dyDescent="0.2">
      <c r="A9" s="60" t="s">
        <v>166</v>
      </c>
      <c r="B9" s="60" t="s">
        <v>167</v>
      </c>
      <c r="C9" s="69">
        <f>IF(IFERROR(INDEX('2016'!$E$5:$E$72,MATCH(B9,'2016'!$A$5:$A$72,0)),0)=0,"N/A",INDEX('2016'!$E$5:$E$72,MATCH(B9,'2016'!$A$5:$A$72,0)))</f>
        <v>5.2610000000000001</v>
      </c>
      <c r="D9" s="60">
        <v>5.1319999999999997</v>
      </c>
      <c r="E9" s="60">
        <v>4.7530000000000001</v>
      </c>
      <c r="F9" s="60">
        <v>4.359</v>
      </c>
      <c r="G9" s="60">
        <v>4.2699999999999996</v>
      </c>
      <c r="H9" s="60">
        <v>3.7349999999999999</v>
      </c>
      <c r="I9" s="60">
        <v>3.5569999999999999</v>
      </c>
      <c r="J9" s="60">
        <v>2.887</v>
      </c>
      <c r="K9" s="60">
        <v>2.8650000000000002</v>
      </c>
      <c r="L9" s="60">
        <v>-0.46800000000000003</v>
      </c>
      <c r="M9" s="60">
        <v>0.64600000000000002</v>
      </c>
    </row>
    <row r="10" spans="1:14" x14ac:dyDescent="0.2">
      <c r="A10" s="60" t="s">
        <v>122</v>
      </c>
      <c r="B10" s="60" t="s">
        <v>3</v>
      </c>
      <c r="C10" s="69">
        <f>IF(IFERROR(INDEX('2016'!$E$5:$E$72,MATCH(B10,'2016'!$A$5:$A$72,0)),0)=0,"N/A",INDEX('2016'!$E$5:$E$72,MATCH(B10,'2016'!$A$5:$A$72,0)))</f>
        <v>6.5860000000000003</v>
      </c>
      <c r="D10" s="60">
        <v>6.0789999999999997</v>
      </c>
      <c r="E10" s="60">
        <v>5.77</v>
      </c>
      <c r="F10" s="60">
        <v>5.2469999999999999</v>
      </c>
      <c r="G10" s="60">
        <v>5.8730000000000002</v>
      </c>
      <c r="H10" s="60">
        <v>5.8739999999999997</v>
      </c>
      <c r="I10" s="60">
        <v>6.327</v>
      </c>
      <c r="J10" s="60">
        <v>6.0570000000000004</v>
      </c>
      <c r="K10" s="60">
        <v>6.4390000000000001</v>
      </c>
      <c r="L10" s="60">
        <v>6.7640000000000002</v>
      </c>
      <c r="M10" s="60">
        <v>6.016</v>
      </c>
    </row>
    <row r="11" spans="1:14" x14ac:dyDescent="0.2">
      <c r="A11" s="60" t="s">
        <v>168</v>
      </c>
      <c r="B11" s="60" t="s">
        <v>169</v>
      </c>
      <c r="C11" s="69">
        <f>IF(IFERROR(INDEX('2016'!$E$5:$E$72,MATCH(B11,'2016'!$A$5:$A$72,0)),0)=0,"N/A",INDEX('2016'!$E$5:$E$72,MATCH(B11,'2016'!$A$5:$A$72,0)))</f>
        <v>4.2720000000000002</v>
      </c>
      <c r="D11" s="60">
        <v>4.3719999999999999</v>
      </c>
      <c r="E11" s="60">
        <v>4.9569999999999999</v>
      </c>
      <c r="F11" s="60">
        <v>4.3369999999999997</v>
      </c>
      <c r="G11" s="60">
        <v>2.0350000000000001</v>
      </c>
      <c r="H11" s="60">
        <v>4.5170000000000003</v>
      </c>
      <c r="I11" s="60">
        <v>4.343</v>
      </c>
      <c r="J11" s="60">
        <v>4.8440000000000003</v>
      </c>
      <c r="K11" s="60">
        <v>4.1420000000000003</v>
      </c>
      <c r="L11" s="60">
        <v>4.0620000000000003</v>
      </c>
      <c r="M11" s="60">
        <v>2.8809999999999998</v>
      </c>
    </row>
    <row r="12" spans="1:14" x14ac:dyDescent="0.2">
      <c r="A12" s="60" t="s">
        <v>170</v>
      </c>
      <c r="B12" s="60" t="s">
        <v>171</v>
      </c>
      <c r="C12" s="69">
        <f>IF(IFERROR(INDEX('2016'!$E$5:$E$72,MATCH(B12,'2016'!$A$5:$A$72,0)),0)=0,"N/A",INDEX('2016'!$E$5:$E$72,MATCH(B12,'2016'!$A$5:$A$72,0)))</f>
        <v>2.0699999999999998</v>
      </c>
      <c r="D12" s="60">
        <v>1.8720000000000001</v>
      </c>
      <c r="E12" s="60">
        <v>1.887</v>
      </c>
      <c r="F12" s="60">
        <v>1.8220000000000001</v>
      </c>
      <c r="G12" s="60">
        <v>1.51</v>
      </c>
      <c r="H12" s="60">
        <v>1.448</v>
      </c>
      <c r="I12" s="60">
        <v>1.421</v>
      </c>
      <c r="J12" s="60">
        <v>1.2849999999999999</v>
      </c>
      <c r="K12" s="60">
        <v>1.1359999999999999</v>
      </c>
      <c r="L12" s="60">
        <v>1.0980000000000001</v>
      </c>
      <c r="M12" s="60">
        <v>1.01</v>
      </c>
    </row>
    <row r="13" spans="1:14" x14ac:dyDescent="0.2">
      <c r="A13" s="60" t="s">
        <v>172</v>
      </c>
      <c r="B13" s="60" t="s">
        <v>173</v>
      </c>
      <c r="C13" s="69">
        <f>IF(IFERROR(INDEX('2016'!$E$5:$E$72,MATCH(B13,'2016'!$A$5:$A$72,0)),0)=0,"N/A",INDEX('2016'!$E$5:$E$72,MATCH(B13,'2016'!$A$5:$A$72,0)))</f>
        <v>2.4260000000000002</v>
      </c>
      <c r="D13" s="60">
        <v>2.2240000000000002</v>
      </c>
      <c r="E13" s="60">
        <v>2.04</v>
      </c>
      <c r="F13" s="60">
        <v>1.875</v>
      </c>
      <c r="G13" s="60">
        <v>2.0409999999999999</v>
      </c>
      <c r="H13" s="60">
        <v>1.6439999999999999</v>
      </c>
      <c r="I13" s="60">
        <v>1.915</v>
      </c>
      <c r="J13" s="60">
        <v>1.841</v>
      </c>
      <c r="K13" s="60">
        <v>1.6479999999999999</v>
      </c>
      <c r="L13" s="60">
        <v>1.5649999999999999</v>
      </c>
      <c r="M13" s="60">
        <v>1.7549999999999999</v>
      </c>
    </row>
    <row r="14" spans="1:14" x14ac:dyDescent="0.2">
      <c r="A14" s="60" t="s">
        <v>174</v>
      </c>
      <c r="B14" s="60" t="s">
        <v>175</v>
      </c>
      <c r="C14" s="69">
        <f>IF(IFERROR(INDEX('2016'!$E$5:$E$72,MATCH(B14,'2016'!$A$5:$A$72,0)),0)=0,"N/A",INDEX('2016'!$E$5:$E$72,MATCH(B14,'2016'!$A$5:$A$72,0)))</f>
        <v>6.1890000000000001</v>
      </c>
      <c r="D14" s="60">
        <v>5.8129999999999997</v>
      </c>
      <c r="E14" s="60">
        <v>5.4169999999999998</v>
      </c>
      <c r="F14" s="60">
        <v>5.1390000000000002</v>
      </c>
      <c r="G14" s="60">
        <v>4.7619999999999996</v>
      </c>
      <c r="H14" s="60">
        <v>4.7220000000000004</v>
      </c>
      <c r="I14" s="60">
        <v>4.6379999999999999</v>
      </c>
      <c r="J14" s="60">
        <v>4.2880000000000003</v>
      </c>
      <c r="K14" s="60">
        <v>4.1929999999999996</v>
      </c>
      <c r="L14" s="60">
        <v>4.1349999999999998</v>
      </c>
      <c r="M14" s="60">
        <v>4.2560000000000002</v>
      </c>
    </row>
    <row r="15" spans="1:14" x14ac:dyDescent="0.2">
      <c r="A15" s="60" t="s">
        <v>263</v>
      </c>
      <c r="B15" s="60" t="s">
        <v>260</v>
      </c>
      <c r="C15" s="69">
        <f>IF(IFERROR(INDEX('2016'!$E$5:$E$72,MATCH(B15,'2016'!$A$5:$A$72,0)),0)=0,"N/A",INDEX('2016'!$E$5:$E$72,MATCH(B15,'2016'!$A$5:$A$72,0)))</f>
        <v>4.7380000000000004</v>
      </c>
      <c r="D15" s="60">
        <v>3.1150000000000002</v>
      </c>
      <c r="E15" s="69" t="s">
        <v>106</v>
      </c>
      <c r="F15" s="69" t="s">
        <v>106</v>
      </c>
      <c r="G15" s="69" t="s">
        <v>106</v>
      </c>
      <c r="H15" s="69" t="s">
        <v>106</v>
      </c>
      <c r="I15" s="69" t="s">
        <v>106</v>
      </c>
      <c r="J15" s="69" t="s">
        <v>106</v>
      </c>
      <c r="K15" s="69" t="s">
        <v>106</v>
      </c>
      <c r="L15" s="69" t="s">
        <v>106</v>
      </c>
      <c r="M15" s="69" t="s">
        <v>106</v>
      </c>
    </row>
    <row r="16" spans="1:14" x14ac:dyDescent="0.2">
      <c r="A16" s="60" t="s">
        <v>123</v>
      </c>
      <c r="B16" s="60" t="s">
        <v>4</v>
      </c>
      <c r="C16" s="69">
        <f>IF(IFERROR(INDEX('2016'!$E$5:$E$72,MATCH(B16,'2016'!$A$5:$A$72,0)),0)=0,"N/A",INDEX('2016'!$E$5:$E$72,MATCH(B16,'2016'!$A$5:$A$72,0)))</f>
        <v>5.2949999999999999</v>
      </c>
      <c r="D16" s="60">
        <v>4.923</v>
      </c>
      <c r="E16" s="60">
        <v>4.3559999999999999</v>
      </c>
      <c r="F16" s="60">
        <v>4.3600000000000003</v>
      </c>
      <c r="G16" s="60">
        <v>3.7010000000000001</v>
      </c>
      <c r="H16" s="60">
        <v>3.7810000000000001</v>
      </c>
      <c r="I16" s="60">
        <v>3.6219999999999999</v>
      </c>
      <c r="J16" s="60">
        <v>4.4470000000000001</v>
      </c>
      <c r="K16" s="60">
        <v>3.9780000000000002</v>
      </c>
      <c r="L16" s="60">
        <v>2.931</v>
      </c>
      <c r="M16" s="60">
        <v>4.2709999999999999</v>
      </c>
    </row>
    <row r="17" spans="1:13" x14ac:dyDescent="0.2">
      <c r="A17" s="60" t="s">
        <v>124</v>
      </c>
      <c r="B17" s="60" t="s">
        <v>5</v>
      </c>
      <c r="C17" s="69">
        <f>IF(IFERROR(INDEX('2016'!$E$5:$E$72,MATCH(B17,'2016'!$A$5:$A$72,0)),0)=0,"N/A",INDEX('2016'!$E$5:$E$72,MATCH(B17,'2016'!$A$5:$A$72,0)))</f>
        <v>6.2850000000000001</v>
      </c>
      <c r="D17" s="60">
        <v>5.665</v>
      </c>
      <c r="E17" s="60">
        <v>6.2450000000000001</v>
      </c>
      <c r="F17" s="60">
        <v>5.9290000000000003</v>
      </c>
      <c r="G17" s="60">
        <v>5.59</v>
      </c>
      <c r="H17" s="60">
        <v>4.0060000000000002</v>
      </c>
      <c r="I17" s="60">
        <v>4.8760000000000003</v>
      </c>
      <c r="J17" s="60">
        <v>5.4130000000000003</v>
      </c>
      <c r="K17" s="60">
        <v>2.9529999999999998</v>
      </c>
      <c r="L17" s="60">
        <v>5.2869999999999999</v>
      </c>
      <c r="M17" s="60">
        <v>5.0380000000000003</v>
      </c>
    </row>
    <row r="18" spans="1:13" x14ac:dyDescent="0.2">
      <c r="A18" s="60" t="s">
        <v>176</v>
      </c>
      <c r="B18" s="60" t="s">
        <v>177</v>
      </c>
      <c r="C18" s="69">
        <f>IF(IFERROR(INDEX('2016'!$E$5:$E$72,MATCH(B18,'2016'!$A$5:$A$72,0)),0)=0,"N/A",INDEX('2016'!$E$5:$E$72,MATCH(B18,'2016'!$A$5:$A$72,0)))</f>
        <v>2.3410000000000002</v>
      </c>
      <c r="D18" s="60">
        <v>2.2200000000000002</v>
      </c>
      <c r="E18" s="60">
        <v>2.4670000000000001</v>
      </c>
      <c r="F18" s="60">
        <v>2.2109999999999999</v>
      </c>
      <c r="G18" s="60">
        <v>2.3180000000000001</v>
      </c>
      <c r="H18" s="60">
        <v>2.0680000000000001</v>
      </c>
      <c r="I18" s="60">
        <v>1.9319999999999999</v>
      </c>
      <c r="J18" s="60">
        <v>1.9339999999999999</v>
      </c>
      <c r="K18" s="60">
        <v>1.861</v>
      </c>
      <c r="L18" s="60">
        <v>1.5620000000000001</v>
      </c>
      <c r="M18" s="60">
        <v>1.357</v>
      </c>
    </row>
    <row r="19" spans="1:13" x14ac:dyDescent="0.2">
      <c r="A19" s="60" t="s">
        <v>125</v>
      </c>
      <c r="B19" s="60" t="s">
        <v>6</v>
      </c>
      <c r="C19" s="69">
        <f>IF(IFERROR(INDEX('2016'!$E$5:$E$72,MATCH(B19,'2016'!$A$5:$A$72,0)),0)=0,"N/A",INDEX('2016'!$E$5:$E$72,MATCH(B19,'2016'!$A$5:$A$72,0)))</f>
        <v>3.6779999999999999</v>
      </c>
      <c r="D19" s="60">
        <v>3.4</v>
      </c>
      <c r="E19" s="60">
        <v>3.851</v>
      </c>
      <c r="F19" s="60">
        <v>3.5430000000000001</v>
      </c>
      <c r="G19" s="60">
        <v>3.891</v>
      </c>
      <c r="H19" s="60">
        <v>3.4319999999999999</v>
      </c>
      <c r="I19" s="60">
        <v>3.1389999999999998</v>
      </c>
      <c r="J19" s="60">
        <v>2.9409999999999998</v>
      </c>
      <c r="K19" s="60">
        <v>3.4180000000000001</v>
      </c>
      <c r="L19" s="60">
        <v>3.3929999999999998</v>
      </c>
      <c r="M19" s="60">
        <v>3.4660000000000002</v>
      </c>
    </row>
    <row r="20" spans="1:13" x14ac:dyDescent="0.2">
      <c r="A20" s="60" t="s">
        <v>215</v>
      </c>
      <c r="B20" s="60" t="s">
        <v>178</v>
      </c>
      <c r="C20" s="69">
        <f>IF(IFERROR(INDEX('2016'!$E$5:$E$72,MATCH(B20,'2016'!$A$5:$A$72,0)),0)=0,"N/A",INDEX('2016'!$E$5:$E$72,MATCH(B20,'2016'!$A$5:$A$72,0)))</f>
        <v>5.1630000000000003</v>
      </c>
      <c r="D20" s="60">
        <v>5.0519999999999996</v>
      </c>
      <c r="E20" s="60">
        <v>4.7290000000000001</v>
      </c>
      <c r="F20" s="60">
        <v>4.3490000000000002</v>
      </c>
      <c r="G20" s="60">
        <v>3.9540000000000002</v>
      </c>
      <c r="H20" s="60">
        <v>3.6859999999999999</v>
      </c>
      <c r="I20" s="60">
        <v>3.496</v>
      </c>
      <c r="J20" s="60">
        <v>2.1480000000000001</v>
      </c>
      <c r="K20" s="60">
        <v>2.5</v>
      </c>
      <c r="L20" s="60">
        <v>2.52</v>
      </c>
      <c r="M20" s="60">
        <v>2.1779999999999999</v>
      </c>
    </row>
    <row r="21" spans="1:13" x14ac:dyDescent="0.2">
      <c r="A21" s="60" t="s">
        <v>126</v>
      </c>
      <c r="B21" s="60" t="s">
        <v>9</v>
      </c>
      <c r="C21" s="69">
        <f>IF(IFERROR(INDEX('2016'!$E$5:$E$72,MATCH(B21,'2016'!$A$5:$A$72,0)),0)=0,"N/A",INDEX('2016'!$E$5:$E$72,MATCH(B21,'2016'!$A$5:$A$72,0)))</f>
        <v>4.8780000000000001</v>
      </c>
      <c r="D21" s="60">
        <v>4.593</v>
      </c>
      <c r="E21" s="60">
        <v>4.2220000000000004</v>
      </c>
      <c r="F21" s="60">
        <v>4.0590000000000002</v>
      </c>
      <c r="G21" s="60">
        <v>3.8210000000000002</v>
      </c>
      <c r="H21" s="60">
        <v>3.6520000000000001</v>
      </c>
      <c r="I21" s="60">
        <v>3.702</v>
      </c>
      <c r="J21" s="60">
        <v>3.4670000000000001</v>
      </c>
      <c r="K21" s="60">
        <v>3.8780000000000001</v>
      </c>
      <c r="L21" s="60">
        <v>3.0819999999999999</v>
      </c>
      <c r="M21" s="60">
        <v>3.2229999999999999</v>
      </c>
    </row>
    <row r="22" spans="1:13" x14ac:dyDescent="0.2">
      <c r="A22" s="60" t="s">
        <v>179</v>
      </c>
      <c r="B22" s="60" t="s">
        <v>180</v>
      </c>
      <c r="C22" s="69">
        <f>IF(IFERROR(INDEX('2016'!$E$5:$E$72,MATCH(B22,'2016'!$A$5:$A$72,0)),0)=0,"N/A",INDEX('2016'!$E$5:$E$72,MATCH(B22,'2016'!$A$5:$A$72,0)))</f>
        <v>3.3119999999999998</v>
      </c>
      <c r="D22" s="60">
        <v>3.18</v>
      </c>
      <c r="E22" s="60">
        <v>2.972</v>
      </c>
      <c r="F22" s="60">
        <v>2.629</v>
      </c>
      <c r="G22" s="60">
        <v>2.6429999999999998</v>
      </c>
      <c r="H22" s="60">
        <v>2.105</v>
      </c>
      <c r="I22" s="60">
        <v>2.0390000000000001</v>
      </c>
      <c r="J22" s="60">
        <v>1.9330000000000001</v>
      </c>
      <c r="K22" s="60">
        <v>1.946</v>
      </c>
      <c r="L22" s="60">
        <v>1.899</v>
      </c>
      <c r="M22" s="60">
        <v>1.518</v>
      </c>
    </row>
    <row r="23" spans="1:13" x14ac:dyDescent="0.2">
      <c r="A23" s="60" t="s">
        <v>127</v>
      </c>
      <c r="B23" s="60" t="s">
        <v>10</v>
      </c>
      <c r="C23" s="69">
        <f>IF(IFERROR(INDEX('2016'!$E$5:$E$72,MATCH(B23,'2016'!$A$5:$A$72,0)),0)=0,"N/A",INDEX('2016'!$E$5:$E$72,MATCH(B23,'2016'!$A$5:$A$72,0)))</f>
        <v>7.8849999999999998</v>
      </c>
      <c r="D23" s="60">
        <v>7.9279999999999999</v>
      </c>
      <c r="E23" s="60">
        <v>7.2969999999999997</v>
      </c>
      <c r="F23" s="60">
        <v>7.4470000000000001</v>
      </c>
      <c r="G23" s="60">
        <v>7.1459999999999999</v>
      </c>
      <c r="H23" s="60">
        <v>6.6070000000000002</v>
      </c>
      <c r="I23" s="60">
        <v>6.2450000000000001</v>
      </c>
      <c r="J23" s="60">
        <v>5.8620000000000001</v>
      </c>
      <c r="K23" s="60">
        <v>5.9880000000000004</v>
      </c>
      <c r="L23" s="60">
        <v>5.7720000000000002</v>
      </c>
      <c r="M23" s="60">
        <v>5.2789999999999999</v>
      </c>
    </row>
    <row r="24" spans="1:13" x14ac:dyDescent="0.2">
      <c r="A24" s="60" t="s">
        <v>181</v>
      </c>
      <c r="B24" s="60" t="s">
        <v>182</v>
      </c>
      <c r="C24" s="69">
        <f>IF(IFERROR(INDEX('2016'!$E$5:$E$72,MATCH(B24,'2016'!$A$5:$A$72,0)),0)=0,"N/A",INDEX('2016'!$E$5:$E$72,MATCH(B24,'2016'!$A$5:$A$72,0)))</f>
        <v>0.95399999999999996</v>
      </c>
      <c r="D24" s="60">
        <v>0.89100000000000001</v>
      </c>
      <c r="E24" s="60">
        <v>0.8</v>
      </c>
      <c r="F24" s="60">
        <v>0.95699999999999996</v>
      </c>
      <c r="G24" s="60">
        <v>1.167</v>
      </c>
      <c r="H24" s="60">
        <v>0.83099999999999996</v>
      </c>
      <c r="I24" s="60">
        <v>0.86399999999999999</v>
      </c>
      <c r="J24" s="60">
        <v>1.18</v>
      </c>
      <c r="K24" s="60">
        <v>0.94899999999999995</v>
      </c>
      <c r="L24" s="60">
        <v>1.202</v>
      </c>
      <c r="M24" s="60">
        <v>0.87</v>
      </c>
    </row>
    <row r="25" spans="1:13" x14ac:dyDescent="0.2">
      <c r="A25" s="60" t="s">
        <v>183</v>
      </c>
      <c r="B25" s="60" t="s">
        <v>184</v>
      </c>
      <c r="C25" s="69">
        <f>IF(IFERROR(INDEX('2016'!$E$5:$E$72,MATCH(B25,'2016'!$A$5:$A$72,0)),0)=0,"N/A",INDEX('2016'!$E$5:$E$72,MATCH(B25,'2016'!$A$5:$A$72,0)))</f>
        <v>1.718</v>
      </c>
      <c r="D25" s="60">
        <v>1.8660000000000001</v>
      </c>
      <c r="E25" s="60">
        <v>2.117</v>
      </c>
      <c r="F25" s="60">
        <v>1.9359999999999999</v>
      </c>
      <c r="G25" s="60">
        <v>1.7210000000000001</v>
      </c>
      <c r="H25" s="60">
        <v>1.7110000000000001</v>
      </c>
      <c r="I25" s="60">
        <v>1.514</v>
      </c>
      <c r="J25" s="60">
        <v>1.4430000000000001</v>
      </c>
      <c r="K25" s="60">
        <v>1.7430000000000001</v>
      </c>
      <c r="L25" s="60">
        <v>1.595</v>
      </c>
      <c r="M25" s="60">
        <v>1.47</v>
      </c>
    </row>
    <row r="26" spans="1:13" x14ac:dyDescent="0.2">
      <c r="A26" s="60" t="s">
        <v>128</v>
      </c>
      <c r="B26" s="60" t="s">
        <v>11</v>
      </c>
      <c r="C26" s="69">
        <f>IF(IFERROR(INDEX('2016'!$E$5:$E$72,MATCH(B26,'2016'!$A$5:$A$72,0)),0)=0,"N/A",INDEX('2016'!$E$5:$E$72,MATCH(B26,'2016'!$A$5:$A$72,0)))</f>
        <v>6.327</v>
      </c>
      <c r="D26" s="60">
        <v>5.984</v>
      </c>
      <c r="E26" s="60">
        <v>5.71</v>
      </c>
      <c r="F26" s="60">
        <v>5.4669999999999996</v>
      </c>
      <c r="G26" s="60">
        <v>5.2439999999999998</v>
      </c>
      <c r="H26" s="60">
        <v>5.0449999999999999</v>
      </c>
      <c r="I26" s="60">
        <v>5.1050000000000004</v>
      </c>
      <c r="J26" s="60">
        <v>4.8159999999999998</v>
      </c>
      <c r="K26" s="60">
        <v>5.0670000000000002</v>
      </c>
      <c r="L26" s="60">
        <v>5.0810000000000004</v>
      </c>
      <c r="M26" s="60">
        <v>4.91</v>
      </c>
    </row>
    <row r="27" spans="1:13" x14ac:dyDescent="0.2">
      <c r="A27" s="60" t="s">
        <v>129</v>
      </c>
      <c r="B27" s="60" t="s">
        <v>12</v>
      </c>
      <c r="C27" s="69">
        <f>IF(IFERROR(INDEX('2016'!$E$5:$E$72,MATCH(B27,'2016'!$A$5:$A$72,0)),0)=0,"N/A",INDEX('2016'!$E$5:$E$72,MATCH(B27,'2016'!$A$5:$A$72,0)))</f>
        <v>10.6</v>
      </c>
      <c r="D27" s="60">
        <v>9.4390000000000001</v>
      </c>
      <c r="E27" s="60">
        <v>11.853999999999999</v>
      </c>
      <c r="F27" s="60">
        <v>10.125</v>
      </c>
      <c r="G27" s="60">
        <v>9.7710000000000008</v>
      </c>
      <c r="H27" s="60">
        <v>9.5660000000000007</v>
      </c>
      <c r="I27" s="60">
        <v>9.7799999999999994</v>
      </c>
      <c r="J27" s="60">
        <v>9.3829999999999991</v>
      </c>
      <c r="K27" s="60">
        <v>8.2569999999999997</v>
      </c>
      <c r="L27" s="60">
        <v>8.4849999999999994</v>
      </c>
      <c r="M27" s="60">
        <v>8.1910000000000007</v>
      </c>
    </row>
    <row r="28" spans="1:13" x14ac:dyDescent="0.2">
      <c r="A28" s="60" t="s">
        <v>130</v>
      </c>
      <c r="B28" s="60" t="s">
        <v>13</v>
      </c>
      <c r="C28" s="69">
        <f>IF(IFERROR(INDEX('2016'!$E$5:$E$72,MATCH(B28,'2016'!$A$5:$A$72,0)),0)=0,"N/A",INDEX('2016'!$E$5:$E$72,MATCH(B28,'2016'!$A$5:$A$72,0)))</f>
        <v>9.1999999999999993</v>
      </c>
      <c r="D28" s="60">
        <v>9.4</v>
      </c>
      <c r="E28" s="60">
        <v>9.11</v>
      </c>
      <c r="F28" s="60">
        <v>8.5579999999999998</v>
      </c>
      <c r="G28" s="60">
        <v>6.798</v>
      </c>
      <c r="H28" s="60">
        <v>8.68</v>
      </c>
      <c r="I28" s="60">
        <v>8.4860000000000007</v>
      </c>
      <c r="J28" s="60">
        <v>7.58</v>
      </c>
      <c r="K28" s="60">
        <v>7.343</v>
      </c>
      <c r="L28" s="60">
        <v>8.1069999999999993</v>
      </c>
      <c r="M28" s="60">
        <v>7.8650000000000002</v>
      </c>
    </row>
    <row r="29" spans="1:13" x14ac:dyDescent="0.2">
      <c r="A29" s="60" t="s">
        <v>131</v>
      </c>
      <c r="B29" s="60" t="s">
        <v>14</v>
      </c>
      <c r="C29" s="69">
        <f>IF(IFERROR(INDEX('2016'!$E$5:$E$72,MATCH(B29,'2016'!$A$5:$A$72,0)),0)=0,"N/A",INDEX('2016'!$E$5:$E$72,MATCH(B29,'2016'!$A$5:$A$72,0)))</f>
        <v>10.426</v>
      </c>
      <c r="D29" s="60">
        <v>10.35</v>
      </c>
      <c r="E29" s="60">
        <v>9.9510000000000005</v>
      </c>
      <c r="F29" s="60">
        <v>8.7970000000000006</v>
      </c>
      <c r="G29" s="60">
        <v>9.6280000000000001</v>
      </c>
      <c r="H29" s="60">
        <v>9.0299999999999994</v>
      </c>
      <c r="I29" s="60">
        <v>8.4130000000000003</v>
      </c>
      <c r="J29" s="60">
        <v>7.9649999999999999</v>
      </c>
      <c r="K29" s="60">
        <v>8.0839999999999996</v>
      </c>
      <c r="L29" s="60">
        <v>7.5960000000000001</v>
      </c>
      <c r="M29" s="60">
        <v>7.2530000000000001</v>
      </c>
    </row>
    <row r="30" spans="1:13" x14ac:dyDescent="0.2">
      <c r="A30" s="60" t="s">
        <v>132</v>
      </c>
      <c r="B30" s="60" t="s">
        <v>15</v>
      </c>
      <c r="C30" s="69">
        <f>IF(IFERROR(INDEX('2016'!$E$5:$E$72,MATCH(B30,'2016'!$A$5:$A$72,0)),0)=0,"N/A",INDEX('2016'!$E$5:$E$72,MATCH(B30,'2016'!$A$5:$A$72,0)))</f>
        <v>5.976</v>
      </c>
      <c r="D30" s="60">
        <v>5.75</v>
      </c>
      <c r="E30" s="60">
        <v>5.8730000000000002</v>
      </c>
      <c r="F30" s="60">
        <v>5.6449999999999996</v>
      </c>
      <c r="G30" s="60">
        <v>5.6609999999999996</v>
      </c>
      <c r="H30" s="60">
        <v>6.05</v>
      </c>
      <c r="I30" s="60">
        <v>5.1529999999999996</v>
      </c>
      <c r="J30" s="60">
        <v>4.0670000000000002</v>
      </c>
      <c r="K30" s="60">
        <v>4.1589999999999998</v>
      </c>
      <c r="L30" s="60">
        <v>3.8650000000000002</v>
      </c>
      <c r="M30" s="60">
        <v>3.4390000000000001</v>
      </c>
    </row>
    <row r="31" spans="1:13" x14ac:dyDescent="0.2">
      <c r="A31" s="60" t="s">
        <v>133</v>
      </c>
      <c r="B31" s="60" t="s">
        <v>16</v>
      </c>
      <c r="C31" s="69" t="str">
        <f>IF(IFERROR(INDEX('2016'!$E$5:$E$72,MATCH(B31,'2016'!$A$5:$A$72,0)),0)=0,"N/A",INDEX('2016'!$E$5:$E$72,MATCH(B31,'2016'!$A$5:$A$72,0)))</f>
        <v>N/A</v>
      </c>
      <c r="D31" s="60">
        <v>3.3180000000000001</v>
      </c>
      <c r="E31" s="60">
        <v>3.4470000000000001</v>
      </c>
      <c r="F31" s="60">
        <v>3.14</v>
      </c>
      <c r="G31" s="60">
        <v>2.9860000000000002</v>
      </c>
      <c r="H31" s="60">
        <v>3.2090000000000001</v>
      </c>
      <c r="I31" s="60">
        <v>2.8490000000000002</v>
      </c>
      <c r="J31" s="60">
        <v>2.7170000000000001</v>
      </c>
      <c r="K31" s="60">
        <v>2.907</v>
      </c>
      <c r="L31" s="60">
        <v>2.6930000000000001</v>
      </c>
      <c r="M31" s="60">
        <v>2.7480000000000002</v>
      </c>
    </row>
    <row r="32" spans="1:13" x14ac:dyDescent="0.2">
      <c r="A32" s="60" t="s">
        <v>134</v>
      </c>
      <c r="B32" s="60" t="s">
        <v>17</v>
      </c>
      <c r="C32" s="69">
        <f>IF(IFERROR(INDEX('2016'!$E$5:$E$72,MATCH(B32,'2016'!$A$5:$A$72,0)),0)=0,"N/A",INDEX('2016'!$E$5:$E$72,MATCH(B32,'2016'!$A$5:$A$72,0)))</f>
        <v>18.724</v>
      </c>
      <c r="D32" s="60">
        <v>17.706</v>
      </c>
      <c r="E32" s="60">
        <v>17.675999999999998</v>
      </c>
      <c r="F32" s="60">
        <v>16.245999999999999</v>
      </c>
      <c r="G32" s="60">
        <v>15.978999999999999</v>
      </c>
      <c r="H32" s="60">
        <v>17.532</v>
      </c>
      <c r="I32" s="60">
        <v>16.535</v>
      </c>
      <c r="J32" s="60">
        <v>13.288</v>
      </c>
      <c r="K32" s="60">
        <v>12.89</v>
      </c>
      <c r="L32" s="60">
        <v>11.731999999999999</v>
      </c>
      <c r="M32" s="60">
        <v>10.693</v>
      </c>
    </row>
    <row r="33" spans="1:13" x14ac:dyDescent="0.2">
      <c r="A33" s="60" t="s">
        <v>210</v>
      </c>
      <c r="B33" s="60" t="s">
        <v>211</v>
      </c>
      <c r="C33" s="69">
        <f>IF(IFERROR(INDEX('2016'!$E$5:$E$72,MATCH(B33,'2016'!$A$5:$A$72,0)),0)=0,"N/A",INDEX('2016'!$E$5:$E$72,MATCH(B33,'2016'!$A$5:$A$72,0)))</f>
        <v>5.4580000000000002</v>
      </c>
      <c r="D33" s="60">
        <v>4.9390000000000001</v>
      </c>
      <c r="E33" s="60">
        <v>4.5579999999999998</v>
      </c>
      <c r="F33" s="60">
        <v>5.22</v>
      </c>
      <c r="G33" s="60">
        <v>4.0339999999999998</v>
      </c>
      <c r="H33" s="60">
        <v>4.8760000000000003</v>
      </c>
      <c r="I33" s="60">
        <v>5.6760000000000002</v>
      </c>
      <c r="J33" s="60">
        <v>4.9589999999999996</v>
      </c>
      <c r="K33" s="60">
        <v>6.1630000000000003</v>
      </c>
      <c r="L33" s="60">
        <v>4.82</v>
      </c>
      <c r="M33" s="60">
        <v>3.6890000000000001</v>
      </c>
    </row>
    <row r="34" spans="1:13" x14ac:dyDescent="0.2">
      <c r="A34" s="60" t="s">
        <v>135</v>
      </c>
      <c r="B34" s="60" t="s">
        <v>18</v>
      </c>
      <c r="C34" s="69">
        <f>IF(IFERROR(INDEX('2016'!$E$5:$E$72,MATCH(B34,'2016'!$A$5:$A$72,0)),0)=0,"N/A",INDEX('2016'!$E$5:$E$72,MATCH(B34,'2016'!$A$5:$A$72,0)))</f>
        <v>7.0049999999999999</v>
      </c>
      <c r="D34" s="60">
        <v>6.8010000000000002</v>
      </c>
      <c r="E34" s="60">
        <v>6.6070000000000002</v>
      </c>
      <c r="F34" s="60">
        <v>6.7249999999999996</v>
      </c>
      <c r="G34" s="60">
        <v>6.6059999999999999</v>
      </c>
      <c r="H34" s="60">
        <v>7.234</v>
      </c>
      <c r="I34" s="60">
        <v>8.3190000000000008</v>
      </c>
      <c r="J34" s="60">
        <v>8.2469999999999999</v>
      </c>
      <c r="K34" s="60">
        <v>7.6349999999999998</v>
      </c>
      <c r="L34" s="60">
        <v>7.4279999999999999</v>
      </c>
      <c r="M34" s="60">
        <v>6.7149999999999999</v>
      </c>
    </row>
    <row r="35" spans="1:13" x14ac:dyDescent="0.2">
      <c r="A35" s="60" t="s">
        <v>136</v>
      </c>
      <c r="B35" s="60" t="s">
        <v>19</v>
      </c>
      <c r="C35" s="69">
        <f>IF(IFERROR(INDEX('2016'!$E$5:$E$72,MATCH(B35,'2016'!$A$5:$A$72,0)),0)=0,"N/A",INDEX('2016'!$E$5:$E$72,MATCH(B35,'2016'!$A$5:$A$72,0)))</f>
        <v>6.5309999999999997</v>
      </c>
      <c r="D35" s="60">
        <v>6.327</v>
      </c>
      <c r="E35" s="60">
        <v>4.55</v>
      </c>
      <c r="F35" s="60">
        <v>6.3019999999999996</v>
      </c>
      <c r="G35" s="60">
        <v>6.0540000000000003</v>
      </c>
      <c r="H35" s="60">
        <v>5.7460000000000004</v>
      </c>
      <c r="I35" s="60">
        <v>8.5030000000000001</v>
      </c>
      <c r="J35" s="60">
        <v>8.798</v>
      </c>
      <c r="K35" s="60">
        <v>9.0410000000000004</v>
      </c>
      <c r="L35" s="60">
        <v>8.3420000000000005</v>
      </c>
      <c r="M35" s="60">
        <v>7.2210000000000001</v>
      </c>
    </row>
    <row r="36" spans="1:13" x14ac:dyDescent="0.2">
      <c r="A36" s="60" t="s">
        <v>265</v>
      </c>
      <c r="B36" s="60" t="s">
        <v>266</v>
      </c>
      <c r="C36" s="69">
        <f>IF(IFERROR(INDEX('2016'!$E$5:$E$72,MATCH(B36,'2016'!$A$5:$A$72,0)),0)=0,"N/A",INDEX('2016'!$E$5:$E$72,MATCH(B36,'2016'!$A$5:$A$72,0)))</f>
        <v>3.9049999999999998</v>
      </c>
      <c r="D36" s="60">
        <v>5.2140000000000004</v>
      </c>
      <c r="E36" s="60">
        <v>3.6230000000000002</v>
      </c>
      <c r="F36" s="60">
        <v>4.1050000000000004</v>
      </c>
      <c r="G36" s="60">
        <v>4.1029999999999998</v>
      </c>
      <c r="H36" s="60">
        <v>3.903</v>
      </c>
      <c r="I36" s="60">
        <v>3.9849999999999999</v>
      </c>
      <c r="J36" s="60">
        <v>3.6549999999999998</v>
      </c>
      <c r="K36" s="60">
        <v>3.5049999999999999</v>
      </c>
      <c r="L36" s="60">
        <v>2.9630000000000001</v>
      </c>
      <c r="M36" s="60">
        <v>3.0449999999999999</v>
      </c>
    </row>
    <row r="37" spans="1:13" x14ac:dyDescent="0.2">
      <c r="A37" s="60" t="s">
        <v>185</v>
      </c>
      <c r="B37" s="60" t="s">
        <v>186</v>
      </c>
      <c r="C37" s="69">
        <f>IF(IFERROR(INDEX('2016'!$E$5:$E$72,MATCH(B37,'2016'!$A$5:$A$72,0)),0)=0,"N/A",INDEX('2016'!$E$5:$E$72,MATCH(B37,'2016'!$A$5:$A$72,0)))</f>
        <v>0.81399999999999995</v>
      </c>
      <c r="D37" s="60">
        <v>0.86299999999999999</v>
      </c>
      <c r="E37" s="60">
        <v>0.88800000000000001</v>
      </c>
      <c r="F37" s="60">
        <v>1.2769999999999999</v>
      </c>
      <c r="G37" s="60">
        <v>1.1000000000000001</v>
      </c>
      <c r="H37" s="60">
        <v>1.224</v>
      </c>
      <c r="I37" s="60">
        <v>1.2170000000000001</v>
      </c>
      <c r="J37" s="60">
        <v>2.0710000000000002</v>
      </c>
      <c r="K37" s="60">
        <v>1.19</v>
      </c>
      <c r="L37" s="60">
        <v>0.92100000000000004</v>
      </c>
      <c r="M37" s="60">
        <v>1.0229999999999999</v>
      </c>
    </row>
    <row r="38" spans="1:13" x14ac:dyDescent="0.2">
      <c r="A38" s="60" t="s">
        <v>137</v>
      </c>
      <c r="B38" s="60" t="s">
        <v>20</v>
      </c>
      <c r="C38" s="69">
        <f>IF(IFERROR(INDEX('2016'!$E$5:$E$72,MATCH(B38,'2016'!$A$5:$A$72,0)),0)=0,"N/A",INDEX('2016'!$E$5:$E$72,MATCH(B38,'2016'!$A$5:$A$72,0)))</f>
        <v>3.355</v>
      </c>
      <c r="D38" s="60">
        <v>3.9820000000000002</v>
      </c>
      <c r="E38" s="60">
        <v>4.0090000000000003</v>
      </c>
      <c r="F38" s="60">
        <v>4.0090000000000003</v>
      </c>
      <c r="G38" s="60">
        <v>3.4449999999999998</v>
      </c>
      <c r="H38" s="60">
        <v>3.51</v>
      </c>
      <c r="I38" s="60">
        <v>4.12</v>
      </c>
      <c r="J38" s="60">
        <v>3.2650000000000001</v>
      </c>
      <c r="K38" s="60">
        <v>3.093</v>
      </c>
      <c r="L38" s="60">
        <v>4.24</v>
      </c>
      <c r="M38" s="60">
        <v>3.86</v>
      </c>
    </row>
    <row r="39" spans="1:13" x14ac:dyDescent="0.2">
      <c r="A39" s="60" t="s">
        <v>138</v>
      </c>
      <c r="B39" s="60" t="s">
        <v>21</v>
      </c>
      <c r="C39" s="69">
        <f>IF(IFERROR(INDEX('2016'!$E$5:$E$72,MATCH(B39,'2016'!$A$5:$A$72,0)),0)=0,"N/A",INDEX('2016'!$E$5:$E$72,MATCH(B39,'2016'!$A$5:$A$72,0)))</f>
        <v>4.1719999999999997</v>
      </c>
      <c r="D39" s="60">
        <v>3.3079999999999998</v>
      </c>
      <c r="E39" s="60">
        <v>3.4079999999999999</v>
      </c>
      <c r="F39" s="60">
        <v>3.222</v>
      </c>
      <c r="G39" s="60">
        <v>3.282</v>
      </c>
      <c r="H39" s="60">
        <v>3.1829999999999998</v>
      </c>
      <c r="I39" s="60">
        <v>2.88</v>
      </c>
      <c r="J39" s="60">
        <v>2.5910000000000002</v>
      </c>
      <c r="K39" s="60">
        <v>2.722</v>
      </c>
      <c r="L39" s="60">
        <v>3.0139999999999998</v>
      </c>
      <c r="M39" s="60">
        <v>3.1909999999999998</v>
      </c>
    </row>
    <row r="40" spans="1:13" x14ac:dyDescent="0.2">
      <c r="A40" s="60" t="s">
        <v>216</v>
      </c>
      <c r="B40" s="60" t="s">
        <v>22</v>
      </c>
      <c r="C40" s="69">
        <f>IF(IFERROR(INDEX('2016'!$E$5:$E$72,MATCH(B40,'2016'!$A$5:$A$72,0)),0)=0,"N/A",INDEX('2016'!$E$5:$E$72,MATCH(B40,'2016'!$A$5:$A$72,0)))</f>
        <v>6.8570000000000002</v>
      </c>
      <c r="D40" s="60">
        <v>6.7</v>
      </c>
      <c r="E40" s="60">
        <v>6.5759999999999996</v>
      </c>
      <c r="F40" s="60">
        <v>6.2949999999999999</v>
      </c>
      <c r="G40" s="60">
        <v>5.9320000000000004</v>
      </c>
      <c r="H40" s="60">
        <v>5.8360000000000003</v>
      </c>
      <c r="I40" s="60">
        <v>5.35</v>
      </c>
      <c r="J40" s="60">
        <v>5.0730000000000004</v>
      </c>
      <c r="K40" s="60">
        <v>4.2729999999999997</v>
      </c>
      <c r="L40" s="60">
        <v>4.1130000000000004</v>
      </c>
      <c r="M40" s="60">
        <v>4.5819999999999999</v>
      </c>
    </row>
    <row r="41" spans="1:13" x14ac:dyDescent="0.2">
      <c r="A41" s="60" t="s">
        <v>139</v>
      </c>
      <c r="B41" s="60" t="s">
        <v>25</v>
      </c>
      <c r="C41" s="69">
        <f>IF(IFERROR(INDEX('2016'!$E$5:$E$72,MATCH(B41,'2016'!$A$5:$A$72,0)),0)=0,"N/A",INDEX('2016'!$E$5:$E$72,MATCH(B41,'2016'!$A$5:$A$72,0)))</f>
        <v>3.4670000000000001</v>
      </c>
      <c r="D41" s="60">
        <v>3.3340000000000001</v>
      </c>
      <c r="E41" s="60">
        <v>3.4910000000000001</v>
      </c>
      <c r="F41" s="60">
        <v>3.2810000000000001</v>
      </c>
      <c r="G41" s="60">
        <v>2.9750000000000001</v>
      </c>
      <c r="H41" s="60">
        <v>2.9380000000000002</v>
      </c>
      <c r="I41" s="60">
        <v>2.7589999999999999</v>
      </c>
      <c r="J41" s="60">
        <v>2.6560000000000001</v>
      </c>
      <c r="K41" s="60">
        <v>2.6789999999999998</v>
      </c>
      <c r="L41" s="60">
        <v>2.4609999999999999</v>
      </c>
      <c r="M41" s="60">
        <v>2.3439999999999999</v>
      </c>
    </row>
    <row r="42" spans="1:13" x14ac:dyDescent="0.2">
      <c r="A42" s="60" t="s">
        <v>187</v>
      </c>
      <c r="B42" s="60" t="s">
        <v>188</v>
      </c>
      <c r="C42" s="69">
        <f>IF(IFERROR(INDEX('2016'!$E$5:$E$72,MATCH(B42,'2016'!$A$5:$A$72,0)),0)=0,"N/A",INDEX('2016'!$E$5:$E$72,MATCH(B42,'2016'!$A$5:$A$72,0)))</f>
        <v>2.1720000000000002</v>
      </c>
      <c r="D42" s="60">
        <v>1.968</v>
      </c>
      <c r="E42" s="60">
        <v>1.8440000000000001</v>
      </c>
      <c r="F42" s="60">
        <v>1.718</v>
      </c>
      <c r="G42" s="60">
        <v>1.5549999999999999</v>
      </c>
      <c r="H42" s="60">
        <v>1.464</v>
      </c>
      <c r="I42" s="60">
        <v>1.5469999999999999</v>
      </c>
      <c r="J42" s="60">
        <v>1.4039999999999999</v>
      </c>
      <c r="K42" s="60">
        <v>1.5309999999999999</v>
      </c>
      <c r="L42" s="60">
        <v>1.4930000000000001</v>
      </c>
      <c r="M42" s="60">
        <v>1.333</v>
      </c>
    </row>
    <row r="43" spans="1:13" x14ac:dyDescent="0.2">
      <c r="A43" s="60" t="s">
        <v>189</v>
      </c>
      <c r="B43" s="60" t="s">
        <v>190</v>
      </c>
      <c r="C43" s="69">
        <f>IF(IFERROR(INDEX('2016'!$E$5:$E$72,MATCH(B43,'2016'!$A$5:$A$72,0)),0)=0,"N/A",INDEX('2016'!$E$5:$E$72,MATCH(B43,'2016'!$A$5:$A$72,0)))</f>
        <v>2.4550000000000001</v>
      </c>
      <c r="D43" s="60">
        <v>2.5249999999999999</v>
      </c>
      <c r="E43" s="60">
        <v>2.7269999999999999</v>
      </c>
      <c r="F43" s="60">
        <v>1.9330000000000001</v>
      </c>
      <c r="G43" s="60">
        <v>1.855</v>
      </c>
      <c r="H43" s="60">
        <v>1.7</v>
      </c>
      <c r="I43" s="60">
        <v>1.6279999999999999</v>
      </c>
      <c r="J43" s="60">
        <v>1.579</v>
      </c>
      <c r="K43" s="60">
        <v>1.8109999999999999</v>
      </c>
      <c r="L43" s="60">
        <v>1.22</v>
      </c>
      <c r="M43" s="60">
        <v>1.367</v>
      </c>
    </row>
    <row r="44" spans="1:13" x14ac:dyDescent="0.2">
      <c r="A44" s="60" t="s">
        <v>140</v>
      </c>
      <c r="B44" s="60" t="s">
        <v>141</v>
      </c>
      <c r="C44" s="69">
        <f>IF(IFERROR(INDEX('2016'!$E$5:$E$72,MATCH(B44,'2016'!$A$5:$A$72,0)),0)=0,"N/A",INDEX('2016'!$E$5:$E$72,MATCH(B44,'2016'!$A$5:$A$72,0)))</f>
        <v>12.97</v>
      </c>
      <c r="D44" s="60">
        <v>12.917999999999999</v>
      </c>
      <c r="E44" s="60">
        <v>12.102</v>
      </c>
      <c r="F44" s="60">
        <v>10.536</v>
      </c>
      <c r="G44" s="60">
        <v>8.6859999999999999</v>
      </c>
      <c r="H44" s="60">
        <v>9.2910000000000004</v>
      </c>
      <c r="I44" s="60">
        <v>9.6210000000000004</v>
      </c>
      <c r="J44" s="60">
        <v>8.75</v>
      </c>
      <c r="K44" s="60">
        <v>8.0259999999999998</v>
      </c>
      <c r="L44" s="60">
        <v>6.8520000000000003</v>
      </c>
      <c r="M44" s="60">
        <v>6.7690000000000001</v>
      </c>
    </row>
    <row r="45" spans="1:13" x14ac:dyDescent="0.2">
      <c r="A45" s="60" t="s">
        <v>142</v>
      </c>
      <c r="B45" s="60" t="s">
        <v>26</v>
      </c>
      <c r="C45" s="69">
        <f>IF(IFERROR(INDEX('2016'!$E$5:$E$72,MATCH(B45,'2016'!$A$5:$A$72,0)),0)=0,"N/A",INDEX('2016'!$E$5:$E$72,MATCH(B45,'2016'!$A$5:$A$72,0)))</f>
        <v>2.7080000000000002</v>
      </c>
      <c r="D45" s="60">
        <v>2.266</v>
      </c>
      <c r="E45" s="60">
        <v>3.5950000000000002</v>
      </c>
      <c r="F45" s="60">
        <v>3.4049999999999998</v>
      </c>
      <c r="G45" s="60">
        <v>3.1339999999999999</v>
      </c>
      <c r="H45" s="60">
        <v>2.984</v>
      </c>
      <c r="I45" s="60">
        <v>3.19</v>
      </c>
      <c r="J45" s="60">
        <v>2.9630000000000001</v>
      </c>
      <c r="K45" s="60">
        <v>3.3180000000000001</v>
      </c>
      <c r="L45" s="60">
        <v>3.2040000000000002</v>
      </c>
      <c r="M45" s="60">
        <v>3.181</v>
      </c>
    </row>
    <row r="46" spans="1:13" x14ac:dyDescent="0.2">
      <c r="A46" s="60" t="s">
        <v>191</v>
      </c>
      <c r="B46" s="60" t="s">
        <v>192</v>
      </c>
      <c r="C46" s="69">
        <f>IF(IFERROR(INDEX('2016'!$E$5:$E$72,MATCH(B46,'2016'!$A$5:$A$72,0)),0)=0,"N/A",INDEX('2016'!$E$5:$E$72,MATCH(B46,'2016'!$A$5:$A$72,0)))</f>
        <v>4.931</v>
      </c>
      <c r="D46" s="60">
        <v>4.9089999999999998</v>
      </c>
      <c r="E46" s="60">
        <v>5.0540000000000003</v>
      </c>
      <c r="F46" s="60">
        <v>5.0389999999999997</v>
      </c>
      <c r="G46" s="60">
        <v>4.9359999999999999</v>
      </c>
      <c r="H46" s="60">
        <v>5.0049999999999999</v>
      </c>
      <c r="I46" s="60">
        <v>5.1849999999999996</v>
      </c>
      <c r="J46" s="60">
        <v>5.1989999999999998</v>
      </c>
      <c r="K46" s="60">
        <v>5.3070000000000004</v>
      </c>
      <c r="L46" s="60">
        <v>5.4089999999999998</v>
      </c>
      <c r="M46" s="60">
        <v>4.76</v>
      </c>
    </row>
    <row r="47" spans="1:13" x14ac:dyDescent="0.2">
      <c r="A47" s="60" t="s">
        <v>143</v>
      </c>
      <c r="B47" s="60" t="s">
        <v>144</v>
      </c>
      <c r="C47" s="69">
        <f>IF(IFERROR(INDEX('2016'!$E$5:$E$72,MATCH(B47,'2016'!$A$5:$A$72,0)),0)=0,"N/A",INDEX('2016'!$E$5:$E$72,MATCH(B47,'2016'!$A$5:$A$72,0)))</f>
        <v>6.7370000000000001</v>
      </c>
      <c r="D47" s="60">
        <v>5.9240000000000004</v>
      </c>
      <c r="E47" s="60">
        <v>5.3879999999999999</v>
      </c>
      <c r="F47" s="60">
        <v>5.452</v>
      </c>
      <c r="G47" s="60">
        <v>5.1820000000000004</v>
      </c>
      <c r="H47" s="60">
        <v>5.4210000000000003</v>
      </c>
      <c r="I47" s="60">
        <v>4.7640000000000002</v>
      </c>
      <c r="J47" s="60">
        <v>4.6180000000000003</v>
      </c>
      <c r="K47" s="60">
        <v>4.4029999999999996</v>
      </c>
      <c r="L47" s="60">
        <v>3.7040000000000002</v>
      </c>
      <c r="M47" s="60">
        <v>3.6190000000000002</v>
      </c>
    </row>
    <row r="48" spans="1:13" x14ac:dyDescent="0.2">
      <c r="A48" s="60" t="s">
        <v>145</v>
      </c>
      <c r="B48" s="60" t="s">
        <v>27</v>
      </c>
      <c r="C48" s="69">
        <f>IF(IFERROR(INDEX('2016'!$E$5:$E$72,MATCH(B48,'2016'!$A$5:$A$72,0)),0)=0,"N/A",INDEX('2016'!$E$5:$E$72,MATCH(B48,'2016'!$A$5:$A$72,0)))</f>
        <v>3.3090000000000002</v>
      </c>
      <c r="D48" s="60">
        <v>3.2320000000000002</v>
      </c>
      <c r="E48" s="60">
        <v>3.3959999999999999</v>
      </c>
      <c r="F48" s="60">
        <v>3.4569999999999999</v>
      </c>
      <c r="G48" s="60">
        <v>3.6930000000000001</v>
      </c>
      <c r="H48" s="60">
        <v>3.3130000000000002</v>
      </c>
      <c r="I48" s="60">
        <v>3.0110000000000001</v>
      </c>
      <c r="J48" s="60">
        <v>2.6850000000000001</v>
      </c>
      <c r="K48" s="60">
        <v>2.4009999999999998</v>
      </c>
      <c r="L48" s="60">
        <v>2.3940000000000001</v>
      </c>
      <c r="M48" s="60">
        <v>2.234</v>
      </c>
    </row>
    <row r="49" spans="1:13" x14ac:dyDescent="0.2">
      <c r="A49" s="60" t="s">
        <v>349</v>
      </c>
      <c r="B49" s="60" t="s">
        <v>346</v>
      </c>
      <c r="C49" s="69">
        <f>IF(IFERROR(INDEX('2016'!$E$5:$E$72,MATCH(B49,'2016'!$A$5:$A$72,0)),0)=0,"N/A",INDEX('2016'!$E$5:$E$72,MATCH(B49,'2016'!$A$5:$A$72,0)))</f>
        <v>5.431</v>
      </c>
      <c r="D49" s="60">
        <v>4.8230000000000004</v>
      </c>
      <c r="E49" s="60">
        <v>4.5220000000000002</v>
      </c>
    </row>
    <row r="50" spans="1:13" x14ac:dyDescent="0.2">
      <c r="A50" s="60" t="s">
        <v>146</v>
      </c>
      <c r="B50" s="60" t="s">
        <v>28</v>
      </c>
      <c r="C50" s="69">
        <f>IF(IFERROR(INDEX('2016'!$E$5:$E$72,MATCH(B50,'2016'!$A$5:$A$72,0)),0)=0,"N/A",INDEX('2016'!$E$5:$E$72,MATCH(B50,'2016'!$A$5:$A$72,0)))</f>
        <v>3.4430000000000001</v>
      </c>
      <c r="D50" s="60">
        <v>3.1419999999999999</v>
      </c>
      <c r="E50" s="60">
        <v>3.089</v>
      </c>
      <c r="F50" s="60">
        <v>3.02</v>
      </c>
      <c r="G50" s="60">
        <v>2.7090000000000001</v>
      </c>
      <c r="H50" s="60">
        <v>2.3639999999999999</v>
      </c>
      <c r="I50" s="60">
        <v>2.5960000000000001</v>
      </c>
      <c r="J50" s="60">
        <v>2.762</v>
      </c>
      <c r="K50" s="60">
        <v>2.8109999999999999</v>
      </c>
      <c r="L50" s="60">
        <v>3.5529999999999999</v>
      </c>
      <c r="M50" s="60">
        <v>3.387</v>
      </c>
    </row>
    <row r="51" spans="1:13" x14ac:dyDescent="0.2">
      <c r="A51" s="60" t="s">
        <v>147</v>
      </c>
      <c r="B51" s="60" t="s">
        <v>30</v>
      </c>
      <c r="C51" s="69">
        <f>IF(IFERROR(INDEX('2016'!$E$5:$E$72,MATCH(B51,'2016'!$A$5:$A$72,0)),0)=0,"N/A",INDEX('2016'!$E$5:$E$72,MATCH(B51,'2016'!$A$5:$A$72,0)))</f>
        <v>8.2309999999999999</v>
      </c>
      <c r="D51" s="60">
        <v>7.2880000000000003</v>
      </c>
      <c r="E51" s="60">
        <v>8.1300000000000008</v>
      </c>
      <c r="F51" s="60">
        <v>6.3310000000000004</v>
      </c>
      <c r="G51" s="60">
        <v>7.3159999999999998</v>
      </c>
      <c r="H51" s="60">
        <v>8.0850000000000009</v>
      </c>
      <c r="I51" s="60">
        <v>8.2230000000000008</v>
      </c>
      <c r="J51" s="60">
        <v>8.3670000000000009</v>
      </c>
      <c r="K51" s="60">
        <v>8.4390000000000001</v>
      </c>
      <c r="L51" s="60">
        <v>8.02</v>
      </c>
      <c r="M51" s="60">
        <v>7.7560000000000002</v>
      </c>
    </row>
    <row r="52" spans="1:13" x14ac:dyDescent="0.2">
      <c r="A52" s="60" t="s">
        <v>148</v>
      </c>
      <c r="B52" s="60" t="s">
        <v>31</v>
      </c>
      <c r="C52" s="69">
        <f>IF(IFERROR(INDEX('2016'!$E$5:$E$72,MATCH(B52,'2016'!$A$5:$A$72,0)),0)=0,"N/A",INDEX('2016'!$E$5:$E$72,MATCH(B52,'2016'!$A$5:$A$72,0)))</f>
        <v>9.3879999999999999</v>
      </c>
      <c r="D52" s="60">
        <v>9.0909999999999993</v>
      </c>
      <c r="E52" s="60">
        <v>8.0860000000000003</v>
      </c>
      <c r="F52" s="60">
        <v>8.1539999999999999</v>
      </c>
      <c r="G52" s="60">
        <v>7.915</v>
      </c>
      <c r="H52" s="60">
        <v>7.524</v>
      </c>
      <c r="I52" s="60">
        <v>6.8490000000000002</v>
      </c>
      <c r="J52" s="60">
        <v>8.0779999999999994</v>
      </c>
      <c r="K52" s="60">
        <v>8.1340000000000003</v>
      </c>
      <c r="L52" s="60">
        <v>9.2929999999999993</v>
      </c>
      <c r="M52" s="60">
        <v>9.6959999999999997</v>
      </c>
    </row>
    <row r="53" spans="1:13" x14ac:dyDescent="0.2">
      <c r="A53" s="60" t="s">
        <v>149</v>
      </c>
      <c r="B53" s="60" t="s">
        <v>32</v>
      </c>
      <c r="C53" s="69">
        <f>IF(IFERROR(INDEX('2016'!$E$5:$E$72,MATCH(B53,'2016'!$A$5:$A$72,0)),0)=0,"N/A",INDEX('2016'!$E$5:$E$72,MATCH(B53,'2016'!$A$5:$A$72,0)))</f>
        <v>4.2809999999999997</v>
      </c>
      <c r="D53" s="60">
        <v>3.9780000000000002</v>
      </c>
      <c r="E53" s="60">
        <v>3.62</v>
      </c>
      <c r="F53" s="60">
        <v>3.5129999999999999</v>
      </c>
      <c r="G53" s="60">
        <v>3.38</v>
      </c>
      <c r="H53" s="60">
        <v>3.1779999999999999</v>
      </c>
      <c r="I53" s="60">
        <v>2.6669999999999998</v>
      </c>
      <c r="J53" s="60">
        <v>2.3180000000000001</v>
      </c>
      <c r="K53" s="60">
        <v>1.756</v>
      </c>
      <c r="L53" s="60">
        <v>2.5390000000000001</v>
      </c>
      <c r="M53" s="60">
        <v>3.573</v>
      </c>
    </row>
    <row r="54" spans="1:13" x14ac:dyDescent="0.2">
      <c r="A54" s="60" t="s">
        <v>150</v>
      </c>
      <c r="B54" s="60" t="s">
        <v>33</v>
      </c>
      <c r="C54" s="69">
        <f>IF(IFERROR(INDEX('2016'!$E$5:$E$72,MATCH(B54,'2016'!$A$5:$A$72,0)),0)=0,"N/A",INDEX('2016'!$E$5:$E$72,MATCH(B54,'2016'!$A$5:$A$72,0)))</f>
        <v>5.7789999999999999</v>
      </c>
      <c r="D54" s="60">
        <v>5.3719999999999999</v>
      </c>
      <c r="E54" s="60">
        <v>6.085</v>
      </c>
      <c r="F54" s="60">
        <v>4.93</v>
      </c>
      <c r="G54" s="60">
        <v>5.1479999999999997</v>
      </c>
      <c r="H54" s="60">
        <v>4.9630000000000001</v>
      </c>
      <c r="I54" s="60">
        <v>4.82</v>
      </c>
      <c r="J54" s="60">
        <v>4.069</v>
      </c>
      <c r="K54" s="60">
        <v>4.7140000000000004</v>
      </c>
      <c r="L54" s="60">
        <v>5.2140000000000004</v>
      </c>
      <c r="M54" s="60">
        <v>4.6399999999999997</v>
      </c>
    </row>
    <row r="55" spans="1:13" x14ac:dyDescent="0.2">
      <c r="A55" s="60" t="s">
        <v>151</v>
      </c>
      <c r="B55" s="60" t="s">
        <v>34</v>
      </c>
      <c r="C55" s="69">
        <f>IF(IFERROR(INDEX('2016'!$E$5:$E$72,MATCH(B55,'2016'!$A$5:$A$72,0)),0)=0,"N/A",INDEX('2016'!$E$5:$E$72,MATCH(B55,'2016'!$A$5:$A$72,0)))</f>
        <v>4.2779999999999996</v>
      </c>
      <c r="D55" s="60">
        <v>3.7770000000000001</v>
      </c>
      <c r="E55" s="60">
        <v>4.5780000000000003</v>
      </c>
      <c r="F55" s="60">
        <v>4.6390000000000002</v>
      </c>
      <c r="G55" s="60">
        <v>4.8419999999999996</v>
      </c>
      <c r="H55" s="60">
        <v>4.59</v>
      </c>
      <c r="I55" s="60">
        <v>3.66</v>
      </c>
      <c r="J55" s="60">
        <v>3.4649999999999999</v>
      </c>
      <c r="K55" s="60">
        <v>4.7149999999999999</v>
      </c>
      <c r="L55" s="60">
        <v>5.101</v>
      </c>
      <c r="M55" s="60">
        <v>4.2590000000000003</v>
      </c>
    </row>
    <row r="56" spans="1:13" x14ac:dyDescent="0.2">
      <c r="A56" s="60" t="s">
        <v>152</v>
      </c>
      <c r="B56" s="60" t="s">
        <v>35</v>
      </c>
      <c r="C56" s="69">
        <f>IF(IFERROR(INDEX('2016'!$E$5:$E$72,MATCH(B56,'2016'!$A$5:$A$72,0)),0)=0,"N/A",INDEX('2016'!$E$5:$E$72,MATCH(B56,'2016'!$A$5:$A$72,0)))</f>
        <v>5.0709999999999997</v>
      </c>
      <c r="D56" s="60">
        <v>6.1470000000000002</v>
      </c>
      <c r="E56" s="60">
        <v>5.8220000000000001</v>
      </c>
      <c r="F56" s="60">
        <v>5.165</v>
      </c>
      <c r="G56" s="60">
        <v>4.875</v>
      </c>
      <c r="H56" s="60">
        <v>5.36</v>
      </c>
      <c r="I56" s="60">
        <v>5.2709999999999999</v>
      </c>
      <c r="J56" s="60">
        <v>4.984</v>
      </c>
      <c r="K56" s="60">
        <v>4.6779999999999999</v>
      </c>
      <c r="L56" s="60">
        <v>4.3579999999999997</v>
      </c>
      <c r="M56" s="60">
        <v>3.907</v>
      </c>
    </row>
    <row r="57" spans="1:13" x14ac:dyDescent="0.2">
      <c r="A57" s="60" t="s">
        <v>193</v>
      </c>
      <c r="B57" s="60" t="s">
        <v>194</v>
      </c>
      <c r="C57" s="69">
        <f>IF(IFERROR(INDEX('2016'!$E$5:$E$72,MATCH(B57,'2016'!$A$5:$A$72,0)),0)=0,"N/A",INDEX('2016'!$E$5:$E$72,MATCH(B57,'2016'!$A$5:$A$72,0)))</f>
        <v>1.6040000000000001</v>
      </c>
      <c r="D57" s="60">
        <v>2.1749999999999998</v>
      </c>
      <c r="E57" s="60">
        <v>1.9950000000000001</v>
      </c>
      <c r="F57" s="60">
        <v>1.8939999999999999</v>
      </c>
      <c r="G57" s="60">
        <v>1.859</v>
      </c>
      <c r="H57" s="60">
        <v>1.907</v>
      </c>
      <c r="I57" s="60">
        <v>1.8480000000000001</v>
      </c>
      <c r="J57" s="60">
        <v>1.9390000000000001</v>
      </c>
      <c r="K57" s="60">
        <v>1.988</v>
      </c>
      <c r="L57" s="60">
        <v>1.845</v>
      </c>
      <c r="M57" s="60">
        <v>1.8129999999999999</v>
      </c>
    </row>
    <row r="58" spans="1:13" x14ac:dyDescent="0.2">
      <c r="A58" s="60" t="s">
        <v>153</v>
      </c>
      <c r="B58" s="60" t="s">
        <v>36</v>
      </c>
      <c r="C58" s="69">
        <f>IF(IFERROR(INDEX('2016'!$E$5:$E$72,MATCH(B58,'2016'!$A$5:$A$72,0)),0)=0,"N/A",INDEX('2016'!$E$5:$E$72,MATCH(B58,'2016'!$A$5:$A$72,0)))</f>
        <v>7.2850000000000001</v>
      </c>
      <c r="D58" s="60">
        <v>6.7039999999999997</v>
      </c>
      <c r="E58" s="60">
        <v>6.91</v>
      </c>
      <c r="F58" s="60">
        <v>6.532</v>
      </c>
      <c r="G58" s="60">
        <v>6.3029999999999999</v>
      </c>
      <c r="H58" s="60">
        <v>6.0129999999999999</v>
      </c>
      <c r="I58" s="60">
        <v>5.9080000000000004</v>
      </c>
      <c r="J58" s="60">
        <v>5.6349999999999998</v>
      </c>
      <c r="K58" s="60">
        <v>5.8579999999999997</v>
      </c>
      <c r="L58" s="60">
        <v>5.734</v>
      </c>
      <c r="M58" s="60">
        <v>5.6829999999999998</v>
      </c>
    </row>
    <row r="59" spans="1:13" x14ac:dyDescent="0.2">
      <c r="A59" s="60" t="s">
        <v>154</v>
      </c>
      <c r="B59" s="60" t="s">
        <v>37</v>
      </c>
      <c r="C59" s="69">
        <f>IF(IFERROR(INDEX('2016'!$E$5:$E$72,MATCH(B59,'2016'!$A$5:$A$72,0)),0)=0,"N/A",INDEX('2016'!$E$5:$E$72,MATCH(B59,'2016'!$A$5:$A$72,0)))</f>
        <v>9.4979999999999993</v>
      </c>
      <c r="D59" s="60">
        <v>10.321999999999999</v>
      </c>
      <c r="E59" s="60">
        <v>9.4060000000000006</v>
      </c>
      <c r="F59" s="60">
        <v>8.8680000000000003</v>
      </c>
      <c r="G59" s="60">
        <v>8.9239999999999995</v>
      </c>
      <c r="H59" s="60">
        <v>8.577</v>
      </c>
      <c r="I59" s="60">
        <v>7.7560000000000002</v>
      </c>
      <c r="J59" s="60">
        <v>7.9429999999999996</v>
      </c>
      <c r="K59" s="60">
        <v>7.3979999999999997</v>
      </c>
      <c r="L59" s="60">
        <v>6.9329999999999998</v>
      </c>
      <c r="M59" s="60">
        <v>6.7359999999999998</v>
      </c>
    </row>
    <row r="60" spans="1:13" x14ac:dyDescent="0.2">
      <c r="A60" s="60" t="s">
        <v>195</v>
      </c>
      <c r="B60" s="60" t="s">
        <v>196</v>
      </c>
      <c r="C60" s="69">
        <f>IF(IFERROR(INDEX('2016'!$E$5:$E$72,MATCH(B60,'2016'!$A$5:$A$72,0)),0)=0,"N/A",INDEX('2016'!$E$5:$E$72,MATCH(B60,'2016'!$A$5:$A$72,0)))</f>
        <v>4.7649999999999997</v>
      </c>
      <c r="D60" s="60">
        <v>3.8570000000000002</v>
      </c>
      <c r="E60" s="60">
        <v>4.4219999999999997</v>
      </c>
      <c r="F60" s="60">
        <v>2.9</v>
      </c>
      <c r="G60" s="60">
        <v>2.968</v>
      </c>
      <c r="H60" s="60">
        <v>2.8010000000000002</v>
      </c>
      <c r="I60" s="60">
        <v>2.3780000000000001</v>
      </c>
      <c r="J60" s="60">
        <v>2.206</v>
      </c>
      <c r="K60" s="60">
        <v>2.4359999999999999</v>
      </c>
      <c r="L60" s="60">
        <v>2.2970000000000002</v>
      </c>
      <c r="M60" s="60">
        <v>2.3809999999999998</v>
      </c>
    </row>
    <row r="61" spans="1:13" x14ac:dyDescent="0.2">
      <c r="A61" s="60" t="s">
        <v>197</v>
      </c>
      <c r="B61" s="60" t="s">
        <v>198</v>
      </c>
      <c r="C61" s="69">
        <f>IF(IFERROR(INDEX('2016'!$E$5:$E$72,MATCH(B61,'2016'!$A$5:$A$72,0)),0)=0,"N/A",INDEX('2016'!$E$5:$E$72,MATCH(B61,'2016'!$A$5:$A$72,0)))</f>
        <v>2.6749999999999998</v>
      </c>
      <c r="D61" s="60">
        <v>2.4159999999999999</v>
      </c>
      <c r="E61" s="60">
        <v>2.6709999999999998</v>
      </c>
      <c r="F61" s="60">
        <v>2.476</v>
      </c>
      <c r="G61" s="60">
        <v>2.3439999999999999</v>
      </c>
      <c r="H61" s="60">
        <v>2.23</v>
      </c>
      <c r="I61" s="60">
        <v>2.1040000000000001</v>
      </c>
      <c r="J61" s="60">
        <v>1.859</v>
      </c>
      <c r="K61" s="60">
        <v>1.738</v>
      </c>
      <c r="L61" s="60">
        <v>1.599</v>
      </c>
      <c r="M61" s="60">
        <v>1.7529999999999999</v>
      </c>
    </row>
    <row r="62" spans="1:13" x14ac:dyDescent="0.2">
      <c r="A62" s="60" t="s">
        <v>155</v>
      </c>
      <c r="B62" s="60" t="s">
        <v>38</v>
      </c>
      <c r="C62" s="69">
        <f>IF(IFERROR(INDEX('2016'!$E$5:$E$72,MATCH(B62,'2016'!$A$5:$A$72,0)),0)=0,"N/A",INDEX('2016'!$E$5:$E$72,MATCH(B62,'2016'!$A$5:$A$72,0)))</f>
        <v>5.69</v>
      </c>
      <c r="D62" s="60">
        <v>5.4710000000000001</v>
      </c>
      <c r="E62" s="60">
        <v>5.2789999999999999</v>
      </c>
      <c r="F62" s="60">
        <v>5.266</v>
      </c>
      <c r="G62" s="60">
        <v>5.18</v>
      </c>
      <c r="H62" s="60">
        <v>4.9139999999999997</v>
      </c>
      <c r="I62" s="60">
        <v>4.5129999999999999</v>
      </c>
      <c r="J62" s="60">
        <v>4.4320000000000004</v>
      </c>
      <c r="K62" s="60">
        <v>4.4340000000000002</v>
      </c>
      <c r="L62" s="60">
        <v>4.22</v>
      </c>
      <c r="M62" s="60">
        <v>4.0129999999999999</v>
      </c>
    </row>
    <row r="63" spans="1:13" x14ac:dyDescent="0.2">
      <c r="A63" s="60" t="s">
        <v>199</v>
      </c>
      <c r="B63" s="60" t="s">
        <v>200</v>
      </c>
      <c r="C63" s="69">
        <f>IF(IFERROR(INDEX('2016'!$E$5:$E$72,MATCH(B63,'2016'!$A$5:$A$72,0)),0)=0,"N/A",INDEX('2016'!$E$5:$E$72,MATCH(B63,'2016'!$A$5:$A$72,0)))</f>
        <v>9.2910000000000004</v>
      </c>
      <c r="D63" s="60">
        <v>8.6210000000000004</v>
      </c>
      <c r="E63" s="60">
        <v>8.4719999999999995</v>
      </c>
      <c r="F63" s="60">
        <v>8.2439999999999998</v>
      </c>
      <c r="G63" s="60">
        <v>7.7309999999999999</v>
      </c>
      <c r="H63" s="60">
        <v>6.806</v>
      </c>
      <c r="I63" s="60">
        <v>6.4610000000000003</v>
      </c>
      <c r="J63" s="60">
        <v>6.1559999999999997</v>
      </c>
      <c r="K63" s="60">
        <v>5.7629999999999999</v>
      </c>
      <c r="L63" s="60">
        <v>6.2089999999999996</v>
      </c>
      <c r="M63" s="60">
        <v>5.9710000000000001</v>
      </c>
    </row>
    <row r="64" spans="1:13" x14ac:dyDescent="0.2">
      <c r="A64" s="60" t="s">
        <v>243</v>
      </c>
      <c r="B64" s="60" t="s">
        <v>244</v>
      </c>
      <c r="C64" s="69">
        <f>IF(IFERROR(INDEX('2016'!$E$5:$E$72,MATCH(B64,'2016'!$A$5:$A$72,0)),0)=0,"N/A",INDEX('2016'!$E$5:$E$72,MATCH(B64,'2016'!$A$5:$A$72,0)))</f>
        <v>6.1580000000000004</v>
      </c>
      <c r="D64" s="60">
        <v>6.1539999999999999</v>
      </c>
      <c r="E64" s="60">
        <v>3.867</v>
      </c>
      <c r="F64" s="60">
        <v>3.121</v>
      </c>
      <c r="G64" s="60">
        <v>4.5839999999999996</v>
      </c>
      <c r="H64" s="60">
        <v>4.6180000000000003</v>
      </c>
      <c r="I64" s="60">
        <v>4.109</v>
      </c>
      <c r="J64" s="60">
        <v>4.5570000000000004</v>
      </c>
      <c r="K64" s="60">
        <v>4.2210000000000001</v>
      </c>
      <c r="L64" s="60">
        <v>3.8740000000000001</v>
      </c>
      <c r="M64" s="60">
        <v>3.8090000000000002</v>
      </c>
    </row>
    <row r="65" spans="1:13" x14ac:dyDescent="0.2">
      <c r="A65" s="60" t="s">
        <v>201</v>
      </c>
      <c r="B65" s="60" t="s">
        <v>202</v>
      </c>
      <c r="C65" s="69">
        <f>IF(IFERROR(INDEX('2016'!$E$5:$E$72,MATCH(B65,'2016'!$A$5:$A$72,0)),0)=0,"N/A",INDEX('2016'!$E$5:$E$72,MATCH(B65,'2016'!$A$5:$A$72,0)))</f>
        <v>1.2709999999999999</v>
      </c>
      <c r="D65" s="60">
        <v>1.085</v>
      </c>
      <c r="E65" s="60">
        <v>1.0009999999999999</v>
      </c>
      <c r="F65" s="60">
        <v>0.84499999999999997</v>
      </c>
      <c r="G65" s="60">
        <v>0.71899999999999997</v>
      </c>
      <c r="H65" s="60">
        <v>0.65</v>
      </c>
      <c r="I65" s="60">
        <v>0.69699999999999995</v>
      </c>
      <c r="J65" s="60">
        <v>2.0379999999999998</v>
      </c>
      <c r="K65" s="60">
        <v>0.20699999999999999</v>
      </c>
      <c r="L65" s="60">
        <v>0.93100000000000005</v>
      </c>
      <c r="M65" s="60">
        <v>-0.252</v>
      </c>
    </row>
    <row r="66" spans="1:13" x14ac:dyDescent="0.2">
      <c r="A66" s="60" t="s">
        <v>203</v>
      </c>
      <c r="B66" s="60" t="s">
        <v>204</v>
      </c>
      <c r="C66" s="69">
        <f>IF(IFERROR(INDEX('2016'!$E$5:$E$72,MATCH(B66,'2016'!$A$5:$A$72,0)),0)=0,"N/A",INDEX('2016'!$E$5:$E$72,MATCH(B66,'2016'!$A$5:$A$72,0)))</f>
        <v>4.3940000000000001</v>
      </c>
      <c r="D66" s="60">
        <v>4.2050000000000001</v>
      </c>
      <c r="E66" s="60">
        <v>4.0529999999999999</v>
      </c>
      <c r="F66" s="60">
        <v>3.7519999999999998</v>
      </c>
      <c r="G66" s="60">
        <v>3.0489999999999999</v>
      </c>
      <c r="H66" s="60">
        <v>2.7469999999999999</v>
      </c>
      <c r="I66" s="60">
        <v>2.8660000000000001</v>
      </c>
      <c r="J66" s="60">
        <v>2.8220000000000001</v>
      </c>
      <c r="K66" s="60">
        <v>2.4820000000000002</v>
      </c>
      <c r="L66" s="60">
        <v>2.2570000000000001</v>
      </c>
      <c r="M66" s="60">
        <v>2.0539999999999998</v>
      </c>
    </row>
    <row r="67" spans="1:13" x14ac:dyDescent="0.2">
      <c r="A67" s="60" t="s">
        <v>159</v>
      </c>
      <c r="B67" s="60" t="s">
        <v>83</v>
      </c>
      <c r="C67" s="69">
        <f>IF(IFERROR(INDEX('2016'!$E$5:$E$72,MATCH(B67,'2016'!$A$5:$A$72,0)),0)=0,"N/A",INDEX('2016'!$E$5:$E$72,MATCH(B67,'2016'!$A$5:$A$72,0)))</f>
        <v>5.24</v>
      </c>
      <c r="D67" s="60">
        <v>5.1459999999999999</v>
      </c>
      <c r="E67" s="60">
        <v>4.8</v>
      </c>
      <c r="F67" s="60">
        <v>4.2839999999999998</v>
      </c>
      <c r="G67" s="60">
        <v>3.86</v>
      </c>
      <c r="H67" s="60">
        <v>4.16</v>
      </c>
      <c r="I67" s="60">
        <v>3.5230000000000001</v>
      </c>
      <c r="J67" s="60">
        <v>3.4420000000000002</v>
      </c>
      <c r="K67" s="60">
        <v>3.6829999999999998</v>
      </c>
      <c r="L67" s="60">
        <v>4.5990000000000002</v>
      </c>
      <c r="M67" s="60">
        <v>4.266</v>
      </c>
    </row>
    <row r="68" spans="1:13" x14ac:dyDescent="0.2">
      <c r="A68" s="60" t="s">
        <v>156</v>
      </c>
      <c r="B68" s="60" t="s">
        <v>42</v>
      </c>
      <c r="C68" s="69">
        <f>IF(IFERROR(INDEX('2016'!$E$5:$E$72,MATCH(B68,'2016'!$A$5:$A$72,0)),0)=0,"N/A",INDEX('2016'!$E$5:$E$72,MATCH(B68,'2016'!$A$5:$A$72,0)))</f>
        <v>5.6890000000000001</v>
      </c>
      <c r="D68" s="60">
        <v>5.4779999999999998</v>
      </c>
      <c r="E68" s="60">
        <v>5.3310000000000004</v>
      </c>
      <c r="F68" s="60">
        <v>5.0289999999999999</v>
      </c>
      <c r="G68" s="60">
        <v>5.032</v>
      </c>
      <c r="H68" s="60">
        <v>4.7119999999999997</v>
      </c>
      <c r="I68" s="60">
        <v>4.4409999999999998</v>
      </c>
      <c r="J68" s="60">
        <v>4.4009999999999998</v>
      </c>
      <c r="K68" s="60">
        <v>3.9649999999999999</v>
      </c>
      <c r="L68" s="60">
        <v>4.2939999999999996</v>
      </c>
      <c r="M68" s="60">
        <v>3.694</v>
      </c>
    </row>
    <row r="69" spans="1:13" x14ac:dyDescent="0.2">
      <c r="A69" s="60" t="s">
        <v>217</v>
      </c>
      <c r="B69" s="60" t="s">
        <v>44</v>
      </c>
      <c r="C69" s="69">
        <f>IF(IFERROR(INDEX('2016'!$E$5:$E$72,MATCH(B69,'2016'!$A$5:$A$72,0)),0)=0,"N/A",INDEX('2016'!$E$5:$E$72,MATCH(B69,'2016'!$A$5:$A$72,0)))</f>
        <v>5.391</v>
      </c>
      <c r="D69" s="60">
        <v>3.871</v>
      </c>
      <c r="E69" s="60">
        <v>4.468</v>
      </c>
      <c r="F69" s="60">
        <v>4.3259999999999996</v>
      </c>
      <c r="G69" s="60">
        <v>4.008</v>
      </c>
      <c r="H69" s="60">
        <v>3.6840000000000002</v>
      </c>
      <c r="I69" s="60">
        <v>3.302</v>
      </c>
      <c r="J69" s="60">
        <v>3.1080000000000001</v>
      </c>
      <c r="K69" s="60">
        <v>2.9550000000000001</v>
      </c>
      <c r="L69" s="60">
        <v>2.9830000000000001</v>
      </c>
      <c r="M69" s="60">
        <v>2.8980000000000001</v>
      </c>
    </row>
    <row r="70" spans="1:13" x14ac:dyDescent="0.2">
      <c r="A70" s="60" t="s">
        <v>157</v>
      </c>
      <c r="B70" s="60" t="s">
        <v>43</v>
      </c>
      <c r="C70" s="69">
        <f>IF(IFERROR(INDEX('2016'!$E$5:$E$72,MATCH(B70,'2016'!$A$5:$A$72,0)),0)=0,"N/A",INDEX('2016'!$E$5:$E$72,MATCH(B70,'2016'!$A$5:$A$72,0)))</f>
        <v>4.8319999999999999</v>
      </c>
      <c r="D70" s="60">
        <v>4.2629999999999999</v>
      </c>
      <c r="E70" s="60">
        <v>4.5540000000000003</v>
      </c>
      <c r="F70" s="60">
        <v>4.4059999999999997</v>
      </c>
      <c r="G70" s="60">
        <v>4.3</v>
      </c>
      <c r="H70" s="60">
        <v>3.9649999999999999</v>
      </c>
      <c r="I70" s="60">
        <v>4.2350000000000003</v>
      </c>
      <c r="J70" s="60">
        <v>3.593</v>
      </c>
      <c r="K70" s="60">
        <v>3.1349999999999998</v>
      </c>
      <c r="L70" s="60">
        <v>3.774</v>
      </c>
      <c r="M70" s="60">
        <v>3.9420000000000002</v>
      </c>
    </row>
    <row r="71" spans="1:13" x14ac:dyDescent="0.2">
      <c r="A71" s="60" t="s">
        <v>205</v>
      </c>
      <c r="B71" s="60" t="s">
        <v>206</v>
      </c>
      <c r="C71" s="69">
        <f>IF(IFERROR(INDEX('2016'!$E$5:$E$72,MATCH(B71,'2016'!$A$5:$A$72,0)),0)=0,"N/A",INDEX('2016'!$E$5:$E$72,MATCH(B71,'2016'!$A$5:$A$72,0)))</f>
        <v>5.7690000000000001</v>
      </c>
      <c r="D71" s="60">
        <v>5.601</v>
      </c>
      <c r="E71" s="60">
        <v>4.8</v>
      </c>
      <c r="F71" s="60">
        <v>4.2869999999999999</v>
      </c>
      <c r="G71" s="60">
        <v>4.5330000000000004</v>
      </c>
      <c r="H71" s="60">
        <v>4.0129999999999999</v>
      </c>
      <c r="I71" s="60">
        <v>4.1109999999999998</v>
      </c>
      <c r="J71" s="60">
        <v>4.4429999999999996</v>
      </c>
      <c r="K71" s="60">
        <v>4.3390000000000004</v>
      </c>
      <c r="L71" s="60">
        <v>3.887</v>
      </c>
      <c r="M71" s="60">
        <v>3.8410000000000002</v>
      </c>
    </row>
    <row r="72" spans="1:13" x14ac:dyDescent="0.2">
      <c r="A72" s="60" t="s">
        <v>158</v>
      </c>
      <c r="B72" s="60" t="s">
        <v>45</v>
      </c>
      <c r="C72" s="69">
        <f>IF(IFERROR(INDEX('2016'!$E$5:$E$72,MATCH(B72,'2016'!$A$5:$A$72,0)),0)=0,"N/A",INDEX('2016'!$E$5:$E$72,MATCH(B72,'2016'!$A$5:$A$72,0)))</f>
        <v>5.0430000000000001</v>
      </c>
      <c r="D72" s="60">
        <v>4.5570000000000004</v>
      </c>
      <c r="E72" s="60">
        <v>4.2850000000000001</v>
      </c>
      <c r="F72" s="60">
        <v>4.101</v>
      </c>
      <c r="G72" s="60">
        <v>4.0010000000000003</v>
      </c>
      <c r="H72" s="60">
        <v>3.7850000000000001</v>
      </c>
      <c r="I72" s="60">
        <v>3.512</v>
      </c>
      <c r="J72" s="60">
        <v>3.4769999999999999</v>
      </c>
      <c r="K72" s="60">
        <v>3.5019999999999998</v>
      </c>
      <c r="L72" s="60">
        <v>3.4540000000000002</v>
      </c>
      <c r="M72" s="60">
        <v>3.6070000000000002</v>
      </c>
    </row>
    <row r="73" spans="1:13" x14ac:dyDescent="0.2">
      <c r="A73" s="60" t="s">
        <v>207</v>
      </c>
      <c r="B73" s="60" t="s">
        <v>208</v>
      </c>
      <c r="C73" s="69" t="str">
        <f>IF(IFERROR(INDEX('2016'!$E$5:$E$72,MATCH(B73,'2016'!$A$5:$A$72,0)),0)=0,"N/A",INDEX('2016'!$E$5:$E$72,MATCH(B73,'2016'!$A$5:$A$72,0)))</f>
        <v>N/A</v>
      </c>
      <c r="D73" s="60">
        <v>1.4550000000000001</v>
      </c>
      <c r="E73" s="60">
        <v>1.357</v>
      </c>
      <c r="F73" s="60">
        <v>1.1859999999999999</v>
      </c>
      <c r="G73" s="60">
        <v>1.1200000000000001</v>
      </c>
      <c r="H73" s="60">
        <v>1.0940000000000001</v>
      </c>
      <c r="I73" s="60">
        <v>1.0649999999999999</v>
      </c>
      <c r="J73" s="60">
        <v>0.94899999999999995</v>
      </c>
      <c r="K73" s="60">
        <v>0.88400000000000001</v>
      </c>
      <c r="L73" s="60">
        <v>0.85599999999999998</v>
      </c>
      <c r="M73" s="60">
        <v>0.76900000000000002</v>
      </c>
    </row>
  </sheetData>
  <autoFilter ref="A3:N73"/>
  <sortState ref="A2:T90">
    <sortCondition ref="B2:B90"/>
  </sortState>
  <printOptions headings="1"/>
  <pageMargins left="0.3" right="0.3" top="0.75" bottom="0.75" header="0.3" footer="0.3"/>
  <pageSetup fitToHeight="0" orientation="landscape" r:id="rId1"/>
  <headerFooter>
    <oddHeader>&amp;R&amp;A
&amp;P/&amp;N</oddHeader>
    <oddFooter>&amp;R&amp;A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N72"/>
  <sheetViews>
    <sheetView zoomScale="102" zoomScaleNormal="102" workbookViewId="0">
      <selection activeCell="C73" sqref="C73"/>
    </sheetView>
  </sheetViews>
  <sheetFormatPr defaultColWidth="8.75" defaultRowHeight="11.25" x14ac:dyDescent="0.2"/>
  <cols>
    <col min="1" max="1" width="19.25" style="60" customWidth="1"/>
    <col min="2" max="2" width="5.75" style="60" bestFit="1" customWidth="1"/>
    <col min="3" max="13" width="7" style="60" bestFit="1" customWidth="1"/>
    <col min="14" max="16384" width="8.75" style="60"/>
  </cols>
  <sheetData>
    <row r="1" spans="1:14" ht="33.75" x14ac:dyDescent="0.2">
      <c r="A1" s="59" t="s">
        <v>316</v>
      </c>
      <c r="C1" s="61">
        <v>2016</v>
      </c>
      <c r="D1" s="61">
        <v>2015</v>
      </c>
      <c r="E1" s="61">
        <v>2014</v>
      </c>
      <c r="F1" s="61">
        <v>2013</v>
      </c>
      <c r="G1" s="61">
        <v>2012</v>
      </c>
      <c r="H1" s="61">
        <v>2011</v>
      </c>
      <c r="I1" s="61">
        <v>2010</v>
      </c>
      <c r="J1" s="61">
        <v>2009</v>
      </c>
      <c r="K1" s="61">
        <v>2008</v>
      </c>
      <c r="L1" s="61">
        <v>2007</v>
      </c>
      <c r="M1" s="61">
        <v>2006</v>
      </c>
    </row>
    <row r="2" spans="1:14" x14ac:dyDescent="0.2">
      <c r="A2" s="69" t="s">
        <v>315</v>
      </c>
      <c r="C2" s="71">
        <f>'2016'!$A$1</f>
        <v>42907</v>
      </c>
      <c r="D2" s="77">
        <v>42840</v>
      </c>
      <c r="E2" s="77">
        <v>42840</v>
      </c>
      <c r="F2" s="77">
        <v>42840</v>
      </c>
      <c r="G2" s="77">
        <v>42840</v>
      </c>
      <c r="H2" s="77">
        <v>42840</v>
      </c>
      <c r="I2" s="77">
        <v>42840</v>
      </c>
      <c r="J2" s="77">
        <v>42840</v>
      </c>
      <c r="K2" s="77">
        <v>42840</v>
      </c>
      <c r="L2" s="77">
        <v>42840</v>
      </c>
      <c r="M2" s="77">
        <v>42840</v>
      </c>
      <c r="N2" s="60" t="s">
        <v>348</v>
      </c>
    </row>
    <row r="3" spans="1:14" x14ac:dyDescent="0.2">
      <c r="A3" s="60" t="s">
        <v>117</v>
      </c>
      <c r="B3" s="60" t="s">
        <v>99</v>
      </c>
      <c r="C3" s="60" t="s">
        <v>296</v>
      </c>
      <c r="D3" s="60" t="s">
        <v>295</v>
      </c>
      <c r="E3" s="60" t="s">
        <v>294</v>
      </c>
      <c r="F3" s="60" t="s">
        <v>293</v>
      </c>
      <c r="G3" s="60" t="s">
        <v>292</v>
      </c>
      <c r="H3" s="60" t="s">
        <v>291</v>
      </c>
      <c r="I3" s="60" t="s">
        <v>290</v>
      </c>
      <c r="J3" s="60" t="s">
        <v>289</v>
      </c>
      <c r="K3" s="60" t="s">
        <v>288</v>
      </c>
      <c r="L3" s="60" t="s">
        <v>287</v>
      </c>
      <c r="M3" s="60" t="s">
        <v>286</v>
      </c>
    </row>
    <row r="4" spans="1:14" x14ac:dyDescent="0.2">
      <c r="A4" s="60" t="s">
        <v>162</v>
      </c>
      <c r="B4" s="60" t="s">
        <v>163</v>
      </c>
      <c r="C4" s="69">
        <f>IF(IFERROR(INDEX('2016'!$F$5:$F$72,MATCH(B4,'2016'!$A$5:$A$72,0)),0)=0,"N/A",INDEX('2016'!$F$5:$F$72,MATCH(B4,'2016'!$A$5:$A$72,0)))</f>
        <v>0.6</v>
      </c>
      <c r="D4" s="60">
        <v>-0.3</v>
      </c>
      <c r="E4" s="60">
        <v>1.48</v>
      </c>
      <c r="F4" s="60">
        <v>5.24</v>
      </c>
      <c r="G4" s="60">
        <v>6.53</v>
      </c>
      <c r="H4" s="60">
        <v>4.99</v>
      </c>
      <c r="I4" s="60">
        <v>2.0499999999999998</v>
      </c>
      <c r="J4" s="60">
        <v>0.98</v>
      </c>
      <c r="K4" s="60">
        <v>-1.32</v>
      </c>
      <c r="L4" s="60">
        <v>2.1789999999999998</v>
      </c>
      <c r="M4" s="60">
        <v>2.4900000000000002</v>
      </c>
    </row>
    <row r="5" spans="1:14" x14ac:dyDescent="0.2">
      <c r="A5" s="60" t="s">
        <v>119</v>
      </c>
      <c r="B5" s="60" t="s">
        <v>0</v>
      </c>
      <c r="C5" s="69">
        <f>IF(IFERROR(INDEX('2016'!$F$5:$F$72,MATCH(B5,'2016'!$A$5:$A$72,0)),0)=0,"N/A",INDEX('2016'!$F$5:$F$72,MATCH(B5,'2016'!$A$5:$A$72,0)))</f>
        <v>3.14</v>
      </c>
      <c r="D5" s="60">
        <v>3.38</v>
      </c>
      <c r="E5" s="60">
        <v>2.9</v>
      </c>
      <c r="F5" s="60">
        <v>2.63</v>
      </c>
      <c r="G5" s="60">
        <v>2.58</v>
      </c>
      <c r="H5" s="60">
        <v>2.65</v>
      </c>
      <c r="I5" s="60">
        <v>2.19</v>
      </c>
      <c r="J5" s="60">
        <v>1.89</v>
      </c>
      <c r="K5" s="60">
        <v>2.82</v>
      </c>
      <c r="L5" s="60">
        <v>3.08</v>
      </c>
      <c r="M5" s="60">
        <v>2.77</v>
      </c>
    </row>
    <row r="6" spans="1:14" x14ac:dyDescent="0.2">
      <c r="A6" s="60" t="s">
        <v>120</v>
      </c>
      <c r="B6" s="60" t="s">
        <v>1</v>
      </c>
      <c r="C6" s="69">
        <f>IF(IFERROR(INDEX('2016'!$F$5:$F$72,MATCH(B6,'2016'!$A$5:$A$72,0)),0)=0,"N/A",INDEX('2016'!$F$5:$F$72,MATCH(B6,'2016'!$A$5:$A$72,0)))</f>
        <v>1.65</v>
      </c>
      <c r="D6" s="60">
        <v>1.69</v>
      </c>
      <c r="E6" s="60">
        <v>1.74</v>
      </c>
      <c r="F6" s="60">
        <v>1.645</v>
      </c>
      <c r="G6" s="60">
        <v>1.5249999999999999</v>
      </c>
      <c r="H6" s="60">
        <v>1.375</v>
      </c>
      <c r="I6" s="60">
        <v>1.375</v>
      </c>
      <c r="J6" s="60">
        <v>0.94499999999999995</v>
      </c>
      <c r="K6" s="60">
        <v>1.27</v>
      </c>
      <c r="L6" s="60">
        <v>1.345</v>
      </c>
      <c r="M6" s="60">
        <v>1.03</v>
      </c>
    </row>
    <row r="7" spans="1:14" x14ac:dyDescent="0.2">
      <c r="A7" s="60" t="s">
        <v>121</v>
      </c>
      <c r="B7" s="60" t="s">
        <v>2</v>
      </c>
      <c r="C7" s="69">
        <f>IF(IFERROR(INDEX('2016'!$F$5:$F$72,MATCH(B7,'2016'!$A$5:$A$72,0)),0)=0,"N/A",INDEX('2016'!$F$5:$F$72,MATCH(B7,'2016'!$A$5:$A$72,0)))</f>
        <v>4.2300000000000004</v>
      </c>
      <c r="D7" s="60">
        <v>3.59</v>
      </c>
      <c r="E7" s="60">
        <v>3.34</v>
      </c>
      <c r="F7" s="60">
        <v>3.18</v>
      </c>
      <c r="G7" s="60">
        <v>2.98</v>
      </c>
      <c r="H7" s="60">
        <v>3.13</v>
      </c>
      <c r="I7" s="60">
        <v>2.6</v>
      </c>
      <c r="J7" s="60">
        <v>2.97</v>
      </c>
      <c r="K7" s="60">
        <v>2.99</v>
      </c>
      <c r="L7" s="60">
        <v>2.86</v>
      </c>
      <c r="M7" s="60">
        <v>2.86</v>
      </c>
    </row>
    <row r="8" spans="1:14" x14ac:dyDescent="0.2">
      <c r="A8" s="60" t="s">
        <v>164</v>
      </c>
      <c r="B8" s="60" t="s">
        <v>165</v>
      </c>
      <c r="C8" s="69">
        <f>IF(IFERROR(INDEX('2016'!$F$5:$F$72,MATCH(B8,'2016'!$A$5:$A$72,0)),0)=0,"N/A",INDEX('2016'!$F$5:$F$72,MATCH(B8,'2016'!$A$5:$A$72,0)))</f>
        <v>1.62</v>
      </c>
      <c r="D8" s="60">
        <v>1.6</v>
      </c>
      <c r="E8" s="60">
        <v>1.57</v>
      </c>
      <c r="F8" s="60">
        <v>1.61</v>
      </c>
      <c r="G8" s="60">
        <v>1.41</v>
      </c>
      <c r="H8" s="60">
        <v>1.1200000000000001</v>
      </c>
      <c r="I8" s="60">
        <v>1.1100000000000001</v>
      </c>
      <c r="J8" s="60">
        <v>0.81</v>
      </c>
      <c r="K8" s="60">
        <v>0.77500000000000002</v>
      </c>
      <c r="L8" s="60">
        <v>0.81</v>
      </c>
      <c r="M8" s="60">
        <v>0.66500000000000004</v>
      </c>
    </row>
    <row r="9" spans="1:14" x14ac:dyDescent="0.2">
      <c r="A9" s="60" t="s">
        <v>166</v>
      </c>
      <c r="B9" s="60" t="s">
        <v>167</v>
      </c>
      <c r="C9" s="69">
        <f>IF(IFERROR(INDEX('2016'!$F$5:$F$72,MATCH(B9,'2016'!$A$5:$A$72,0)),0)=0,"N/A",INDEX('2016'!$F$5:$F$72,MATCH(B9,'2016'!$A$5:$A$72,0)))</f>
        <v>2.62</v>
      </c>
      <c r="D9" s="60">
        <v>2.64</v>
      </c>
      <c r="E9" s="60">
        <v>2.39</v>
      </c>
      <c r="F9" s="60">
        <v>2.06</v>
      </c>
      <c r="G9" s="60">
        <v>2.11</v>
      </c>
      <c r="H9" s="60">
        <v>1.72</v>
      </c>
      <c r="I9" s="60">
        <v>1.53</v>
      </c>
      <c r="J9" s="60">
        <v>1.25</v>
      </c>
      <c r="K9" s="60">
        <v>1.1000000000000001</v>
      </c>
      <c r="L9" s="60">
        <v>-2.14</v>
      </c>
      <c r="M9" s="60">
        <v>-0.97</v>
      </c>
    </row>
    <row r="10" spans="1:14" x14ac:dyDescent="0.2">
      <c r="A10" s="60" t="s">
        <v>122</v>
      </c>
      <c r="B10" s="60" t="s">
        <v>3</v>
      </c>
      <c r="C10" s="69">
        <f>IF(IFERROR(INDEX('2016'!$F$5:$F$72,MATCH(B10,'2016'!$A$5:$A$72,0)),0)=0,"N/A",INDEX('2016'!$F$5:$F$72,MATCH(B10,'2016'!$A$5:$A$72,0)))</f>
        <v>2.68</v>
      </c>
      <c r="D10" s="60">
        <v>2.38</v>
      </c>
      <c r="E10" s="60">
        <v>2.4</v>
      </c>
      <c r="F10" s="60">
        <v>2.1</v>
      </c>
      <c r="G10" s="60">
        <v>2.41</v>
      </c>
      <c r="H10" s="60">
        <v>2.4700000000000002</v>
      </c>
      <c r="I10" s="60">
        <v>2.77</v>
      </c>
      <c r="J10" s="60">
        <v>2.78</v>
      </c>
      <c r="K10" s="60">
        <v>2.88</v>
      </c>
      <c r="L10" s="60">
        <v>2.98</v>
      </c>
      <c r="M10" s="60">
        <v>2.66</v>
      </c>
    </row>
    <row r="11" spans="1:14" x14ac:dyDescent="0.2">
      <c r="A11" s="60" t="s">
        <v>168</v>
      </c>
      <c r="B11" s="60" t="s">
        <v>169</v>
      </c>
      <c r="C11" s="69">
        <f>IF(IFERROR(INDEX('2016'!$F$5:$F$72,MATCH(B11,'2016'!$A$5:$A$72,0)),0)=0,"N/A",INDEX('2016'!$F$5:$F$72,MATCH(B11,'2016'!$A$5:$A$72,0)))</f>
        <v>1.77</v>
      </c>
      <c r="D11" s="60">
        <v>1.91</v>
      </c>
      <c r="E11" s="60">
        <v>2.82</v>
      </c>
      <c r="F11" s="60">
        <v>2.14</v>
      </c>
      <c r="G11" s="60">
        <v>0.01</v>
      </c>
      <c r="H11" s="60">
        <v>2.73</v>
      </c>
      <c r="I11" s="60">
        <v>2.8</v>
      </c>
      <c r="J11" s="60">
        <v>3.14</v>
      </c>
      <c r="K11" s="60">
        <v>2.7</v>
      </c>
      <c r="L11" s="60">
        <v>2.62</v>
      </c>
      <c r="M11" s="60">
        <v>1.59</v>
      </c>
    </row>
    <row r="12" spans="1:14" x14ac:dyDescent="0.2">
      <c r="A12" s="60" t="s">
        <v>170</v>
      </c>
      <c r="B12" s="60" t="s">
        <v>171</v>
      </c>
      <c r="C12" s="69">
        <f>IF(IFERROR(INDEX('2016'!$F$5:$F$72,MATCH(B12,'2016'!$A$5:$A$72,0)),0)=0,"N/A",INDEX('2016'!$F$5:$F$72,MATCH(B12,'2016'!$A$5:$A$72,0)))</f>
        <v>1.32</v>
      </c>
      <c r="D12" s="60">
        <v>1.1399999999999999</v>
      </c>
      <c r="E12" s="60">
        <v>1.2</v>
      </c>
      <c r="F12" s="60">
        <v>1.1599999999999999</v>
      </c>
      <c r="G12" s="60">
        <v>0.872</v>
      </c>
      <c r="H12" s="60">
        <v>0.83199999999999996</v>
      </c>
      <c r="I12" s="60">
        <v>0.72</v>
      </c>
      <c r="J12" s="60">
        <v>0.61599999999999999</v>
      </c>
      <c r="K12" s="60">
        <v>0.58399999999999996</v>
      </c>
      <c r="L12" s="60">
        <v>0.56799999999999995</v>
      </c>
      <c r="M12" s="60">
        <v>0.56000000000000005</v>
      </c>
    </row>
    <row r="13" spans="1:14" x14ac:dyDescent="0.2">
      <c r="A13" s="60" t="s">
        <v>172</v>
      </c>
      <c r="B13" s="60" t="s">
        <v>173</v>
      </c>
      <c r="C13" s="69">
        <f>IF(IFERROR(INDEX('2016'!$F$5:$F$72,MATCH(B13,'2016'!$A$5:$A$72,0)),0)=0,"N/A",INDEX('2016'!$F$5:$F$72,MATCH(B13,'2016'!$A$5:$A$72,0)))</f>
        <v>1.41</v>
      </c>
      <c r="D13" s="60">
        <v>1.26</v>
      </c>
      <c r="E13" s="60">
        <v>1.07</v>
      </c>
      <c r="F13" s="60">
        <v>0.94</v>
      </c>
      <c r="G13" s="60">
        <v>1.1299999999999999</v>
      </c>
      <c r="H13" s="60">
        <v>0.83</v>
      </c>
      <c r="I13" s="60">
        <v>1</v>
      </c>
      <c r="J13" s="60">
        <v>0.97</v>
      </c>
      <c r="K13" s="60">
        <v>0.86</v>
      </c>
      <c r="L13" s="60">
        <v>0.9</v>
      </c>
      <c r="M13" s="60">
        <v>0.97</v>
      </c>
    </row>
    <row r="14" spans="1:14" x14ac:dyDescent="0.2">
      <c r="A14" s="60" t="s">
        <v>174</v>
      </c>
      <c r="B14" s="60" t="s">
        <v>175</v>
      </c>
      <c r="C14" s="69">
        <f>IF(IFERROR(INDEX('2016'!$F$5:$F$72,MATCH(B14,'2016'!$A$5:$A$72,0)),0)=0,"N/A",INDEX('2016'!$F$5:$F$72,MATCH(B14,'2016'!$A$5:$A$72,0)))</f>
        <v>3.38</v>
      </c>
      <c r="D14" s="60">
        <v>3.09</v>
      </c>
      <c r="E14" s="60">
        <v>2.96</v>
      </c>
      <c r="F14" s="60">
        <v>2.5</v>
      </c>
      <c r="G14" s="60">
        <v>2.1</v>
      </c>
      <c r="H14" s="60">
        <v>2.2599999999999998</v>
      </c>
      <c r="I14" s="60">
        <v>2.16</v>
      </c>
      <c r="J14" s="60">
        <v>1.97</v>
      </c>
      <c r="K14" s="60">
        <v>2</v>
      </c>
      <c r="L14" s="60">
        <v>1.94</v>
      </c>
      <c r="M14" s="60">
        <v>2</v>
      </c>
    </row>
    <row r="15" spans="1:14" x14ac:dyDescent="0.2">
      <c r="A15" s="60" t="s">
        <v>263</v>
      </c>
      <c r="B15" s="60" t="s">
        <v>260</v>
      </c>
      <c r="C15" s="69">
        <f>IF(IFERROR(INDEX('2016'!$F$5:$F$72,MATCH(B15,'2016'!$A$5:$A$72,0)),0)=0,"N/A",INDEX('2016'!$F$5:$F$72,MATCH(B15,'2016'!$A$5:$A$72,0)))</f>
        <v>1.98</v>
      </c>
      <c r="D15" s="60">
        <v>0.86</v>
      </c>
      <c r="E15" s="69" t="s">
        <v>106</v>
      </c>
      <c r="F15" s="69" t="s">
        <v>106</v>
      </c>
      <c r="G15" s="69" t="s">
        <v>106</v>
      </c>
      <c r="H15" s="69" t="s">
        <v>106</v>
      </c>
      <c r="I15" s="69" t="s">
        <v>106</v>
      </c>
      <c r="J15" s="69" t="s">
        <v>106</v>
      </c>
      <c r="K15" s="69" t="s">
        <v>106</v>
      </c>
      <c r="L15" s="69" t="s">
        <v>106</v>
      </c>
      <c r="M15" s="69" t="s">
        <v>106</v>
      </c>
    </row>
    <row r="16" spans="1:14" x14ac:dyDescent="0.2">
      <c r="A16" s="60" t="s">
        <v>123</v>
      </c>
      <c r="B16" s="60" t="s">
        <v>4</v>
      </c>
      <c r="C16" s="69">
        <f>IF(IFERROR(INDEX('2016'!$F$5:$F$72,MATCH(B16,'2016'!$A$5:$A$72,0)),0)=0,"N/A",INDEX('2016'!$F$5:$F$72,MATCH(B16,'2016'!$A$5:$A$72,0)))</f>
        <v>2.15</v>
      </c>
      <c r="D16" s="60">
        <v>1.89</v>
      </c>
      <c r="E16" s="60">
        <v>1.84</v>
      </c>
      <c r="F16" s="60">
        <v>1.85</v>
      </c>
      <c r="G16" s="60">
        <v>1.32</v>
      </c>
      <c r="H16" s="60">
        <v>1.72</v>
      </c>
      <c r="I16" s="60">
        <v>1.65</v>
      </c>
      <c r="J16" s="60">
        <v>1.58</v>
      </c>
      <c r="K16" s="60">
        <v>1.36</v>
      </c>
      <c r="L16" s="60">
        <v>0.72</v>
      </c>
      <c r="M16" s="60">
        <v>1.47</v>
      </c>
    </row>
    <row r="17" spans="1:13" x14ac:dyDescent="0.2">
      <c r="A17" s="60" t="s">
        <v>124</v>
      </c>
      <c r="B17" s="60" t="s">
        <v>5</v>
      </c>
      <c r="C17" s="69">
        <f>IF(IFERROR(INDEX('2016'!$F$5:$F$72,MATCH(B17,'2016'!$A$5:$A$72,0)),0)=0,"N/A",INDEX('2016'!$F$5:$F$72,MATCH(B17,'2016'!$A$5:$A$72,0)))</f>
        <v>2.63</v>
      </c>
      <c r="D17" s="60">
        <v>2.83</v>
      </c>
      <c r="E17" s="60">
        <v>2.89</v>
      </c>
      <c r="F17" s="60">
        <v>2.61</v>
      </c>
      <c r="G17" s="60">
        <v>1.97</v>
      </c>
      <c r="H17" s="60">
        <v>1.01</v>
      </c>
      <c r="I17" s="60">
        <v>1.66</v>
      </c>
      <c r="J17" s="60">
        <v>2.3199999999999998</v>
      </c>
      <c r="K17" s="60">
        <v>0.18</v>
      </c>
      <c r="L17" s="60">
        <v>2.68</v>
      </c>
      <c r="M17" s="60">
        <v>2.21</v>
      </c>
    </row>
    <row r="18" spans="1:13" x14ac:dyDescent="0.2">
      <c r="A18" s="60" t="s">
        <v>176</v>
      </c>
      <c r="B18" s="60" t="s">
        <v>177</v>
      </c>
      <c r="C18" s="69">
        <f>IF(IFERROR(INDEX('2016'!$F$5:$F$72,MATCH(B18,'2016'!$A$5:$A$72,0)),0)=0,"N/A",INDEX('2016'!$F$5:$F$72,MATCH(B18,'2016'!$A$5:$A$72,0)))</f>
        <v>1.01</v>
      </c>
      <c r="D18" s="60">
        <v>0.94</v>
      </c>
      <c r="E18" s="60">
        <v>1.19</v>
      </c>
      <c r="F18" s="60">
        <v>1.02</v>
      </c>
      <c r="G18" s="60">
        <v>1.02</v>
      </c>
      <c r="H18" s="60">
        <v>0.86</v>
      </c>
      <c r="I18" s="60">
        <v>0.90500000000000003</v>
      </c>
      <c r="J18" s="60">
        <v>0.97499999999999998</v>
      </c>
      <c r="K18" s="60">
        <v>0.95</v>
      </c>
      <c r="L18" s="60">
        <v>0.75</v>
      </c>
      <c r="M18" s="60">
        <v>0.67</v>
      </c>
    </row>
    <row r="19" spans="1:13" x14ac:dyDescent="0.2">
      <c r="A19" s="60" t="s">
        <v>125</v>
      </c>
      <c r="B19" s="60" t="s">
        <v>6</v>
      </c>
      <c r="C19" s="69">
        <f>IF(IFERROR(INDEX('2016'!$F$5:$F$72,MATCH(B19,'2016'!$A$5:$A$72,0)),0)=0,"N/A",INDEX('2016'!$F$5:$F$72,MATCH(B19,'2016'!$A$5:$A$72,0)))</f>
        <v>1</v>
      </c>
      <c r="D19" s="60">
        <v>1.08</v>
      </c>
      <c r="E19" s="60">
        <v>1.42</v>
      </c>
      <c r="F19" s="60">
        <v>1.24</v>
      </c>
      <c r="G19" s="60">
        <v>1.35</v>
      </c>
      <c r="H19" s="60">
        <v>1.27</v>
      </c>
      <c r="I19" s="60">
        <v>1.07</v>
      </c>
      <c r="J19" s="60">
        <v>1.01</v>
      </c>
      <c r="K19" s="60">
        <v>1.3</v>
      </c>
      <c r="L19" s="60">
        <v>1.17</v>
      </c>
      <c r="M19" s="60">
        <v>1.33</v>
      </c>
    </row>
    <row r="20" spans="1:13" x14ac:dyDescent="0.2">
      <c r="A20" s="60" t="s">
        <v>215</v>
      </c>
      <c r="B20" s="60" t="s">
        <v>178</v>
      </c>
      <c r="C20" s="69">
        <f>IF(IFERROR(INDEX('2016'!$F$5:$F$72,MATCH(B20,'2016'!$A$5:$A$72,0)),0)=0,"N/A",INDEX('2016'!$F$5:$F$72,MATCH(B20,'2016'!$A$5:$A$72,0)))</f>
        <v>2.86</v>
      </c>
      <c r="D20" s="60">
        <v>2.68</v>
      </c>
      <c r="E20" s="60">
        <v>2.4700000000000002</v>
      </c>
      <c r="F20" s="60">
        <v>2.2599999999999998</v>
      </c>
      <c r="G20" s="60">
        <v>1.9930000000000001</v>
      </c>
      <c r="H20" s="60">
        <v>1.913</v>
      </c>
      <c r="I20" s="60">
        <v>1.82</v>
      </c>
      <c r="J20" s="60">
        <v>1.4330000000000001</v>
      </c>
      <c r="K20" s="60">
        <v>1.3919999999999999</v>
      </c>
      <c r="L20" s="60">
        <v>1.2929999999999999</v>
      </c>
      <c r="M20" s="60">
        <v>1.147</v>
      </c>
    </row>
    <row r="21" spans="1:13" x14ac:dyDescent="0.2">
      <c r="A21" s="60" t="s">
        <v>126</v>
      </c>
      <c r="B21" s="60" t="s">
        <v>9</v>
      </c>
      <c r="C21" s="69">
        <f>IF(IFERROR(INDEX('2016'!$F$5:$F$72,MATCH(B21,'2016'!$A$5:$A$72,0)),0)=0,"N/A",INDEX('2016'!$F$5:$F$72,MATCH(B21,'2016'!$A$5:$A$72,0)))</f>
        <v>1.98</v>
      </c>
      <c r="D21" s="60">
        <v>1.89</v>
      </c>
      <c r="E21" s="60">
        <v>1.74</v>
      </c>
      <c r="F21" s="60">
        <v>1.66</v>
      </c>
      <c r="G21" s="60">
        <v>1.53</v>
      </c>
      <c r="H21" s="60">
        <v>1.45</v>
      </c>
      <c r="I21" s="60">
        <v>1.33</v>
      </c>
      <c r="J21" s="60">
        <v>0.93</v>
      </c>
      <c r="K21" s="60">
        <v>1.23</v>
      </c>
      <c r="L21" s="60">
        <v>0.64</v>
      </c>
      <c r="M21" s="60">
        <v>0.64</v>
      </c>
    </row>
    <row r="22" spans="1:13" x14ac:dyDescent="0.2">
      <c r="A22" s="60" t="s">
        <v>179</v>
      </c>
      <c r="B22" s="60" t="s">
        <v>180</v>
      </c>
      <c r="C22" s="69">
        <f>IF(IFERROR(INDEX('2016'!$F$5:$F$72,MATCH(B22,'2016'!$A$5:$A$72,0)),0)=0,"N/A",INDEX('2016'!$F$5:$F$72,MATCH(B22,'2016'!$A$5:$A$72,0)))</f>
        <v>2.08</v>
      </c>
      <c r="D22" s="60">
        <v>2.04</v>
      </c>
      <c r="E22" s="60">
        <v>1.92</v>
      </c>
      <c r="F22" s="60">
        <v>1.66</v>
      </c>
      <c r="G22" s="60">
        <v>1.53</v>
      </c>
      <c r="H22" s="60">
        <v>1.1279999999999999</v>
      </c>
      <c r="I22" s="60">
        <v>1.1299999999999999</v>
      </c>
      <c r="J22" s="60">
        <v>1.19</v>
      </c>
      <c r="K22" s="60">
        <v>1.1100000000000001</v>
      </c>
      <c r="L22" s="60">
        <v>1.05</v>
      </c>
      <c r="M22" s="60">
        <v>0.81</v>
      </c>
    </row>
    <row r="23" spans="1:13" x14ac:dyDescent="0.2">
      <c r="A23" s="60" t="s">
        <v>127</v>
      </c>
      <c r="B23" s="60" t="s">
        <v>10</v>
      </c>
      <c r="C23" s="69">
        <f>IF(IFERROR(INDEX('2016'!$F$5:$F$72,MATCH(B23,'2016'!$A$5:$A$72,0)),0)=0,"N/A",INDEX('2016'!$F$5:$F$72,MATCH(B23,'2016'!$A$5:$A$72,0)))</f>
        <v>3.94</v>
      </c>
      <c r="D23" s="60">
        <v>4.05</v>
      </c>
      <c r="E23" s="60">
        <v>3.62</v>
      </c>
      <c r="F23" s="60">
        <v>3.93</v>
      </c>
      <c r="G23" s="60">
        <v>3.86</v>
      </c>
      <c r="H23" s="60">
        <v>3.57</v>
      </c>
      <c r="I23" s="60">
        <v>3.47</v>
      </c>
      <c r="J23" s="60">
        <v>3.14</v>
      </c>
      <c r="K23" s="60">
        <v>3.36</v>
      </c>
      <c r="L23" s="60">
        <v>3.48</v>
      </c>
      <c r="M23" s="60">
        <v>2.95</v>
      </c>
    </row>
    <row r="24" spans="1:13" x14ac:dyDescent="0.2">
      <c r="A24" s="60" t="s">
        <v>181</v>
      </c>
      <c r="B24" s="60" t="s">
        <v>182</v>
      </c>
      <c r="C24" s="69">
        <f>IF(IFERROR(INDEX('2016'!$F$5:$F$72,MATCH(B24,'2016'!$A$5:$A$72,0)),0)=0,"N/A",INDEX('2016'!$F$5:$F$72,MATCH(B24,'2016'!$A$5:$A$72,0)))</f>
        <v>0.27</v>
      </c>
      <c r="D24" s="60">
        <v>0.51</v>
      </c>
      <c r="E24" s="60">
        <v>0.42</v>
      </c>
      <c r="F24" s="60">
        <v>0.57999999999999996</v>
      </c>
      <c r="G24" s="60">
        <v>0.64</v>
      </c>
      <c r="H24" s="60">
        <v>0.42</v>
      </c>
      <c r="I24" s="60">
        <v>0.43</v>
      </c>
      <c r="J24" s="60">
        <v>0.74</v>
      </c>
      <c r="K24" s="60">
        <v>0.5</v>
      </c>
      <c r="L24" s="60">
        <v>0.79</v>
      </c>
      <c r="M24" s="60">
        <v>0.59</v>
      </c>
    </row>
    <row r="25" spans="1:13" x14ac:dyDescent="0.2">
      <c r="A25" s="60" t="s">
        <v>183</v>
      </c>
      <c r="B25" s="60" t="s">
        <v>184</v>
      </c>
      <c r="C25" s="69">
        <f>IF(IFERROR(INDEX('2016'!$F$5:$F$72,MATCH(B25,'2016'!$A$5:$A$72,0)),0)=0,"N/A",INDEX('2016'!$F$5:$F$72,MATCH(B25,'2016'!$A$5:$A$72,0)))</f>
        <v>0.78</v>
      </c>
      <c r="D25" s="60">
        <v>0.92</v>
      </c>
      <c r="E25" s="60">
        <v>1.19</v>
      </c>
      <c r="F25" s="60">
        <v>1.05</v>
      </c>
      <c r="G25" s="60">
        <v>0.85</v>
      </c>
      <c r="H25" s="60">
        <v>0.95</v>
      </c>
      <c r="I25" s="60">
        <v>0.85</v>
      </c>
      <c r="J25" s="60">
        <v>0.79</v>
      </c>
      <c r="K25" s="60">
        <v>1.04</v>
      </c>
      <c r="L25" s="60">
        <v>0.81</v>
      </c>
      <c r="M25" s="60">
        <v>0.77500000000000002</v>
      </c>
    </row>
    <row r="26" spans="1:13" x14ac:dyDescent="0.2">
      <c r="A26" s="60" t="s">
        <v>128</v>
      </c>
      <c r="B26" s="60" t="s">
        <v>11</v>
      </c>
      <c r="C26" s="69">
        <f>IF(IFERROR(INDEX('2016'!$F$5:$F$72,MATCH(B26,'2016'!$A$5:$A$72,0)),0)=0,"N/A",INDEX('2016'!$F$5:$F$72,MATCH(B26,'2016'!$A$5:$A$72,0)))</f>
        <v>3.44</v>
      </c>
      <c r="D26" s="60">
        <v>3.2</v>
      </c>
      <c r="E26" s="60">
        <v>3.05</v>
      </c>
      <c r="F26" s="60">
        <v>3.09</v>
      </c>
      <c r="G26" s="60">
        <v>2.75</v>
      </c>
      <c r="H26" s="60">
        <v>2.76</v>
      </c>
      <c r="I26" s="60">
        <v>2.89</v>
      </c>
      <c r="J26" s="60">
        <v>2.64</v>
      </c>
      <c r="K26" s="60">
        <v>3.04</v>
      </c>
      <c r="L26" s="60">
        <v>2.13</v>
      </c>
      <c r="M26" s="60">
        <v>2.4</v>
      </c>
    </row>
    <row r="27" spans="1:13" x14ac:dyDescent="0.2">
      <c r="A27" s="60" t="s">
        <v>129</v>
      </c>
      <c r="B27" s="60" t="s">
        <v>12</v>
      </c>
      <c r="C27" s="69">
        <f>IF(IFERROR(INDEX('2016'!$F$5:$F$72,MATCH(B27,'2016'!$A$5:$A$72,0)),0)=0,"N/A",INDEX('2016'!$F$5:$F$72,MATCH(B27,'2016'!$A$5:$A$72,0)))</f>
        <v>4.83</v>
      </c>
      <c r="D27" s="60">
        <v>4.4400000000000004</v>
      </c>
      <c r="E27" s="60">
        <v>5.0999999999999996</v>
      </c>
      <c r="F27" s="60">
        <v>3.76</v>
      </c>
      <c r="G27" s="60">
        <v>3.88</v>
      </c>
      <c r="H27" s="60">
        <v>3.67</v>
      </c>
      <c r="I27" s="60">
        <v>3.74</v>
      </c>
      <c r="J27" s="60">
        <v>3.24</v>
      </c>
      <c r="K27" s="60">
        <v>2.73</v>
      </c>
      <c r="L27" s="60">
        <v>2.66</v>
      </c>
      <c r="M27" s="60">
        <v>2.4500000000000002</v>
      </c>
    </row>
    <row r="28" spans="1:13" x14ac:dyDescent="0.2">
      <c r="A28" s="60" t="s">
        <v>130</v>
      </c>
      <c r="B28" s="60" t="s">
        <v>13</v>
      </c>
      <c r="C28" s="69">
        <f>IF(IFERROR(INDEX('2016'!$F$5:$F$72,MATCH(B28,'2016'!$A$5:$A$72,0)),0)=0,"N/A",INDEX('2016'!$F$5:$F$72,MATCH(B28,'2016'!$A$5:$A$72,0)))</f>
        <v>3.71</v>
      </c>
      <c r="D28" s="60">
        <v>4.0999999999999996</v>
      </c>
      <c r="E28" s="60">
        <v>4.13</v>
      </c>
      <c r="F28" s="60">
        <v>3.98</v>
      </c>
      <c r="G28" s="60">
        <v>3.71</v>
      </c>
      <c r="H28" s="60">
        <v>4.1399999999999997</v>
      </c>
      <c r="I28" s="60">
        <v>4.0199999999999996</v>
      </c>
      <c r="J28" s="60">
        <v>3.39</v>
      </c>
      <c r="K28" s="60">
        <v>3.03</v>
      </c>
      <c r="L28" s="60">
        <v>3.6</v>
      </c>
      <c r="M28" s="60">
        <v>2.73</v>
      </c>
    </row>
    <row r="29" spans="1:13" x14ac:dyDescent="0.2">
      <c r="A29" s="60" t="s">
        <v>131</v>
      </c>
      <c r="B29" s="60" t="s">
        <v>14</v>
      </c>
      <c r="C29" s="69">
        <f>IF(IFERROR(INDEX('2016'!$F$5:$F$72,MATCH(B29,'2016'!$A$5:$A$72,0)),0)=0,"N/A",INDEX('2016'!$F$5:$F$72,MATCH(B29,'2016'!$A$5:$A$72,0)))</f>
        <v>3.94</v>
      </c>
      <c r="D29" s="60">
        <v>4.1500000000000004</v>
      </c>
      <c r="E29" s="60">
        <v>4.33</v>
      </c>
      <c r="F29" s="60">
        <v>3.78</v>
      </c>
      <c r="G29" s="60">
        <v>4.55</v>
      </c>
      <c r="H29" s="60">
        <v>3.23</v>
      </c>
      <c r="I29" s="60">
        <v>3.35</v>
      </c>
      <c r="J29" s="60">
        <v>3.24</v>
      </c>
      <c r="K29" s="60">
        <v>3.68</v>
      </c>
      <c r="L29" s="60">
        <v>3.32</v>
      </c>
      <c r="M29" s="60">
        <v>3.28</v>
      </c>
    </row>
    <row r="30" spans="1:13" x14ac:dyDescent="0.2">
      <c r="A30" s="60" t="s">
        <v>132</v>
      </c>
      <c r="B30" s="60" t="s">
        <v>15</v>
      </c>
      <c r="C30" s="69">
        <f>IF(IFERROR(INDEX('2016'!$F$5:$F$72,MATCH(B30,'2016'!$A$5:$A$72,0)),0)=0,"N/A",INDEX('2016'!$F$5:$F$72,MATCH(B30,'2016'!$A$5:$A$72,0)))</f>
        <v>2.39</v>
      </c>
      <c r="D30" s="60">
        <v>2.0299999999999998</v>
      </c>
      <c r="E30" s="60">
        <v>2.27</v>
      </c>
      <c r="F30" s="60">
        <v>2.2000000000000002</v>
      </c>
      <c r="G30" s="60">
        <v>2.2599999999999998</v>
      </c>
      <c r="H30" s="60">
        <v>2.48</v>
      </c>
      <c r="I30" s="60">
        <v>2.0699999999999998</v>
      </c>
      <c r="J30" s="60">
        <v>1.5</v>
      </c>
      <c r="K30" s="60">
        <v>1.73</v>
      </c>
      <c r="L30" s="60">
        <v>1.63</v>
      </c>
      <c r="M30" s="60">
        <v>1.27</v>
      </c>
    </row>
    <row r="31" spans="1:13" x14ac:dyDescent="0.2">
      <c r="A31" s="60" t="s">
        <v>134</v>
      </c>
      <c r="B31" s="60" t="s">
        <v>17</v>
      </c>
      <c r="C31" s="69">
        <f>IF(IFERROR(INDEX('2016'!$F$5:$F$72,MATCH(B31,'2016'!$A$5:$A$72,0)),0)=0,"N/A",INDEX('2016'!$F$5:$F$72,MATCH(B31,'2016'!$A$5:$A$72,0)))</f>
        <v>6.88</v>
      </c>
      <c r="D31" s="60">
        <v>5.81</v>
      </c>
      <c r="E31" s="60">
        <v>5.77</v>
      </c>
      <c r="F31" s="60">
        <v>4.96</v>
      </c>
      <c r="G31" s="60">
        <v>6.02</v>
      </c>
      <c r="H31" s="60">
        <v>7.55</v>
      </c>
      <c r="I31" s="60">
        <v>6.66</v>
      </c>
      <c r="J31" s="60">
        <v>6.3</v>
      </c>
      <c r="K31" s="60">
        <v>6.2</v>
      </c>
      <c r="L31" s="60">
        <v>5.6</v>
      </c>
      <c r="M31" s="60">
        <v>5.36</v>
      </c>
    </row>
    <row r="32" spans="1:13" x14ac:dyDescent="0.2">
      <c r="A32" s="60" t="s">
        <v>210</v>
      </c>
      <c r="B32" s="60" t="s">
        <v>211</v>
      </c>
      <c r="C32" s="69">
        <f>IF(IFERROR(INDEX('2016'!$F$5:$F$72,MATCH(B32,'2016'!$A$5:$A$72,0)),0)=0,"N/A",INDEX('2016'!$F$5:$F$72,MATCH(B32,'2016'!$A$5:$A$72,0)))</f>
        <v>2.96</v>
      </c>
      <c r="D32" s="60">
        <v>2.76</v>
      </c>
      <c r="E32" s="60">
        <v>2.58</v>
      </c>
      <c r="F32" s="60">
        <v>2.4900000000000002</v>
      </c>
      <c r="G32" s="60">
        <v>1.89</v>
      </c>
      <c r="H32" s="60">
        <v>2.2200000000000002</v>
      </c>
      <c r="I32" s="60">
        <v>2.1</v>
      </c>
      <c r="J32" s="60">
        <v>1.91</v>
      </c>
      <c r="K32" s="60">
        <v>1.86</v>
      </c>
      <c r="L32" s="60">
        <v>1.59</v>
      </c>
      <c r="M32" s="60">
        <v>0.82</v>
      </c>
    </row>
    <row r="33" spans="1:13" x14ac:dyDescent="0.2">
      <c r="A33" s="60" t="s">
        <v>135</v>
      </c>
      <c r="B33" s="60" t="s">
        <v>18</v>
      </c>
      <c r="C33" s="69">
        <f>IF(IFERROR(INDEX('2016'!$F$5:$F$72,MATCH(B33,'2016'!$A$5:$A$72,0)),0)=0,"N/A",INDEX('2016'!$F$5:$F$72,MATCH(B33,'2016'!$A$5:$A$72,0)))</f>
        <v>1.8</v>
      </c>
      <c r="D33" s="60">
        <v>2.54</v>
      </c>
      <c r="E33" s="60">
        <v>2.1</v>
      </c>
      <c r="F33" s="60">
        <v>2.31</v>
      </c>
      <c r="G33" s="60">
        <v>1.92</v>
      </c>
      <c r="H33" s="60">
        <v>3.75</v>
      </c>
      <c r="I33" s="60">
        <v>3.87</v>
      </c>
      <c r="J33" s="60">
        <v>4.29</v>
      </c>
      <c r="K33" s="60">
        <v>4.0999999999999996</v>
      </c>
      <c r="L33" s="60">
        <v>4.03</v>
      </c>
      <c r="M33" s="60">
        <v>3.5</v>
      </c>
    </row>
    <row r="34" spans="1:13" x14ac:dyDescent="0.2">
      <c r="A34" s="60" t="s">
        <v>136</v>
      </c>
      <c r="B34" s="60" t="s">
        <v>19</v>
      </c>
      <c r="C34" s="69">
        <f>IF(IFERROR(INDEX('2016'!$F$5:$F$72,MATCH(B34,'2016'!$A$5:$A$72,0)),0)=0,"N/A",INDEX('2016'!$F$5:$F$72,MATCH(B34,'2016'!$A$5:$A$72,0)))</f>
        <v>2.1</v>
      </c>
      <c r="D34" s="60">
        <v>2</v>
      </c>
      <c r="E34" s="60">
        <v>0.85</v>
      </c>
      <c r="F34" s="60">
        <v>2.97</v>
      </c>
      <c r="G34" s="60">
        <v>2.13</v>
      </c>
      <c r="H34" s="60">
        <v>1.88</v>
      </c>
      <c r="I34" s="60">
        <v>3.25</v>
      </c>
      <c r="J34" s="60">
        <v>3.32</v>
      </c>
      <c r="K34" s="60">
        <v>4.38</v>
      </c>
      <c r="L34" s="60">
        <v>4.22</v>
      </c>
      <c r="M34" s="60">
        <v>3.82</v>
      </c>
    </row>
    <row r="35" spans="1:13" x14ac:dyDescent="0.2">
      <c r="A35" s="60" t="s">
        <v>265</v>
      </c>
      <c r="B35" s="60" t="s">
        <v>266</v>
      </c>
      <c r="C35" s="69">
        <f>IF(IFERROR(INDEX('2016'!$F$5:$F$72,MATCH(B35,'2016'!$A$5:$A$72,0)),0)=0,"N/A",INDEX('2016'!$F$5:$F$72,MATCH(B35,'2016'!$A$5:$A$72,0)))</f>
        <v>1.89</v>
      </c>
      <c r="D35" s="60">
        <v>2.11</v>
      </c>
      <c r="E35" s="60">
        <v>1.38</v>
      </c>
      <c r="F35" s="60">
        <v>1.63</v>
      </c>
      <c r="G35" s="60">
        <v>1.65</v>
      </c>
      <c r="H35" s="60">
        <v>1.74</v>
      </c>
      <c r="I35" s="60">
        <v>1.62</v>
      </c>
      <c r="J35" s="60">
        <v>1.51</v>
      </c>
      <c r="K35" s="60">
        <v>1.52</v>
      </c>
      <c r="L35" s="60">
        <v>1.2869999999999999</v>
      </c>
      <c r="M35" s="60">
        <v>1.359</v>
      </c>
    </row>
    <row r="36" spans="1:13" x14ac:dyDescent="0.2">
      <c r="A36" s="60" t="s">
        <v>185</v>
      </c>
      <c r="B36" s="60" t="s">
        <v>186</v>
      </c>
      <c r="C36" s="69">
        <f>IF(IFERROR(INDEX('2016'!$F$5:$F$72,MATCH(B36,'2016'!$A$5:$A$72,0)),0)=0,"N/A",INDEX('2016'!$F$5:$F$72,MATCH(B36,'2016'!$A$5:$A$72,0)))</f>
        <v>5.0999999999999997E-2</v>
      </c>
      <c r="D36" s="60">
        <v>0.11</v>
      </c>
      <c r="E36" s="60">
        <v>0.253</v>
      </c>
      <c r="F36" s="60">
        <v>0.75</v>
      </c>
      <c r="G36" s="60">
        <v>0.46</v>
      </c>
      <c r="H36" s="60">
        <v>0.66</v>
      </c>
      <c r="I36" s="60">
        <v>0.92</v>
      </c>
      <c r="J36" s="60">
        <v>1.58</v>
      </c>
      <c r="K36" s="60">
        <v>0.77</v>
      </c>
      <c r="L36" s="60">
        <v>0.50700000000000001</v>
      </c>
      <c r="M36" s="60">
        <v>0.52700000000000002</v>
      </c>
    </row>
    <row r="37" spans="1:13" x14ac:dyDescent="0.2">
      <c r="A37" s="60" t="s">
        <v>137</v>
      </c>
      <c r="B37" s="60" t="s">
        <v>20</v>
      </c>
      <c r="C37" s="69">
        <f>IF(IFERROR(INDEX('2016'!$F$5:$F$72,MATCH(B37,'2016'!$A$5:$A$72,0)),0)=0,"N/A",INDEX('2016'!$F$5:$F$72,MATCH(B37,'2016'!$A$5:$A$72,0)))</f>
        <v>1.61</v>
      </c>
      <c r="D37" s="60">
        <v>1.37</v>
      </c>
      <c r="E37" s="60">
        <v>1.57</v>
      </c>
      <c r="F37" s="60">
        <v>1.62</v>
      </c>
      <c r="G37" s="60">
        <v>1.35</v>
      </c>
      <c r="H37" s="60">
        <v>1.25</v>
      </c>
      <c r="I37" s="60">
        <v>1.53</v>
      </c>
      <c r="J37" s="60">
        <v>1.03</v>
      </c>
      <c r="K37" s="60">
        <v>1.1599999999999999</v>
      </c>
      <c r="L37" s="60">
        <v>1.85</v>
      </c>
      <c r="M37" s="60">
        <v>1.62</v>
      </c>
    </row>
    <row r="38" spans="1:13" x14ac:dyDescent="0.2">
      <c r="A38" s="60" t="s">
        <v>138</v>
      </c>
      <c r="B38" s="60" t="s">
        <v>21</v>
      </c>
      <c r="C38" s="69">
        <f>IF(IFERROR(INDEX('2016'!$F$5:$F$72,MATCH(B38,'2016'!$A$5:$A$72,0)),0)=0,"N/A",INDEX('2016'!$F$5:$F$72,MATCH(B38,'2016'!$A$5:$A$72,0)))</f>
        <v>2.29</v>
      </c>
      <c r="D38" s="60">
        <v>1.5</v>
      </c>
      <c r="E38" s="60">
        <v>1.64</v>
      </c>
      <c r="F38" s="60">
        <v>1.62</v>
      </c>
      <c r="G38" s="60">
        <v>1.67</v>
      </c>
      <c r="H38" s="60">
        <v>1.44</v>
      </c>
      <c r="I38" s="60">
        <v>1.21</v>
      </c>
      <c r="J38" s="60">
        <v>0.91</v>
      </c>
      <c r="K38" s="60">
        <v>1.07</v>
      </c>
      <c r="L38" s="60">
        <v>1.1100000000000001</v>
      </c>
      <c r="M38" s="60">
        <v>1.33</v>
      </c>
    </row>
    <row r="39" spans="1:13" x14ac:dyDescent="0.2">
      <c r="A39" s="60" t="s">
        <v>216</v>
      </c>
      <c r="B39" s="60" t="s">
        <v>22</v>
      </c>
      <c r="C39" s="69">
        <f>IF(IFERROR(INDEX('2016'!$F$5:$F$72,MATCH(B39,'2016'!$A$5:$A$72,0)),0)=0,"N/A",INDEX('2016'!$F$5:$F$72,MATCH(B39,'2016'!$A$5:$A$72,0)))</f>
        <v>3.94</v>
      </c>
      <c r="D39" s="60">
        <v>3.87</v>
      </c>
      <c r="E39" s="60">
        <v>3.85</v>
      </c>
      <c r="F39" s="60">
        <v>3.64</v>
      </c>
      <c r="G39" s="60">
        <v>3.37</v>
      </c>
      <c r="H39" s="60">
        <v>3.36</v>
      </c>
      <c r="I39" s="60">
        <v>2.95</v>
      </c>
      <c r="J39" s="60">
        <v>2.64</v>
      </c>
      <c r="K39" s="60">
        <v>2.1800000000000002</v>
      </c>
      <c r="L39" s="60">
        <v>1.86</v>
      </c>
      <c r="M39" s="60">
        <v>2.35</v>
      </c>
    </row>
    <row r="40" spans="1:13" x14ac:dyDescent="0.2">
      <c r="A40" s="60" t="s">
        <v>139</v>
      </c>
      <c r="B40" s="60" t="s">
        <v>25</v>
      </c>
      <c r="C40" s="69">
        <f>IF(IFERROR(INDEX('2016'!$F$5:$F$72,MATCH(B40,'2016'!$A$5:$A$72,0)),0)=0,"N/A",INDEX('2016'!$F$5:$F$72,MATCH(B40,'2016'!$A$5:$A$72,0)))</f>
        <v>2.1800000000000002</v>
      </c>
      <c r="D40" s="60">
        <v>2.06</v>
      </c>
      <c r="E40" s="60">
        <v>2.3199999999999998</v>
      </c>
      <c r="F40" s="60">
        <v>2.16</v>
      </c>
      <c r="G40" s="60">
        <v>1.86</v>
      </c>
      <c r="H40" s="60">
        <v>1.76</v>
      </c>
      <c r="I40" s="60">
        <v>1.667</v>
      </c>
      <c r="J40" s="60">
        <v>1.4730000000000001</v>
      </c>
      <c r="K40" s="60">
        <v>1.587</v>
      </c>
      <c r="L40" s="60">
        <v>1.5129999999999999</v>
      </c>
      <c r="M40" s="60">
        <v>1.373</v>
      </c>
    </row>
    <row r="41" spans="1:13" x14ac:dyDescent="0.2">
      <c r="A41" s="60" t="s">
        <v>187</v>
      </c>
      <c r="B41" s="60" t="s">
        <v>188</v>
      </c>
      <c r="C41" s="69">
        <f>IF(IFERROR(INDEX('2016'!$F$5:$F$72,MATCH(B41,'2016'!$A$5:$A$72,0)),0)=0,"N/A",INDEX('2016'!$F$5:$F$72,MATCH(B41,'2016'!$A$5:$A$72,0)))</f>
        <v>1.38</v>
      </c>
      <c r="D41" s="60">
        <v>1.22</v>
      </c>
      <c r="E41" s="60">
        <v>1.1299999999999999</v>
      </c>
      <c r="F41" s="60">
        <v>1.03</v>
      </c>
      <c r="G41" s="60">
        <v>0.9</v>
      </c>
      <c r="H41" s="60">
        <v>0.84</v>
      </c>
      <c r="I41" s="60">
        <v>0.96</v>
      </c>
      <c r="J41" s="60">
        <v>0.72</v>
      </c>
      <c r="K41" s="60">
        <v>0.89</v>
      </c>
      <c r="L41" s="60">
        <v>0.87</v>
      </c>
      <c r="M41" s="60">
        <v>0.82</v>
      </c>
    </row>
    <row r="42" spans="1:13" x14ac:dyDescent="0.2">
      <c r="A42" s="60" t="s">
        <v>189</v>
      </c>
      <c r="B42" s="60" t="s">
        <v>190</v>
      </c>
      <c r="C42" s="69">
        <f>IF(IFERROR(INDEX('2016'!$F$5:$F$72,MATCH(B42,'2016'!$A$5:$A$72,0)),0)=0,"N/A",INDEX('2016'!$F$5:$F$72,MATCH(B42,'2016'!$A$5:$A$72,0)))</f>
        <v>1.61</v>
      </c>
      <c r="D42" s="60">
        <v>1.78</v>
      </c>
      <c r="E42" s="60">
        <v>2.08</v>
      </c>
      <c r="F42" s="60">
        <v>1.365</v>
      </c>
      <c r="G42" s="60">
        <v>1.355</v>
      </c>
      <c r="H42" s="60">
        <v>1.29</v>
      </c>
      <c r="I42" s="60">
        <v>1.23</v>
      </c>
      <c r="J42" s="60">
        <v>1.2</v>
      </c>
      <c r="K42" s="60">
        <v>1.35</v>
      </c>
      <c r="L42" s="60">
        <v>0.77700000000000002</v>
      </c>
      <c r="M42" s="60">
        <v>0.93300000000000005</v>
      </c>
    </row>
    <row r="43" spans="1:13" x14ac:dyDescent="0.2">
      <c r="A43" s="60" t="s">
        <v>140</v>
      </c>
      <c r="B43" s="60" t="s">
        <v>141</v>
      </c>
      <c r="C43" s="69">
        <f>IF(IFERROR(INDEX('2016'!$F$5:$F$72,MATCH(B43,'2016'!$A$5:$A$72,0)),0)=0,"N/A",INDEX('2016'!$F$5:$F$72,MATCH(B43,'2016'!$A$5:$A$72,0)))</f>
        <v>5.78</v>
      </c>
      <c r="D43" s="60">
        <v>6.06</v>
      </c>
      <c r="E43" s="60">
        <v>5.6</v>
      </c>
      <c r="F43" s="60">
        <v>4.83</v>
      </c>
      <c r="G43" s="60">
        <v>4.5599999999999996</v>
      </c>
      <c r="H43" s="60">
        <v>4.82</v>
      </c>
      <c r="I43" s="60">
        <v>4.74</v>
      </c>
      <c r="J43" s="60">
        <v>3.97</v>
      </c>
      <c r="K43" s="60">
        <v>4.07</v>
      </c>
      <c r="L43" s="60">
        <v>3.27</v>
      </c>
      <c r="M43" s="60">
        <v>3.23</v>
      </c>
    </row>
    <row r="44" spans="1:13" x14ac:dyDescent="0.2">
      <c r="A44" s="60" t="s">
        <v>142</v>
      </c>
      <c r="B44" s="60" t="s">
        <v>26</v>
      </c>
      <c r="C44" s="69">
        <f>IF(IFERROR(INDEX('2016'!$F$5:$F$72,MATCH(B44,'2016'!$A$5:$A$72,0)),0)=0,"N/A",INDEX('2016'!$F$5:$F$72,MATCH(B44,'2016'!$A$5:$A$72,0)))</f>
        <v>1</v>
      </c>
      <c r="D44" s="60">
        <v>0.63</v>
      </c>
      <c r="E44" s="60">
        <v>1.67</v>
      </c>
      <c r="F44" s="60">
        <v>1.57</v>
      </c>
      <c r="G44" s="60">
        <v>1.37</v>
      </c>
      <c r="H44" s="60">
        <v>1.05</v>
      </c>
      <c r="I44" s="60">
        <v>1.06</v>
      </c>
      <c r="J44" s="60">
        <v>0.84</v>
      </c>
      <c r="K44" s="60">
        <v>1.34</v>
      </c>
      <c r="L44" s="60">
        <v>1.1399999999999999</v>
      </c>
      <c r="M44" s="60">
        <v>1.1399999999999999</v>
      </c>
    </row>
    <row r="45" spans="1:13" x14ac:dyDescent="0.2">
      <c r="A45" s="60" t="s">
        <v>191</v>
      </c>
      <c r="B45" s="60" t="s">
        <v>192</v>
      </c>
      <c r="C45" s="69">
        <f>IF(IFERROR(INDEX('2016'!$F$5:$F$72,MATCH(B45,'2016'!$A$5:$A$72,0)),0)=0,"N/A",INDEX('2016'!$F$5:$F$72,MATCH(B45,'2016'!$A$5:$A$72,0)))</f>
        <v>2.12</v>
      </c>
      <c r="D45" s="60">
        <v>1.96</v>
      </c>
      <c r="E45" s="60">
        <v>2.16</v>
      </c>
      <c r="F45" s="60">
        <v>2.2400000000000002</v>
      </c>
      <c r="G45" s="60">
        <v>2.2200000000000002</v>
      </c>
      <c r="H45" s="60">
        <v>2.39</v>
      </c>
      <c r="I45" s="60">
        <v>2.73</v>
      </c>
      <c r="J45" s="60">
        <v>2.83</v>
      </c>
      <c r="K45" s="60">
        <v>2.57</v>
      </c>
      <c r="L45" s="60">
        <v>2.76</v>
      </c>
      <c r="M45" s="60">
        <v>2.35</v>
      </c>
    </row>
    <row r="46" spans="1:13" x14ac:dyDescent="0.2">
      <c r="A46" s="60" t="s">
        <v>143</v>
      </c>
      <c r="B46" s="60" t="s">
        <v>144</v>
      </c>
      <c r="C46" s="69">
        <f>IF(IFERROR(INDEX('2016'!$F$5:$F$72,MATCH(B46,'2016'!$A$5:$A$72,0)),0)=0,"N/A",INDEX('2016'!$F$5:$F$72,MATCH(B46,'2016'!$A$5:$A$72,0)))</f>
        <v>3.39</v>
      </c>
      <c r="D46" s="60">
        <v>2.9</v>
      </c>
      <c r="E46" s="60">
        <v>2.99</v>
      </c>
      <c r="F46" s="60">
        <v>2.46</v>
      </c>
      <c r="G46" s="60">
        <v>2.2599999999999998</v>
      </c>
      <c r="H46" s="60">
        <v>2.5299999999999998</v>
      </c>
      <c r="I46" s="60">
        <v>2.14</v>
      </c>
      <c r="J46" s="60">
        <v>2.02</v>
      </c>
      <c r="K46" s="60">
        <v>1.77</v>
      </c>
      <c r="L46" s="60">
        <v>1.44</v>
      </c>
      <c r="M46" s="60">
        <v>1.31</v>
      </c>
    </row>
    <row r="47" spans="1:13" x14ac:dyDescent="0.2">
      <c r="A47" s="60" t="s">
        <v>145</v>
      </c>
      <c r="B47" s="60" t="s">
        <v>27</v>
      </c>
      <c r="C47" s="69">
        <f>IF(IFERROR(INDEX('2016'!$F$5:$F$72,MATCH(B47,'2016'!$A$5:$A$72,0)),0)=0,"N/A",INDEX('2016'!$F$5:$F$72,MATCH(B47,'2016'!$A$5:$A$72,0)))</f>
        <v>1.69</v>
      </c>
      <c r="D47" s="60">
        <v>1.69</v>
      </c>
      <c r="E47" s="60">
        <v>1.98</v>
      </c>
      <c r="F47" s="60">
        <v>1.94</v>
      </c>
      <c r="G47" s="60">
        <v>1.79</v>
      </c>
      <c r="H47" s="60">
        <v>1.7250000000000001</v>
      </c>
      <c r="I47" s="60">
        <v>1.4950000000000001</v>
      </c>
      <c r="J47" s="60">
        <v>1.33</v>
      </c>
      <c r="K47" s="60">
        <v>1.2450000000000001</v>
      </c>
      <c r="L47" s="60">
        <v>1.32</v>
      </c>
      <c r="M47" s="60">
        <v>1.2250000000000001</v>
      </c>
    </row>
    <row r="48" spans="1:13" x14ac:dyDescent="0.2">
      <c r="A48" s="60" t="s">
        <v>349</v>
      </c>
      <c r="B48" s="60" t="s">
        <v>346</v>
      </c>
      <c r="C48" s="69">
        <f>IF(IFERROR(INDEX('2016'!$F$5:$F$72,MATCH(B48,'2016'!$A$5:$A$72,0)),0)=0,"N/A",INDEX('2016'!$F$5:$F$72,MATCH(B48,'2016'!$A$5:$A$72,0)))</f>
        <v>2.65</v>
      </c>
      <c r="D48" s="60">
        <v>2.2400000000000002</v>
      </c>
      <c r="E48" s="60">
        <v>2.0699999999999998</v>
      </c>
    </row>
    <row r="49" spans="1:13" x14ac:dyDescent="0.2">
      <c r="A49" s="60" t="s">
        <v>146</v>
      </c>
      <c r="B49" s="60" t="s">
        <v>28</v>
      </c>
      <c r="C49" s="69">
        <f>IF(IFERROR(INDEX('2016'!$F$5:$F$72,MATCH(B49,'2016'!$A$5:$A$72,0)),0)=0,"N/A",INDEX('2016'!$F$5:$F$72,MATCH(B49,'2016'!$A$5:$A$72,0)))</f>
        <v>1.6</v>
      </c>
      <c r="D49" s="60">
        <v>1.56</v>
      </c>
      <c r="E49" s="60">
        <v>1.55</v>
      </c>
      <c r="F49" s="60">
        <v>1.37</v>
      </c>
      <c r="G49" s="60">
        <v>1.05</v>
      </c>
      <c r="H49" s="60">
        <v>0.45</v>
      </c>
      <c r="I49" s="60">
        <v>0.38</v>
      </c>
      <c r="J49" s="60">
        <v>0.71</v>
      </c>
      <c r="K49" s="60">
        <v>1.0900000000000001</v>
      </c>
      <c r="L49" s="60">
        <v>1.78</v>
      </c>
      <c r="M49" s="60">
        <v>1.69</v>
      </c>
    </row>
    <row r="50" spans="1:13" x14ac:dyDescent="0.2">
      <c r="A50" s="60" t="s">
        <v>147</v>
      </c>
      <c r="B50" s="60" t="s">
        <v>30</v>
      </c>
      <c r="C50" s="69">
        <f>IF(IFERROR(INDEX('2016'!$F$5:$F$72,MATCH(B50,'2016'!$A$5:$A$72,0)),0)=0,"N/A",INDEX('2016'!$F$5:$F$72,MATCH(B50,'2016'!$A$5:$A$72,0)))</f>
        <v>2.83</v>
      </c>
      <c r="D50" s="60">
        <v>2</v>
      </c>
      <c r="E50" s="60">
        <v>3.06</v>
      </c>
      <c r="F50" s="60">
        <v>1.83</v>
      </c>
      <c r="G50" s="60">
        <v>2.0699999999999998</v>
      </c>
      <c r="H50" s="60">
        <v>2.78</v>
      </c>
      <c r="I50" s="60">
        <v>2.82</v>
      </c>
      <c r="J50" s="60">
        <v>3.03</v>
      </c>
      <c r="K50" s="60">
        <v>3.22</v>
      </c>
      <c r="L50" s="60">
        <v>2.78</v>
      </c>
      <c r="M50" s="60">
        <v>2.76</v>
      </c>
    </row>
    <row r="51" spans="1:13" x14ac:dyDescent="0.2">
      <c r="A51" s="60" t="s">
        <v>148</v>
      </c>
      <c r="B51" s="60" t="s">
        <v>31</v>
      </c>
      <c r="C51" s="69">
        <f>IF(IFERROR(INDEX('2016'!$F$5:$F$72,MATCH(B51,'2016'!$A$5:$A$72,0)),0)=0,"N/A",INDEX('2016'!$F$5:$F$72,MATCH(B51,'2016'!$A$5:$A$72,0)))</f>
        <v>3.95</v>
      </c>
      <c r="D51" s="60">
        <v>3.92</v>
      </c>
      <c r="E51" s="60">
        <v>3.58</v>
      </c>
      <c r="F51" s="60">
        <v>3.66</v>
      </c>
      <c r="G51" s="60">
        <v>3.5</v>
      </c>
      <c r="H51" s="60">
        <v>2.99</v>
      </c>
      <c r="I51" s="60">
        <v>3.08</v>
      </c>
      <c r="J51" s="60">
        <v>2.2599999999999998</v>
      </c>
      <c r="K51" s="60">
        <v>2.12</v>
      </c>
      <c r="L51" s="60">
        <v>2.96</v>
      </c>
      <c r="M51" s="60">
        <v>3.17</v>
      </c>
    </row>
    <row r="52" spans="1:13" x14ac:dyDescent="0.2">
      <c r="A52" s="60" t="s">
        <v>149</v>
      </c>
      <c r="B52" s="60" t="s">
        <v>32</v>
      </c>
      <c r="C52" s="69">
        <f>IF(IFERROR(INDEX('2016'!$F$5:$F$72,MATCH(B52,'2016'!$A$5:$A$72,0)),0)=0,"N/A",INDEX('2016'!$F$5:$F$72,MATCH(B52,'2016'!$A$5:$A$72,0)))</f>
        <v>1.65</v>
      </c>
      <c r="D52" s="60">
        <v>1.64</v>
      </c>
      <c r="E52" s="60">
        <v>1.45</v>
      </c>
      <c r="F52" s="60">
        <v>1.41</v>
      </c>
      <c r="G52" s="60">
        <v>1.31</v>
      </c>
      <c r="H52" s="60">
        <v>1.08</v>
      </c>
      <c r="I52" s="60">
        <v>0.87</v>
      </c>
      <c r="J52" s="60">
        <v>0.57999999999999996</v>
      </c>
      <c r="K52" s="60">
        <v>0.11</v>
      </c>
      <c r="L52" s="60">
        <v>0.76</v>
      </c>
      <c r="M52" s="60">
        <v>1.72</v>
      </c>
    </row>
    <row r="53" spans="1:13" x14ac:dyDescent="0.2">
      <c r="A53" s="60" t="s">
        <v>150</v>
      </c>
      <c r="B53" s="60" t="s">
        <v>33</v>
      </c>
      <c r="C53" s="69">
        <f>IF(IFERROR(INDEX('2016'!$F$5:$F$72,MATCH(B53,'2016'!$A$5:$A$72,0)),0)=0,"N/A",INDEX('2016'!$F$5:$F$72,MATCH(B53,'2016'!$A$5:$A$72,0)))</f>
        <v>2.16</v>
      </c>
      <c r="D53" s="60">
        <v>2.04</v>
      </c>
      <c r="E53" s="60">
        <v>2.1800000000000002</v>
      </c>
      <c r="F53" s="60">
        <v>1.77</v>
      </c>
      <c r="G53" s="60">
        <v>1.87</v>
      </c>
      <c r="H53" s="60">
        <v>1.95</v>
      </c>
      <c r="I53" s="60">
        <v>1.66</v>
      </c>
      <c r="J53" s="60">
        <v>1.31</v>
      </c>
      <c r="K53" s="60">
        <v>1.39</v>
      </c>
      <c r="L53" s="60">
        <v>2.33</v>
      </c>
      <c r="M53" s="60">
        <v>1.1399999999999999</v>
      </c>
    </row>
    <row r="54" spans="1:13" x14ac:dyDescent="0.2">
      <c r="A54" s="60" t="s">
        <v>151</v>
      </c>
      <c r="B54" s="60" t="s">
        <v>34</v>
      </c>
      <c r="C54" s="69">
        <f>IF(IFERROR(INDEX('2016'!$F$5:$F$72,MATCH(B54,'2016'!$A$5:$A$72,0)),0)=0,"N/A",INDEX('2016'!$F$5:$F$72,MATCH(B54,'2016'!$A$5:$A$72,0)))</f>
        <v>2.79</v>
      </c>
      <c r="D54" s="60">
        <v>2.37</v>
      </c>
      <c r="E54" s="60">
        <v>2.38</v>
      </c>
      <c r="F54" s="60">
        <v>2.38</v>
      </c>
      <c r="G54" s="60">
        <v>2.61</v>
      </c>
      <c r="H54" s="60">
        <v>2.61</v>
      </c>
      <c r="I54" s="60">
        <v>2.29</v>
      </c>
      <c r="J54" s="60">
        <v>1.19</v>
      </c>
      <c r="K54" s="60">
        <v>2.4500000000000002</v>
      </c>
      <c r="L54" s="60">
        <v>2.63</v>
      </c>
      <c r="M54" s="60">
        <v>2.29</v>
      </c>
    </row>
    <row r="55" spans="1:13" x14ac:dyDescent="0.2">
      <c r="A55" s="60" t="s">
        <v>152</v>
      </c>
      <c r="B55" s="60" t="s">
        <v>35</v>
      </c>
      <c r="C55" s="69">
        <f>IF(IFERROR(INDEX('2016'!$F$5:$F$72,MATCH(B55,'2016'!$A$5:$A$72,0)),0)=0,"N/A",INDEX('2016'!$F$5:$F$72,MATCH(B55,'2016'!$A$5:$A$72,0)))</f>
        <v>2.83</v>
      </c>
      <c r="D55" s="60">
        <v>3.3</v>
      </c>
      <c r="E55" s="60">
        <v>2.99</v>
      </c>
      <c r="F55" s="60">
        <v>2.4500000000000002</v>
      </c>
      <c r="G55" s="60">
        <v>2.44</v>
      </c>
      <c r="H55" s="60">
        <v>3.11</v>
      </c>
      <c r="I55" s="60">
        <v>3.07</v>
      </c>
      <c r="J55" s="60">
        <v>3.08</v>
      </c>
      <c r="K55" s="60">
        <v>2.9</v>
      </c>
      <c r="L55" s="60">
        <v>2.59</v>
      </c>
      <c r="M55" s="60">
        <v>1.845</v>
      </c>
    </row>
    <row r="56" spans="1:13" x14ac:dyDescent="0.2">
      <c r="A56" s="60" t="s">
        <v>193</v>
      </c>
      <c r="B56" s="60" t="s">
        <v>194</v>
      </c>
      <c r="C56" s="69">
        <f>IF(IFERROR(INDEX('2016'!$F$5:$F$72,MATCH(B56,'2016'!$A$5:$A$72,0)),0)=0,"N/A",INDEX('2016'!$F$5:$F$72,MATCH(B56,'2016'!$A$5:$A$72,0)))</f>
        <v>0.81299999999999994</v>
      </c>
      <c r="D56" s="60">
        <v>0.72</v>
      </c>
      <c r="E56" s="60">
        <v>0.66700000000000004</v>
      </c>
      <c r="F56" s="60">
        <v>0.60699999999999998</v>
      </c>
      <c r="G56" s="60">
        <v>0.61299999999999999</v>
      </c>
      <c r="H56" s="60">
        <v>0.67300000000000004</v>
      </c>
      <c r="I56" s="60">
        <v>0.65300000000000002</v>
      </c>
      <c r="J56" s="60">
        <v>0.72699999999999998</v>
      </c>
      <c r="K56" s="60">
        <v>0.64300000000000002</v>
      </c>
      <c r="L56" s="60">
        <v>0.57699999999999996</v>
      </c>
      <c r="M56" s="60">
        <v>0.51300000000000001</v>
      </c>
    </row>
    <row r="57" spans="1:13" x14ac:dyDescent="0.2">
      <c r="A57" s="60" t="s">
        <v>153</v>
      </c>
      <c r="B57" s="60" t="s">
        <v>36</v>
      </c>
      <c r="C57" s="69">
        <f>IF(IFERROR(INDEX('2016'!$F$5:$F$72,MATCH(B57,'2016'!$A$5:$A$72,0)),0)=0,"N/A",INDEX('2016'!$F$5:$F$72,MATCH(B57,'2016'!$A$5:$A$72,0)))</f>
        <v>4.16</v>
      </c>
      <c r="D57" s="60">
        <v>3.81</v>
      </c>
      <c r="E57" s="60">
        <v>3.79</v>
      </c>
      <c r="F57" s="60">
        <v>3.39</v>
      </c>
      <c r="G57" s="60">
        <v>3.15</v>
      </c>
      <c r="H57" s="60">
        <v>2.97</v>
      </c>
      <c r="I57" s="60">
        <v>2.98</v>
      </c>
      <c r="J57" s="60">
        <v>2.85</v>
      </c>
      <c r="K57" s="60">
        <v>2.95</v>
      </c>
      <c r="L57" s="60">
        <v>2.74</v>
      </c>
      <c r="M57" s="60">
        <v>2.59</v>
      </c>
    </row>
    <row r="58" spans="1:13" x14ac:dyDescent="0.2">
      <c r="A58" s="60" t="s">
        <v>154</v>
      </c>
      <c r="B58" s="60" t="s">
        <v>37</v>
      </c>
      <c r="C58" s="69">
        <f>IF(IFERROR(INDEX('2016'!$F$5:$F$72,MATCH(B58,'2016'!$A$5:$A$72,0)),0)=0,"N/A",INDEX('2016'!$F$5:$F$72,MATCH(B58,'2016'!$A$5:$A$72,0)))</f>
        <v>4.24</v>
      </c>
      <c r="D58" s="60">
        <v>5.23</v>
      </c>
      <c r="E58" s="60">
        <v>4.63</v>
      </c>
      <c r="F58" s="60">
        <v>4.22</v>
      </c>
      <c r="G58" s="60">
        <v>4.3499999999999996</v>
      </c>
      <c r="H58" s="60">
        <v>4.47</v>
      </c>
      <c r="I58" s="60">
        <v>4.0199999999999996</v>
      </c>
      <c r="J58" s="60">
        <v>4.78</v>
      </c>
      <c r="K58" s="60">
        <v>4.43</v>
      </c>
      <c r="L58" s="60">
        <v>4.26</v>
      </c>
      <c r="M58" s="60">
        <v>4.2300000000000004</v>
      </c>
    </row>
    <row r="59" spans="1:13" x14ac:dyDescent="0.2">
      <c r="A59" s="60" t="s">
        <v>195</v>
      </c>
      <c r="B59" s="60" t="s">
        <v>196</v>
      </c>
      <c r="C59" s="69">
        <f>IF(IFERROR(INDEX('2016'!$F$5:$F$72,MATCH(B59,'2016'!$A$5:$A$72,0)),0)=0,"N/A",INDEX('2016'!$F$5:$F$72,MATCH(B59,'2016'!$A$5:$A$72,0)))</f>
        <v>2.57</v>
      </c>
      <c r="D59" s="60">
        <v>1.85</v>
      </c>
      <c r="E59" s="60">
        <v>2.54</v>
      </c>
      <c r="F59" s="60">
        <v>1.1200000000000001</v>
      </c>
      <c r="G59" s="60">
        <v>1.18</v>
      </c>
      <c r="H59" s="60">
        <v>1.1100000000000001</v>
      </c>
      <c r="I59" s="60">
        <v>0.84</v>
      </c>
      <c r="J59" s="60">
        <v>0.81</v>
      </c>
      <c r="K59" s="60">
        <v>1.0840000000000001</v>
      </c>
      <c r="L59" s="60">
        <v>1.04</v>
      </c>
      <c r="M59" s="60">
        <v>1.19</v>
      </c>
    </row>
    <row r="60" spans="1:13" x14ac:dyDescent="0.2">
      <c r="A60" s="60" t="s">
        <v>197</v>
      </c>
      <c r="B60" s="60" t="s">
        <v>198</v>
      </c>
      <c r="C60" s="69">
        <f>IF(IFERROR(INDEX('2016'!$F$5:$F$72,MATCH(B60,'2016'!$A$5:$A$72,0)),0)=0,"N/A",INDEX('2016'!$F$5:$F$72,MATCH(B60,'2016'!$A$5:$A$72,0)))</f>
        <v>1.34</v>
      </c>
      <c r="D60" s="60">
        <v>1.44</v>
      </c>
      <c r="E60" s="60">
        <v>1.5649999999999999</v>
      </c>
      <c r="F60" s="60">
        <v>1.5149999999999999</v>
      </c>
      <c r="G60" s="60">
        <v>1.5149999999999999</v>
      </c>
      <c r="H60" s="60">
        <v>1.4450000000000001</v>
      </c>
      <c r="I60" s="60">
        <v>1.35</v>
      </c>
      <c r="J60" s="60">
        <v>1.19</v>
      </c>
      <c r="K60" s="60">
        <v>1.135</v>
      </c>
      <c r="L60" s="60">
        <v>1.0449999999999999</v>
      </c>
      <c r="M60" s="60">
        <v>1.23</v>
      </c>
    </row>
    <row r="61" spans="1:13" x14ac:dyDescent="0.2">
      <c r="A61" s="60" t="s">
        <v>155</v>
      </c>
      <c r="B61" s="60" t="s">
        <v>38</v>
      </c>
      <c r="C61" s="69">
        <f>IF(IFERROR(INDEX('2016'!$F$5:$F$72,MATCH(B61,'2016'!$A$5:$A$72,0)),0)=0,"N/A",INDEX('2016'!$F$5:$F$72,MATCH(B61,'2016'!$A$5:$A$72,0)))</f>
        <v>2.83</v>
      </c>
      <c r="D61" s="60">
        <v>2.84</v>
      </c>
      <c r="E61" s="60">
        <v>2.77</v>
      </c>
      <c r="F61" s="60">
        <v>2.7</v>
      </c>
      <c r="G61" s="60">
        <v>2.67</v>
      </c>
      <c r="H61" s="60">
        <v>2.5499999999999998</v>
      </c>
      <c r="I61" s="60">
        <v>2.36</v>
      </c>
      <c r="J61" s="60">
        <v>2.3199999999999998</v>
      </c>
      <c r="K61" s="60">
        <v>2.25</v>
      </c>
      <c r="L61" s="60">
        <v>2.2799999999999998</v>
      </c>
      <c r="M61" s="60">
        <v>2.1</v>
      </c>
    </row>
    <row r="62" spans="1:13" x14ac:dyDescent="0.2">
      <c r="A62" s="60" t="s">
        <v>199</v>
      </c>
      <c r="B62" s="60" t="s">
        <v>200</v>
      </c>
      <c r="C62" s="69">
        <f>IF(IFERROR(INDEX('2016'!$F$5:$F$72,MATCH(B62,'2016'!$A$5:$A$72,0)),0)=0,"N/A",INDEX('2016'!$F$5:$F$72,MATCH(B62,'2016'!$A$5:$A$72,0)))</f>
        <v>3.18</v>
      </c>
      <c r="D62" s="60">
        <v>2.92</v>
      </c>
      <c r="E62" s="60">
        <v>3.01</v>
      </c>
      <c r="F62" s="60">
        <v>3.11</v>
      </c>
      <c r="G62" s="60">
        <v>2.86</v>
      </c>
      <c r="H62" s="60">
        <v>2.4300000000000002</v>
      </c>
      <c r="I62" s="60">
        <v>2.27</v>
      </c>
      <c r="J62" s="60">
        <v>1.94</v>
      </c>
      <c r="K62" s="60">
        <v>1.39</v>
      </c>
      <c r="L62" s="60">
        <v>1.95</v>
      </c>
      <c r="M62" s="60">
        <v>1.98</v>
      </c>
    </row>
    <row r="63" spans="1:13" x14ac:dyDescent="0.2">
      <c r="A63" s="60" t="s">
        <v>243</v>
      </c>
      <c r="B63" s="60" t="s">
        <v>244</v>
      </c>
      <c r="C63" s="69">
        <f>IF(IFERROR(INDEX('2016'!$F$5:$F$72,MATCH(B63,'2016'!$A$5:$A$72,0)),0)=0,"N/A",INDEX('2016'!$F$5:$F$72,MATCH(B63,'2016'!$A$5:$A$72,0)))</f>
        <v>3.24</v>
      </c>
      <c r="D63" s="60">
        <v>3.16</v>
      </c>
      <c r="E63" s="60">
        <v>2.35</v>
      </c>
      <c r="F63" s="60">
        <v>2.02</v>
      </c>
      <c r="G63" s="60">
        <v>2.79</v>
      </c>
      <c r="H63" s="60">
        <v>2.86</v>
      </c>
      <c r="I63" s="60">
        <v>2.4300000000000002</v>
      </c>
      <c r="J63" s="60">
        <v>2.92</v>
      </c>
      <c r="K63" s="60">
        <v>2.64</v>
      </c>
      <c r="L63" s="60">
        <v>2.31</v>
      </c>
      <c r="M63" s="60">
        <v>2.37</v>
      </c>
    </row>
    <row r="64" spans="1:13" x14ac:dyDescent="0.2">
      <c r="A64" s="60" t="s">
        <v>201</v>
      </c>
      <c r="B64" s="60" t="s">
        <v>202</v>
      </c>
      <c r="C64" s="69">
        <f>IF(IFERROR(INDEX('2016'!$F$5:$F$72,MATCH(B64,'2016'!$A$5:$A$72,0)),0)=0,"N/A",INDEX('2016'!$F$5:$F$72,MATCH(B64,'2016'!$A$5:$A$72,0)))</f>
        <v>0.7</v>
      </c>
      <c r="D64" s="60">
        <v>0.59</v>
      </c>
      <c r="E64" s="60">
        <v>0.56999999999999995</v>
      </c>
      <c r="F64" s="60">
        <v>0.47</v>
      </c>
      <c r="G64" s="60">
        <v>0.4</v>
      </c>
      <c r="H64" s="60">
        <v>0.36</v>
      </c>
      <c r="I64" s="60">
        <v>0.38</v>
      </c>
      <c r="J64" s="60">
        <v>1.43</v>
      </c>
      <c r="K64" s="60">
        <v>-0.18</v>
      </c>
      <c r="L64" s="60">
        <v>0.51400000000000001</v>
      </c>
      <c r="M64" s="60">
        <v>-1.01</v>
      </c>
    </row>
    <row r="65" spans="1:13" x14ac:dyDescent="0.2">
      <c r="A65" s="60" t="s">
        <v>203</v>
      </c>
      <c r="B65" s="60" t="s">
        <v>204</v>
      </c>
      <c r="C65" s="69">
        <f>IF(IFERROR(INDEX('2016'!$F$5:$F$72,MATCH(B65,'2016'!$A$5:$A$72,0)),0)=0,"N/A",INDEX('2016'!$F$5:$F$72,MATCH(B65,'2016'!$A$5:$A$72,0)))</f>
        <v>2.0499999999999998</v>
      </c>
      <c r="D65" s="60">
        <v>2.0099999999999998</v>
      </c>
      <c r="E65" s="60">
        <v>1.92</v>
      </c>
      <c r="F65" s="60">
        <v>1.593</v>
      </c>
      <c r="G65" s="60">
        <v>1.173</v>
      </c>
      <c r="H65" s="60">
        <v>1.373</v>
      </c>
      <c r="I65" s="60">
        <v>1.587</v>
      </c>
      <c r="J65" s="60">
        <v>1.573</v>
      </c>
      <c r="K65" s="60">
        <v>1.327</v>
      </c>
      <c r="L65" s="60">
        <v>1.18</v>
      </c>
      <c r="M65" s="60">
        <v>1.1000000000000001</v>
      </c>
    </row>
    <row r="66" spans="1:13" x14ac:dyDescent="0.2">
      <c r="A66" s="60" t="s">
        <v>159</v>
      </c>
      <c r="B66" s="60" t="s">
        <v>83</v>
      </c>
      <c r="C66" s="69">
        <f>IF(IFERROR(INDEX('2016'!$F$5:$F$72,MATCH(B66,'2016'!$A$5:$A$72,0)),0)=0,"N/A",INDEX('2016'!$F$5:$F$72,MATCH(B66,'2016'!$A$5:$A$72,0)))</f>
        <v>1.94</v>
      </c>
      <c r="D66" s="60">
        <v>1.89</v>
      </c>
      <c r="E66" s="60">
        <v>1.79</v>
      </c>
      <c r="F66" s="60">
        <v>1.57</v>
      </c>
      <c r="G66" s="60">
        <v>1.43</v>
      </c>
      <c r="H66" s="60">
        <v>1.5</v>
      </c>
      <c r="I66" s="60">
        <v>0.88</v>
      </c>
      <c r="J66" s="60">
        <v>1.03</v>
      </c>
      <c r="K66" s="60">
        <v>1.65</v>
      </c>
      <c r="L66" s="60">
        <v>1.52</v>
      </c>
      <c r="M66" s="60">
        <v>1.41</v>
      </c>
    </row>
    <row r="67" spans="1:13" x14ac:dyDescent="0.2">
      <c r="A67" s="60" t="s">
        <v>156</v>
      </c>
      <c r="B67" s="60" t="s">
        <v>42</v>
      </c>
      <c r="C67" s="69">
        <f>IF(IFERROR(INDEX('2016'!$F$5:$F$72,MATCH(B67,'2016'!$A$5:$A$72,0)),0)=0,"N/A",INDEX('2016'!$F$5:$F$72,MATCH(B67,'2016'!$A$5:$A$72,0)))</f>
        <v>2.5499999999999998</v>
      </c>
      <c r="D67" s="60">
        <v>2.39</v>
      </c>
      <c r="E67" s="60">
        <v>2.02</v>
      </c>
      <c r="F67" s="60">
        <v>1.66</v>
      </c>
      <c r="G67" s="60">
        <v>1.94</v>
      </c>
      <c r="H67" s="60">
        <v>1.73</v>
      </c>
      <c r="I67" s="60">
        <v>1.64</v>
      </c>
      <c r="J67" s="60">
        <v>1.79</v>
      </c>
      <c r="K67" s="60">
        <v>1.63</v>
      </c>
      <c r="L67" s="60">
        <v>1.83</v>
      </c>
      <c r="M67" s="60">
        <v>1.44</v>
      </c>
    </row>
    <row r="68" spans="1:13" x14ac:dyDescent="0.2">
      <c r="A68" s="60" t="s">
        <v>217</v>
      </c>
      <c r="B68" s="60" t="s">
        <v>44</v>
      </c>
      <c r="C68" s="69">
        <f>IF(IFERROR(INDEX('2016'!$F$5:$F$72,MATCH(B68,'2016'!$A$5:$A$72,0)),0)=0,"N/A",INDEX('2016'!$F$5:$F$72,MATCH(B68,'2016'!$A$5:$A$72,0)))</f>
        <v>2.96</v>
      </c>
      <c r="D68" s="60">
        <v>2.34</v>
      </c>
      <c r="E68" s="60">
        <v>2.59</v>
      </c>
      <c r="F68" s="60">
        <v>2.5099999999999998</v>
      </c>
      <c r="G68" s="60">
        <v>2.35</v>
      </c>
      <c r="H68" s="60">
        <v>2.1800000000000002</v>
      </c>
      <c r="I68" s="60">
        <v>1.92</v>
      </c>
      <c r="J68" s="60">
        <v>1.6</v>
      </c>
      <c r="K68" s="60">
        <v>1.5149999999999999</v>
      </c>
      <c r="L68" s="60">
        <v>1.42</v>
      </c>
      <c r="M68" s="60">
        <v>1.32</v>
      </c>
    </row>
    <row r="69" spans="1:13" x14ac:dyDescent="0.2">
      <c r="A69" s="60" t="s">
        <v>157</v>
      </c>
      <c r="B69" s="60" t="s">
        <v>43</v>
      </c>
      <c r="C69" s="69">
        <f>IF(IFERROR(INDEX('2016'!$F$5:$F$72,MATCH(B69,'2016'!$A$5:$A$72,0)),0)=0,"N/A",INDEX('2016'!$F$5:$F$72,MATCH(B69,'2016'!$A$5:$A$72,0)))</f>
        <v>2.4300000000000002</v>
      </c>
      <c r="D69" s="60">
        <v>2.09</v>
      </c>
      <c r="E69" s="60">
        <v>2.35</v>
      </c>
      <c r="F69" s="60">
        <v>2.27</v>
      </c>
      <c r="G69" s="60">
        <v>2.15</v>
      </c>
      <c r="H69" s="60">
        <v>1.79</v>
      </c>
      <c r="I69" s="60">
        <v>1.8</v>
      </c>
      <c r="J69" s="60">
        <v>1.28</v>
      </c>
      <c r="K69" s="60">
        <v>1.31</v>
      </c>
      <c r="L69" s="60">
        <v>1.84</v>
      </c>
      <c r="M69" s="60">
        <v>1.88</v>
      </c>
    </row>
    <row r="70" spans="1:13" x14ac:dyDescent="0.2">
      <c r="A70" s="60" t="s">
        <v>205</v>
      </c>
      <c r="B70" s="60" t="s">
        <v>206</v>
      </c>
      <c r="C70" s="69">
        <f>IF(IFERROR(INDEX('2016'!$F$5:$F$72,MATCH(B70,'2016'!$A$5:$A$72,0)),0)=0,"N/A",INDEX('2016'!$F$5:$F$72,MATCH(B70,'2016'!$A$5:$A$72,0)))</f>
        <v>3.27</v>
      </c>
      <c r="D70" s="60">
        <v>3.16</v>
      </c>
      <c r="E70" s="60">
        <v>2.68</v>
      </c>
      <c r="F70" s="60">
        <v>2.31</v>
      </c>
      <c r="G70" s="60">
        <v>2.68</v>
      </c>
      <c r="H70" s="60">
        <v>2.25</v>
      </c>
      <c r="I70" s="60">
        <v>2.27</v>
      </c>
      <c r="J70" s="60">
        <v>2.5299999999999998</v>
      </c>
      <c r="K70" s="60">
        <v>2.44</v>
      </c>
      <c r="L70" s="60">
        <v>2.09</v>
      </c>
      <c r="M70" s="60">
        <v>1.94</v>
      </c>
    </row>
    <row r="71" spans="1:13" x14ac:dyDescent="0.2">
      <c r="A71" s="60" t="s">
        <v>158</v>
      </c>
      <c r="B71" s="60" t="s">
        <v>45</v>
      </c>
      <c r="C71" s="69">
        <f>IF(IFERROR(INDEX('2016'!$F$5:$F$72,MATCH(B71,'2016'!$A$5:$A$72,0)),0)=0,"N/A",INDEX('2016'!$F$5:$F$72,MATCH(B71,'2016'!$A$5:$A$72,0)))</f>
        <v>2.21</v>
      </c>
      <c r="D71" s="60">
        <v>2.1</v>
      </c>
      <c r="E71" s="60">
        <v>2.0299999999999998</v>
      </c>
      <c r="F71" s="60">
        <v>1.91</v>
      </c>
      <c r="G71" s="60">
        <v>1.85</v>
      </c>
      <c r="H71" s="60">
        <v>1.72</v>
      </c>
      <c r="I71" s="60">
        <v>1.56</v>
      </c>
      <c r="J71" s="60">
        <v>1.49</v>
      </c>
      <c r="K71" s="60">
        <v>1.46</v>
      </c>
      <c r="L71" s="60">
        <v>1.35</v>
      </c>
      <c r="M71" s="60">
        <v>1.35</v>
      </c>
    </row>
    <row r="72" spans="1:13" x14ac:dyDescent="0.2">
      <c r="A72" s="60" t="s">
        <v>207</v>
      </c>
      <c r="B72" s="60" t="s">
        <v>208</v>
      </c>
      <c r="C72" s="69">
        <f>IF(IFERROR(INDEX('2016'!$F$5:$F$73,MATCH(B72,'2016'!$A$5:$A$73,0)),0)=0,"N/A",INDEX('2016'!$F$5:$F$73,MATCH(B72,'2016'!$A$5:$A$73,0)))</f>
        <v>0.92</v>
      </c>
      <c r="D72" s="60">
        <v>0.97</v>
      </c>
      <c r="E72" s="60">
        <v>0.89</v>
      </c>
      <c r="F72" s="60">
        <v>0.75</v>
      </c>
      <c r="G72" s="60">
        <v>0.72</v>
      </c>
      <c r="H72" s="60">
        <v>0.71</v>
      </c>
      <c r="I72" s="60">
        <v>0.71</v>
      </c>
      <c r="J72" s="60">
        <v>0.64</v>
      </c>
      <c r="K72" s="60">
        <v>0.56999999999999995</v>
      </c>
      <c r="L72" s="60">
        <v>0.56999999999999995</v>
      </c>
      <c r="M72" s="60">
        <v>0.57999999999999996</v>
      </c>
    </row>
  </sheetData>
  <autoFilter ref="A3:N72"/>
  <printOptions headings="1"/>
  <pageMargins left="0.3" right="0.3" top="0.75" bottom="0.75" header="0.3" footer="0.3"/>
  <pageSetup fitToHeight="0" orientation="landscape" r:id="rId1"/>
  <headerFooter>
    <oddHeader>&amp;R&amp;A
&amp;P/&amp;N</oddHeader>
    <oddFooter>&amp;R&amp;A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N72"/>
  <sheetViews>
    <sheetView workbookViewId="0">
      <selection activeCell="C8" sqref="C8:C9"/>
    </sheetView>
  </sheetViews>
  <sheetFormatPr defaultColWidth="8.75" defaultRowHeight="11.25" x14ac:dyDescent="0.2"/>
  <cols>
    <col min="1" max="1" width="18" style="60" bestFit="1" customWidth="1"/>
    <col min="2" max="2" width="5.25" style="60" bestFit="1" customWidth="1"/>
    <col min="3" max="13" width="7.125" style="60" customWidth="1"/>
    <col min="14" max="16384" width="8.75" style="60"/>
  </cols>
  <sheetData>
    <row r="1" spans="1:14" ht="45" x14ac:dyDescent="0.2">
      <c r="A1" s="59" t="s">
        <v>316</v>
      </c>
      <c r="C1" s="61">
        <v>2016</v>
      </c>
      <c r="D1" s="61">
        <v>2015</v>
      </c>
      <c r="E1" s="61">
        <v>2014</v>
      </c>
      <c r="F1" s="61">
        <v>2013</v>
      </c>
      <c r="G1" s="61">
        <v>2012</v>
      </c>
      <c r="H1" s="61">
        <v>2011</v>
      </c>
      <c r="I1" s="61">
        <v>2010</v>
      </c>
      <c r="J1" s="61">
        <v>2009</v>
      </c>
      <c r="K1" s="61">
        <v>2008</v>
      </c>
      <c r="L1" s="61">
        <v>2007</v>
      </c>
      <c r="M1" s="61">
        <v>2006</v>
      </c>
    </row>
    <row r="2" spans="1:14" x14ac:dyDescent="0.2">
      <c r="A2" s="69" t="s">
        <v>315</v>
      </c>
      <c r="C2" s="71">
        <f>'2016'!$A$1</f>
        <v>42907</v>
      </c>
      <c r="D2" s="77">
        <v>42840</v>
      </c>
      <c r="E2" s="77">
        <v>42840</v>
      </c>
      <c r="F2" s="77">
        <v>42840</v>
      </c>
      <c r="G2" s="77">
        <v>42840</v>
      </c>
      <c r="H2" s="77">
        <v>42840</v>
      </c>
      <c r="I2" s="77">
        <v>42840</v>
      </c>
      <c r="J2" s="77">
        <v>42840</v>
      </c>
      <c r="K2" s="77">
        <v>42840</v>
      </c>
      <c r="L2" s="77">
        <v>42840</v>
      </c>
      <c r="M2" s="77">
        <v>42840</v>
      </c>
      <c r="N2" s="60" t="s">
        <v>348</v>
      </c>
    </row>
    <row r="3" spans="1:14" ht="33.75" x14ac:dyDescent="0.2">
      <c r="A3" s="60" t="s">
        <v>117</v>
      </c>
      <c r="B3" s="60" t="s">
        <v>99</v>
      </c>
      <c r="C3" s="59" t="s">
        <v>275</v>
      </c>
      <c r="D3" s="59" t="s">
        <v>276</v>
      </c>
      <c r="E3" s="59" t="s">
        <v>277</v>
      </c>
      <c r="F3" s="59" t="s">
        <v>278</v>
      </c>
      <c r="G3" s="59" t="s">
        <v>279</v>
      </c>
      <c r="H3" s="59" t="s">
        <v>280</v>
      </c>
      <c r="I3" s="59" t="s">
        <v>281</v>
      </c>
      <c r="J3" s="59" t="s">
        <v>282</v>
      </c>
      <c r="K3" s="59" t="s">
        <v>283</v>
      </c>
      <c r="L3" s="59" t="s">
        <v>284</v>
      </c>
      <c r="M3" s="59" t="s">
        <v>285</v>
      </c>
    </row>
    <row r="4" spans="1:14" x14ac:dyDescent="0.2">
      <c r="A4" s="60" t="s">
        <v>162</v>
      </c>
      <c r="B4" s="60" t="s">
        <v>163</v>
      </c>
      <c r="C4" s="69">
        <f>IF(ISNUMBER(INDEX('2016'!$I$5:$I$72,MATCH(B4,'2016'!$A$5:$A$72,0))),INDEX('2016'!$I$5:$I$72,MATCH(B4,'2016'!$A$5:$A$72,0)),"N/A")</f>
        <v>0.88</v>
      </c>
      <c r="D4" s="60">
        <v>0.88</v>
      </c>
      <c r="E4" s="60">
        <v>0.88</v>
      </c>
      <c r="F4" s="60">
        <v>0.66</v>
      </c>
      <c r="G4" s="60">
        <v>0.62</v>
      </c>
      <c r="H4" s="60">
        <v>0.56999999999999995</v>
      </c>
      <c r="I4" s="60">
        <v>0.54</v>
      </c>
      <c r="J4" s="60">
        <v>0.5</v>
      </c>
      <c r="K4" s="60">
        <v>0.5</v>
      </c>
      <c r="L4" s="60">
        <v>0.47</v>
      </c>
      <c r="M4" s="60">
        <v>0.42</v>
      </c>
    </row>
    <row r="5" spans="1:14" x14ac:dyDescent="0.2">
      <c r="A5" s="60" t="s">
        <v>119</v>
      </c>
      <c r="B5" s="60" t="s">
        <v>0</v>
      </c>
      <c r="C5" s="69">
        <f>IF(ISNUMBER(INDEX('2016'!$I$5:$I$72,MATCH(B5,'2016'!$A$5:$A$72,0))),INDEX('2016'!$I$5:$I$72,MATCH(B5,'2016'!$A$5:$A$72,0)),"N/A")</f>
        <v>2.08</v>
      </c>
      <c r="D5" s="60">
        <v>2.02</v>
      </c>
      <c r="E5" s="60">
        <v>1.96</v>
      </c>
      <c r="F5" s="60">
        <v>1.9</v>
      </c>
      <c r="G5" s="60">
        <v>1.84</v>
      </c>
      <c r="H5" s="60">
        <v>1.78</v>
      </c>
      <c r="I5" s="60">
        <v>1.76</v>
      </c>
      <c r="J5" s="60">
        <v>1.76</v>
      </c>
      <c r="K5" s="60">
        <v>1.72</v>
      </c>
      <c r="L5" s="60">
        <v>1.64</v>
      </c>
      <c r="M5" s="60">
        <v>1.45</v>
      </c>
    </row>
    <row r="6" spans="1:14" x14ac:dyDescent="0.2">
      <c r="A6" s="60" t="s">
        <v>120</v>
      </c>
      <c r="B6" s="60" t="s">
        <v>1</v>
      </c>
      <c r="C6" s="69">
        <f>IF(ISNUMBER(INDEX('2016'!$I$5:$I$72,MATCH(B6,'2016'!$A$5:$A$72,0))),INDEX('2016'!$I$5:$I$72,MATCH(B6,'2016'!$A$5:$A$72,0)),"N/A")</f>
        <v>1.18</v>
      </c>
      <c r="D6" s="60">
        <v>1.1000000000000001</v>
      </c>
      <c r="E6" s="60">
        <v>1.02</v>
      </c>
      <c r="F6" s="60">
        <v>0.94</v>
      </c>
      <c r="G6" s="60">
        <v>0.9</v>
      </c>
      <c r="H6" s="60">
        <v>0.85</v>
      </c>
      <c r="I6" s="60">
        <v>0.79</v>
      </c>
      <c r="J6" s="60">
        <v>0.75</v>
      </c>
      <c r="K6" s="60">
        <v>0.7</v>
      </c>
      <c r="L6" s="60">
        <v>0.63500000000000001</v>
      </c>
      <c r="M6" s="60">
        <v>0.57499999999999996</v>
      </c>
    </row>
    <row r="7" spans="1:14" x14ac:dyDescent="0.2">
      <c r="A7" s="60" t="s">
        <v>121</v>
      </c>
      <c r="B7" s="60" t="s">
        <v>2</v>
      </c>
      <c r="C7" s="69">
        <f>IF(ISNUMBER(INDEX('2016'!$I$5:$I$72,MATCH(B7,'2016'!$A$5:$A$72,0))),INDEX('2016'!$I$5:$I$72,MATCH(B7,'2016'!$A$5:$A$72,0)),"N/A")</f>
        <v>2.27</v>
      </c>
      <c r="D7" s="60">
        <v>2.15</v>
      </c>
      <c r="E7" s="60">
        <v>2.0299999999999998</v>
      </c>
      <c r="F7" s="60">
        <v>1.95</v>
      </c>
      <c r="G7" s="60">
        <v>1.88</v>
      </c>
      <c r="H7" s="60">
        <v>1.85</v>
      </c>
      <c r="I7" s="60">
        <v>1.71</v>
      </c>
      <c r="J7" s="60">
        <v>1.64</v>
      </c>
      <c r="K7" s="60">
        <v>1.64</v>
      </c>
      <c r="L7" s="60">
        <v>1.58</v>
      </c>
      <c r="M7" s="60">
        <v>1.5</v>
      </c>
    </row>
    <row r="8" spans="1:14" x14ac:dyDescent="0.2">
      <c r="A8" s="60" t="s">
        <v>164</v>
      </c>
      <c r="B8" s="60" t="s">
        <v>165</v>
      </c>
      <c r="C8" s="69">
        <f>IF(ISNUMBER(INDEX('2016'!$I$5:$I$72,MATCH(B8,'2016'!$A$5:$A$72,0))),INDEX('2016'!$I$5:$I$72,MATCH(B8,'2016'!$A$5:$A$72,0)),"N/A")</f>
        <v>0.91400000000000003</v>
      </c>
      <c r="D8" s="60">
        <v>0.874</v>
      </c>
      <c r="E8" s="60">
        <v>0.83099999999999996</v>
      </c>
      <c r="F8" s="60">
        <v>0.76</v>
      </c>
      <c r="G8" s="60">
        <v>0.63500000000000001</v>
      </c>
      <c r="H8" s="60">
        <v>0.55000000000000004</v>
      </c>
      <c r="I8" s="60">
        <v>0.52</v>
      </c>
      <c r="J8" s="60">
        <v>0.505</v>
      </c>
      <c r="K8" s="60">
        <v>0.5</v>
      </c>
      <c r="L8" s="60">
        <v>0.47799999999999998</v>
      </c>
      <c r="M8" s="60">
        <v>0.45500000000000002</v>
      </c>
    </row>
    <row r="9" spans="1:14" x14ac:dyDescent="0.2">
      <c r="A9" s="60" t="s">
        <v>166</v>
      </c>
      <c r="B9" s="60" t="s">
        <v>167</v>
      </c>
      <c r="C9" s="69">
        <f>IF(ISNUMBER(INDEX('2016'!$I$5:$I$72,MATCH(B9,'2016'!$A$5:$A$72,0))),INDEX('2016'!$I$5:$I$72,MATCH(B9,'2016'!$A$5:$A$72,0)),"N/A")</f>
        <v>1.47</v>
      </c>
      <c r="D9" s="60">
        <v>1.33</v>
      </c>
      <c r="E9" s="60">
        <v>1.21</v>
      </c>
      <c r="F9" s="60">
        <v>0.84</v>
      </c>
      <c r="G9" s="60">
        <v>1.21</v>
      </c>
      <c r="H9" s="60">
        <v>0.9</v>
      </c>
      <c r="I9" s="60">
        <v>0.86</v>
      </c>
      <c r="J9" s="60">
        <v>0.82</v>
      </c>
      <c r="K9" s="60">
        <v>0.4</v>
      </c>
      <c r="L9" s="60">
        <v>0</v>
      </c>
      <c r="M9" s="60">
        <v>0</v>
      </c>
    </row>
    <row r="10" spans="1:14" x14ac:dyDescent="0.2">
      <c r="A10" s="60" t="s">
        <v>122</v>
      </c>
      <c r="B10" s="60" t="s">
        <v>3</v>
      </c>
      <c r="C10" s="69">
        <f>IF(ISNUMBER(INDEX('2016'!$I$5:$I$72,MATCH(B10,'2016'!$A$5:$A$72,0))),INDEX('2016'!$I$5:$I$72,MATCH(B10,'2016'!$A$5:$A$72,0)),"N/A")</f>
        <v>1.7150000000000001</v>
      </c>
      <c r="D10" s="60">
        <v>1.655</v>
      </c>
      <c r="E10" s="60">
        <v>1.61</v>
      </c>
      <c r="F10" s="60">
        <v>1.6</v>
      </c>
      <c r="G10" s="60">
        <v>1.6</v>
      </c>
      <c r="H10" s="60">
        <v>1.5549999999999999</v>
      </c>
      <c r="I10" s="60">
        <v>1.54</v>
      </c>
      <c r="J10" s="60">
        <v>1.54</v>
      </c>
      <c r="K10" s="60">
        <v>2.54</v>
      </c>
      <c r="L10" s="60">
        <v>2.54</v>
      </c>
      <c r="M10" s="60">
        <v>2.54</v>
      </c>
    </row>
    <row r="11" spans="1:14" x14ac:dyDescent="0.2">
      <c r="A11" s="60" t="s">
        <v>168</v>
      </c>
      <c r="B11" s="60" t="s">
        <v>169</v>
      </c>
      <c r="C11" s="69">
        <f>IF(ISNUMBER(INDEX('2016'!$I$5:$I$72,MATCH(B11,'2016'!$A$5:$A$72,0))),INDEX('2016'!$I$5:$I$72,MATCH(B11,'2016'!$A$5:$A$72,0)),"N/A")</f>
        <v>3.72</v>
      </c>
      <c r="D11" s="60">
        <v>3.6</v>
      </c>
      <c r="E11" s="60">
        <v>3.44</v>
      </c>
      <c r="F11" s="60">
        <v>3.28</v>
      </c>
      <c r="G11" s="60">
        <v>3.1</v>
      </c>
      <c r="H11" s="60">
        <v>2.9249999999999998</v>
      </c>
      <c r="I11" s="60">
        <v>2.7850000000000001</v>
      </c>
      <c r="J11" s="60">
        <v>2.62</v>
      </c>
      <c r="K11" s="60">
        <v>2.5299999999999998</v>
      </c>
      <c r="L11" s="60">
        <v>2.66</v>
      </c>
      <c r="M11" s="60">
        <v>2.2799999999999998</v>
      </c>
    </row>
    <row r="12" spans="1:14" x14ac:dyDescent="0.2">
      <c r="A12" s="60" t="s">
        <v>170</v>
      </c>
      <c r="B12" s="60" t="s">
        <v>171</v>
      </c>
      <c r="C12" s="69">
        <f>IF(ISNUMBER(INDEX('2016'!$I$5:$I$72,MATCH(B12,'2016'!$A$5:$A$72,0))),INDEX('2016'!$I$5:$I$72,MATCH(B12,'2016'!$A$5:$A$72,0)),"N/A")</f>
        <v>0.74</v>
      </c>
      <c r="D12" s="60">
        <v>0.69</v>
      </c>
      <c r="E12" s="60">
        <v>0.63</v>
      </c>
      <c r="F12" s="60">
        <v>0.57999999999999996</v>
      </c>
      <c r="G12" s="60">
        <v>0.53600000000000003</v>
      </c>
      <c r="H12" s="60">
        <v>0.504</v>
      </c>
      <c r="I12" s="60">
        <v>0.47199999999999998</v>
      </c>
      <c r="J12" s="60">
        <v>0.44</v>
      </c>
      <c r="K12" s="60">
        <v>0.40799999999999997</v>
      </c>
      <c r="L12" s="60">
        <v>0.38400000000000001</v>
      </c>
      <c r="M12" s="60">
        <v>0.35199999999999998</v>
      </c>
    </row>
    <row r="13" spans="1:14" x14ac:dyDescent="0.2">
      <c r="A13" s="60" t="s">
        <v>172</v>
      </c>
      <c r="B13" s="60" t="s">
        <v>173</v>
      </c>
      <c r="C13" s="69">
        <f>IF(ISNUMBER(INDEX('2016'!$I$5:$I$72,MATCH(B13,'2016'!$A$5:$A$72,0))),INDEX('2016'!$I$5:$I$72,MATCH(B13,'2016'!$A$5:$A$72,0)),"N/A")</f>
        <v>0.9</v>
      </c>
      <c r="D13" s="60">
        <v>0.873</v>
      </c>
      <c r="E13" s="60">
        <v>0.84799999999999998</v>
      </c>
      <c r="F13" s="60">
        <v>0.82399999999999995</v>
      </c>
      <c r="G13" s="60">
        <v>0.79200000000000004</v>
      </c>
      <c r="H13" s="60">
        <v>0.76300000000000001</v>
      </c>
      <c r="I13" s="60">
        <v>0.752</v>
      </c>
      <c r="J13" s="60">
        <v>0.72099999999999997</v>
      </c>
      <c r="K13" s="60">
        <v>0.70599999999999996</v>
      </c>
      <c r="L13" s="60">
        <v>0.66400000000000003</v>
      </c>
      <c r="M13" s="60">
        <v>0.61</v>
      </c>
    </row>
    <row r="14" spans="1:14" x14ac:dyDescent="0.2">
      <c r="A14" s="60" t="s">
        <v>174</v>
      </c>
      <c r="B14" s="60" t="s">
        <v>175</v>
      </c>
      <c r="C14" s="69">
        <f>IF(ISNUMBER(INDEX('2016'!$I$5:$I$72,MATCH(B14,'2016'!$A$5:$A$72,0))),INDEX('2016'!$I$5:$I$72,MATCH(B14,'2016'!$A$5:$A$72,0)),"N/A")</f>
        <v>1.68</v>
      </c>
      <c r="D14" s="60">
        <v>1.56</v>
      </c>
      <c r="E14" s="60">
        <v>1.48</v>
      </c>
      <c r="F14" s="60">
        <v>1.4</v>
      </c>
      <c r="G14" s="60">
        <v>1.38</v>
      </c>
      <c r="H14" s="60">
        <v>1.36</v>
      </c>
      <c r="I14" s="60">
        <v>1.34</v>
      </c>
      <c r="J14" s="60">
        <v>1.32</v>
      </c>
      <c r="K14" s="60">
        <v>1.3</v>
      </c>
      <c r="L14" s="60">
        <v>1.28</v>
      </c>
      <c r="M14" s="60">
        <v>1.26</v>
      </c>
    </row>
    <row r="15" spans="1:14" x14ac:dyDescent="0.2">
      <c r="A15" s="60" t="s">
        <v>263</v>
      </c>
      <c r="B15" s="60" t="s">
        <v>260</v>
      </c>
      <c r="C15" s="69">
        <f>IF(ISNUMBER(INDEX('2016'!$I$5:$I$72,MATCH(B15,'2016'!$A$5:$A$72,0))),INDEX('2016'!$I$5:$I$72,MATCH(B15,'2016'!$A$5:$A$72,0)),"N/A")</f>
        <v>1.728</v>
      </c>
      <c r="D15" s="69">
        <v>0</v>
      </c>
      <c r="E15" s="69" t="str">
        <f>IF(IFERROR(INDEX('2017'!$G$5:$G$72,MATCH(D15,'2017'!$A$5:$A$72,0)),0)=0,"N/A",INDEX('2017'!$G$5:$G$72,MATCH(D15,'2017'!$A$5:$A$72,0)))</f>
        <v>N/A</v>
      </c>
      <c r="F15" s="69" t="str">
        <f>IF(IFERROR(INDEX('2017'!$G$5:$G$72,MATCH(E15,'2017'!$A$5:$A$72,0)),0)=0,"N/A",INDEX('2017'!$G$5:$G$72,MATCH(E15,'2017'!$A$5:$A$72,0)))</f>
        <v>N/A</v>
      </c>
      <c r="G15" s="69" t="str">
        <f>IF(IFERROR(INDEX('2017'!$G$5:$G$72,MATCH(F15,'2017'!$A$5:$A$72,0)),0)=0,"N/A",INDEX('2017'!$G$5:$G$72,MATCH(F15,'2017'!$A$5:$A$72,0)))</f>
        <v>N/A</v>
      </c>
      <c r="H15" s="69" t="str">
        <f>IF(IFERROR(INDEX('2017'!$G$5:$G$72,MATCH(G15,'2017'!$A$5:$A$72,0)),0)=0,"N/A",INDEX('2017'!$G$5:$G$72,MATCH(G15,'2017'!$A$5:$A$72,0)))</f>
        <v>N/A</v>
      </c>
      <c r="I15" s="69" t="str">
        <f>IF(IFERROR(INDEX('2017'!$G$5:$G$72,MATCH(H15,'2017'!$A$5:$A$72,0)),0)=0,"N/A",INDEX('2017'!$G$5:$G$72,MATCH(H15,'2017'!$A$5:$A$72,0)))</f>
        <v>N/A</v>
      </c>
      <c r="J15" s="69" t="str">
        <f>IF(IFERROR(INDEX('2017'!$G$5:$G$72,MATCH(I15,'2017'!$A$5:$A$72,0)),0)=0,"N/A",INDEX('2017'!$G$5:$G$72,MATCH(I15,'2017'!$A$5:$A$72,0)))</f>
        <v>N/A</v>
      </c>
      <c r="K15" s="69" t="str">
        <f>IF(IFERROR(INDEX('2017'!$G$5:$G$72,MATCH(J15,'2017'!$A$5:$A$72,0)),0)=0,"N/A",INDEX('2017'!$G$5:$G$72,MATCH(J15,'2017'!$A$5:$A$72,0)))</f>
        <v>N/A</v>
      </c>
      <c r="L15" s="69" t="str">
        <f>IF(IFERROR(INDEX('2017'!$G$5:$G$72,MATCH(K15,'2017'!$A$5:$A$72,0)),0)=0,"N/A",INDEX('2017'!$G$5:$G$72,MATCH(K15,'2017'!$A$5:$A$72,0)))</f>
        <v>N/A</v>
      </c>
      <c r="M15" s="69" t="str">
        <f>IF(IFERROR(INDEX('2017'!$G$5:$G$72,MATCH(L15,'2017'!$A$5:$A$72,0)),0)=0,"N/A",INDEX('2017'!$G$5:$G$72,MATCH(L15,'2017'!$A$5:$A$72,0)))</f>
        <v>N/A</v>
      </c>
    </row>
    <row r="16" spans="1:14" x14ac:dyDescent="0.2">
      <c r="A16" s="60" t="s">
        <v>123</v>
      </c>
      <c r="B16" s="60" t="s">
        <v>4</v>
      </c>
      <c r="C16" s="69">
        <f>IF(ISNUMBER(INDEX('2016'!$I$5:$I$72,MATCH(B16,'2016'!$A$5:$A$72,0))),INDEX('2016'!$I$5:$I$72,MATCH(B16,'2016'!$A$5:$A$72,0)),"N/A")</f>
        <v>1.37</v>
      </c>
      <c r="D16" s="60">
        <v>1.32</v>
      </c>
      <c r="E16" s="60">
        <v>1.27</v>
      </c>
      <c r="F16" s="60">
        <v>1.22</v>
      </c>
      <c r="G16" s="60">
        <v>1.1599999999999999</v>
      </c>
      <c r="H16" s="60">
        <v>1.1000000000000001</v>
      </c>
      <c r="I16" s="60">
        <v>1</v>
      </c>
      <c r="J16" s="60">
        <v>0.81</v>
      </c>
      <c r="K16" s="60">
        <v>0.69</v>
      </c>
      <c r="L16" s="60">
        <v>0.59499999999999997</v>
      </c>
      <c r="M16" s="60">
        <v>0.56999999999999995</v>
      </c>
    </row>
    <row r="17" spans="1:13" x14ac:dyDescent="0.2">
      <c r="A17" s="60" t="s">
        <v>124</v>
      </c>
      <c r="B17" s="60" t="s">
        <v>5</v>
      </c>
      <c r="C17" s="69">
        <f>IF(ISNUMBER(INDEX('2016'!$I$5:$I$72,MATCH(B17,'2016'!$A$5:$A$72,0))),INDEX('2016'!$I$5:$I$72,MATCH(B17,'2016'!$A$5:$A$72,0)),"N/A")</f>
        <v>1.68</v>
      </c>
      <c r="D17" s="60">
        <v>1.62</v>
      </c>
      <c r="E17" s="60">
        <v>1.56</v>
      </c>
      <c r="F17" s="60">
        <v>1.52</v>
      </c>
      <c r="G17" s="60">
        <v>1.48</v>
      </c>
      <c r="H17" s="60">
        <v>1.46</v>
      </c>
      <c r="I17" s="60">
        <v>1.44</v>
      </c>
      <c r="J17" s="60">
        <v>1.42</v>
      </c>
      <c r="K17" s="60">
        <v>1.4</v>
      </c>
      <c r="L17" s="60">
        <v>1.37</v>
      </c>
      <c r="M17" s="60">
        <v>1.32</v>
      </c>
    </row>
    <row r="18" spans="1:13" x14ac:dyDescent="0.2">
      <c r="A18" s="60" t="s">
        <v>176</v>
      </c>
      <c r="B18" s="60" t="s">
        <v>177</v>
      </c>
      <c r="C18" s="69">
        <f>IF(ISNUMBER(INDEX('2016'!$I$5:$I$72,MATCH(B18,'2016'!$A$5:$A$72,0))),INDEX('2016'!$I$5:$I$72,MATCH(B18,'2016'!$A$5:$A$72,0)),"N/A")</f>
        <v>0.69</v>
      </c>
      <c r="D18" s="60">
        <v>0.67</v>
      </c>
      <c r="E18" s="60">
        <v>0.65</v>
      </c>
      <c r="F18" s="60">
        <v>0.64</v>
      </c>
      <c r="G18" s="60">
        <v>0.63</v>
      </c>
      <c r="H18" s="60">
        <v>0.61499999999999999</v>
      </c>
      <c r="I18" s="60">
        <v>0.59499999999999997</v>
      </c>
      <c r="J18" s="60">
        <v>0.59</v>
      </c>
      <c r="K18" s="60">
        <v>0.58499999999999996</v>
      </c>
      <c r="L18" s="60">
        <v>0.57999999999999996</v>
      </c>
      <c r="M18" s="60">
        <v>0.57499999999999996</v>
      </c>
    </row>
    <row r="19" spans="1:13" x14ac:dyDescent="0.2">
      <c r="A19" s="60" t="s">
        <v>125</v>
      </c>
      <c r="B19" s="60" t="s">
        <v>6</v>
      </c>
      <c r="C19" s="69">
        <f>IF(ISNUMBER(INDEX('2016'!$I$5:$I$72,MATCH(B19,'2016'!$A$5:$A$72,0))),INDEX('2016'!$I$5:$I$72,MATCH(B19,'2016'!$A$5:$A$72,0)),"N/A")</f>
        <v>1.03</v>
      </c>
      <c r="D19" s="60">
        <v>0.99</v>
      </c>
      <c r="E19" s="60">
        <v>0.95</v>
      </c>
      <c r="F19" s="60">
        <v>0.83</v>
      </c>
      <c r="G19" s="60">
        <v>0.81</v>
      </c>
      <c r="H19" s="60">
        <v>0.79</v>
      </c>
      <c r="I19" s="60">
        <v>0.78</v>
      </c>
      <c r="J19" s="60">
        <v>0.76</v>
      </c>
      <c r="K19" s="60">
        <v>0.73</v>
      </c>
      <c r="L19" s="60">
        <v>0.68</v>
      </c>
      <c r="M19" s="60">
        <v>0.6</v>
      </c>
    </row>
    <row r="20" spans="1:13" x14ac:dyDescent="0.2">
      <c r="A20" s="60" t="s">
        <v>215</v>
      </c>
      <c r="B20" s="60" t="s">
        <v>178</v>
      </c>
      <c r="C20" s="69">
        <f>IF(ISNUMBER(INDEX('2016'!$I$5:$I$72,MATCH(B20,'2016'!$A$5:$A$72,0))),INDEX('2016'!$I$5:$I$72,MATCH(B20,'2016'!$A$5:$A$72,0)),"N/A")</f>
        <v>1.19</v>
      </c>
      <c r="D20" s="60">
        <v>1.1200000000000001</v>
      </c>
      <c r="E20" s="60">
        <v>1.0669999999999999</v>
      </c>
      <c r="F20" s="60">
        <v>1.0129999999999999</v>
      </c>
      <c r="G20" s="60">
        <v>0.96</v>
      </c>
      <c r="H20" s="60">
        <v>0.91</v>
      </c>
      <c r="I20" s="60">
        <v>0.87</v>
      </c>
      <c r="J20" s="60">
        <v>0.83299999999999996</v>
      </c>
      <c r="K20" s="60">
        <v>0.80700000000000005</v>
      </c>
      <c r="L20" s="60">
        <v>0.78300000000000003</v>
      </c>
      <c r="M20" s="60">
        <v>0.77</v>
      </c>
    </row>
    <row r="21" spans="1:13" x14ac:dyDescent="0.2">
      <c r="A21" s="60" t="s">
        <v>126</v>
      </c>
      <c r="B21" s="60" t="s">
        <v>9</v>
      </c>
      <c r="C21" s="69">
        <f>IF(ISNUMBER(INDEX('2016'!$I$5:$I$72,MATCH(B21,'2016'!$A$5:$A$72,0))),INDEX('2016'!$I$5:$I$72,MATCH(B21,'2016'!$A$5:$A$72,0)),"N/A")</f>
        <v>1.24</v>
      </c>
      <c r="D21" s="60">
        <v>1.1599999999999999</v>
      </c>
      <c r="E21" s="60">
        <v>1.08</v>
      </c>
      <c r="F21" s="60">
        <v>1.02</v>
      </c>
      <c r="G21" s="60">
        <v>0.96</v>
      </c>
      <c r="H21" s="60">
        <v>0.84</v>
      </c>
      <c r="I21" s="60">
        <v>0.66</v>
      </c>
      <c r="J21" s="60">
        <v>0.5</v>
      </c>
      <c r="K21" s="60">
        <v>0.36</v>
      </c>
      <c r="L21" s="60">
        <v>0.2</v>
      </c>
      <c r="M21" s="60">
        <v>0</v>
      </c>
    </row>
    <row r="22" spans="1:13" x14ac:dyDescent="0.2">
      <c r="A22" s="60" t="s">
        <v>179</v>
      </c>
      <c r="B22" s="60" t="s">
        <v>180</v>
      </c>
      <c r="C22" s="69">
        <f>IF(ISNUMBER(INDEX('2016'!$I$5:$I$72,MATCH(B22,'2016'!$A$5:$A$72,0))),INDEX('2016'!$I$5:$I$72,MATCH(B22,'2016'!$A$5:$A$72,0)),"N/A")</f>
        <v>1.1200000000000001</v>
      </c>
      <c r="D22" s="60">
        <v>1.05</v>
      </c>
      <c r="E22" s="60">
        <v>1.01</v>
      </c>
      <c r="F22" s="60">
        <v>0.98</v>
      </c>
      <c r="G22" s="60">
        <v>0.96</v>
      </c>
      <c r="H22" s="60">
        <v>0.94</v>
      </c>
      <c r="I22" s="60">
        <v>0.92</v>
      </c>
      <c r="J22" s="60">
        <v>0.9</v>
      </c>
      <c r="K22" s="60">
        <v>0.88</v>
      </c>
      <c r="L22" s="60">
        <v>0.87</v>
      </c>
      <c r="M22" s="60">
        <v>0.85499999999999998</v>
      </c>
    </row>
    <row r="23" spans="1:13" x14ac:dyDescent="0.2">
      <c r="A23" s="60" t="s">
        <v>127</v>
      </c>
      <c r="B23" s="60" t="s">
        <v>10</v>
      </c>
      <c r="C23" s="69">
        <f>IF(ISNUMBER(INDEX('2016'!$I$5:$I$72,MATCH(B23,'2016'!$A$5:$A$72,0))),INDEX('2016'!$I$5:$I$72,MATCH(B23,'2016'!$A$5:$A$72,0)),"N/A")</f>
        <v>2.68</v>
      </c>
      <c r="D23" s="60">
        <v>2.6</v>
      </c>
      <c r="E23" s="60">
        <v>2.52</v>
      </c>
      <c r="F23" s="60">
        <v>2.46</v>
      </c>
      <c r="G23" s="60">
        <v>2.42</v>
      </c>
      <c r="H23" s="60">
        <v>2.4</v>
      </c>
      <c r="I23" s="60">
        <v>2.38</v>
      </c>
      <c r="J23" s="60">
        <v>2.36</v>
      </c>
      <c r="K23" s="60">
        <v>2.34</v>
      </c>
      <c r="L23" s="60">
        <v>2.3199999999999998</v>
      </c>
      <c r="M23" s="60">
        <v>2.2999999999999998</v>
      </c>
    </row>
    <row r="24" spans="1:13" x14ac:dyDescent="0.2">
      <c r="A24" s="60" t="s">
        <v>181</v>
      </c>
      <c r="B24" s="60" t="s">
        <v>182</v>
      </c>
      <c r="C24" s="69">
        <f>IF(ISNUMBER(INDEX('2016'!$I$5:$I$72,MATCH(B24,'2016'!$A$5:$A$72,0))),INDEX('2016'!$I$5:$I$72,MATCH(B24,'2016'!$A$5:$A$72,0)),"N/A")</f>
        <v>0.3</v>
      </c>
      <c r="D24" s="60">
        <v>0.3</v>
      </c>
      <c r="E24" s="60">
        <v>0.3</v>
      </c>
      <c r="F24" s="60">
        <v>0.3</v>
      </c>
      <c r="G24" s="60">
        <v>0.3</v>
      </c>
      <c r="H24" s="60">
        <v>0.3</v>
      </c>
      <c r="I24" s="60">
        <v>0.3</v>
      </c>
      <c r="J24" s="60">
        <v>0.28000000000000003</v>
      </c>
      <c r="K24" s="60">
        <v>0.32500000000000001</v>
      </c>
      <c r="L24" s="60">
        <v>0.19500000000000001</v>
      </c>
      <c r="M24" s="60">
        <v>0.24</v>
      </c>
    </row>
    <row r="25" spans="1:13" x14ac:dyDescent="0.2">
      <c r="A25" s="60" t="s">
        <v>183</v>
      </c>
      <c r="B25" s="60" t="s">
        <v>184</v>
      </c>
      <c r="C25" s="69">
        <f>IF(ISNUMBER(INDEX('2016'!$I$5:$I$72,MATCH(B25,'2016'!$A$5:$A$72,0))),INDEX('2016'!$I$5:$I$72,MATCH(B25,'2016'!$A$5:$A$72,0)),"N/A")</f>
        <v>0.82</v>
      </c>
      <c r="D25" s="60">
        <v>0.8</v>
      </c>
      <c r="E25" s="60">
        <v>0.76</v>
      </c>
      <c r="F25" s="60">
        <v>0.72</v>
      </c>
      <c r="G25" s="60">
        <v>0.7</v>
      </c>
      <c r="H25" s="60">
        <v>0.68</v>
      </c>
      <c r="I25" s="60">
        <v>0.65</v>
      </c>
      <c r="J25" s="60">
        <v>0.64</v>
      </c>
      <c r="K25" s="60">
        <v>0.62</v>
      </c>
      <c r="L25" s="60">
        <v>0.61</v>
      </c>
      <c r="M25" s="60">
        <v>0.6</v>
      </c>
    </row>
    <row r="26" spans="1:13" x14ac:dyDescent="0.2">
      <c r="A26" s="60" t="s">
        <v>128</v>
      </c>
      <c r="B26" s="60" t="s">
        <v>11</v>
      </c>
      <c r="C26" s="69">
        <f>IF(ISNUMBER(INDEX('2016'!$I$5:$I$72,MATCH(B26,'2016'!$A$5:$A$72,0))),INDEX('2016'!$I$5:$I$72,MATCH(B26,'2016'!$A$5:$A$72,0)),"N/A")</f>
        <v>2.8</v>
      </c>
      <c r="D26" s="60">
        <v>2.59</v>
      </c>
      <c r="E26" s="60">
        <v>2.4</v>
      </c>
      <c r="F26" s="60">
        <v>2.25</v>
      </c>
      <c r="G26" s="60">
        <v>2.11</v>
      </c>
      <c r="H26" s="60">
        <v>1.97</v>
      </c>
      <c r="I26" s="60">
        <v>1.83</v>
      </c>
      <c r="J26" s="60">
        <v>1.75</v>
      </c>
      <c r="K26" s="60">
        <v>1.58</v>
      </c>
      <c r="L26" s="60">
        <v>1.46</v>
      </c>
      <c r="M26" s="60">
        <v>1.38</v>
      </c>
    </row>
    <row r="27" spans="1:13" x14ac:dyDescent="0.2">
      <c r="A27" s="60" t="s">
        <v>129</v>
      </c>
      <c r="B27" s="60" t="s">
        <v>12</v>
      </c>
      <c r="C27" s="69">
        <f>IF(ISNUMBER(INDEX('2016'!$I$5:$I$72,MATCH(B27,'2016'!$A$5:$A$72,0))),INDEX('2016'!$I$5:$I$72,MATCH(B27,'2016'!$A$5:$A$72,0)),"N/A")</f>
        <v>3.06</v>
      </c>
      <c r="D27" s="60">
        <v>2.84</v>
      </c>
      <c r="E27" s="60">
        <v>2.69</v>
      </c>
      <c r="F27" s="60">
        <v>2.59</v>
      </c>
      <c r="G27" s="60">
        <v>2.42</v>
      </c>
      <c r="H27" s="60">
        <v>2.3199999999999998</v>
      </c>
      <c r="I27" s="60">
        <v>2.1800000000000002</v>
      </c>
      <c r="J27" s="60">
        <v>2.12</v>
      </c>
      <c r="K27" s="60">
        <v>2.12</v>
      </c>
      <c r="L27" s="60">
        <v>2.12</v>
      </c>
      <c r="M27" s="60">
        <v>2.0750000000000002</v>
      </c>
    </row>
    <row r="28" spans="1:13" x14ac:dyDescent="0.2">
      <c r="A28" s="60" t="s">
        <v>130</v>
      </c>
      <c r="B28" s="60" t="s">
        <v>13</v>
      </c>
      <c r="C28" s="69">
        <f>IF(ISNUMBER(INDEX('2016'!$I$5:$I$72,MATCH(B28,'2016'!$A$5:$A$72,0))),INDEX('2016'!$I$5:$I$72,MATCH(B28,'2016'!$A$5:$A$72,0)),"N/A")</f>
        <v>3.36</v>
      </c>
      <c r="D28" s="60">
        <v>3.24</v>
      </c>
      <c r="E28" s="60">
        <v>3.15</v>
      </c>
      <c r="F28" s="60">
        <v>3.09</v>
      </c>
      <c r="G28" s="60">
        <v>3.03</v>
      </c>
      <c r="H28" s="60">
        <v>2.97</v>
      </c>
      <c r="I28" s="60">
        <v>2.91</v>
      </c>
      <c r="J28" s="60">
        <v>2.82</v>
      </c>
      <c r="K28" s="60">
        <v>2.7</v>
      </c>
      <c r="L28" s="60">
        <v>2.58</v>
      </c>
      <c r="M28" s="60">
        <v>0</v>
      </c>
    </row>
    <row r="29" spans="1:13" x14ac:dyDescent="0.2">
      <c r="A29" s="60" t="s">
        <v>131</v>
      </c>
      <c r="B29" s="60" t="s">
        <v>14</v>
      </c>
      <c r="C29" s="69">
        <f>IF(ISNUMBER(INDEX('2016'!$I$5:$I$72,MATCH(B29,'2016'!$A$5:$A$72,0))),INDEX('2016'!$I$5:$I$72,MATCH(B29,'2016'!$A$5:$A$72,0)),"N/A")</f>
        <v>1.9830000000000001</v>
      </c>
      <c r="D29" s="60">
        <v>1.7330000000000001</v>
      </c>
      <c r="E29" s="60">
        <v>1.4830000000000001</v>
      </c>
      <c r="F29" s="60">
        <v>1.3680000000000001</v>
      </c>
      <c r="G29" s="60">
        <v>1.3129999999999999</v>
      </c>
      <c r="H29" s="60">
        <v>1.2849999999999999</v>
      </c>
      <c r="I29" s="60">
        <v>1.2649999999999999</v>
      </c>
      <c r="J29" s="60">
        <v>1.2450000000000001</v>
      </c>
      <c r="K29" s="60">
        <v>1.2250000000000001</v>
      </c>
      <c r="L29" s="60">
        <v>1.175</v>
      </c>
      <c r="M29" s="60">
        <v>1.1000000000000001</v>
      </c>
    </row>
    <row r="30" spans="1:13" x14ac:dyDescent="0.2">
      <c r="A30" s="60" t="s">
        <v>132</v>
      </c>
      <c r="B30" s="60" t="s">
        <v>15</v>
      </c>
      <c r="C30" s="69">
        <f>IF(ISNUMBER(INDEX('2016'!$I$5:$I$72,MATCH(B30,'2016'!$A$5:$A$72,0))),INDEX('2016'!$I$5:$I$72,MATCH(B30,'2016'!$A$5:$A$72,0)),"N/A")</f>
        <v>1.2250000000000001</v>
      </c>
      <c r="D30" s="60">
        <v>1.165</v>
      </c>
      <c r="E30" s="60">
        <v>1.105</v>
      </c>
      <c r="F30" s="60">
        <v>1.0449999999999999</v>
      </c>
      <c r="G30" s="60">
        <v>0.97</v>
      </c>
      <c r="H30" s="60">
        <v>0.66</v>
      </c>
      <c r="I30" s="60">
        <v>0</v>
      </c>
      <c r="J30" s="60">
        <v>0</v>
      </c>
      <c r="K30" s="60">
        <v>0</v>
      </c>
      <c r="L30" s="60">
        <v>0</v>
      </c>
      <c r="M30" s="60">
        <v>0</v>
      </c>
    </row>
    <row r="31" spans="1:13" x14ac:dyDescent="0.2">
      <c r="A31" s="60" t="s">
        <v>134</v>
      </c>
      <c r="B31" s="60" t="s">
        <v>17</v>
      </c>
      <c r="C31" s="69">
        <f>IF(ISNUMBER(INDEX('2016'!$I$5:$I$72,MATCH(B31,'2016'!$A$5:$A$72,0))),INDEX('2016'!$I$5:$I$72,MATCH(B31,'2016'!$A$5:$A$72,0)),"N/A")</f>
        <v>3.42</v>
      </c>
      <c r="D31" s="60">
        <v>3.34</v>
      </c>
      <c r="E31" s="60">
        <v>3.32</v>
      </c>
      <c r="F31" s="60">
        <v>3.32</v>
      </c>
      <c r="G31" s="60">
        <v>3.32</v>
      </c>
      <c r="H31" s="60">
        <v>3.32</v>
      </c>
      <c r="I31" s="60">
        <v>3.24</v>
      </c>
      <c r="J31" s="60">
        <v>3</v>
      </c>
      <c r="K31" s="60">
        <v>3</v>
      </c>
      <c r="L31" s="60">
        <v>2.58</v>
      </c>
      <c r="M31" s="60">
        <v>2.16</v>
      </c>
    </row>
    <row r="32" spans="1:13" x14ac:dyDescent="0.2">
      <c r="A32" s="60" t="s">
        <v>210</v>
      </c>
      <c r="B32" s="60" t="s">
        <v>211</v>
      </c>
      <c r="C32" s="69">
        <f>IF(ISNUMBER(INDEX('2016'!$I$5:$I$72,MATCH(B32,'2016'!$A$5:$A$72,0))),INDEX('2016'!$I$5:$I$72,MATCH(B32,'2016'!$A$5:$A$72,0)),"N/A")</f>
        <v>1.78</v>
      </c>
      <c r="D32" s="60">
        <v>1.67</v>
      </c>
      <c r="E32" s="60">
        <v>1.57</v>
      </c>
      <c r="F32" s="60">
        <v>1.47</v>
      </c>
      <c r="G32" s="60">
        <v>1.32</v>
      </c>
      <c r="H32" s="60">
        <v>1.1000000000000001</v>
      </c>
      <c r="I32" s="60">
        <v>1.0249999999999999</v>
      </c>
      <c r="J32" s="60">
        <v>0.95</v>
      </c>
      <c r="K32" s="60">
        <v>0.82499999999999996</v>
      </c>
      <c r="L32" s="60">
        <v>0.77500000000000002</v>
      </c>
      <c r="M32" s="60">
        <v>0.72499999999999998</v>
      </c>
    </row>
    <row r="33" spans="1:13" x14ac:dyDescent="0.2">
      <c r="A33" s="60" t="s">
        <v>135</v>
      </c>
      <c r="B33" s="60" t="s">
        <v>18</v>
      </c>
      <c r="C33" s="69">
        <f>IF(ISNUMBER(INDEX('2016'!$I$5:$I$72,MATCH(B33,'2016'!$A$5:$A$72,0))),INDEX('2016'!$I$5:$I$72,MATCH(B33,'2016'!$A$5:$A$72,0)),"N/A")</f>
        <v>1.26</v>
      </c>
      <c r="D33" s="60">
        <v>1.24</v>
      </c>
      <c r="E33" s="60">
        <v>1.24</v>
      </c>
      <c r="F33" s="60">
        <v>1.4550000000000001</v>
      </c>
      <c r="G33" s="60">
        <v>2.1</v>
      </c>
      <c r="H33" s="60">
        <v>2.1</v>
      </c>
      <c r="I33" s="60">
        <v>2.1</v>
      </c>
      <c r="J33" s="60">
        <v>2.1</v>
      </c>
      <c r="K33" s="60">
        <v>2.0499999999999998</v>
      </c>
      <c r="L33" s="60">
        <v>1.82</v>
      </c>
      <c r="M33" s="60">
        <v>1.64</v>
      </c>
    </row>
    <row r="34" spans="1:13" x14ac:dyDescent="0.2">
      <c r="A34" s="60" t="s">
        <v>136</v>
      </c>
      <c r="B34" s="60" t="s">
        <v>19</v>
      </c>
      <c r="C34" s="69">
        <f>IF(ISNUMBER(INDEX('2016'!$I$5:$I$72,MATCH(B34,'2016'!$A$5:$A$72,0))),INDEX('2016'!$I$5:$I$72,MATCH(B34,'2016'!$A$5:$A$72,0)),"N/A")</f>
        <v>1.44</v>
      </c>
      <c r="D34" s="60">
        <v>1.44</v>
      </c>
      <c r="E34" s="60">
        <v>1.44</v>
      </c>
      <c r="F34" s="60">
        <v>1.65</v>
      </c>
      <c r="G34" s="60">
        <v>2.2000000000000002</v>
      </c>
      <c r="H34" s="60">
        <v>2.2000000000000002</v>
      </c>
      <c r="I34" s="60">
        <v>2.2000000000000002</v>
      </c>
      <c r="J34" s="60">
        <v>2.2000000000000002</v>
      </c>
      <c r="K34" s="60">
        <v>2.2000000000000002</v>
      </c>
      <c r="L34" s="60">
        <v>2.0499999999999998</v>
      </c>
      <c r="M34" s="60">
        <v>1.85</v>
      </c>
    </row>
    <row r="35" spans="1:13" x14ac:dyDescent="0.2">
      <c r="A35" s="60" t="s">
        <v>265</v>
      </c>
      <c r="B35" s="60" t="s">
        <v>266</v>
      </c>
      <c r="C35" s="69">
        <f>IF(ISNUMBER(INDEX('2016'!$I$5:$I$72,MATCH(B35,'2016'!$A$5:$A$72,0))),INDEX('2016'!$I$5:$I$72,MATCH(B35,'2016'!$A$5:$A$72,0)),"N/A")</f>
        <v>1.55</v>
      </c>
      <c r="D35" s="60">
        <v>1.43</v>
      </c>
      <c r="E35" s="60">
        <v>1.3</v>
      </c>
      <c r="F35" s="60">
        <v>1.25</v>
      </c>
      <c r="G35" s="60">
        <v>1.21</v>
      </c>
      <c r="H35" s="60">
        <v>1.17</v>
      </c>
      <c r="I35" s="60">
        <v>1.1200000000000001</v>
      </c>
      <c r="J35" s="60">
        <v>1.04</v>
      </c>
      <c r="K35" s="60">
        <v>1</v>
      </c>
      <c r="L35" s="60">
        <v>0.82</v>
      </c>
      <c r="M35" s="60">
        <v>0.67</v>
      </c>
    </row>
    <row r="36" spans="1:13" x14ac:dyDescent="0.2">
      <c r="A36" s="60" t="s">
        <v>185</v>
      </c>
      <c r="B36" s="60" t="s">
        <v>186</v>
      </c>
      <c r="C36" s="69">
        <f>IF(ISNUMBER(INDEX('2016'!$I$5:$I$72,MATCH(B36,'2016'!$A$5:$A$72,0))),INDEX('2016'!$I$5:$I$72,MATCH(B36,'2016'!$A$5:$A$72,0)),"N/A")</f>
        <v>0.3</v>
      </c>
      <c r="D36" s="60">
        <v>0.54</v>
      </c>
      <c r="E36" s="60">
        <v>0.54</v>
      </c>
      <c r="F36" s="60">
        <v>0.54</v>
      </c>
      <c r="G36" s="60">
        <v>0.54</v>
      </c>
      <c r="H36" s="60">
        <v>0.54</v>
      </c>
      <c r="I36" s="60">
        <v>0.54</v>
      </c>
      <c r="J36" s="60">
        <v>0.52500000000000002</v>
      </c>
      <c r="K36" s="60">
        <v>0.215</v>
      </c>
      <c r="L36" s="60">
        <v>0.34</v>
      </c>
      <c r="M36" s="60">
        <v>0.113</v>
      </c>
    </row>
    <row r="37" spans="1:13" x14ac:dyDescent="0.2">
      <c r="A37" s="60" t="s">
        <v>137</v>
      </c>
      <c r="B37" s="60" t="s">
        <v>20</v>
      </c>
      <c r="C37" s="69">
        <f>IF(ISNUMBER(INDEX('2016'!$I$5:$I$72,MATCH(B37,'2016'!$A$5:$A$72,0))),INDEX('2016'!$I$5:$I$72,MATCH(B37,'2016'!$A$5:$A$72,0)),"N/A")</f>
        <v>1.0549999999999999</v>
      </c>
      <c r="D37" s="60">
        <v>0.998</v>
      </c>
      <c r="E37" s="60">
        <v>0.93500000000000005</v>
      </c>
      <c r="F37" s="60">
        <v>0.88200000000000001</v>
      </c>
      <c r="G37" s="60">
        <v>0.85499999999999998</v>
      </c>
      <c r="H37" s="60">
        <v>0.83499999999999996</v>
      </c>
      <c r="I37" s="60">
        <v>0.83</v>
      </c>
      <c r="J37" s="60">
        <v>0.83</v>
      </c>
      <c r="K37" s="60">
        <v>1.66</v>
      </c>
      <c r="L37" s="60">
        <v>1.66</v>
      </c>
      <c r="M37" s="60">
        <v>1.66</v>
      </c>
    </row>
    <row r="38" spans="1:13" x14ac:dyDescent="0.2">
      <c r="A38" s="60" t="s">
        <v>138</v>
      </c>
      <c r="B38" s="60" t="s">
        <v>21</v>
      </c>
      <c r="C38" s="69">
        <f>IF(ISNUMBER(INDEX('2016'!$I$5:$I$72,MATCH(B38,'2016'!$A$5:$A$72,0))),INDEX('2016'!$I$5:$I$72,MATCH(B38,'2016'!$A$5:$A$72,0)),"N/A")</f>
        <v>1.24</v>
      </c>
      <c r="D38" s="60">
        <v>1.24</v>
      </c>
      <c r="E38" s="60">
        <v>1.24</v>
      </c>
      <c r="F38" s="60">
        <v>1.24</v>
      </c>
      <c r="G38" s="60">
        <v>1.24</v>
      </c>
      <c r="H38" s="60">
        <v>1.24</v>
      </c>
      <c r="I38" s="60">
        <v>1.24</v>
      </c>
      <c r="J38" s="60">
        <v>1.24</v>
      </c>
      <c r="K38" s="60">
        <v>1.24</v>
      </c>
      <c r="L38" s="60">
        <v>1.24</v>
      </c>
      <c r="M38" s="60">
        <v>1.24</v>
      </c>
    </row>
    <row r="39" spans="1:13" x14ac:dyDescent="0.2">
      <c r="A39" s="60" t="s">
        <v>216</v>
      </c>
      <c r="B39" s="60" t="s">
        <v>22</v>
      </c>
      <c r="C39" s="69">
        <f>IF(ISNUMBER(INDEX('2016'!$I$5:$I$72,MATCH(B39,'2016'!$A$5:$A$72,0))),INDEX('2016'!$I$5:$I$72,MATCH(B39,'2016'!$A$5:$A$72,0)),"N/A")</f>
        <v>2.08</v>
      </c>
      <c r="D39" s="60">
        <v>1.92</v>
      </c>
      <c r="E39" s="60">
        <v>1.76</v>
      </c>
      <c r="F39" s="60">
        <v>1.57</v>
      </c>
      <c r="G39" s="60">
        <v>1.37</v>
      </c>
      <c r="H39" s="60">
        <v>1.2</v>
      </c>
      <c r="I39" s="60">
        <v>1.2</v>
      </c>
      <c r="J39" s="60">
        <v>1.2</v>
      </c>
      <c r="K39" s="60">
        <v>1.2</v>
      </c>
      <c r="L39" s="60">
        <v>1.2</v>
      </c>
      <c r="M39" s="60">
        <v>1.2</v>
      </c>
    </row>
    <row r="40" spans="1:13" x14ac:dyDescent="0.2">
      <c r="A40" s="60" t="s">
        <v>139</v>
      </c>
      <c r="B40" s="60" t="s">
        <v>25</v>
      </c>
      <c r="C40" s="69">
        <f>IF(ISNUMBER(INDEX('2016'!$I$5:$I$72,MATCH(B40,'2016'!$A$5:$A$72,0))),INDEX('2016'!$I$5:$I$72,MATCH(B40,'2016'!$A$5:$A$72,0)),"N/A")</f>
        <v>1.21</v>
      </c>
      <c r="D40" s="60">
        <v>1.1599999999999999</v>
      </c>
      <c r="E40" s="60">
        <v>1.1100000000000001</v>
      </c>
      <c r="F40" s="60">
        <v>1.07</v>
      </c>
      <c r="G40" s="60">
        <v>1.04</v>
      </c>
      <c r="H40" s="60">
        <v>1.0109999999999999</v>
      </c>
      <c r="I40" s="60">
        <v>0.99299999999999999</v>
      </c>
      <c r="J40" s="60">
        <v>0.97299999999999998</v>
      </c>
      <c r="K40" s="60">
        <v>0.95599999999999996</v>
      </c>
      <c r="L40" s="60">
        <v>0.94</v>
      </c>
      <c r="M40" s="60">
        <v>0.92700000000000005</v>
      </c>
    </row>
    <row r="41" spans="1:13" x14ac:dyDescent="0.2">
      <c r="A41" s="60" t="s">
        <v>187</v>
      </c>
      <c r="B41" s="60" t="s">
        <v>188</v>
      </c>
      <c r="C41" s="69">
        <f>IF(ISNUMBER(INDEX('2016'!$I$5:$I$72,MATCH(B41,'2016'!$A$5:$A$72,0))),INDEX('2016'!$I$5:$I$72,MATCH(B41,'2016'!$A$5:$A$72,0)),"N/A")</f>
        <v>0.80800000000000005</v>
      </c>
      <c r="D41" s="60">
        <v>0.77600000000000002</v>
      </c>
      <c r="E41" s="60">
        <v>0.76300000000000001</v>
      </c>
      <c r="F41" s="60">
        <v>0.753</v>
      </c>
      <c r="G41" s="60">
        <v>0.74299999999999999</v>
      </c>
      <c r="H41" s="60">
        <v>0.73299999999999998</v>
      </c>
      <c r="I41" s="60">
        <v>0.72299999999999998</v>
      </c>
      <c r="J41" s="60">
        <v>0.71299999999999997</v>
      </c>
      <c r="K41" s="60">
        <v>0.70299999999999996</v>
      </c>
      <c r="L41" s="60">
        <v>0.69299999999999995</v>
      </c>
      <c r="M41" s="60">
        <v>0.68300000000000005</v>
      </c>
    </row>
    <row r="42" spans="1:13" x14ac:dyDescent="0.2">
      <c r="A42" s="60" t="s">
        <v>189</v>
      </c>
      <c r="B42" s="60" t="s">
        <v>190</v>
      </c>
      <c r="C42" s="69">
        <f>IF(ISNUMBER(INDEX('2016'!$I$5:$I$72,MATCH(B42,'2016'!$A$5:$A$72,0))),INDEX('2016'!$I$5:$I$72,MATCH(B42,'2016'!$A$5:$A$72,0)),"N/A")</f>
        <v>0.98</v>
      </c>
      <c r="D42" s="60">
        <v>0.93</v>
      </c>
      <c r="E42" s="60">
        <v>0.85499999999999998</v>
      </c>
      <c r="F42" s="60">
        <v>0.81</v>
      </c>
      <c r="G42" s="60">
        <v>0.77</v>
      </c>
      <c r="H42" s="60">
        <v>0.72</v>
      </c>
      <c r="I42" s="60">
        <v>0.68</v>
      </c>
      <c r="J42" s="60">
        <v>0.62</v>
      </c>
      <c r="K42" s="60">
        <v>0.55500000000000005</v>
      </c>
      <c r="L42" s="60">
        <v>0.50700000000000001</v>
      </c>
      <c r="M42" s="60">
        <v>0.48</v>
      </c>
    </row>
    <row r="43" spans="1:13" x14ac:dyDescent="0.2">
      <c r="A43" s="60" t="s">
        <v>140</v>
      </c>
      <c r="B43" s="60" t="s">
        <v>141</v>
      </c>
      <c r="C43" s="69">
        <f>IF(ISNUMBER(INDEX('2016'!$I$5:$I$72,MATCH(B43,'2016'!$A$5:$A$72,0))),INDEX('2016'!$I$5:$I$72,MATCH(B43,'2016'!$A$5:$A$72,0)),"N/A")</f>
        <v>3.48</v>
      </c>
      <c r="D43" s="60">
        <v>3.08</v>
      </c>
      <c r="E43" s="60">
        <v>2.9</v>
      </c>
      <c r="F43" s="60">
        <v>2.64</v>
      </c>
      <c r="G43" s="60">
        <v>2.4</v>
      </c>
      <c r="H43" s="60">
        <v>2.2000000000000002</v>
      </c>
      <c r="I43" s="60">
        <v>2</v>
      </c>
      <c r="J43" s="60">
        <v>1.89</v>
      </c>
      <c r="K43" s="60">
        <v>1.78</v>
      </c>
      <c r="L43" s="60">
        <v>1.64</v>
      </c>
      <c r="M43" s="60">
        <v>1.5</v>
      </c>
    </row>
    <row r="44" spans="1:13" x14ac:dyDescent="0.2">
      <c r="A44" s="60" t="s">
        <v>142</v>
      </c>
      <c r="B44" s="60" t="s">
        <v>26</v>
      </c>
      <c r="C44" s="69">
        <f>IF(ISNUMBER(INDEX('2016'!$I$5:$I$72,MATCH(B44,'2016'!$A$5:$A$72,0))),INDEX('2016'!$I$5:$I$72,MATCH(B44,'2016'!$A$5:$A$72,0)),"N/A")</f>
        <v>0.64</v>
      </c>
      <c r="D44" s="60">
        <v>0.83</v>
      </c>
      <c r="E44" s="60">
        <v>1.02</v>
      </c>
      <c r="F44" s="60">
        <v>0.98</v>
      </c>
      <c r="G44" s="60">
        <v>0.94</v>
      </c>
      <c r="H44" s="60">
        <v>0.92</v>
      </c>
      <c r="I44" s="60">
        <v>0.92</v>
      </c>
      <c r="J44" s="60">
        <v>0.92</v>
      </c>
      <c r="K44" s="60">
        <v>0.92</v>
      </c>
      <c r="L44" s="60">
        <v>0.92</v>
      </c>
      <c r="M44" s="60">
        <v>0.92</v>
      </c>
    </row>
    <row r="45" spans="1:13" x14ac:dyDescent="0.2">
      <c r="A45" s="60" t="s">
        <v>191</v>
      </c>
      <c r="B45" s="60" t="s">
        <v>192</v>
      </c>
      <c r="C45" s="69">
        <f>IF(ISNUMBER(INDEX('2016'!$I$5:$I$72,MATCH(B45,'2016'!$A$5:$A$72,0))),INDEX('2016'!$I$5:$I$72,MATCH(B45,'2016'!$A$5:$A$72,0)),"N/A")</f>
        <v>1.87</v>
      </c>
      <c r="D45" s="60">
        <v>1.86</v>
      </c>
      <c r="E45" s="60">
        <v>1.85</v>
      </c>
      <c r="F45" s="60">
        <v>1.83</v>
      </c>
      <c r="G45" s="60">
        <v>1.79</v>
      </c>
      <c r="H45" s="60">
        <v>1.75</v>
      </c>
      <c r="I45" s="60">
        <v>1.68</v>
      </c>
      <c r="J45" s="60">
        <v>1.6</v>
      </c>
      <c r="K45" s="60">
        <v>1.52</v>
      </c>
      <c r="L45" s="60">
        <v>1.44</v>
      </c>
      <c r="M45" s="60">
        <v>1.39</v>
      </c>
    </row>
    <row r="46" spans="1:13" x14ac:dyDescent="0.2">
      <c r="A46" s="60" t="s">
        <v>143</v>
      </c>
      <c r="B46" s="60" t="s">
        <v>144</v>
      </c>
      <c r="C46" s="69">
        <f>IF(ISNUMBER(INDEX('2016'!$I$5:$I$72,MATCH(B46,'2016'!$A$5:$A$72,0))),INDEX('2016'!$I$5:$I$72,MATCH(B46,'2016'!$A$5:$A$72,0)),"N/A")</f>
        <v>2</v>
      </c>
      <c r="D46" s="60">
        <v>1.92</v>
      </c>
      <c r="E46" s="60">
        <v>1.6</v>
      </c>
      <c r="F46" s="60">
        <v>1.52</v>
      </c>
      <c r="G46" s="60">
        <v>1.48</v>
      </c>
      <c r="H46" s="60">
        <v>1.44</v>
      </c>
      <c r="I46" s="60">
        <v>1.36</v>
      </c>
      <c r="J46" s="60">
        <v>1.34</v>
      </c>
      <c r="K46" s="60">
        <v>1.32</v>
      </c>
      <c r="L46" s="60">
        <v>1.28</v>
      </c>
      <c r="M46" s="60">
        <v>1.24</v>
      </c>
    </row>
    <row r="47" spans="1:13" x14ac:dyDescent="0.2">
      <c r="A47" s="60" t="s">
        <v>145</v>
      </c>
      <c r="B47" s="60" t="s">
        <v>27</v>
      </c>
      <c r="C47" s="69">
        <f>IF(ISNUMBER(INDEX('2016'!$I$5:$I$72,MATCH(B47,'2016'!$A$5:$A$72,0))),INDEX('2016'!$I$5:$I$72,MATCH(B47,'2016'!$A$5:$A$72,0)),"N/A")</f>
        <v>1.155</v>
      </c>
      <c r="D47" s="60">
        <v>1.05</v>
      </c>
      <c r="E47" s="60">
        <v>0.95</v>
      </c>
      <c r="F47" s="60">
        <v>0.85099999999999998</v>
      </c>
      <c r="G47" s="60">
        <v>0.79800000000000004</v>
      </c>
      <c r="H47" s="60">
        <v>0.75900000000000001</v>
      </c>
      <c r="I47" s="60">
        <v>0.73199999999999998</v>
      </c>
      <c r="J47" s="60">
        <v>0.71399999999999997</v>
      </c>
      <c r="K47" s="60">
        <v>0.69899999999999995</v>
      </c>
      <c r="L47" s="60">
        <v>0.68400000000000005</v>
      </c>
      <c r="M47" s="60">
        <v>0.66900000000000004</v>
      </c>
    </row>
    <row r="48" spans="1:13" x14ac:dyDescent="0.2">
      <c r="A48" s="60" t="s">
        <v>349</v>
      </c>
      <c r="B48" s="60" t="s">
        <v>346</v>
      </c>
      <c r="C48" s="69">
        <f>IF(ISNUMBER(INDEX('2016'!$I$5:$I$72,MATCH(B48,'2016'!$A$5:$A$72,0))),INDEX('2016'!$I$5:$I$72,MATCH(B48,'2016'!$A$5:$A$72,0)),"N/A")</f>
        <v>1.4</v>
      </c>
      <c r="D48" s="60">
        <v>1.2</v>
      </c>
      <c r="E48" s="60">
        <v>0.84</v>
      </c>
    </row>
    <row r="49" spans="1:13" x14ac:dyDescent="0.2">
      <c r="A49" s="60" t="s">
        <v>146</v>
      </c>
      <c r="B49" s="60" t="s">
        <v>28</v>
      </c>
      <c r="C49" s="69">
        <f>IF(ISNUMBER(INDEX('2016'!$I$5:$I$72,MATCH(B49,'2016'!$A$5:$A$72,0))),INDEX('2016'!$I$5:$I$72,MATCH(B49,'2016'!$A$5:$A$72,0)),"N/A")</f>
        <v>1.25</v>
      </c>
      <c r="D49" s="60">
        <v>1.23</v>
      </c>
      <c r="E49" s="60">
        <v>1.21</v>
      </c>
      <c r="F49" s="60">
        <v>1.19</v>
      </c>
      <c r="G49" s="60">
        <v>1.19</v>
      </c>
      <c r="H49" s="60">
        <v>1.19</v>
      </c>
      <c r="I49" s="60">
        <v>1.19</v>
      </c>
      <c r="J49" s="60">
        <v>1.19</v>
      </c>
      <c r="K49" s="60">
        <v>1.19</v>
      </c>
      <c r="L49" s="60">
        <v>1.17</v>
      </c>
      <c r="M49" s="60">
        <v>1.1499999999999999</v>
      </c>
    </row>
    <row r="50" spans="1:13" x14ac:dyDescent="0.2">
      <c r="A50" s="60" t="s">
        <v>147</v>
      </c>
      <c r="B50" s="60" t="s">
        <v>30</v>
      </c>
      <c r="C50" s="69">
        <f>IF(ISNUMBER(INDEX('2016'!$I$5:$I$72,MATCH(B50,'2016'!$A$5:$A$72,0))),INDEX('2016'!$I$5:$I$72,MATCH(B50,'2016'!$A$5:$A$72,0)),"N/A")</f>
        <v>1.925</v>
      </c>
      <c r="D50" s="60">
        <v>1.82</v>
      </c>
      <c r="E50" s="60">
        <v>1.82</v>
      </c>
      <c r="F50" s="60">
        <v>1.82</v>
      </c>
      <c r="G50" s="60">
        <v>1.82</v>
      </c>
      <c r="H50" s="60">
        <v>1.82</v>
      </c>
      <c r="I50" s="60">
        <v>1.82</v>
      </c>
      <c r="J50" s="60">
        <v>1.68</v>
      </c>
      <c r="K50" s="60">
        <v>1.56</v>
      </c>
      <c r="L50" s="60">
        <v>1.44</v>
      </c>
      <c r="M50" s="60">
        <v>1.32</v>
      </c>
    </row>
    <row r="51" spans="1:13" x14ac:dyDescent="0.2">
      <c r="A51" s="60" t="s">
        <v>148</v>
      </c>
      <c r="B51" s="60" t="s">
        <v>31</v>
      </c>
      <c r="C51" s="69">
        <f>IF(ISNUMBER(INDEX('2016'!$I$5:$I$72,MATCH(B51,'2016'!$A$5:$A$72,0))),INDEX('2016'!$I$5:$I$72,MATCH(B51,'2016'!$A$5:$A$72,0)),"N/A")</f>
        <v>2.56</v>
      </c>
      <c r="D51" s="60">
        <v>2.44</v>
      </c>
      <c r="E51" s="60">
        <v>2.3250000000000002</v>
      </c>
      <c r="F51" s="60">
        <v>2.2250000000000001</v>
      </c>
      <c r="G51" s="60">
        <v>2.67</v>
      </c>
      <c r="H51" s="60">
        <v>2.1</v>
      </c>
      <c r="I51" s="60">
        <v>2.1</v>
      </c>
      <c r="J51" s="60">
        <v>2.1</v>
      </c>
      <c r="K51" s="60">
        <v>2.1</v>
      </c>
      <c r="L51" s="60">
        <v>2.1</v>
      </c>
      <c r="M51" s="60">
        <v>2.0249999999999999</v>
      </c>
    </row>
    <row r="52" spans="1:13" x14ac:dyDescent="0.2">
      <c r="A52" s="60" t="s">
        <v>149</v>
      </c>
      <c r="B52" s="60" t="s">
        <v>32</v>
      </c>
      <c r="C52" s="69">
        <f>IF(ISNUMBER(INDEX('2016'!$I$5:$I$72,MATCH(B52,'2016'!$A$5:$A$72,0))),INDEX('2016'!$I$5:$I$72,MATCH(B52,'2016'!$A$5:$A$72,0)),"N/A")</f>
        <v>0.88</v>
      </c>
      <c r="D52" s="60">
        <v>0.8</v>
      </c>
      <c r="E52" s="60">
        <v>0.755</v>
      </c>
      <c r="F52" s="60">
        <v>0.68</v>
      </c>
      <c r="G52" s="60">
        <v>0.57999999999999996</v>
      </c>
      <c r="H52" s="60">
        <v>0.5</v>
      </c>
      <c r="I52" s="60">
        <v>0.5</v>
      </c>
      <c r="J52" s="60">
        <v>0.5</v>
      </c>
      <c r="K52" s="60">
        <v>0.60499999999999998</v>
      </c>
      <c r="L52" s="60">
        <v>0.91</v>
      </c>
      <c r="M52" s="60">
        <v>0.86</v>
      </c>
    </row>
    <row r="53" spans="1:13" x14ac:dyDescent="0.2">
      <c r="A53" s="60" t="s">
        <v>150</v>
      </c>
      <c r="B53" s="60" t="s">
        <v>33</v>
      </c>
      <c r="C53" s="69">
        <f>IF(ISNUMBER(INDEX('2016'!$I$5:$I$72,MATCH(B53,'2016'!$A$5:$A$72,0))),INDEX('2016'!$I$5:$I$72,MATCH(B53,'2016'!$A$5:$A$72,0)),"N/A")</f>
        <v>1.26</v>
      </c>
      <c r="D53" s="60">
        <v>1.18</v>
      </c>
      <c r="E53" s="60">
        <v>1.115</v>
      </c>
      <c r="F53" s="60">
        <v>1.095</v>
      </c>
      <c r="G53" s="60">
        <v>1.075</v>
      </c>
      <c r="H53" s="60">
        <v>1.0549999999999999</v>
      </c>
      <c r="I53" s="60">
        <v>1.0349999999999999</v>
      </c>
      <c r="J53" s="60">
        <v>1.01</v>
      </c>
      <c r="K53" s="60">
        <v>0.97</v>
      </c>
      <c r="L53" s="60">
        <v>0.93</v>
      </c>
      <c r="M53" s="60">
        <v>0.67500000000000004</v>
      </c>
    </row>
    <row r="54" spans="1:13" x14ac:dyDescent="0.2">
      <c r="A54" s="60" t="s">
        <v>151</v>
      </c>
      <c r="B54" s="60" t="s">
        <v>34</v>
      </c>
      <c r="C54" s="69">
        <f>IF(ISNUMBER(INDEX('2016'!$I$5:$I$72,MATCH(B54,'2016'!$A$5:$A$72,0))),INDEX('2016'!$I$5:$I$72,MATCH(B54,'2016'!$A$5:$A$72,0)),"N/A")</f>
        <v>1.52</v>
      </c>
      <c r="D54" s="60">
        <v>1.5</v>
      </c>
      <c r="E54" s="60">
        <v>1.49</v>
      </c>
      <c r="F54" s="60">
        <v>1.47</v>
      </c>
      <c r="G54" s="60">
        <v>1.44</v>
      </c>
      <c r="H54" s="60">
        <v>1.4</v>
      </c>
      <c r="I54" s="60">
        <v>1.4</v>
      </c>
      <c r="J54" s="60">
        <v>1.38</v>
      </c>
      <c r="K54" s="60">
        <v>1.34</v>
      </c>
      <c r="L54" s="60">
        <v>1.22</v>
      </c>
      <c r="M54" s="60">
        <v>1.1000000000000001</v>
      </c>
    </row>
    <row r="55" spans="1:13" x14ac:dyDescent="0.2">
      <c r="A55" s="60" t="s">
        <v>152</v>
      </c>
      <c r="B55" s="60" t="s">
        <v>35</v>
      </c>
      <c r="C55" s="69">
        <f>IF(ISNUMBER(INDEX('2016'!$I$5:$I$72,MATCH(B55,'2016'!$A$5:$A$72,0))),INDEX('2016'!$I$5:$I$72,MATCH(B55,'2016'!$A$5:$A$72,0)),"N/A")</f>
        <v>1.64</v>
      </c>
      <c r="D55" s="60">
        <v>1.56</v>
      </c>
      <c r="E55" s="60">
        <v>1.48</v>
      </c>
      <c r="F55" s="60">
        <v>1.44</v>
      </c>
      <c r="G55" s="60">
        <v>1.42</v>
      </c>
      <c r="H55" s="60">
        <v>1.37</v>
      </c>
      <c r="I55" s="60">
        <v>1.37</v>
      </c>
      <c r="J55" s="60">
        <v>1.33</v>
      </c>
      <c r="K55" s="60">
        <v>1.29</v>
      </c>
      <c r="L55" s="60">
        <v>1.17</v>
      </c>
      <c r="M55" s="60">
        <v>1.1399999999999999</v>
      </c>
    </row>
    <row r="56" spans="1:13" x14ac:dyDescent="0.2">
      <c r="A56" s="60" t="s">
        <v>193</v>
      </c>
      <c r="B56" s="60" t="s">
        <v>194</v>
      </c>
      <c r="C56" s="69">
        <f>IF(ISNUMBER(INDEX('2016'!$I$5:$I$72,MATCH(B56,'2016'!$A$5:$A$72,0))),INDEX('2016'!$I$5:$I$72,MATCH(B56,'2016'!$A$5:$A$72,0)),"N/A")</f>
        <v>0.54</v>
      </c>
      <c r="D56" s="60">
        <v>0.51300000000000001</v>
      </c>
      <c r="E56" s="60">
        <v>0.49299999999999999</v>
      </c>
      <c r="F56" s="60">
        <v>0.48</v>
      </c>
      <c r="G56" s="60">
        <v>0.46700000000000003</v>
      </c>
      <c r="H56" s="60">
        <v>0.45300000000000001</v>
      </c>
      <c r="I56" s="60">
        <v>0.44</v>
      </c>
      <c r="J56" s="60">
        <v>0.42699999999999999</v>
      </c>
      <c r="K56" s="60">
        <v>0.41699999999999998</v>
      </c>
      <c r="L56" s="60">
        <v>0.40699999999999997</v>
      </c>
      <c r="M56" s="60">
        <v>0.4</v>
      </c>
    </row>
    <row r="57" spans="1:13" x14ac:dyDescent="0.2">
      <c r="A57" s="60" t="s">
        <v>153</v>
      </c>
      <c r="B57" s="60" t="s">
        <v>36</v>
      </c>
      <c r="C57" s="69">
        <f>IF(ISNUMBER(INDEX('2016'!$I$5:$I$72,MATCH(B57,'2016'!$A$5:$A$72,0))),INDEX('2016'!$I$5:$I$72,MATCH(B57,'2016'!$A$5:$A$72,0)),"N/A")</f>
        <v>2.2999999999999998</v>
      </c>
      <c r="D57" s="60">
        <v>2.1800000000000002</v>
      </c>
      <c r="E57" s="60">
        <v>2.1</v>
      </c>
      <c r="F57" s="60">
        <v>2.0299999999999998</v>
      </c>
      <c r="G57" s="60">
        <v>1.98</v>
      </c>
      <c r="H57" s="60">
        <v>1.94</v>
      </c>
      <c r="I57" s="60">
        <v>1.9</v>
      </c>
      <c r="J57" s="60">
        <v>1.88</v>
      </c>
      <c r="K57" s="60">
        <v>1.84</v>
      </c>
      <c r="L57" s="60">
        <v>1.76</v>
      </c>
      <c r="M57" s="60">
        <v>1.68</v>
      </c>
    </row>
    <row r="58" spans="1:13" x14ac:dyDescent="0.2">
      <c r="A58" s="60" t="s">
        <v>154</v>
      </c>
      <c r="B58" s="60" t="s">
        <v>37</v>
      </c>
      <c r="C58" s="69">
        <f>IF(ISNUMBER(INDEX('2016'!$I$5:$I$72,MATCH(B58,'2016'!$A$5:$A$72,0))),INDEX('2016'!$I$5:$I$72,MATCH(B58,'2016'!$A$5:$A$72,0)),"N/A")</f>
        <v>3.02</v>
      </c>
      <c r="D58" s="60">
        <v>2.8</v>
      </c>
      <c r="E58" s="60">
        <v>2.64</v>
      </c>
      <c r="F58" s="60">
        <v>2.52</v>
      </c>
      <c r="G58" s="60">
        <v>2.4</v>
      </c>
      <c r="H58" s="60">
        <v>1.92</v>
      </c>
      <c r="I58" s="60">
        <v>1.56</v>
      </c>
      <c r="J58" s="60">
        <v>1.56</v>
      </c>
      <c r="K58" s="60">
        <v>1.37</v>
      </c>
      <c r="L58" s="60">
        <v>1.24</v>
      </c>
      <c r="M58" s="60">
        <v>1.2</v>
      </c>
    </row>
    <row r="59" spans="1:13" x14ac:dyDescent="0.2">
      <c r="A59" s="60" t="s">
        <v>195</v>
      </c>
      <c r="B59" s="60" t="s">
        <v>196</v>
      </c>
      <c r="C59" s="69">
        <f>IF(ISNUMBER(INDEX('2016'!$I$5:$I$72,MATCH(B59,'2016'!$A$5:$A$72,0))),INDEX('2016'!$I$5:$I$72,MATCH(B59,'2016'!$A$5:$A$72,0)),"N/A")</f>
        <v>0.81</v>
      </c>
      <c r="D59" s="60">
        <v>0.78</v>
      </c>
      <c r="E59" s="60">
        <v>0.75</v>
      </c>
      <c r="F59" s="60">
        <v>0.73</v>
      </c>
      <c r="G59" s="60">
        <v>0.71</v>
      </c>
      <c r="H59" s="60">
        <v>0.69</v>
      </c>
      <c r="I59" s="60">
        <v>0.68</v>
      </c>
      <c r="J59" s="60">
        <v>0.66</v>
      </c>
      <c r="K59" s="60">
        <v>0.64500000000000002</v>
      </c>
      <c r="L59" s="60">
        <v>0.60499999999999998</v>
      </c>
      <c r="M59" s="60">
        <v>0.56499999999999995</v>
      </c>
    </row>
    <row r="60" spans="1:13" x14ac:dyDescent="0.2">
      <c r="A60" s="60" t="s">
        <v>197</v>
      </c>
      <c r="B60" s="60" t="s">
        <v>198</v>
      </c>
      <c r="C60" s="69">
        <f>IF(ISNUMBER(INDEX('2016'!$I$5:$I$72,MATCH(B60,'2016'!$A$5:$A$72,0))),INDEX('2016'!$I$5:$I$72,MATCH(B60,'2016'!$A$5:$A$72,0)),"N/A")</f>
        <v>1.06</v>
      </c>
      <c r="D60" s="60">
        <v>1.02</v>
      </c>
      <c r="E60" s="60">
        <v>0.96</v>
      </c>
      <c r="F60" s="60">
        <v>0.9</v>
      </c>
      <c r="G60" s="60">
        <v>0.82499999999999996</v>
      </c>
      <c r="H60" s="60">
        <v>0.75</v>
      </c>
      <c r="I60" s="60">
        <v>0.68</v>
      </c>
      <c r="J60" s="60">
        <v>0.61</v>
      </c>
      <c r="K60" s="60">
        <v>0.55500000000000005</v>
      </c>
      <c r="L60" s="60">
        <v>0.505</v>
      </c>
      <c r="M60" s="60">
        <v>0.46</v>
      </c>
    </row>
    <row r="61" spans="1:13" x14ac:dyDescent="0.2">
      <c r="A61" s="60" t="s">
        <v>155</v>
      </c>
      <c r="B61" s="60" t="s">
        <v>38</v>
      </c>
      <c r="C61" s="69">
        <f>IF(ISNUMBER(INDEX('2016'!$I$5:$I$72,MATCH(B61,'2016'!$A$5:$A$72,0))),INDEX('2016'!$I$5:$I$72,MATCH(B61,'2016'!$A$5:$A$72,0)),"N/A")</f>
        <v>2.2229999999999999</v>
      </c>
      <c r="D61" s="60">
        <v>2.153</v>
      </c>
      <c r="E61" s="60">
        <v>2.0830000000000002</v>
      </c>
      <c r="F61" s="60">
        <v>2.0129999999999999</v>
      </c>
      <c r="G61" s="60">
        <v>1.9430000000000001</v>
      </c>
      <c r="H61" s="60">
        <v>1.873</v>
      </c>
      <c r="I61" s="60">
        <v>1.8029999999999999</v>
      </c>
      <c r="J61" s="60">
        <v>1.7330000000000001</v>
      </c>
      <c r="K61" s="60">
        <v>1.663</v>
      </c>
      <c r="L61" s="60">
        <v>1.595</v>
      </c>
      <c r="M61" s="60">
        <v>1.5349999999999999</v>
      </c>
    </row>
    <row r="62" spans="1:13" x14ac:dyDescent="0.2">
      <c r="A62" s="60" t="s">
        <v>199</v>
      </c>
      <c r="B62" s="60" t="s">
        <v>200</v>
      </c>
      <c r="C62" s="69">
        <f>IF(ISNUMBER(INDEX('2016'!$I$5:$I$72,MATCH(B62,'2016'!$A$5:$A$72,0))),INDEX('2016'!$I$5:$I$72,MATCH(B62,'2016'!$A$5:$A$72,0)),"N/A")</f>
        <v>1.8</v>
      </c>
      <c r="D62" s="60">
        <v>1.62</v>
      </c>
      <c r="E62" s="60">
        <v>1.46</v>
      </c>
      <c r="F62" s="60">
        <v>1.32</v>
      </c>
      <c r="G62" s="60">
        <v>1.18</v>
      </c>
      <c r="H62" s="60">
        <v>1.06</v>
      </c>
      <c r="I62" s="60">
        <v>1</v>
      </c>
      <c r="J62" s="60">
        <v>0.95</v>
      </c>
      <c r="K62" s="60">
        <v>0.9</v>
      </c>
      <c r="L62" s="60">
        <v>0.86</v>
      </c>
      <c r="M62" s="60">
        <v>0.82</v>
      </c>
    </row>
    <row r="63" spans="1:13" x14ac:dyDescent="0.2">
      <c r="A63" s="60" t="s">
        <v>243</v>
      </c>
      <c r="B63" s="60" t="s">
        <v>244</v>
      </c>
      <c r="C63" s="69">
        <f>IF(ISNUMBER(INDEX('2016'!$I$5:$I$72,MATCH(B63,'2016'!$A$5:$A$72,0))),INDEX('2016'!$I$5:$I$72,MATCH(B63,'2016'!$A$5:$A$72,0)),"N/A")</f>
        <v>1.96</v>
      </c>
      <c r="D63" s="60">
        <v>1.84</v>
      </c>
      <c r="E63" s="60">
        <v>1.76</v>
      </c>
      <c r="F63" s="60">
        <v>1.7</v>
      </c>
      <c r="G63" s="60">
        <v>1.66</v>
      </c>
      <c r="H63" s="60">
        <v>1.61</v>
      </c>
      <c r="I63" s="60">
        <v>1.57</v>
      </c>
      <c r="J63" s="60">
        <v>1.53</v>
      </c>
      <c r="K63" s="60">
        <v>1.49</v>
      </c>
      <c r="L63" s="60">
        <v>1.45</v>
      </c>
      <c r="M63" s="60">
        <v>1.4</v>
      </c>
    </row>
    <row r="64" spans="1:13" x14ac:dyDescent="0.2">
      <c r="A64" s="60" t="s">
        <v>201</v>
      </c>
      <c r="B64" s="60" t="s">
        <v>202</v>
      </c>
      <c r="C64" s="69">
        <f>IF(ISNUMBER(INDEX('2016'!$I$5:$I$72,MATCH(B64,'2016'!$A$5:$A$72,0))),INDEX('2016'!$I$5:$I$72,MATCH(B64,'2016'!$A$5:$A$72,0)),"N/A")</f>
        <v>0.39500000000000002</v>
      </c>
      <c r="D64" s="60">
        <v>0.36499999999999999</v>
      </c>
      <c r="E64" s="60">
        <v>0.34499999999999997</v>
      </c>
      <c r="F64" s="60">
        <v>0.32500000000000001</v>
      </c>
      <c r="G64" s="60">
        <v>0.31</v>
      </c>
      <c r="H64" s="60">
        <v>0.31</v>
      </c>
      <c r="I64" s="60">
        <v>0.28999999999999998</v>
      </c>
      <c r="J64" s="60">
        <v>0.27</v>
      </c>
      <c r="K64" s="60">
        <v>0</v>
      </c>
      <c r="L64" s="60">
        <v>0</v>
      </c>
      <c r="M64" s="60">
        <v>0</v>
      </c>
    </row>
    <row r="65" spans="1:13" x14ac:dyDescent="0.2">
      <c r="A65" s="60" t="s">
        <v>203</v>
      </c>
      <c r="B65" s="60" t="s">
        <v>204</v>
      </c>
      <c r="C65" s="69">
        <f>IF(ISNUMBER(INDEX('2016'!$I$5:$I$72,MATCH(B65,'2016'!$A$5:$A$72,0))),INDEX('2016'!$I$5:$I$72,MATCH(B65,'2016'!$A$5:$A$72,0)),"N/A")</f>
        <v>0.93</v>
      </c>
      <c r="D65" s="60">
        <v>0.89</v>
      </c>
      <c r="E65" s="60">
        <v>0.79100000000000004</v>
      </c>
      <c r="F65" s="60">
        <v>0.74</v>
      </c>
      <c r="G65" s="60">
        <v>0.70699999999999996</v>
      </c>
      <c r="H65" s="60">
        <v>0.68</v>
      </c>
      <c r="I65" s="60">
        <v>0.6</v>
      </c>
      <c r="J65" s="60">
        <v>0.52300000000000002</v>
      </c>
      <c r="K65" s="60">
        <v>0.503</v>
      </c>
      <c r="L65" s="60">
        <v>0.48099999999999998</v>
      </c>
      <c r="M65" s="60">
        <v>0.45500000000000002</v>
      </c>
    </row>
    <row r="66" spans="1:13" x14ac:dyDescent="0.2">
      <c r="A66" s="60" t="s">
        <v>159</v>
      </c>
      <c r="B66" s="60" t="s">
        <v>83</v>
      </c>
      <c r="C66" s="69">
        <f>IF(ISNUMBER(INDEX('2016'!$I$5:$I$72,MATCH(B66,'2016'!$A$5:$A$72,0))),INDEX('2016'!$I$5:$I$72,MATCH(B66,'2016'!$A$5:$A$72,0)),"N/A")</f>
        <v>1.42</v>
      </c>
      <c r="D66" s="60">
        <v>1.4</v>
      </c>
      <c r="E66" s="60">
        <v>1.385</v>
      </c>
      <c r="F66" s="60">
        <v>1.38</v>
      </c>
      <c r="G66" s="60">
        <v>1.38</v>
      </c>
      <c r="H66" s="60">
        <v>1.38</v>
      </c>
      <c r="I66" s="60">
        <v>1.38</v>
      </c>
      <c r="J66" s="60">
        <v>1.38</v>
      </c>
      <c r="K66" s="60">
        <v>1.38</v>
      </c>
      <c r="L66" s="60">
        <v>1.38</v>
      </c>
      <c r="M66" s="60">
        <v>1.38</v>
      </c>
    </row>
    <row r="67" spans="1:13" x14ac:dyDescent="0.2">
      <c r="A67" s="60" t="s">
        <v>156</v>
      </c>
      <c r="B67" s="60" t="s">
        <v>42</v>
      </c>
      <c r="C67" s="69">
        <f>IF(ISNUMBER(INDEX('2016'!$I$5:$I$72,MATCH(B67,'2016'!$A$5:$A$72,0))),INDEX('2016'!$I$5:$I$72,MATCH(B67,'2016'!$A$5:$A$72,0)),"N/A")</f>
        <v>1.62</v>
      </c>
      <c r="D67" s="60">
        <v>1.54</v>
      </c>
      <c r="E67" s="60">
        <v>1.46</v>
      </c>
      <c r="F67" s="60">
        <v>1.425</v>
      </c>
      <c r="G67" s="60">
        <v>1.405</v>
      </c>
      <c r="H67" s="60">
        <v>1.385</v>
      </c>
      <c r="I67" s="60">
        <v>1.37</v>
      </c>
      <c r="J67" s="60">
        <v>1.35</v>
      </c>
      <c r="K67" s="60">
        <v>1.31</v>
      </c>
      <c r="L67" s="60">
        <v>1.27</v>
      </c>
      <c r="M67" s="60">
        <v>1.23</v>
      </c>
    </row>
    <row r="68" spans="1:13" x14ac:dyDescent="0.2">
      <c r="A68" s="60" t="s">
        <v>217</v>
      </c>
      <c r="B68" s="60" t="s">
        <v>44</v>
      </c>
      <c r="C68" s="69">
        <f>IF(ISNUMBER(INDEX('2016'!$I$5:$I$72,MATCH(B68,'2016'!$A$5:$A$72,0))),INDEX('2016'!$I$5:$I$72,MATCH(B68,'2016'!$A$5:$A$72,0)),"N/A")</f>
        <v>1.98</v>
      </c>
      <c r="D68" s="60">
        <v>1.74</v>
      </c>
      <c r="E68" s="60">
        <v>1.56</v>
      </c>
      <c r="F68" s="60">
        <v>1.4450000000000001</v>
      </c>
      <c r="G68" s="60">
        <v>1.2</v>
      </c>
      <c r="H68" s="60">
        <v>1.04</v>
      </c>
      <c r="I68" s="60">
        <v>0.8</v>
      </c>
      <c r="J68" s="60">
        <v>0.67500000000000004</v>
      </c>
      <c r="K68" s="60">
        <v>0.54</v>
      </c>
      <c r="L68" s="60">
        <v>0.5</v>
      </c>
      <c r="M68" s="60">
        <v>0.46</v>
      </c>
    </row>
    <row r="69" spans="1:13" x14ac:dyDescent="0.2">
      <c r="A69" s="60" t="s">
        <v>157</v>
      </c>
      <c r="B69" s="60" t="s">
        <v>43</v>
      </c>
      <c r="C69" s="69">
        <f>IF(ISNUMBER(INDEX('2016'!$I$5:$I$72,MATCH(B69,'2016'!$A$5:$A$72,0))),INDEX('2016'!$I$5:$I$72,MATCH(B69,'2016'!$A$5:$A$72,0)),"N/A")</f>
        <v>1.52</v>
      </c>
      <c r="D69" s="60">
        <v>1.44</v>
      </c>
      <c r="E69" s="60">
        <v>1.4</v>
      </c>
      <c r="F69" s="60">
        <v>1.36</v>
      </c>
      <c r="G69" s="60">
        <v>1.32</v>
      </c>
      <c r="H69" s="60">
        <v>1.28</v>
      </c>
      <c r="I69" s="60">
        <v>1.24</v>
      </c>
      <c r="J69" s="60">
        <v>1.2</v>
      </c>
      <c r="K69" s="60">
        <v>1.1599999999999999</v>
      </c>
      <c r="L69" s="60">
        <v>1.08</v>
      </c>
      <c r="M69" s="60">
        <v>0.98</v>
      </c>
    </row>
    <row r="70" spans="1:13" x14ac:dyDescent="0.2">
      <c r="A70" s="60" t="s">
        <v>205</v>
      </c>
      <c r="B70" s="60" t="s">
        <v>206</v>
      </c>
      <c r="C70" s="69">
        <f>IF(ISNUMBER(INDEX('2016'!$I$5:$I$72,MATCH(B70,'2016'!$A$5:$A$72,0))),INDEX('2016'!$I$5:$I$72,MATCH(B70,'2016'!$A$5:$A$72,0)),"N/A")</f>
        <v>1.93</v>
      </c>
      <c r="D70" s="60">
        <v>1.83</v>
      </c>
      <c r="E70" s="60">
        <v>1.72</v>
      </c>
      <c r="F70" s="60">
        <v>1.66</v>
      </c>
      <c r="G70" s="60">
        <v>1.59</v>
      </c>
      <c r="H70" s="60">
        <v>1.55</v>
      </c>
      <c r="I70" s="60">
        <v>1.5</v>
      </c>
      <c r="J70" s="60">
        <v>1.47</v>
      </c>
      <c r="K70" s="60">
        <v>1.4079999999999999</v>
      </c>
      <c r="L70" s="60">
        <v>1.365</v>
      </c>
      <c r="M70" s="60">
        <v>1.345</v>
      </c>
    </row>
    <row r="71" spans="1:13" x14ac:dyDescent="0.2">
      <c r="A71" s="60" t="s">
        <v>158</v>
      </c>
      <c r="B71" s="60" t="s">
        <v>45</v>
      </c>
      <c r="C71" s="69">
        <f>IF(ISNUMBER(INDEX('2016'!$I$5:$I$72,MATCH(B71,'2016'!$A$5:$A$72,0))),INDEX('2016'!$I$5:$I$72,MATCH(B71,'2016'!$A$5:$A$72,0)),"N/A")</f>
        <v>1.36</v>
      </c>
      <c r="D71" s="60">
        <v>1.28</v>
      </c>
      <c r="E71" s="60">
        <v>1.2</v>
      </c>
      <c r="F71" s="60">
        <v>1.1100000000000001</v>
      </c>
      <c r="G71" s="60">
        <v>1.07</v>
      </c>
      <c r="H71" s="60">
        <v>1.03</v>
      </c>
      <c r="I71" s="60">
        <v>1</v>
      </c>
      <c r="J71" s="60">
        <v>0.97</v>
      </c>
      <c r="K71" s="60">
        <v>0.94</v>
      </c>
      <c r="L71" s="60">
        <v>0.91</v>
      </c>
      <c r="M71" s="60">
        <v>0.88</v>
      </c>
    </row>
    <row r="72" spans="1:13" x14ac:dyDescent="0.2">
      <c r="A72" s="60" t="s">
        <v>207</v>
      </c>
      <c r="B72" s="60" t="s">
        <v>208</v>
      </c>
      <c r="C72" s="69" t="str">
        <f>IF(ISNUMBER(INDEX('2016'!$I$5:$I$72,MATCH(B72,'2016'!$A$5:$A$72,0))),INDEX('2016'!$I$5:$I$72,MATCH(B72,'2016'!$A$5:$A$72,0)),"N/A")</f>
        <v>N/A</v>
      </c>
      <c r="D72" s="60">
        <v>0.6</v>
      </c>
      <c r="E72" s="60">
        <v>0.57199999999999995</v>
      </c>
      <c r="F72" s="60">
        <v>0.55200000000000005</v>
      </c>
      <c r="G72" s="60">
        <v>0.53900000000000003</v>
      </c>
      <c r="H72" s="60">
        <v>0.52700000000000002</v>
      </c>
      <c r="I72" s="60">
        <v>0.51500000000000001</v>
      </c>
      <c r="J72" s="60">
        <v>0.50600000000000001</v>
      </c>
      <c r="K72" s="60">
        <v>0.48899999999999999</v>
      </c>
      <c r="L72" s="60">
        <v>0.47499999999999998</v>
      </c>
      <c r="M72" s="60">
        <v>0.45400000000000001</v>
      </c>
    </row>
  </sheetData>
  <autoFilter ref="A3:N72"/>
  <printOptions headings="1"/>
  <pageMargins left="0.3" right="0.3" top="0.75" bottom="0.75" header="0.3" footer="0.3"/>
  <pageSetup fitToHeight="0" orientation="landscape" r:id="rId1"/>
  <headerFooter>
    <oddHeader>&amp;R&amp;A
&amp;P/&amp;N</oddHeader>
    <oddFooter>&amp;R&amp;A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N72"/>
  <sheetViews>
    <sheetView workbookViewId="0">
      <selection activeCell="C4" sqref="C4:C72"/>
    </sheetView>
  </sheetViews>
  <sheetFormatPr defaultColWidth="8.75" defaultRowHeight="11.25" x14ac:dyDescent="0.2"/>
  <cols>
    <col min="1" max="1" width="19.25" style="60" customWidth="1"/>
    <col min="2" max="2" width="5.25" style="60" bestFit="1" customWidth="1"/>
    <col min="3" max="13" width="6.75" style="60" customWidth="1"/>
    <col min="14" max="16384" width="8.75" style="60"/>
  </cols>
  <sheetData>
    <row r="1" spans="1:14" ht="33.75" x14ac:dyDescent="0.2">
      <c r="A1" s="59" t="s">
        <v>316</v>
      </c>
      <c r="C1" s="61">
        <v>2016</v>
      </c>
      <c r="D1" s="61">
        <v>2015</v>
      </c>
      <c r="E1" s="61">
        <v>2014</v>
      </c>
      <c r="F1" s="61">
        <v>2013</v>
      </c>
      <c r="G1" s="61">
        <v>2012</v>
      </c>
      <c r="H1" s="61">
        <v>2011</v>
      </c>
      <c r="I1" s="61">
        <v>2010</v>
      </c>
      <c r="J1" s="61">
        <v>2009</v>
      </c>
      <c r="K1" s="61">
        <v>2008</v>
      </c>
      <c r="L1" s="61">
        <v>2007</v>
      </c>
      <c r="M1" s="61">
        <v>2006</v>
      </c>
    </row>
    <row r="2" spans="1:14" x14ac:dyDescent="0.2">
      <c r="A2" s="69" t="s">
        <v>315</v>
      </c>
      <c r="C2" s="71">
        <f>'2016'!$A$1</f>
        <v>42907</v>
      </c>
      <c r="D2" s="77">
        <v>42840</v>
      </c>
      <c r="E2" s="77">
        <v>42840</v>
      </c>
      <c r="F2" s="77">
        <v>42840</v>
      </c>
      <c r="G2" s="77">
        <v>42840</v>
      </c>
      <c r="H2" s="77">
        <v>42840</v>
      </c>
      <c r="I2" s="77">
        <v>42840</v>
      </c>
      <c r="J2" s="77">
        <v>42840</v>
      </c>
      <c r="K2" s="77">
        <v>42840</v>
      </c>
      <c r="L2" s="77">
        <v>42840</v>
      </c>
      <c r="M2" s="77">
        <v>42840</v>
      </c>
      <c r="N2" s="60" t="s">
        <v>348</v>
      </c>
    </row>
    <row r="3" spans="1:14" ht="22.5" x14ac:dyDescent="0.2">
      <c r="A3" s="60" t="s">
        <v>117</v>
      </c>
      <c r="B3" s="60" t="s">
        <v>99</v>
      </c>
      <c r="C3" s="59" t="s">
        <v>307</v>
      </c>
      <c r="D3" s="59" t="s">
        <v>306</v>
      </c>
      <c r="E3" s="59" t="s">
        <v>305</v>
      </c>
      <c r="F3" s="59" t="s">
        <v>304</v>
      </c>
      <c r="G3" s="59" t="s">
        <v>303</v>
      </c>
      <c r="H3" s="59" t="s">
        <v>302</v>
      </c>
      <c r="I3" s="59" t="s">
        <v>301</v>
      </c>
      <c r="J3" s="59" t="s">
        <v>300</v>
      </c>
      <c r="K3" s="59" t="s">
        <v>299</v>
      </c>
      <c r="L3" s="59" t="s">
        <v>298</v>
      </c>
      <c r="M3" s="59" t="s">
        <v>297</v>
      </c>
    </row>
    <row r="4" spans="1:14" x14ac:dyDescent="0.2">
      <c r="A4" s="60" t="s">
        <v>162</v>
      </c>
      <c r="B4" s="60" t="s">
        <v>163</v>
      </c>
      <c r="C4" s="69">
        <f>IF(IFERROR(INDEX('2016'!$H$5:$H$72,MATCH(B4,'2016'!$A$5:$A$72,0)),0)=0,"N/A",INDEX('2016'!$H$5:$H$72,MATCH(B4,'2016'!$A$5:$A$72,0)))</f>
        <v>2.0110000000000001</v>
      </c>
      <c r="D4" s="60">
        <v>2.625</v>
      </c>
      <c r="E4" s="60">
        <v>7.2370000000000001</v>
      </c>
      <c r="F4" s="60">
        <v>6.5439999999999996</v>
      </c>
      <c r="G4" s="60">
        <v>12.095000000000001</v>
      </c>
      <c r="H4" s="60">
        <v>12.632</v>
      </c>
      <c r="I4" s="60">
        <v>5.3179999999999996</v>
      </c>
      <c r="J4" s="60">
        <v>5.3090000000000002</v>
      </c>
      <c r="K4" s="60">
        <v>4.194</v>
      </c>
      <c r="L4" s="60">
        <v>3.7559999999999998</v>
      </c>
      <c r="M4" s="60">
        <v>3.4620000000000002</v>
      </c>
    </row>
    <row r="5" spans="1:14" x14ac:dyDescent="0.2">
      <c r="A5" s="60" t="s">
        <v>119</v>
      </c>
      <c r="B5" s="60" t="s">
        <v>0</v>
      </c>
      <c r="C5" s="69">
        <f>IF(IFERROR(INDEX('2016'!$H$5:$H$72,MATCH(B5,'2016'!$A$5:$A$72,0)),0)=0,"N/A",INDEX('2016'!$H$5:$H$72,MATCH(B5,'2016'!$A$5:$A$72,0)))</f>
        <v>5.3550000000000004</v>
      </c>
      <c r="D5" s="60">
        <v>5.8410000000000002</v>
      </c>
      <c r="E5" s="60">
        <v>12.478999999999999</v>
      </c>
      <c r="F5" s="60">
        <v>7.9349999999999996</v>
      </c>
      <c r="G5" s="60">
        <v>10.298999999999999</v>
      </c>
      <c r="H5" s="60">
        <v>6.3789999999999996</v>
      </c>
      <c r="I5" s="60">
        <v>6.9530000000000003</v>
      </c>
      <c r="J5" s="60">
        <v>9.048</v>
      </c>
      <c r="K5" s="60">
        <v>9.2360000000000007</v>
      </c>
      <c r="L5" s="60">
        <v>6.8250000000000002</v>
      </c>
      <c r="M5" s="60">
        <v>3.3650000000000002</v>
      </c>
    </row>
    <row r="6" spans="1:14" x14ac:dyDescent="0.2">
      <c r="A6" s="60" t="s">
        <v>120</v>
      </c>
      <c r="B6" s="60" t="s">
        <v>1</v>
      </c>
      <c r="C6" s="69" t="str">
        <f>IF(IFERROR(INDEX('2016'!$H$5:$H$72,MATCH(B6,'2016'!$A$5:$A$72,0)),0)=0,"N/A",INDEX('2016'!$H$5:$H$72,MATCH(B6,'2016'!$A$5:$A$72,0)))</f>
        <v>N/A</v>
      </c>
      <c r="D6" s="60">
        <v>4.2480000000000002</v>
      </c>
      <c r="E6" s="60">
        <v>3.7810000000000001</v>
      </c>
      <c r="F6" s="60">
        <v>3.3170000000000002</v>
      </c>
      <c r="G6" s="60">
        <v>5.2169999999999996</v>
      </c>
      <c r="H6" s="60">
        <v>3.0329999999999999</v>
      </c>
      <c r="I6" s="60">
        <v>3.9089999999999998</v>
      </c>
      <c r="J6" s="60">
        <v>5.4340000000000002</v>
      </c>
      <c r="K6" s="60">
        <v>3.9790000000000001</v>
      </c>
      <c r="L6" s="60">
        <v>2.456</v>
      </c>
      <c r="M6" s="60">
        <v>1.7110000000000001</v>
      </c>
    </row>
    <row r="7" spans="1:14" x14ac:dyDescent="0.2">
      <c r="A7" s="60" t="s">
        <v>121</v>
      </c>
      <c r="B7" s="60" t="s">
        <v>2</v>
      </c>
      <c r="C7" s="69">
        <f>IF(IFERROR(INDEX('2016'!$H$5:$H$72,MATCH(B7,'2016'!$A$5:$A$72,0)),0)=0,"N/A",INDEX('2016'!$H$5:$H$72,MATCH(B7,'2016'!$A$5:$A$72,0)))</f>
        <v>9.9849999999999994</v>
      </c>
      <c r="D7" s="60">
        <v>9.3680000000000003</v>
      </c>
      <c r="E7" s="60">
        <v>8.6839999999999993</v>
      </c>
      <c r="F7" s="60">
        <v>7.7450000000000001</v>
      </c>
      <c r="G7" s="60">
        <v>6.4489999999999998</v>
      </c>
      <c r="H7" s="60">
        <v>5.74</v>
      </c>
      <c r="I7" s="60">
        <v>5.0659999999999998</v>
      </c>
      <c r="J7" s="60">
        <v>6.194</v>
      </c>
      <c r="K7" s="60">
        <v>9.8309999999999995</v>
      </c>
      <c r="L7" s="60">
        <v>8.8810000000000002</v>
      </c>
      <c r="M7" s="60">
        <v>8.8940000000000001</v>
      </c>
    </row>
    <row r="8" spans="1:14" x14ac:dyDescent="0.2">
      <c r="A8" s="60" t="s">
        <v>164</v>
      </c>
      <c r="B8" s="60" t="s">
        <v>165</v>
      </c>
      <c r="C8" s="69">
        <f>IF(IFERROR(INDEX('2016'!$H$5:$H$72,MATCH(B8,'2016'!$A$5:$A$72,0)),0)=0,"N/A",INDEX('2016'!$H$5:$H$72,MATCH(B8,'2016'!$A$5:$A$72,0)))</f>
        <v>3.5510000000000002</v>
      </c>
      <c r="D8" s="60">
        <v>2.3919999999999999</v>
      </c>
      <c r="E8" s="60">
        <v>1.8939999999999999</v>
      </c>
      <c r="F8" s="60">
        <v>2.5150000000000001</v>
      </c>
      <c r="G8" s="60">
        <v>1.768</v>
      </c>
      <c r="H8" s="60">
        <v>2.13</v>
      </c>
      <c r="I8" s="60">
        <v>2.121</v>
      </c>
      <c r="J8" s="60">
        <v>2.09</v>
      </c>
      <c r="K8" s="60">
        <v>2.226</v>
      </c>
      <c r="L8" s="60">
        <v>1.4470000000000001</v>
      </c>
      <c r="M8" s="60">
        <v>1.9530000000000001</v>
      </c>
    </row>
    <row r="9" spans="1:14" x14ac:dyDescent="0.2">
      <c r="A9" s="60" t="s">
        <v>166</v>
      </c>
      <c r="B9" s="60" t="s">
        <v>167</v>
      </c>
      <c r="C9" s="69">
        <f>IF(IFERROR(INDEX('2016'!$H$5:$H$72,MATCH(B9,'2016'!$A$5:$A$72,0)),0)=0,"N/A",INDEX('2016'!$H$5:$H$72,MATCH(B9,'2016'!$A$5:$A$72,0)))</f>
        <v>7.3609999999999998</v>
      </c>
      <c r="D9" s="60">
        <v>6.5069999999999997</v>
      </c>
      <c r="E9" s="60">
        <v>5.3280000000000003</v>
      </c>
      <c r="F9" s="60">
        <v>5.4989999999999997</v>
      </c>
      <c r="G9" s="60">
        <v>5.2469999999999999</v>
      </c>
      <c r="H9" s="60">
        <v>5.2649999999999997</v>
      </c>
      <c r="I9" s="60">
        <v>4.375</v>
      </c>
      <c r="J9" s="60">
        <v>4.4969999999999999</v>
      </c>
      <c r="K9" s="60">
        <v>6.3049999999999997</v>
      </c>
      <c r="L9" s="60">
        <v>4.7409999999999997</v>
      </c>
      <c r="M9" s="60">
        <v>4.3049999999999997</v>
      </c>
    </row>
    <row r="10" spans="1:14" x14ac:dyDescent="0.2">
      <c r="A10" s="60" t="s">
        <v>122</v>
      </c>
      <c r="B10" s="60" t="s">
        <v>3</v>
      </c>
      <c r="C10" s="69">
        <f>IF(IFERROR(INDEX('2016'!$H$5:$H$72,MATCH(B10,'2016'!$A$5:$A$72,0)),0)=0,"N/A",INDEX('2016'!$H$5:$H$72,MATCH(B10,'2016'!$A$5:$A$72,0)))</f>
        <v>8.7829999999999995</v>
      </c>
      <c r="D10" s="60">
        <v>8.1150000000000002</v>
      </c>
      <c r="E10" s="60">
        <v>7.6619999999999999</v>
      </c>
      <c r="F10" s="60">
        <v>5.8689999999999998</v>
      </c>
      <c r="G10" s="60">
        <v>5.4859999999999998</v>
      </c>
      <c r="H10" s="60">
        <v>4.5010000000000003</v>
      </c>
      <c r="I10" s="60">
        <v>4.6630000000000003</v>
      </c>
      <c r="J10" s="60">
        <v>7.5149999999999997</v>
      </c>
      <c r="K10" s="60">
        <v>9.7460000000000004</v>
      </c>
      <c r="L10" s="60">
        <v>6.9560000000000004</v>
      </c>
      <c r="M10" s="60">
        <v>4.99</v>
      </c>
    </row>
    <row r="11" spans="1:14" x14ac:dyDescent="0.2">
      <c r="A11" s="60" t="s">
        <v>168</v>
      </c>
      <c r="B11" s="60" t="s">
        <v>169</v>
      </c>
      <c r="C11" s="69">
        <f>IF(IFERROR(INDEX('2016'!$H$5:$H$72,MATCH(B11,'2016'!$A$5:$A$72,0)),0)=0,"N/A",INDEX('2016'!$H$5:$H$72,MATCH(B11,'2016'!$A$5:$A$72,0)))</f>
        <v>1.0940000000000001</v>
      </c>
      <c r="D11" s="60">
        <v>1.0980000000000001</v>
      </c>
      <c r="E11" s="60">
        <v>1.2270000000000001</v>
      </c>
      <c r="F11" s="60">
        <v>1.196</v>
      </c>
      <c r="G11" s="60">
        <v>1.111</v>
      </c>
      <c r="H11" s="60">
        <v>1.3520000000000001</v>
      </c>
      <c r="I11" s="60">
        <v>1.4570000000000001</v>
      </c>
      <c r="J11" s="60">
        <v>1.38</v>
      </c>
      <c r="K11" s="60">
        <v>1.101</v>
      </c>
      <c r="L11" s="60">
        <v>1.298</v>
      </c>
      <c r="M11" s="60">
        <v>1.2450000000000001</v>
      </c>
    </row>
    <row r="12" spans="1:14" x14ac:dyDescent="0.2">
      <c r="A12" s="60" t="s">
        <v>170</v>
      </c>
      <c r="B12" s="60" t="s">
        <v>171</v>
      </c>
      <c r="C12" s="69">
        <f>IF(IFERROR(INDEX('2016'!$H$5:$H$72,MATCH(B12,'2016'!$A$5:$A$72,0)),0)=0,"N/A",INDEX('2016'!$H$5:$H$72,MATCH(B12,'2016'!$A$5:$A$72,0)))</f>
        <v>2.1589999999999998</v>
      </c>
      <c r="D12" s="60">
        <v>2.0659999999999998</v>
      </c>
      <c r="E12" s="60">
        <v>1.84</v>
      </c>
      <c r="F12" s="60">
        <v>1.732</v>
      </c>
      <c r="G12" s="60">
        <v>1.984</v>
      </c>
      <c r="H12" s="60">
        <v>1.9039999999999999</v>
      </c>
      <c r="I12" s="60">
        <v>1.8939999999999999</v>
      </c>
      <c r="J12" s="60">
        <v>1.6619999999999999</v>
      </c>
      <c r="K12" s="60">
        <v>1.58</v>
      </c>
      <c r="L12" s="60">
        <v>1.4279999999999999</v>
      </c>
      <c r="M12" s="60">
        <v>1.643</v>
      </c>
    </row>
    <row r="13" spans="1:14" x14ac:dyDescent="0.2">
      <c r="A13" s="60" t="s">
        <v>172</v>
      </c>
      <c r="B13" s="60" t="s">
        <v>173</v>
      </c>
      <c r="C13" s="69">
        <f>IF(IFERROR(INDEX('2016'!$H$5:$H$72,MATCH(B13,'2016'!$A$5:$A$72,0)),0)=0,"N/A",INDEX('2016'!$H$5:$H$72,MATCH(B13,'2016'!$A$5:$A$72,0)))</f>
        <v>3.0950000000000002</v>
      </c>
      <c r="D13" s="60">
        <v>2.2850000000000001</v>
      </c>
      <c r="E13" s="60">
        <v>2.6629999999999998</v>
      </c>
      <c r="F13" s="60">
        <v>2.4</v>
      </c>
      <c r="G13" s="60">
        <v>2.359</v>
      </c>
      <c r="H13" s="60">
        <v>1.833</v>
      </c>
      <c r="I13" s="60">
        <v>2.5659999999999998</v>
      </c>
      <c r="J13" s="60">
        <v>2.3170000000000002</v>
      </c>
      <c r="K13" s="60">
        <v>6.0880000000000001</v>
      </c>
      <c r="L13" s="60">
        <v>3.6619999999999999</v>
      </c>
      <c r="M13" s="60">
        <v>5.0759999999999996</v>
      </c>
    </row>
    <row r="14" spans="1:14" x14ac:dyDescent="0.2">
      <c r="A14" s="60" t="s">
        <v>174</v>
      </c>
      <c r="B14" s="60" t="s">
        <v>175</v>
      </c>
      <c r="C14" s="69">
        <f>IF(IFERROR(INDEX('2016'!$H$5:$H$72,MATCH(B14,'2016'!$A$5:$A$72,0)),0)=0,"N/A",INDEX('2016'!$H$5:$H$72,MATCH(B14,'2016'!$A$5:$A$72,0)))</f>
        <v>10.458</v>
      </c>
      <c r="D14" s="60">
        <v>9.609</v>
      </c>
      <c r="E14" s="60">
        <v>8.32</v>
      </c>
      <c r="F14" s="60">
        <v>9.3230000000000004</v>
      </c>
      <c r="G14" s="60">
        <v>8.1210000000000004</v>
      </c>
      <c r="H14" s="60">
        <v>6.899</v>
      </c>
      <c r="I14" s="60">
        <v>6.0179999999999998</v>
      </c>
      <c r="J14" s="60">
        <v>5.5049999999999999</v>
      </c>
      <c r="K14" s="60">
        <v>5.2</v>
      </c>
      <c r="L14" s="60">
        <v>4.3929999999999998</v>
      </c>
      <c r="M14" s="60">
        <v>5.2030000000000003</v>
      </c>
    </row>
    <row r="15" spans="1:14" x14ac:dyDescent="0.2">
      <c r="A15" s="60" t="s">
        <v>263</v>
      </c>
      <c r="B15" s="60" t="s">
        <v>260</v>
      </c>
      <c r="C15" s="69">
        <f>IF(IFERROR(INDEX('2016'!$H$5:$H$72,MATCH(B15,'2016'!$A$5:$A$72,0)),0)=0,"N/A",INDEX('2016'!$H$5:$H$72,MATCH(B15,'2016'!$A$5:$A$72,0)))</f>
        <v>5.524</v>
      </c>
      <c r="D15" s="60">
        <v>3.5030000000000001</v>
      </c>
      <c r="E15" s="69" t="s">
        <v>106</v>
      </c>
      <c r="F15" s="69" t="s">
        <v>106</v>
      </c>
      <c r="G15" s="69" t="s">
        <v>106</v>
      </c>
      <c r="H15" s="69" t="s">
        <v>106</v>
      </c>
      <c r="I15" s="69" t="s">
        <v>106</v>
      </c>
      <c r="J15" s="69" t="s">
        <v>106</v>
      </c>
      <c r="K15" s="69" t="s">
        <v>106</v>
      </c>
      <c r="L15" s="69" t="s">
        <v>106</v>
      </c>
      <c r="M15" s="69" t="s">
        <v>106</v>
      </c>
    </row>
    <row r="16" spans="1:14" x14ac:dyDescent="0.2">
      <c r="A16" s="60" t="s">
        <v>123</v>
      </c>
      <c r="B16" s="60" t="s">
        <v>4</v>
      </c>
      <c r="C16" s="69">
        <f>IF(IFERROR(INDEX('2016'!$H$5:$H$72,MATCH(B16,'2016'!$A$5:$A$72,0)),0)=0,"N/A",INDEX('2016'!$H$5:$H$72,MATCH(B16,'2016'!$A$5:$A$72,0)))</f>
        <v>6.3410000000000002</v>
      </c>
      <c r="D16" s="60">
        <v>6.4619999999999997</v>
      </c>
      <c r="E16" s="60">
        <v>5.4740000000000002</v>
      </c>
      <c r="F16" s="60">
        <v>5.0449999999999999</v>
      </c>
      <c r="G16" s="60">
        <v>4.6139999999999999</v>
      </c>
      <c r="H16" s="60">
        <v>4.2039999999999997</v>
      </c>
      <c r="I16" s="60">
        <v>3.6419999999999999</v>
      </c>
      <c r="J16" s="60">
        <v>3.8580000000000001</v>
      </c>
      <c r="K16" s="60">
        <v>4.0869999999999997</v>
      </c>
      <c r="L16" s="60">
        <v>4.0410000000000004</v>
      </c>
      <c r="M16" s="60">
        <v>3.1440000000000001</v>
      </c>
    </row>
    <row r="17" spans="1:13" x14ac:dyDescent="0.2">
      <c r="A17" s="60" t="s">
        <v>124</v>
      </c>
      <c r="B17" s="60" t="s">
        <v>5</v>
      </c>
      <c r="C17" s="69">
        <f>IF(IFERROR(INDEX('2016'!$H$5:$H$72,MATCH(B17,'2016'!$A$5:$A$72,0)),0)=0,"N/A",INDEX('2016'!$H$5:$H$72,MATCH(B17,'2016'!$A$5:$A$72,0)))</f>
        <v>8.8940000000000001</v>
      </c>
      <c r="D17" s="60">
        <v>8.8970000000000002</v>
      </c>
      <c r="E17" s="60">
        <v>8.92</v>
      </c>
      <c r="F17" s="60">
        <v>7.9720000000000004</v>
      </c>
      <c r="G17" s="60">
        <v>7.8979999999999997</v>
      </c>
      <c r="H17" s="60">
        <v>10.032999999999999</v>
      </c>
      <c r="I17" s="60">
        <v>12.037000000000001</v>
      </c>
      <c r="J17" s="60">
        <v>8.9009999999999998</v>
      </c>
      <c r="K17" s="60">
        <v>8.5129999999999999</v>
      </c>
      <c r="L17" s="60">
        <v>6.915</v>
      </c>
      <c r="M17" s="60">
        <v>9.2439999999999998</v>
      </c>
    </row>
    <row r="18" spans="1:13" x14ac:dyDescent="0.2">
      <c r="A18" s="60" t="s">
        <v>176</v>
      </c>
      <c r="B18" s="60" t="s">
        <v>177</v>
      </c>
      <c r="C18" s="69">
        <f>IF(IFERROR(INDEX('2016'!$H$5:$H$72,MATCH(B18,'2016'!$A$5:$A$72,0)),0)=0,"N/A",INDEX('2016'!$H$5:$H$72,MATCH(B18,'2016'!$A$5:$A$72,0)))</f>
        <v>4.7729999999999997</v>
      </c>
      <c r="D18" s="60">
        <v>3.694</v>
      </c>
      <c r="E18" s="60">
        <v>2.7610000000000001</v>
      </c>
      <c r="F18" s="60">
        <v>2.5760000000000001</v>
      </c>
      <c r="G18" s="60">
        <v>3.0409999999999999</v>
      </c>
      <c r="H18" s="60">
        <v>2.8330000000000002</v>
      </c>
      <c r="I18" s="60">
        <v>2.9740000000000002</v>
      </c>
      <c r="J18" s="60">
        <v>2.6629999999999998</v>
      </c>
      <c r="K18" s="60">
        <v>2.411</v>
      </c>
      <c r="L18" s="60">
        <v>1.839</v>
      </c>
      <c r="M18" s="60">
        <v>2.1389999999999998</v>
      </c>
    </row>
    <row r="19" spans="1:13" x14ac:dyDescent="0.2">
      <c r="A19" s="60" t="s">
        <v>125</v>
      </c>
      <c r="B19" s="60" t="s">
        <v>6</v>
      </c>
      <c r="C19" s="69">
        <f>IF(IFERROR(INDEX('2016'!$H$5:$H$72,MATCH(B19,'2016'!$A$5:$A$72,0)),0)=0,"N/A",INDEX('2016'!$H$5:$H$72,MATCH(B19,'2016'!$A$5:$A$72,0)))</f>
        <v>3.2829999999999999</v>
      </c>
      <c r="D19" s="60">
        <v>3.6840000000000002</v>
      </c>
      <c r="E19" s="60">
        <v>3.198</v>
      </c>
      <c r="F19" s="60">
        <v>2.9980000000000002</v>
      </c>
      <c r="G19" s="60">
        <v>2.835</v>
      </c>
      <c r="H19" s="60">
        <v>3.0579999999999998</v>
      </c>
      <c r="I19" s="60">
        <v>3.5529999999999999</v>
      </c>
      <c r="J19" s="60">
        <v>2.9609999999999999</v>
      </c>
      <c r="K19" s="60">
        <v>2.9470000000000001</v>
      </c>
      <c r="L19" s="60">
        <v>3.452</v>
      </c>
      <c r="M19" s="60">
        <v>3.2109999999999999</v>
      </c>
    </row>
    <row r="20" spans="1:13" x14ac:dyDescent="0.2">
      <c r="A20" s="60" t="s">
        <v>215</v>
      </c>
      <c r="B20" s="60" t="s">
        <v>178</v>
      </c>
      <c r="C20" s="69">
        <f>IF(IFERROR(INDEX('2016'!$H$5:$H$72,MATCH(B20,'2016'!$A$5:$A$72,0)),0)=0,"N/A",INDEX('2016'!$H$5:$H$72,MATCH(B20,'2016'!$A$5:$A$72,0)))</f>
        <v>10.419</v>
      </c>
      <c r="D20" s="60">
        <v>9.4700000000000006</v>
      </c>
      <c r="E20" s="60">
        <v>6.66</v>
      </c>
      <c r="F20" s="60">
        <v>6.718</v>
      </c>
      <c r="G20" s="60">
        <v>5.0019999999999998</v>
      </c>
      <c r="H20" s="60">
        <v>3.278</v>
      </c>
      <c r="I20" s="60">
        <v>3.1789999999999998</v>
      </c>
      <c r="J20" s="60">
        <v>1.8879999999999999</v>
      </c>
      <c r="K20" s="60">
        <v>3.0030000000000001</v>
      </c>
      <c r="L20" s="60">
        <v>3.077</v>
      </c>
      <c r="M20" s="60">
        <v>4.8689999999999998</v>
      </c>
    </row>
    <row r="21" spans="1:13" x14ac:dyDescent="0.2">
      <c r="A21" s="60" t="s">
        <v>126</v>
      </c>
      <c r="B21" s="60" t="s">
        <v>9</v>
      </c>
      <c r="C21" s="69">
        <f>IF(IFERROR(INDEX('2016'!$H$5:$H$72,MATCH(B21,'2016'!$A$5:$A$72,0)),0)=0,"N/A",INDEX('2016'!$H$5:$H$72,MATCH(B21,'2016'!$A$5:$A$72,0)))</f>
        <v>5.9880000000000004</v>
      </c>
      <c r="D21" s="60">
        <v>5.6429999999999998</v>
      </c>
      <c r="E21" s="60">
        <v>5.73</v>
      </c>
      <c r="F21" s="60">
        <v>4.9790000000000001</v>
      </c>
      <c r="G21" s="60">
        <v>4.6459999999999999</v>
      </c>
      <c r="H21" s="60">
        <v>3.4710000000000001</v>
      </c>
      <c r="I21" s="60">
        <v>3.2890000000000001</v>
      </c>
      <c r="J21" s="60">
        <v>3.589</v>
      </c>
      <c r="K21" s="60">
        <v>3.4980000000000002</v>
      </c>
      <c r="L21" s="60">
        <v>5.61</v>
      </c>
      <c r="M21" s="60">
        <v>3.0070000000000001</v>
      </c>
    </row>
    <row r="22" spans="1:13" x14ac:dyDescent="0.2">
      <c r="A22" s="60" t="s">
        <v>179</v>
      </c>
      <c r="B22" s="60" t="s">
        <v>180</v>
      </c>
      <c r="C22" s="69">
        <f>IF(IFERROR(INDEX('2016'!$H$5:$H$72,MATCH(B22,'2016'!$A$5:$A$72,0)),0)=0,"N/A",INDEX('2016'!$H$5:$H$72,MATCH(B22,'2016'!$A$5:$A$72,0)))</f>
        <v>5.9290000000000003</v>
      </c>
      <c r="D22" s="60">
        <v>4.2910000000000004</v>
      </c>
      <c r="E22" s="60">
        <v>4.1050000000000004</v>
      </c>
      <c r="F22" s="60">
        <v>3.0169999999999999</v>
      </c>
      <c r="G22" s="60">
        <v>2.786</v>
      </c>
      <c r="H22" s="60">
        <v>2.6110000000000002</v>
      </c>
      <c r="I22" s="60">
        <v>3.0569999999999999</v>
      </c>
      <c r="J22" s="60">
        <v>3.2789999999999999</v>
      </c>
      <c r="K22" s="60">
        <v>2.4359999999999999</v>
      </c>
      <c r="L22" s="60">
        <v>2.238</v>
      </c>
      <c r="M22" s="60">
        <v>1.9590000000000001</v>
      </c>
    </row>
    <row r="23" spans="1:13" x14ac:dyDescent="0.2">
      <c r="A23" s="60" t="s">
        <v>127</v>
      </c>
      <c r="B23" s="60" t="s">
        <v>10</v>
      </c>
      <c r="C23" s="69">
        <f>IF(IFERROR(INDEX('2016'!$H$5:$H$72,MATCH(B23,'2016'!$A$5:$A$72,0)),0)=0,"N/A",INDEX('2016'!$H$5:$H$72,MATCH(B23,'2016'!$A$5:$A$72,0)))</f>
        <v>12.066000000000001</v>
      </c>
      <c r="D23" s="60">
        <v>10.423</v>
      </c>
      <c r="E23" s="60">
        <v>8.2590000000000003</v>
      </c>
      <c r="F23" s="60">
        <v>8.6660000000000004</v>
      </c>
      <c r="G23" s="60">
        <v>7.0650000000000004</v>
      </c>
      <c r="H23" s="60">
        <v>6.7160000000000002</v>
      </c>
      <c r="I23" s="60">
        <v>6.9580000000000002</v>
      </c>
      <c r="J23" s="60">
        <v>7.8010000000000002</v>
      </c>
      <c r="K23" s="60">
        <v>8.4979999999999993</v>
      </c>
      <c r="L23" s="60">
        <v>7.0880000000000001</v>
      </c>
      <c r="M23" s="60">
        <v>7.1740000000000004</v>
      </c>
    </row>
    <row r="24" spans="1:13" x14ac:dyDescent="0.2">
      <c r="A24" s="60" t="s">
        <v>181</v>
      </c>
      <c r="B24" s="60" t="s">
        <v>182</v>
      </c>
      <c r="C24" s="69">
        <f>IF(IFERROR(INDEX('2016'!$H$5:$H$72,MATCH(B24,'2016'!$A$5:$A$72,0)),0)=0,"N/A",INDEX('2016'!$H$5:$H$72,MATCH(B24,'2016'!$A$5:$A$72,0)))</f>
        <v>0.23300000000000001</v>
      </c>
      <c r="D24" s="60">
        <v>0.21099999999999999</v>
      </c>
      <c r="E24" s="60">
        <v>0.32100000000000001</v>
      </c>
      <c r="F24" s="60">
        <v>0.29399999999999998</v>
      </c>
      <c r="G24" s="60">
        <v>0.313</v>
      </c>
      <c r="H24" s="60">
        <v>0.95799999999999996</v>
      </c>
      <c r="I24" s="60">
        <v>8.6999999999999994E-2</v>
      </c>
      <c r="J24" s="60">
        <v>0.17599999999999999</v>
      </c>
      <c r="K24" s="60">
        <v>0.45700000000000002</v>
      </c>
      <c r="L24" s="60">
        <v>0.53900000000000003</v>
      </c>
      <c r="M24" s="60">
        <v>1.8320000000000001</v>
      </c>
    </row>
    <row r="25" spans="1:13" x14ac:dyDescent="0.2">
      <c r="A25" s="60" t="s">
        <v>183</v>
      </c>
      <c r="B25" s="60" t="s">
        <v>184</v>
      </c>
      <c r="C25" s="69">
        <f>IF(IFERROR(INDEX('2016'!$H$5:$H$72,MATCH(B25,'2016'!$A$5:$A$72,0)),0)=0,"N/A",INDEX('2016'!$H$5:$H$72,MATCH(B25,'2016'!$A$5:$A$72,0)))</f>
        <v>0.88900000000000001</v>
      </c>
      <c r="D25" s="60">
        <v>1.282</v>
      </c>
      <c r="E25" s="60">
        <v>1.163</v>
      </c>
      <c r="F25" s="60">
        <v>1.046</v>
      </c>
      <c r="G25" s="60">
        <v>1.0780000000000001</v>
      </c>
      <c r="H25" s="60">
        <v>1.2070000000000001</v>
      </c>
      <c r="I25" s="60">
        <v>0.79100000000000004</v>
      </c>
      <c r="J25" s="60">
        <v>1.2689999999999999</v>
      </c>
      <c r="K25" s="60">
        <v>0.84399999999999997</v>
      </c>
      <c r="L25" s="60">
        <v>1.2330000000000001</v>
      </c>
      <c r="M25" s="60">
        <v>1.1950000000000001</v>
      </c>
    </row>
    <row r="26" spans="1:13" x14ac:dyDescent="0.2">
      <c r="A26" s="60" t="s">
        <v>128</v>
      </c>
      <c r="B26" s="60" t="s">
        <v>11</v>
      </c>
      <c r="C26" s="69">
        <f>IF(IFERROR(INDEX('2016'!$H$5:$H$72,MATCH(B26,'2016'!$A$5:$A$72,0)),0)=0,"N/A",INDEX('2016'!$H$5:$H$72,MATCH(B26,'2016'!$A$5:$A$72,0)))</f>
        <v>9.6929999999999996</v>
      </c>
      <c r="D26" s="60">
        <v>9.3490000000000002</v>
      </c>
      <c r="E26" s="60">
        <v>9.1319999999999997</v>
      </c>
      <c r="F26" s="60">
        <v>7.0579999999999998</v>
      </c>
      <c r="G26" s="60">
        <v>7.1950000000000003</v>
      </c>
      <c r="H26" s="60">
        <v>6.41</v>
      </c>
      <c r="I26" s="60">
        <v>5.8920000000000003</v>
      </c>
      <c r="J26" s="60">
        <v>6.4009999999999998</v>
      </c>
      <c r="K26" s="60">
        <v>6.0940000000000003</v>
      </c>
      <c r="L26" s="60">
        <v>6.8860000000000001</v>
      </c>
      <c r="M26" s="60">
        <v>5.8049999999999997</v>
      </c>
    </row>
    <row r="27" spans="1:13" x14ac:dyDescent="0.2">
      <c r="A27" s="60" t="s">
        <v>129</v>
      </c>
      <c r="B27" s="60" t="s">
        <v>12</v>
      </c>
      <c r="C27" s="69">
        <f>IF(IFERROR(INDEX('2016'!$H$5:$H$72,MATCH(B27,'2016'!$A$5:$A$72,0)),0)=0,"N/A",INDEX('2016'!$H$5:$H$72,MATCH(B27,'2016'!$A$5:$A$72,0)))</f>
        <v>11.397</v>
      </c>
      <c r="D27" s="60">
        <v>11.255000000000001</v>
      </c>
      <c r="E27" s="60">
        <v>11.577</v>
      </c>
      <c r="F27" s="60">
        <v>10.593999999999999</v>
      </c>
      <c r="G27" s="60">
        <v>10.56</v>
      </c>
      <c r="H27" s="60">
        <v>8.7680000000000007</v>
      </c>
      <c r="I27" s="60">
        <v>6.4870000000000001</v>
      </c>
      <c r="J27" s="60">
        <v>6.258</v>
      </c>
      <c r="K27" s="60">
        <v>8.4220000000000006</v>
      </c>
      <c r="L27" s="60">
        <v>7.9580000000000002</v>
      </c>
      <c r="M27" s="60">
        <v>7.92</v>
      </c>
    </row>
    <row r="28" spans="1:13" x14ac:dyDescent="0.2">
      <c r="A28" s="60" t="s">
        <v>130</v>
      </c>
      <c r="B28" s="60" t="s">
        <v>13</v>
      </c>
      <c r="C28" s="69">
        <f>IF(IFERROR(INDEX('2016'!$H$5:$H$72,MATCH(B28,'2016'!$A$5:$A$72,0)),0)=0,"N/A",INDEX('2016'!$H$5:$H$72,MATCH(B28,'2016'!$A$5:$A$72,0)))</f>
        <v>11.287000000000001</v>
      </c>
      <c r="D28" s="60">
        <v>9.8339999999999996</v>
      </c>
      <c r="E28" s="60">
        <v>7.6150000000000002</v>
      </c>
      <c r="F28" s="60">
        <v>7.827</v>
      </c>
      <c r="G28" s="60">
        <v>7.8140000000000001</v>
      </c>
      <c r="H28" s="60">
        <v>9.798</v>
      </c>
      <c r="I28" s="60">
        <v>10.843</v>
      </c>
      <c r="J28" s="60">
        <v>9.8469999999999995</v>
      </c>
      <c r="K28" s="60">
        <v>10.345000000000001</v>
      </c>
      <c r="L28" s="60">
        <v>7.4290000000000003</v>
      </c>
      <c r="M28" s="60">
        <v>8.07</v>
      </c>
    </row>
    <row r="29" spans="1:13" x14ac:dyDescent="0.2">
      <c r="A29" s="60" t="s">
        <v>131</v>
      </c>
      <c r="B29" s="60" t="s">
        <v>14</v>
      </c>
      <c r="C29" s="69">
        <f>IF(IFERROR(INDEX('2016'!$H$5:$H$72,MATCH(B29,'2016'!$A$5:$A$72,0)),0)=0,"N/A",INDEX('2016'!$H$5:$H$72,MATCH(B29,'2016'!$A$5:$A$72,0)))</f>
        <v>11.461</v>
      </c>
      <c r="D29" s="60">
        <v>12.968</v>
      </c>
      <c r="E29" s="60">
        <v>11.989000000000001</v>
      </c>
      <c r="F29" s="60">
        <v>11.045999999999999</v>
      </c>
      <c r="G29" s="60">
        <v>12.734</v>
      </c>
      <c r="H29" s="60">
        <v>14.757</v>
      </c>
      <c r="I29" s="60">
        <v>13.944000000000001</v>
      </c>
      <c r="J29" s="60">
        <v>10.073</v>
      </c>
      <c r="K29" s="60">
        <v>8.6679999999999993</v>
      </c>
      <c r="L29" s="60">
        <v>8.6739999999999995</v>
      </c>
      <c r="M29" s="60">
        <v>7.7839999999999998</v>
      </c>
    </row>
    <row r="30" spans="1:13" x14ac:dyDescent="0.2">
      <c r="A30" s="60" t="s">
        <v>132</v>
      </c>
      <c r="B30" s="60" t="s">
        <v>15</v>
      </c>
      <c r="C30" s="69">
        <f>IF(IFERROR(INDEX('2016'!$H$5:$H$72,MATCH(B30,'2016'!$A$5:$A$72,0)),0)=0,"N/A",INDEX('2016'!$H$5:$H$72,MATCH(B30,'2016'!$A$5:$A$72,0)))</f>
        <v>7.0279999999999996</v>
      </c>
      <c r="D30" s="60">
        <v>8.5540000000000003</v>
      </c>
      <c r="E30" s="60">
        <v>8.5009999999999994</v>
      </c>
      <c r="F30" s="60">
        <v>7.1849999999999996</v>
      </c>
      <c r="G30" s="60">
        <v>6.6989999999999998</v>
      </c>
      <c r="H30" s="60">
        <v>5.9</v>
      </c>
      <c r="I30" s="60">
        <v>5.2670000000000003</v>
      </c>
      <c r="J30" s="60">
        <v>5.9459999999999997</v>
      </c>
      <c r="K30" s="60">
        <v>5.3550000000000004</v>
      </c>
      <c r="L30" s="60">
        <v>4.6269999999999998</v>
      </c>
      <c r="M30" s="60">
        <v>2.7330000000000001</v>
      </c>
    </row>
    <row r="31" spans="1:13" x14ac:dyDescent="0.2">
      <c r="A31" s="60" t="s">
        <v>134</v>
      </c>
      <c r="B31" s="60" t="s">
        <v>17</v>
      </c>
      <c r="C31" s="69">
        <f>IF(IFERROR(INDEX('2016'!$H$5:$H$72,MATCH(B31,'2016'!$A$5:$A$72,0)),0)=0,"N/A",INDEX('2016'!$H$5:$H$72,MATCH(B31,'2016'!$A$5:$A$72,0)))</f>
        <v>17.277999999999999</v>
      </c>
      <c r="D31" s="60">
        <v>16.786000000000001</v>
      </c>
      <c r="E31" s="60">
        <v>14.821999999999999</v>
      </c>
      <c r="F31" s="60">
        <v>15.728</v>
      </c>
      <c r="G31" s="60">
        <v>18.18</v>
      </c>
      <c r="H31" s="60">
        <v>15.205</v>
      </c>
      <c r="I31" s="60">
        <v>13.326000000000001</v>
      </c>
      <c r="J31" s="60">
        <v>12.99</v>
      </c>
      <c r="K31" s="60">
        <v>13.922000000000001</v>
      </c>
      <c r="L31" s="60">
        <v>10.288</v>
      </c>
      <c r="M31" s="60">
        <v>9.4350000000000005</v>
      </c>
    </row>
    <row r="32" spans="1:13" x14ac:dyDescent="0.2">
      <c r="A32" s="60" t="s">
        <v>210</v>
      </c>
      <c r="B32" s="60" t="s">
        <v>211</v>
      </c>
      <c r="C32" s="69">
        <f>IF(IFERROR(INDEX('2016'!$H$5:$H$72,MATCH(B32,'2016'!$A$5:$A$72,0)),0)=0,"N/A",INDEX('2016'!$H$5:$H$72,MATCH(B32,'2016'!$A$5:$A$72,0)))</f>
        <v>6.2380000000000004</v>
      </c>
      <c r="D32" s="60">
        <v>5.4359999999999999</v>
      </c>
      <c r="E32" s="60">
        <v>5.0590000000000002</v>
      </c>
      <c r="F32" s="60">
        <v>4.6210000000000004</v>
      </c>
      <c r="G32" s="60">
        <v>4.6879999999999997</v>
      </c>
      <c r="H32" s="60">
        <v>6.0780000000000003</v>
      </c>
      <c r="I32" s="60">
        <v>5.4089999999999998</v>
      </c>
      <c r="J32" s="60">
        <v>5.1710000000000003</v>
      </c>
      <c r="K32" s="60">
        <v>8.0559999999999992</v>
      </c>
      <c r="L32" s="60">
        <v>7.1360000000000001</v>
      </c>
      <c r="M32" s="60">
        <v>5.4880000000000004</v>
      </c>
    </row>
    <row r="33" spans="1:13" x14ac:dyDescent="0.2">
      <c r="A33" s="60" t="s">
        <v>135</v>
      </c>
      <c r="B33" s="60" t="s">
        <v>18</v>
      </c>
      <c r="C33" s="69">
        <f>IF(IFERROR(INDEX('2016'!$H$5:$H$72,MATCH(B33,'2016'!$A$5:$A$72,0)),0)=0,"N/A",INDEX('2016'!$H$5:$H$72,MATCH(B33,'2016'!$A$5:$A$72,0)))</f>
        <v>9.2560000000000002</v>
      </c>
      <c r="D33" s="60">
        <v>8.2880000000000003</v>
      </c>
      <c r="E33" s="60">
        <v>7.0679999999999996</v>
      </c>
      <c r="F33" s="60">
        <v>6.2930000000000001</v>
      </c>
      <c r="G33" s="60">
        <v>6.7720000000000002</v>
      </c>
      <c r="H33" s="60">
        <v>6.093</v>
      </c>
      <c r="I33" s="60">
        <v>5.0250000000000004</v>
      </c>
      <c r="J33" s="60">
        <v>4.9610000000000003</v>
      </c>
      <c r="K33" s="60">
        <v>4.7359999999999998</v>
      </c>
      <c r="L33" s="60">
        <v>4.0460000000000003</v>
      </c>
      <c r="M33" s="60">
        <v>3.61</v>
      </c>
    </row>
    <row r="34" spans="1:13" x14ac:dyDescent="0.2">
      <c r="A34" s="60" t="s">
        <v>136</v>
      </c>
      <c r="B34" s="60" t="s">
        <v>19</v>
      </c>
      <c r="C34" s="69">
        <f>IF(IFERROR(INDEX('2016'!$H$5:$H$72,MATCH(B34,'2016'!$A$5:$A$72,0)),0)=0,"N/A",INDEX('2016'!$H$5:$H$72,MATCH(B34,'2016'!$A$5:$A$72,0)))</f>
        <v>6.9340000000000002</v>
      </c>
      <c r="D34" s="60">
        <v>6.8330000000000002</v>
      </c>
      <c r="E34" s="60">
        <v>8.4179999999999993</v>
      </c>
      <c r="F34" s="60">
        <v>6.899</v>
      </c>
      <c r="G34" s="60">
        <v>7.0869999999999997</v>
      </c>
      <c r="H34" s="60">
        <v>5.4470000000000001</v>
      </c>
      <c r="I34" s="60">
        <v>6.44</v>
      </c>
      <c r="J34" s="60">
        <v>7.2270000000000003</v>
      </c>
      <c r="K34" s="60">
        <v>9.4740000000000002</v>
      </c>
      <c r="L34" s="60">
        <v>5.3570000000000002</v>
      </c>
      <c r="M34" s="60">
        <v>4.12</v>
      </c>
    </row>
    <row r="35" spans="1:13" x14ac:dyDescent="0.2">
      <c r="A35" s="60" t="s">
        <v>265</v>
      </c>
      <c r="B35" s="60" t="s">
        <v>266</v>
      </c>
      <c r="C35" s="69">
        <f>IF(IFERROR(INDEX('2016'!$H$5:$H$72,MATCH(B35,'2016'!$A$5:$A$72,0)),0)=0,"N/A",INDEX('2016'!$H$5:$H$72,MATCH(B35,'2016'!$A$5:$A$72,0)))</f>
        <v>5.133</v>
      </c>
      <c r="D35" s="60">
        <v>7.9660000000000002</v>
      </c>
      <c r="E35" s="60">
        <v>6</v>
      </c>
      <c r="F35" s="60">
        <v>5.3250000000000002</v>
      </c>
      <c r="G35" s="60">
        <v>5.68</v>
      </c>
      <c r="H35" s="60">
        <v>5.91</v>
      </c>
      <c r="I35" s="60">
        <v>5.8890000000000002</v>
      </c>
      <c r="J35" s="60">
        <v>5.7919999999999998</v>
      </c>
      <c r="K35" s="60">
        <v>5.343</v>
      </c>
      <c r="L35" s="60">
        <v>5.1630000000000003</v>
      </c>
      <c r="M35" s="60">
        <v>4.8029999999999999</v>
      </c>
    </row>
    <row r="36" spans="1:13" x14ac:dyDescent="0.2">
      <c r="A36" s="60" t="s">
        <v>185</v>
      </c>
      <c r="B36" s="60" t="s">
        <v>186</v>
      </c>
      <c r="C36" s="69">
        <f>IF(IFERROR(INDEX('2016'!$H$5:$H$72,MATCH(B36,'2016'!$A$5:$A$72,0)),0)=0,"N/A",INDEX('2016'!$H$5:$H$72,MATCH(B36,'2016'!$A$5:$A$72,0)))</f>
        <v>0.71499999999999997</v>
      </c>
      <c r="D36" s="60">
        <v>0.91100000000000003</v>
      </c>
      <c r="E36" s="60">
        <v>2.0609999999999999</v>
      </c>
      <c r="F36" s="60">
        <v>2.306</v>
      </c>
      <c r="G36" s="60">
        <v>2.4740000000000002</v>
      </c>
      <c r="H36" s="60">
        <v>2.8460000000000001</v>
      </c>
      <c r="I36" s="60">
        <v>1.046</v>
      </c>
      <c r="J36" s="60">
        <v>2.0299999999999998</v>
      </c>
      <c r="K36" s="60">
        <v>0.89</v>
      </c>
      <c r="L36" s="60">
        <v>0.56100000000000005</v>
      </c>
      <c r="M36" s="60">
        <v>0.56200000000000006</v>
      </c>
    </row>
    <row r="37" spans="1:13" x14ac:dyDescent="0.2">
      <c r="A37" s="60" t="s">
        <v>137</v>
      </c>
      <c r="B37" s="60" t="s">
        <v>20</v>
      </c>
      <c r="C37" s="69">
        <f>IF(IFERROR(INDEX('2016'!$H$5:$H$72,MATCH(B37,'2016'!$A$5:$A$72,0)),0)=0,"N/A",INDEX('2016'!$H$5:$H$72,MATCH(B37,'2016'!$A$5:$A$72,0)))</f>
        <v>2.8610000000000002</v>
      </c>
      <c r="D37" s="60">
        <v>4.423</v>
      </c>
      <c r="E37" s="60">
        <v>5.1029999999999998</v>
      </c>
      <c r="F37" s="60">
        <v>4.4249999999999998</v>
      </c>
      <c r="G37" s="60">
        <v>4.0090000000000003</v>
      </c>
      <c r="H37" s="60">
        <v>3.3959999999999999</v>
      </c>
      <c r="I37" s="60">
        <v>4.7640000000000002</v>
      </c>
      <c r="J37" s="60">
        <v>6.4889999999999999</v>
      </c>
      <c r="K37" s="60">
        <v>8.86</v>
      </c>
      <c r="L37" s="60">
        <v>6.1509999999999998</v>
      </c>
      <c r="M37" s="60">
        <v>6.0460000000000003</v>
      </c>
    </row>
    <row r="38" spans="1:13" x14ac:dyDescent="0.2">
      <c r="A38" s="60" t="s">
        <v>138</v>
      </c>
      <c r="B38" s="60" t="s">
        <v>21</v>
      </c>
      <c r="C38" s="69">
        <f>IF(IFERROR(INDEX('2016'!$H$5:$H$72,MATCH(B38,'2016'!$A$5:$A$72,0)),0)=0,"N/A",INDEX('2016'!$H$5:$H$72,MATCH(B38,'2016'!$A$5:$A$72,0)))</f>
        <v>3.04</v>
      </c>
      <c r="D38" s="60">
        <v>3.3849999999999998</v>
      </c>
      <c r="E38" s="60">
        <v>3.3119999999999998</v>
      </c>
      <c r="F38" s="60">
        <v>3.4950000000000001</v>
      </c>
      <c r="G38" s="60">
        <v>3.3239999999999998</v>
      </c>
      <c r="H38" s="60">
        <v>2.448</v>
      </c>
      <c r="I38" s="60">
        <v>1.923</v>
      </c>
      <c r="J38" s="60">
        <v>3.294</v>
      </c>
      <c r="K38" s="60">
        <v>3.1160000000000001</v>
      </c>
      <c r="L38" s="60">
        <v>2.6160000000000001</v>
      </c>
      <c r="M38" s="60">
        <v>2.5840000000000001</v>
      </c>
    </row>
    <row r="39" spans="1:13" x14ac:dyDescent="0.2">
      <c r="A39" s="60" t="s">
        <v>216</v>
      </c>
      <c r="B39" s="60" t="s">
        <v>22</v>
      </c>
      <c r="C39" s="69">
        <f>IF(IFERROR(INDEX('2016'!$H$5:$H$72,MATCH(B39,'2016'!$A$5:$A$72,0)),0)=0,"N/A",INDEX('2016'!$H$5:$H$72,MATCH(B39,'2016'!$A$5:$A$72,0)))</f>
        <v>5.8920000000000003</v>
      </c>
      <c r="D39" s="60">
        <v>5.8410000000000002</v>
      </c>
      <c r="E39" s="60">
        <v>5.452</v>
      </c>
      <c r="F39" s="60">
        <v>4.6840000000000002</v>
      </c>
      <c r="G39" s="60">
        <v>4.78</v>
      </c>
      <c r="H39" s="60">
        <v>6.7619999999999996</v>
      </c>
      <c r="I39" s="60">
        <v>6.8460000000000001</v>
      </c>
      <c r="J39" s="60">
        <v>5.26</v>
      </c>
      <c r="K39" s="60">
        <v>5.1909999999999998</v>
      </c>
      <c r="L39" s="60">
        <v>6.3860000000000001</v>
      </c>
      <c r="M39" s="60">
        <v>5.1580000000000004</v>
      </c>
    </row>
    <row r="40" spans="1:13" x14ac:dyDescent="0.2">
      <c r="A40" s="60" t="s">
        <v>139</v>
      </c>
      <c r="B40" s="60" t="s">
        <v>25</v>
      </c>
      <c r="C40" s="69">
        <f>IF(IFERROR(INDEX('2016'!$H$5:$H$72,MATCH(B40,'2016'!$A$5:$A$72,0)),0)=0,"N/A",INDEX('2016'!$H$5:$H$72,MATCH(B40,'2016'!$A$5:$A$72,0)))</f>
        <v>2.4129999999999998</v>
      </c>
      <c r="D40" s="60">
        <v>2.0779999999999998</v>
      </c>
      <c r="E40" s="60">
        <v>2.673</v>
      </c>
      <c r="F40" s="60">
        <v>3.4340000000000002</v>
      </c>
      <c r="G40" s="60">
        <v>2.839</v>
      </c>
      <c r="H40" s="60">
        <v>1.88</v>
      </c>
      <c r="I40" s="60">
        <v>1.756</v>
      </c>
      <c r="J40" s="60">
        <v>2.3540000000000001</v>
      </c>
      <c r="K40" s="60">
        <v>3.0790000000000002</v>
      </c>
      <c r="L40" s="60">
        <v>4.1379999999999999</v>
      </c>
      <c r="M40" s="60">
        <v>2.9420000000000002</v>
      </c>
    </row>
    <row r="41" spans="1:13" x14ac:dyDescent="0.2">
      <c r="A41" s="60" t="s">
        <v>187</v>
      </c>
      <c r="B41" s="60" t="s">
        <v>188</v>
      </c>
      <c r="C41" s="69">
        <f>IF(IFERROR(INDEX('2016'!$H$5:$H$72,MATCH(B41,'2016'!$A$5:$A$72,0)),0)=0,"N/A",INDEX('2016'!$H$5:$H$72,MATCH(B41,'2016'!$A$5:$A$72,0)))</f>
        <v>2.907</v>
      </c>
      <c r="D41" s="60">
        <v>1.5880000000000001</v>
      </c>
      <c r="E41" s="60">
        <v>1.401</v>
      </c>
      <c r="F41" s="60">
        <v>1.258</v>
      </c>
      <c r="G41" s="60">
        <v>1.3640000000000001</v>
      </c>
      <c r="H41" s="60">
        <v>1.5</v>
      </c>
      <c r="I41" s="60">
        <v>1.9019999999999999</v>
      </c>
      <c r="J41" s="60">
        <v>1.4890000000000001</v>
      </c>
      <c r="K41" s="60">
        <v>2.121</v>
      </c>
      <c r="L41" s="60">
        <v>1.6559999999999999</v>
      </c>
      <c r="M41" s="60">
        <v>2.306</v>
      </c>
    </row>
    <row r="42" spans="1:13" x14ac:dyDescent="0.2">
      <c r="A42" s="60" t="s">
        <v>189</v>
      </c>
      <c r="B42" s="60" t="s">
        <v>190</v>
      </c>
      <c r="C42" s="69">
        <f>IF(IFERROR(INDEX('2016'!$H$5:$H$72,MATCH(B42,'2016'!$A$5:$A$72,0)),0)=0,"N/A",INDEX('2016'!$H$5:$H$72,MATCH(B42,'2016'!$A$5:$A$72,0)))</f>
        <v>4.1459999999999999</v>
      </c>
      <c r="D42" s="60">
        <v>3.7570000000000001</v>
      </c>
      <c r="E42" s="60">
        <v>1.5229999999999999</v>
      </c>
      <c r="F42" s="60">
        <v>1.3260000000000001</v>
      </c>
      <c r="G42" s="60">
        <v>1.256</v>
      </c>
      <c r="H42" s="60">
        <v>1.129</v>
      </c>
      <c r="I42" s="60">
        <v>1.052</v>
      </c>
      <c r="J42" s="60">
        <v>0.90300000000000002</v>
      </c>
      <c r="K42" s="60">
        <v>0.86</v>
      </c>
      <c r="L42" s="60">
        <v>0.73</v>
      </c>
      <c r="M42" s="60">
        <v>0.64</v>
      </c>
    </row>
    <row r="43" spans="1:13" x14ac:dyDescent="0.2">
      <c r="A43" s="60" t="s">
        <v>140</v>
      </c>
      <c r="B43" s="60" t="s">
        <v>141</v>
      </c>
      <c r="C43" s="69">
        <f>IF(IFERROR(INDEX('2016'!$H$5:$H$72,MATCH(B43,'2016'!$A$5:$A$72,0)),0)=0,"N/A",INDEX('2016'!$H$5:$H$72,MATCH(B43,'2016'!$A$5:$A$72,0)))</f>
        <v>20.59</v>
      </c>
      <c r="D43" s="60">
        <v>18.170999999999999</v>
      </c>
      <c r="E43" s="60">
        <v>15.84</v>
      </c>
      <c r="F43" s="60">
        <v>15.361000000000001</v>
      </c>
      <c r="G43" s="60">
        <v>22.314</v>
      </c>
      <c r="H43" s="60">
        <v>15.933</v>
      </c>
      <c r="I43" s="60">
        <v>13.891</v>
      </c>
      <c r="J43" s="60">
        <v>14.52</v>
      </c>
      <c r="K43" s="60">
        <v>12.805</v>
      </c>
      <c r="L43" s="60">
        <v>12.321</v>
      </c>
      <c r="M43" s="60">
        <v>9.2230000000000008</v>
      </c>
    </row>
    <row r="44" spans="1:13" x14ac:dyDescent="0.2">
      <c r="A44" s="60" t="s">
        <v>142</v>
      </c>
      <c r="B44" s="60" t="s">
        <v>26</v>
      </c>
      <c r="C44" s="69">
        <f>IF(IFERROR(INDEX('2016'!$H$5:$H$72,MATCH(B44,'2016'!$A$5:$A$72,0)),0)=0,"N/A",INDEX('2016'!$H$5:$H$72,MATCH(B44,'2016'!$A$5:$A$72,0)))</f>
        <v>4.5650000000000004</v>
      </c>
      <c r="D44" s="60">
        <v>4.2640000000000002</v>
      </c>
      <c r="E44" s="60">
        <v>6.4189999999999996</v>
      </c>
      <c r="F44" s="60">
        <v>5.9930000000000003</v>
      </c>
      <c r="G44" s="60">
        <v>4.83</v>
      </c>
      <c r="H44" s="60">
        <v>3.988</v>
      </c>
      <c r="I44" s="60">
        <v>2.8780000000000001</v>
      </c>
      <c r="J44" s="60">
        <v>2.8079999999999998</v>
      </c>
      <c r="K44" s="60">
        <v>3.536</v>
      </c>
      <c r="L44" s="60">
        <v>2.875</v>
      </c>
      <c r="M44" s="60">
        <v>2.3290000000000002</v>
      </c>
    </row>
    <row r="45" spans="1:13" x14ac:dyDescent="0.2">
      <c r="A45" s="60" t="s">
        <v>191</v>
      </c>
      <c r="B45" s="60" t="s">
        <v>192</v>
      </c>
      <c r="C45" s="69">
        <f>IF(IFERROR(INDEX('2016'!$H$5:$H$72,MATCH(B45,'2016'!$A$5:$A$72,0)),0)=0,"N/A",INDEX('2016'!$H$5:$H$72,MATCH(B45,'2016'!$A$5:$A$72,0)))</f>
        <v>4.8730000000000002</v>
      </c>
      <c r="D45" s="60">
        <v>4.37</v>
      </c>
      <c r="E45" s="60">
        <v>4.4020000000000001</v>
      </c>
      <c r="F45" s="60">
        <v>5.1310000000000002</v>
      </c>
      <c r="G45" s="60">
        <v>4.9050000000000002</v>
      </c>
      <c r="H45" s="60">
        <v>3.7570000000000001</v>
      </c>
      <c r="I45" s="60">
        <v>9.3510000000000009</v>
      </c>
      <c r="J45" s="60">
        <v>5.093</v>
      </c>
      <c r="K45" s="60">
        <v>3.9239999999999999</v>
      </c>
      <c r="L45" s="60">
        <v>4.4770000000000003</v>
      </c>
      <c r="M45" s="60">
        <v>3.5640000000000001</v>
      </c>
    </row>
    <row r="46" spans="1:13" x14ac:dyDescent="0.2">
      <c r="A46" s="60" t="s">
        <v>143</v>
      </c>
      <c r="B46" s="60" t="s">
        <v>144</v>
      </c>
      <c r="C46" s="69">
        <f>IF(IFERROR(INDEX('2016'!$H$5:$H$72,MATCH(B46,'2016'!$A$5:$A$72,0)),0)=0,"N/A",INDEX('2016'!$H$5:$H$72,MATCH(B46,'2016'!$A$5:$A$72,0)))</f>
        <v>5.9569999999999999</v>
      </c>
      <c r="D46" s="60">
        <v>5.8890000000000002</v>
      </c>
      <c r="E46" s="60">
        <v>5.7629999999999999</v>
      </c>
      <c r="F46" s="60">
        <v>5.9480000000000004</v>
      </c>
      <c r="G46" s="60">
        <v>5.89</v>
      </c>
      <c r="H46" s="60">
        <v>5.202</v>
      </c>
      <c r="I46" s="60">
        <v>6.3029999999999999</v>
      </c>
      <c r="J46" s="60">
        <v>5.2590000000000003</v>
      </c>
      <c r="K46" s="60">
        <v>3.4670000000000001</v>
      </c>
      <c r="L46" s="60">
        <v>3.004</v>
      </c>
      <c r="M46" s="60">
        <v>2.8090000000000002</v>
      </c>
    </row>
    <row r="47" spans="1:13" x14ac:dyDescent="0.2">
      <c r="A47" s="60" t="s">
        <v>145</v>
      </c>
      <c r="B47" s="60" t="s">
        <v>27</v>
      </c>
      <c r="C47" s="69">
        <f>IF(IFERROR(INDEX('2016'!$H$5:$H$72,MATCH(B47,'2016'!$A$5:$A$72,0)),0)=0,"N/A",INDEX('2016'!$H$5:$H$72,MATCH(B47,'2016'!$A$5:$A$72,0)))</f>
        <v>3.3050000000000002</v>
      </c>
      <c r="D47" s="60">
        <v>2.7429999999999999</v>
      </c>
      <c r="E47" s="60">
        <v>2.855</v>
      </c>
      <c r="F47" s="60">
        <v>4.99</v>
      </c>
      <c r="G47" s="60">
        <v>5.8540000000000001</v>
      </c>
      <c r="H47" s="60">
        <v>6.4749999999999996</v>
      </c>
      <c r="I47" s="60">
        <v>4.3630000000000004</v>
      </c>
      <c r="J47" s="60">
        <v>4.37</v>
      </c>
      <c r="K47" s="60">
        <v>4.0110000000000001</v>
      </c>
      <c r="L47" s="60">
        <v>3.0379999999999998</v>
      </c>
      <c r="M47" s="60">
        <v>2.6680000000000001</v>
      </c>
    </row>
    <row r="48" spans="1:13" x14ac:dyDescent="0.2">
      <c r="A48" s="60" t="s">
        <v>349</v>
      </c>
      <c r="B48" s="60" t="s">
        <v>346</v>
      </c>
      <c r="C48" s="69">
        <f>IF(IFERROR(INDEX('2016'!$H$5:$H$72,MATCH(B48,'2016'!$A$5:$A$72,0)),0)=0,"N/A",INDEX('2016'!$H$5:$H$72,MATCH(B48,'2016'!$A$5:$A$72,0)))</f>
        <v>5.9119999999999999</v>
      </c>
      <c r="D48" s="60">
        <v>5.6319999999999997</v>
      </c>
      <c r="E48" s="60">
        <v>5.7039999999999997</v>
      </c>
    </row>
    <row r="49" spans="1:13" x14ac:dyDescent="0.2">
      <c r="A49" s="60" t="s">
        <v>146</v>
      </c>
      <c r="B49" s="60" t="s">
        <v>28</v>
      </c>
      <c r="C49" s="69">
        <f>IF(IFERROR(INDEX('2016'!$H$5:$H$72,MATCH(B49,'2016'!$A$5:$A$72,0)),0)=0,"N/A",INDEX('2016'!$H$5:$H$72,MATCH(B49,'2016'!$A$5:$A$72,0)))</f>
        <v>4.0979999999999999</v>
      </c>
      <c r="D49" s="60">
        <v>4.2290000000000001</v>
      </c>
      <c r="E49" s="60">
        <v>4.3949999999999996</v>
      </c>
      <c r="F49" s="60">
        <v>4.5339999999999998</v>
      </c>
      <c r="G49" s="60">
        <v>3.2010000000000001</v>
      </c>
      <c r="H49" s="60">
        <v>2.0409999999999999</v>
      </c>
      <c r="I49" s="60">
        <v>2.3769999999999998</v>
      </c>
      <c r="J49" s="60">
        <v>4.9459999999999997</v>
      </c>
      <c r="K49" s="60">
        <v>7.5140000000000002</v>
      </c>
      <c r="L49" s="60">
        <v>5.4269999999999996</v>
      </c>
      <c r="M49" s="60">
        <v>2.3519999999999999</v>
      </c>
    </row>
    <row r="50" spans="1:13" x14ac:dyDescent="0.2">
      <c r="A50" s="60" t="s">
        <v>147</v>
      </c>
      <c r="B50" s="60" t="s">
        <v>30</v>
      </c>
      <c r="C50" s="69">
        <f>IF(IFERROR(INDEX('2016'!$H$5:$H$72,MATCH(B50,'2016'!$A$5:$A$72,0)),0)=0,"N/A",INDEX('2016'!$H$5:$H$72,MATCH(B50,'2016'!$A$5:$A$72,0)))</f>
        <v>11.263</v>
      </c>
      <c r="D50" s="60">
        <v>10.513999999999999</v>
      </c>
      <c r="E50" s="60">
        <v>10.154999999999999</v>
      </c>
      <c r="F50" s="60">
        <v>11.401999999999999</v>
      </c>
      <c r="G50" s="60">
        <v>10.736000000000001</v>
      </c>
      <c r="H50" s="60">
        <v>9.7949999999999999</v>
      </c>
      <c r="I50" s="60">
        <v>9.6199999999999992</v>
      </c>
      <c r="J50" s="60">
        <v>10.68</v>
      </c>
      <c r="K50" s="60">
        <v>10.048</v>
      </c>
      <c r="L50" s="60">
        <v>7.8280000000000003</v>
      </c>
      <c r="M50" s="60">
        <v>6.9</v>
      </c>
    </row>
    <row r="51" spans="1:13" x14ac:dyDescent="0.2">
      <c r="A51" s="60" t="s">
        <v>148</v>
      </c>
      <c r="B51" s="60" t="s">
        <v>31</v>
      </c>
      <c r="C51" s="69">
        <f>IF(IFERROR(INDEX('2016'!$H$5:$H$72,MATCH(B51,'2016'!$A$5:$A$72,0)),0)=0,"N/A",INDEX('2016'!$H$5:$H$72,MATCH(B51,'2016'!$A$5:$A$72,0)))</f>
        <v>11.635</v>
      </c>
      <c r="D51" s="60">
        <v>9.843</v>
      </c>
      <c r="E51" s="60">
        <v>8.3759999999999994</v>
      </c>
      <c r="F51" s="60">
        <v>9.359</v>
      </c>
      <c r="G51" s="60">
        <v>8.2420000000000009</v>
      </c>
      <c r="H51" s="60">
        <v>8.2629999999999999</v>
      </c>
      <c r="I51" s="60">
        <v>7.0350000000000001</v>
      </c>
      <c r="J51" s="60">
        <v>7.6440000000000001</v>
      </c>
      <c r="K51" s="60">
        <v>9.4600000000000009</v>
      </c>
      <c r="L51" s="60">
        <v>9.3710000000000004</v>
      </c>
      <c r="M51" s="60">
        <v>7.5910000000000002</v>
      </c>
    </row>
    <row r="52" spans="1:13" x14ac:dyDescent="0.2">
      <c r="A52" s="60" t="s">
        <v>149</v>
      </c>
      <c r="B52" s="60" t="s">
        <v>32</v>
      </c>
      <c r="C52" s="69">
        <f>IF(IFERROR(INDEX('2016'!$H$5:$H$72,MATCH(B52,'2016'!$A$5:$A$72,0)),0)=0,"N/A",INDEX('2016'!$H$5:$H$72,MATCH(B52,'2016'!$A$5:$A$72,0)))</f>
        <v>7.5339999999999998</v>
      </c>
      <c r="D52" s="60">
        <v>7.0129999999999999</v>
      </c>
      <c r="E52" s="60">
        <v>5.7830000000000004</v>
      </c>
      <c r="F52" s="60">
        <v>4.3689999999999998</v>
      </c>
      <c r="G52" s="60">
        <v>3.8780000000000001</v>
      </c>
      <c r="H52" s="60">
        <v>4.1040000000000001</v>
      </c>
      <c r="I52" s="60">
        <v>3.2480000000000002</v>
      </c>
      <c r="J52" s="60">
        <v>3.323</v>
      </c>
      <c r="K52" s="60">
        <v>3.9860000000000002</v>
      </c>
      <c r="L52" s="60">
        <v>5.9359999999999999</v>
      </c>
      <c r="M52" s="60">
        <v>4.0350000000000001</v>
      </c>
    </row>
    <row r="53" spans="1:13" x14ac:dyDescent="0.2">
      <c r="A53" s="60" t="s">
        <v>150</v>
      </c>
      <c r="B53" s="60" t="s">
        <v>33</v>
      </c>
      <c r="C53" s="69">
        <f>IF(IFERROR(INDEX('2016'!$H$5:$H$72,MATCH(B53,'2016'!$A$5:$A$72,0)),0)=0,"N/A",INDEX('2016'!$H$5:$H$72,MATCH(B53,'2016'!$A$5:$A$72,0)))</f>
        <v>6.5659999999999998</v>
      </c>
      <c r="D53" s="60">
        <v>6.7350000000000003</v>
      </c>
      <c r="E53" s="60">
        <v>12.872999999999999</v>
      </c>
      <c r="F53" s="60">
        <v>8.4009999999999998</v>
      </c>
      <c r="G53" s="60">
        <v>4.01</v>
      </c>
      <c r="H53" s="60">
        <v>3.9809999999999999</v>
      </c>
      <c r="I53" s="60">
        <v>5.9749999999999996</v>
      </c>
      <c r="J53" s="60">
        <v>9.2539999999999996</v>
      </c>
      <c r="K53" s="60">
        <v>6.1210000000000004</v>
      </c>
      <c r="L53" s="60">
        <v>7.2770000000000001</v>
      </c>
      <c r="M53" s="60">
        <v>5.9359999999999999</v>
      </c>
    </row>
    <row r="54" spans="1:13" x14ac:dyDescent="0.2">
      <c r="A54" s="60" t="s">
        <v>151</v>
      </c>
      <c r="B54" s="60" t="s">
        <v>34</v>
      </c>
      <c r="C54" s="69">
        <f>IF(IFERROR(INDEX('2016'!$H$5:$H$72,MATCH(B54,'2016'!$A$5:$A$72,0)),0)=0,"N/A",INDEX('2016'!$H$5:$H$72,MATCH(B54,'2016'!$A$5:$A$72,0)))</f>
        <v>4.2960000000000003</v>
      </c>
      <c r="D54" s="60">
        <v>5.2430000000000003</v>
      </c>
      <c r="E54" s="60">
        <v>6.1429999999999998</v>
      </c>
      <c r="F54" s="60">
        <v>6.6820000000000004</v>
      </c>
      <c r="G54" s="60">
        <v>5.3360000000000003</v>
      </c>
      <c r="H54" s="60">
        <v>4.3</v>
      </c>
      <c r="I54" s="60">
        <v>3.3039999999999998</v>
      </c>
      <c r="J54" s="60">
        <v>3.2480000000000002</v>
      </c>
      <c r="K54" s="60">
        <v>3.786</v>
      </c>
      <c r="L54" s="60">
        <v>4.5140000000000002</v>
      </c>
      <c r="M54" s="60">
        <v>3.62</v>
      </c>
    </row>
    <row r="55" spans="1:13" x14ac:dyDescent="0.2">
      <c r="A55" s="60" t="s">
        <v>152</v>
      </c>
      <c r="B55" s="60" t="s">
        <v>35</v>
      </c>
      <c r="C55" s="69">
        <f>IF(IFERROR(INDEX('2016'!$H$5:$H$72,MATCH(B55,'2016'!$A$5:$A$72,0)),0)=0,"N/A",INDEX('2016'!$H$5:$H$72,MATCH(B55,'2016'!$A$5:$A$72,0)))</f>
        <v>8.3170000000000002</v>
      </c>
      <c r="D55" s="60">
        <v>7.6449999999999996</v>
      </c>
      <c r="E55" s="60">
        <v>5.5750000000000002</v>
      </c>
      <c r="F55" s="60">
        <v>5.5570000000000004</v>
      </c>
      <c r="G55" s="60">
        <v>5.0880000000000001</v>
      </c>
      <c r="H55" s="60">
        <v>4.117</v>
      </c>
      <c r="I55" s="60">
        <v>4.2690000000000001</v>
      </c>
      <c r="J55" s="60">
        <v>3.5459999999999998</v>
      </c>
      <c r="K55" s="60">
        <v>3.5</v>
      </c>
      <c r="L55" s="60">
        <v>2.6509999999999998</v>
      </c>
      <c r="M55" s="60">
        <v>2.0089999999999999</v>
      </c>
    </row>
    <row r="56" spans="1:13" x14ac:dyDescent="0.2">
      <c r="A56" s="60" t="s">
        <v>193</v>
      </c>
      <c r="B56" s="60" t="s">
        <v>194</v>
      </c>
      <c r="C56" s="69">
        <f>IF(IFERROR(INDEX('2016'!$H$5:$H$72,MATCH(B56,'2016'!$A$5:$A$72,0)),0)=0,"N/A",INDEX('2016'!$H$5:$H$72,MATCH(B56,'2016'!$A$5:$A$72,0)))</f>
        <v>2.4990000000000001</v>
      </c>
      <c r="D56" s="60">
        <v>1.9379999999999999</v>
      </c>
      <c r="E56" s="60">
        <v>2.0779999999999998</v>
      </c>
      <c r="F56" s="60">
        <v>1.4119999999999999</v>
      </c>
      <c r="G56" s="60">
        <v>1.24</v>
      </c>
      <c r="H56" s="60">
        <v>1.0940000000000001</v>
      </c>
      <c r="I56" s="60">
        <v>0.876</v>
      </c>
      <c r="J56" s="60">
        <v>0.85599999999999998</v>
      </c>
      <c r="K56" s="60">
        <v>0.98699999999999999</v>
      </c>
      <c r="L56" s="60">
        <v>0.91600000000000004</v>
      </c>
      <c r="M56" s="60">
        <v>1.218</v>
      </c>
    </row>
    <row r="57" spans="1:13" x14ac:dyDescent="0.2">
      <c r="A57" s="60" t="s">
        <v>153</v>
      </c>
      <c r="B57" s="60" t="s">
        <v>36</v>
      </c>
      <c r="C57" s="69">
        <f>IF(IFERROR(INDEX('2016'!$H$5:$H$72,MATCH(B57,'2016'!$A$5:$A$72,0)),0)=0,"N/A",INDEX('2016'!$H$5:$H$72,MATCH(B57,'2016'!$A$5:$A$72,0)))</f>
        <v>11.05</v>
      </c>
      <c r="D57" s="60">
        <v>8.0690000000000008</v>
      </c>
      <c r="E57" s="60">
        <v>7.6520000000000001</v>
      </c>
      <c r="F57" s="60">
        <v>7.8440000000000003</v>
      </c>
      <c r="G57" s="60">
        <v>8.1579999999999995</v>
      </c>
      <c r="H57" s="60">
        <v>6.806</v>
      </c>
      <c r="I57" s="60">
        <v>6.8739999999999997</v>
      </c>
      <c r="J57" s="60">
        <v>7.41</v>
      </c>
      <c r="K57" s="60">
        <v>7.6749999999999998</v>
      </c>
      <c r="L57" s="60">
        <v>6.2140000000000004</v>
      </c>
      <c r="M57" s="60">
        <v>4.5170000000000003</v>
      </c>
    </row>
    <row r="58" spans="1:13" x14ac:dyDescent="0.2">
      <c r="A58" s="60" t="s">
        <v>154</v>
      </c>
      <c r="B58" s="60" t="s">
        <v>37</v>
      </c>
      <c r="C58" s="69">
        <f>IF(IFERROR(INDEX('2016'!$H$5:$H$72,MATCH(B58,'2016'!$A$5:$A$72,0)),0)=0,"N/A",INDEX('2016'!$H$5:$H$72,MATCH(B58,'2016'!$A$5:$A$72,0)))</f>
        <v>16.846</v>
      </c>
      <c r="D58" s="60">
        <v>12.711</v>
      </c>
      <c r="E58" s="60">
        <v>12.678000000000001</v>
      </c>
      <c r="F58" s="60">
        <v>10.521000000000001</v>
      </c>
      <c r="G58" s="60">
        <v>12.196</v>
      </c>
      <c r="H58" s="60">
        <v>11.853</v>
      </c>
      <c r="I58" s="60">
        <v>8.5760000000000005</v>
      </c>
      <c r="J58" s="60">
        <v>7.7560000000000002</v>
      </c>
      <c r="K58" s="60">
        <v>8.4700000000000006</v>
      </c>
      <c r="L58" s="60">
        <v>7.6989999999999998</v>
      </c>
      <c r="M58" s="60">
        <v>7.2779999999999996</v>
      </c>
    </row>
    <row r="59" spans="1:13" x14ac:dyDescent="0.2">
      <c r="A59" s="60" t="s">
        <v>195</v>
      </c>
      <c r="B59" s="60" t="s">
        <v>196</v>
      </c>
      <c r="C59" s="69">
        <f>IF(IFERROR(INDEX('2016'!$H$5:$H$72,MATCH(B59,'2016'!$A$5:$A$72,0)),0)=0,"N/A",INDEX('2016'!$H$5:$H$72,MATCH(B59,'2016'!$A$5:$A$72,0)))</f>
        <v>6.952</v>
      </c>
      <c r="D59" s="60">
        <v>5.2389999999999999</v>
      </c>
      <c r="E59" s="60">
        <v>5.0199999999999996</v>
      </c>
      <c r="F59" s="60">
        <v>4.6769999999999996</v>
      </c>
      <c r="G59" s="60">
        <v>5.6680000000000001</v>
      </c>
      <c r="H59" s="60">
        <v>3.7509999999999999</v>
      </c>
      <c r="I59" s="60">
        <v>5.6479999999999997</v>
      </c>
      <c r="J59" s="60">
        <v>3.17</v>
      </c>
      <c r="K59" s="60">
        <v>3.7930000000000001</v>
      </c>
      <c r="L59" s="60">
        <v>6.6150000000000002</v>
      </c>
      <c r="M59" s="60">
        <v>3.87</v>
      </c>
    </row>
    <row r="60" spans="1:13" x14ac:dyDescent="0.2">
      <c r="A60" s="60" t="s">
        <v>197</v>
      </c>
      <c r="B60" s="60" t="s">
        <v>198</v>
      </c>
      <c r="C60" s="69">
        <f>IF(IFERROR(INDEX('2016'!$H$5:$H$72,MATCH(B60,'2016'!$A$5:$A$72,0)),0)=0,"N/A",INDEX('2016'!$H$5:$H$72,MATCH(B60,'2016'!$A$5:$A$72,0)))</f>
        <v>3.4980000000000002</v>
      </c>
      <c r="D60" s="60">
        <v>4.87</v>
      </c>
      <c r="E60" s="60">
        <v>5.0129999999999999</v>
      </c>
      <c r="F60" s="60">
        <v>4.8390000000000004</v>
      </c>
      <c r="G60" s="60">
        <v>4.01</v>
      </c>
      <c r="H60" s="60">
        <v>3.1960000000000002</v>
      </c>
      <c r="I60" s="60">
        <v>2.794</v>
      </c>
      <c r="J60" s="60">
        <v>1.8340000000000001</v>
      </c>
      <c r="K60" s="60">
        <v>1.042</v>
      </c>
      <c r="L60" s="60">
        <v>0.93799999999999994</v>
      </c>
      <c r="M60" s="60">
        <v>1.256</v>
      </c>
    </row>
    <row r="61" spans="1:13" x14ac:dyDescent="0.2">
      <c r="A61" s="60" t="s">
        <v>155</v>
      </c>
      <c r="B61" s="60" t="s">
        <v>38</v>
      </c>
      <c r="C61" s="69">
        <f>IF(IFERROR(INDEX('2016'!$H$5:$H$72,MATCH(B61,'2016'!$A$5:$A$72,0)),0)=0,"N/A",INDEX('2016'!$H$5:$H$72,MATCH(B61,'2016'!$A$5:$A$72,0)))</f>
        <v>7.3810000000000002</v>
      </c>
      <c r="D61" s="60">
        <v>6.2229999999999999</v>
      </c>
      <c r="E61" s="60">
        <v>6.5839999999999996</v>
      </c>
      <c r="F61" s="60">
        <v>6.1580000000000004</v>
      </c>
      <c r="G61" s="60">
        <v>5.5419999999999998</v>
      </c>
      <c r="H61" s="60">
        <v>5.23</v>
      </c>
      <c r="I61" s="60">
        <v>4.8449999999999998</v>
      </c>
      <c r="J61" s="60">
        <v>5.6980000000000004</v>
      </c>
      <c r="K61" s="60">
        <v>5.0970000000000004</v>
      </c>
      <c r="L61" s="60">
        <v>4.6459999999999999</v>
      </c>
      <c r="M61" s="60">
        <v>4.0119999999999996</v>
      </c>
    </row>
    <row r="62" spans="1:13" x14ac:dyDescent="0.2">
      <c r="A62" s="60" t="s">
        <v>199</v>
      </c>
      <c r="B62" s="60" t="s">
        <v>200</v>
      </c>
      <c r="C62" s="69">
        <f>IF(IFERROR(INDEX('2016'!$H$5:$H$72,MATCH(B62,'2016'!$A$5:$A$72,0)),0)=0,"N/A",INDEX('2016'!$H$5:$H$72,MATCH(B62,'2016'!$A$5:$A$72,0)))</f>
        <v>11.151999999999999</v>
      </c>
      <c r="D62" s="60">
        <v>10.3</v>
      </c>
      <c r="E62" s="60">
        <v>8.5310000000000006</v>
      </c>
      <c r="F62" s="60">
        <v>7.8579999999999997</v>
      </c>
      <c r="G62" s="60">
        <v>8.5749999999999993</v>
      </c>
      <c r="H62" s="60">
        <v>8.2899999999999991</v>
      </c>
      <c r="I62" s="60">
        <v>4.7290000000000001</v>
      </c>
      <c r="J62" s="60">
        <v>4.8120000000000003</v>
      </c>
      <c r="K62" s="60">
        <v>6.7939999999999996</v>
      </c>
      <c r="L62" s="60">
        <v>7.9630000000000001</v>
      </c>
      <c r="M62" s="60">
        <v>8.2669999999999995</v>
      </c>
    </row>
    <row r="63" spans="1:13" x14ac:dyDescent="0.2">
      <c r="A63" s="60" t="s">
        <v>243</v>
      </c>
      <c r="B63" s="60" t="s">
        <v>244</v>
      </c>
      <c r="C63" s="69">
        <f>IF(IFERROR(INDEX('2016'!$H$5:$H$72,MATCH(B63,'2016'!$A$5:$A$72,0)),0)=0,"N/A",INDEX('2016'!$H$5:$H$72,MATCH(B63,'2016'!$A$5:$A$72,0)))</f>
        <v>6.4249999999999998</v>
      </c>
      <c r="D63" s="60">
        <v>6.6840000000000002</v>
      </c>
      <c r="E63" s="60">
        <v>3.96</v>
      </c>
      <c r="F63" s="60">
        <v>4</v>
      </c>
      <c r="G63" s="60">
        <v>4.8259999999999996</v>
      </c>
      <c r="H63" s="60">
        <v>3.0150000000000001</v>
      </c>
      <c r="I63" s="60">
        <v>2.5569999999999999</v>
      </c>
      <c r="J63" s="60">
        <v>2.363</v>
      </c>
      <c r="K63" s="60">
        <v>2.5739999999999998</v>
      </c>
      <c r="L63" s="60">
        <v>2.72</v>
      </c>
      <c r="M63" s="60">
        <v>2.9689999999999999</v>
      </c>
    </row>
    <row r="64" spans="1:13" x14ac:dyDescent="0.2">
      <c r="A64" s="60" t="s">
        <v>201</v>
      </c>
      <c r="B64" s="60" t="s">
        <v>202</v>
      </c>
      <c r="C64" s="69">
        <f>IF(IFERROR(INDEX('2016'!$H$5:$H$72,MATCH(B64,'2016'!$A$5:$A$72,0)),0)=0,"N/A",INDEX('2016'!$H$5:$H$72,MATCH(B64,'2016'!$A$5:$A$72,0)))</f>
        <v>0.18</v>
      </c>
      <c r="D64" s="60">
        <v>0.16600000000000001</v>
      </c>
      <c r="E64" s="60">
        <v>0.159</v>
      </c>
      <c r="F64" s="60">
        <v>0.104</v>
      </c>
      <c r="G64" s="60">
        <v>9.5000000000000001E-2</v>
      </c>
      <c r="H64" s="60">
        <v>9.8000000000000004E-2</v>
      </c>
      <c r="I64" s="60">
        <v>8.3000000000000004E-2</v>
      </c>
      <c r="J64" s="60">
        <v>5.8000000000000003E-2</v>
      </c>
      <c r="K64" s="60">
        <v>5.5E-2</v>
      </c>
      <c r="L64" s="60">
        <v>6.4000000000000001E-2</v>
      </c>
      <c r="M64" s="60">
        <v>7.1999999999999995E-2</v>
      </c>
    </row>
    <row r="65" spans="1:13" x14ac:dyDescent="0.2">
      <c r="A65" s="60" t="s">
        <v>203</v>
      </c>
      <c r="B65" s="60" t="s">
        <v>204</v>
      </c>
      <c r="C65" s="69">
        <f>IF(IFERROR(INDEX('2016'!$H$5:$H$72,MATCH(B65,'2016'!$A$5:$A$72,0)),0)=0,"N/A",INDEX('2016'!$H$5:$H$72,MATCH(B65,'2016'!$A$5:$A$72,0)))</f>
        <v>3.2559999999999998</v>
      </c>
      <c r="D65" s="60">
        <v>2.8340000000000001</v>
      </c>
      <c r="E65" s="60">
        <v>2.645</v>
      </c>
      <c r="F65" s="60">
        <v>2.8439999999999999</v>
      </c>
      <c r="G65" s="60">
        <v>2.008</v>
      </c>
      <c r="H65" s="60">
        <v>2.15</v>
      </c>
      <c r="I65" s="60">
        <v>2.113</v>
      </c>
      <c r="J65" s="60">
        <v>1.853</v>
      </c>
      <c r="K65" s="60">
        <v>1.4410000000000001</v>
      </c>
      <c r="L65" s="60">
        <v>1.395</v>
      </c>
      <c r="M65" s="60">
        <v>1.212</v>
      </c>
    </row>
    <row r="66" spans="1:13" x14ac:dyDescent="0.2">
      <c r="A66" s="60" t="s">
        <v>159</v>
      </c>
      <c r="B66" s="60" t="s">
        <v>83</v>
      </c>
      <c r="C66" s="69">
        <f>IF(IFERROR(INDEX('2016'!$H$5:$H$72,MATCH(B66,'2016'!$A$5:$A$72,0)),0)=0,"N/A",INDEX('2016'!$H$5:$H$72,MATCH(B66,'2016'!$A$5:$A$72,0)))</f>
        <v>6.9749999999999996</v>
      </c>
      <c r="D66" s="60">
        <v>7.4260000000000002</v>
      </c>
      <c r="E66" s="60">
        <v>6.6539999999999999</v>
      </c>
      <c r="F66" s="60">
        <v>6.4660000000000002</v>
      </c>
      <c r="G66" s="60">
        <v>4.9710000000000001</v>
      </c>
      <c r="H66" s="60">
        <v>5.2130000000000001</v>
      </c>
      <c r="I66" s="60">
        <v>4.5549999999999997</v>
      </c>
      <c r="J66" s="60">
        <v>5.4169999999999998</v>
      </c>
      <c r="K66" s="60">
        <v>3.6320000000000001</v>
      </c>
      <c r="L66" s="60">
        <v>5.6619999999999999</v>
      </c>
      <c r="M66" s="60">
        <v>5.9539999999999997</v>
      </c>
    </row>
    <row r="67" spans="1:13" x14ac:dyDescent="0.2">
      <c r="A67" s="60" t="s">
        <v>156</v>
      </c>
      <c r="B67" s="60" t="s">
        <v>42</v>
      </c>
      <c r="C67" s="69">
        <f>IF(IFERROR(INDEX('2016'!$H$5:$H$72,MATCH(B67,'2016'!$A$5:$A$72,0)),0)=0,"N/A",INDEX('2016'!$H$5:$H$72,MATCH(B67,'2016'!$A$5:$A$72,0)))</f>
        <v>6.5380000000000003</v>
      </c>
      <c r="D67" s="60">
        <v>5.76</v>
      </c>
      <c r="E67" s="60">
        <v>5.4269999999999996</v>
      </c>
      <c r="F67" s="60">
        <v>4.774</v>
      </c>
      <c r="G67" s="60">
        <v>4.45</v>
      </c>
      <c r="H67" s="60">
        <v>3.923</v>
      </c>
      <c r="I67" s="60">
        <v>3.3929999999999998</v>
      </c>
      <c r="J67" s="60">
        <v>5.327</v>
      </c>
      <c r="K67" s="60">
        <v>4.8259999999999996</v>
      </c>
      <c r="L67" s="60">
        <v>4.3810000000000002</v>
      </c>
      <c r="M67" s="60">
        <v>3.698</v>
      </c>
    </row>
    <row r="68" spans="1:13" x14ac:dyDescent="0.2">
      <c r="A68" s="60" t="s">
        <v>217</v>
      </c>
      <c r="B68" s="60" t="s">
        <v>44</v>
      </c>
      <c r="C68" s="69">
        <f>IF(IFERROR(INDEX('2016'!$H$5:$H$72,MATCH(B68,'2016'!$A$5:$A$72,0)),0)=0,"N/A",INDEX('2016'!$H$5:$H$72,MATCH(B68,'2016'!$A$5:$A$72,0)))</f>
        <v>4.5110000000000001</v>
      </c>
      <c r="D68" s="60">
        <v>4.0110000000000001</v>
      </c>
      <c r="E68" s="60">
        <v>3.2639999999999998</v>
      </c>
      <c r="F68" s="60">
        <v>3.0419999999999998</v>
      </c>
      <c r="G68" s="60">
        <v>3.0870000000000002</v>
      </c>
      <c r="H68" s="60">
        <v>3.605</v>
      </c>
      <c r="I68" s="60">
        <v>3.4140000000000001</v>
      </c>
      <c r="J68" s="60">
        <v>3.4969999999999999</v>
      </c>
      <c r="K68" s="60">
        <v>4.8630000000000004</v>
      </c>
      <c r="L68" s="60">
        <v>5.282</v>
      </c>
      <c r="M68" s="60">
        <v>4.1740000000000004</v>
      </c>
    </row>
    <row r="69" spans="1:13" x14ac:dyDescent="0.2">
      <c r="A69" s="60" t="s">
        <v>157</v>
      </c>
      <c r="B69" s="60" t="s">
        <v>43</v>
      </c>
      <c r="C69" s="69">
        <f>IF(IFERROR(INDEX('2016'!$H$5:$H$72,MATCH(B69,'2016'!$A$5:$A$72,0)),0)=0,"N/A",INDEX('2016'!$H$5:$H$72,MATCH(B69,'2016'!$A$5:$A$72,0)))</f>
        <v>7.6660000000000004</v>
      </c>
      <c r="D69" s="60">
        <v>4.9539999999999997</v>
      </c>
      <c r="E69" s="60">
        <v>6.47</v>
      </c>
      <c r="F69" s="60">
        <v>6.0819999999999999</v>
      </c>
      <c r="G69" s="60">
        <v>6.4050000000000002</v>
      </c>
      <c r="H69" s="60">
        <v>5.5490000000000004</v>
      </c>
      <c r="I69" s="60">
        <v>4.8170000000000002</v>
      </c>
      <c r="J69" s="60">
        <v>5.2569999999999997</v>
      </c>
      <c r="K69" s="60">
        <v>8.6530000000000005</v>
      </c>
      <c r="L69" s="60">
        <v>7.8369999999999997</v>
      </c>
      <c r="M69" s="60">
        <v>3.9460000000000002</v>
      </c>
    </row>
    <row r="70" spans="1:13" x14ac:dyDescent="0.2">
      <c r="A70" s="60" t="s">
        <v>205</v>
      </c>
      <c r="B70" s="60" t="s">
        <v>206</v>
      </c>
      <c r="C70" s="69">
        <f>IF(IFERROR(INDEX('2016'!$H$5:$H$72,MATCH(B70,'2016'!$A$5:$A$72,0)),0)=0,"N/A",INDEX('2016'!$H$5:$H$72,MATCH(B70,'2016'!$A$5:$A$72,0)))</f>
        <v>10.324999999999999</v>
      </c>
      <c r="D70" s="60">
        <v>9.3260000000000005</v>
      </c>
      <c r="E70" s="60">
        <v>7.6269999999999998</v>
      </c>
      <c r="F70" s="60">
        <v>6.0419999999999998</v>
      </c>
      <c r="G70" s="60">
        <v>4.8739999999999997</v>
      </c>
      <c r="H70" s="60">
        <v>3.9369999999999998</v>
      </c>
      <c r="I70" s="60">
        <v>2.5739999999999998</v>
      </c>
      <c r="J70" s="60">
        <v>2.77</v>
      </c>
      <c r="K70" s="60">
        <v>2.7040000000000002</v>
      </c>
      <c r="L70" s="60">
        <v>3.327</v>
      </c>
      <c r="M70" s="60">
        <v>3.2679999999999998</v>
      </c>
    </row>
    <row r="71" spans="1:13" x14ac:dyDescent="0.2">
      <c r="A71" s="60" t="s">
        <v>158</v>
      </c>
      <c r="B71" s="60" t="s">
        <v>45</v>
      </c>
      <c r="C71" s="69">
        <f>IF(IFERROR(INDEX('2016'!$H$5:$H$72,MATCH(B71,'2016'!$A$5:$A$72,0)),0)=0,"N/A",INDEX('2016'!$H$5:$H$72,MATCH(B71,'2016'!$A$5:$A$72,0)))</f>
        <v>6.4180000000000001</v>
      </c>
      <c r="D71" s="60">
        <v>7.2569999999999997</v>
      </c>
      <c r="E71" s="60">
        <v>6.327</v>
      </c>
      <c r="F71" s="60">
        <v>6.8179999999999996</v>
      </c>
      <c r="G71" s="60">
        <v>5.2670000000000003</v>
      </c>
      <c r="H71" s="60">
        <v>4.5339999999999998</v>
      </c>
      <c r="I71" s="60">
        <v>4.5970000000000004</v>
      </c>
      <c r="J71" s="60">
        <v>3.9060000000000001</v>
      </c>
      <c r="K71" s="60">
        <v>4.657</v>
      </c>
      <c r="L71" s="60">
        <v>4.8899999999999997</v>
      </c>
      <c r="M71" s="60">
        <v>3.996</v>
      </c>
    </row>
    <row r="72" spans="1:13" x14ac:dyDescent="0.2">
      <c r="A72" s="60" t="s">
        <v>207</v>
      </c>
      <c r="B72" s="60" t="s">
        <v>208</v>
      </c>
      <c r="C72" s="69" t="str">
        <f>IF(IFERROR(INDEX('2016'!$H$5:$H$72,MATCH(B72,'2016'!$A$5:$A$72,0)),0)=0,"N/A",INDEX('2016'!$H$5:$H$72,MATCH(B72,'2016'!$A$5:$A$72,0)))</f>
        <v>N/A</v>
      </c>
      <c r="D72" s="60">
        <v>1.1080000000000001</v>
      </c>
      <c r="E72" s="60">
        <v>1.1020000000000001</v>
      </c>
      <c r="F72" s="60">
        <v>0.75900000000000001</v>
      </c>
      <c r="G72" s="60">
        <v>0.94499999999999995</v>
      </c>
      <c r="H72" s="60">
        <v>0.74</v>
      </c>
      <c r="I72" s="60">
        <v>0.83099999999999996</v>
      </c>
      <c r="J72" s="60">
        <v>1.1759999999999999</v>
      </c>
      <c r="K72" s="60">
        <v>2.173</v>
      </c>
      <c r="L72" s="60">
        <v>1.6910000000000001</v>
      </c>
      <c r="M72" s="60">
        <v>1.8460000000000001</v>
      </c>
    </row>
  </sheetData>
  <autoFilter ref="A3:N72"/>
  <printOptions headings="1"/>
  <pageMargins left="0.3" right="0.3" top="0.75" bottom="0.75" header="0.3" footer="0.3"/>
  <pageSetup fitToHeight="0" orientation="landscape" r:id="rId1"/>
  <headerFooter>
    <oddHeader>&amp;R&amp;A
&amp;P/&amp;N</oddHeader>
    <oddFooter>&amp;R&amp;A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N73"/>
  <sheetViews>
    <sheetView zoomScale="102" zoomScaleNormal="102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C4" sqref="C4:C73"/>
    </sheetView>
  </sheetViews>
  <sheetFormatPr defaultColWidth="8.75" defaultRowHeight="11.25" x14ac:dyDescent="0.2"/>
  <cols>
    <col min="1" max="1" width="19.25" style="60" customWidth="1"/>
    <col min="2" max="2" width="5.75" style="60" bestFit="1" customWidth="1"/>
    <col min="3" max="13" width="7.75" style="60" customWidth="1"/>
    <col min="14" max="16384" width="8.75" style="60"/>
  </cols>
  <sheetData>
    <row r="1" spans="1:14" ht="33.75" x14ac:dyDescent="0.2">
      <c r="A1" s="59" t="s">
        <v>218</v>
      </c>
      <c r="C1" s="61">
        <f>VALUE(RIGHT(C3,4))</f>
        <v>2016</v>
      </c>
      <c r="D1" s="61">
        <f t="shared" ref="D1:M1" si="0">VALUE(RIGHT(D3,4))</f>
        <v>2015</v>
      </c>
      <c r="E1" s="61">
        <f t="shared" si="0"/>
        <v>2014</v>
      </c>
      <c r="F1" s="61">
        <f t="shared" si="0"/>
        <v>2013</v>
      </c>
      <c r="G1" s="61">
        <f t="shared" si="0"/>
        <v>2012</v>
      </c>
      <c r="H1" s="61">
        <f t="shared" si="0"/>
        <v>2011</v>
      </c>
      <c r="I1" s="61">
        <f t="shared" si="0"/>
        <v>2010</v>
      </c>
      <c r="J1" s="61">
        <f t="shared" si="0"/>
        <v>2009</v>
      </c>
      <c r="K1" s="61">
        <f t="shared" si="0"/>
        <v>2008</v>
      </c>
      <c r="L1" s="61">
        <f t="shared" si="0"/>
        <v>2007</v>
      </c>
      <c r="M1" s="61">
        <f t="shared" si="0"/>
        <v>2006</v>
      </c>
    </row>
    <row r="2" spans="1:14" x14ac:dyDescent="0.2">
      <c r="A2" s="69" t="s">
        <v>315</v>
      </c>
      <c r="B2" s="62"/>
      <c r="C2" s="71">
        <f>'2016'!$A$1</f>
        <v>42907</v>
      </c>
      <c r="D2" s="71">
        <v>42718</v>
      </c>
      <c r="E2" s="71">
        <v>42718</v>
      </c>
      <c r="F2" s="71">
        <v>42718</v>
      </c>
      <c r="G2" s="71">
        <v>42718</v>
      </c>
      <c r="H2" s="71">
        <v>42718</v>
      </c>
      <c r="I2" s="71">
        <v>42718</v>
      </c>
      <c r="J2" s="71">
        <v>42718</v>
      </c>
      <c r="K2" s="71">
        <v>42718</v>
      </c>
      <c r="L2" s="71">
        <v>42718</v>
      </c>
      <c r="M2" s="71">
        <v>42718</v>
      </c>
      <c r="N2" s="60" t="s">
        <v>348</v>
      </c>
    </row>
    <row r="3" spans="1:14" ht="22.5" x14ac:dyDescent="0.2">
      <c r="A3" s="60" t="s">
        <v>117</v>
      </c>
      <c r="B3" s="60" t="s">
        <v>99</v>
      </c>
      <c r="C3" s="59" t="s">
        <v>264</v>
      </c>
      <c r="D3" s="59" t="s">
        <v>246</v>
      </c>
      <c r="E3" s="59" t="s">
        <v>247</v>
      </c>
      <c r="F3" s="59" t="s">
        <v>248</v>
      </c>
      <c r="G3" s="59" t="s">
        <v>249</v>
      </c>
      <c r="H3" s="59" t="s">
        <v>250</v>
      </c>
      <c r="I3" s="59" t="s">
        <v>251</v>
      </c>
      <c r="J3" s="59" t="s">
        <v>252</v>
      </c>
      <c r="K3" s="59" t="s">
        <v>253</v>
      </c>
      <c r="L3" s="59" t="s">
        <v>254</v>
      </c>
      <c r="M3" s="59" t="s">
        <v>255</v>
      </c>
    </row>
    <row r="4" spans="1:14" x14ac:dyDescent="0.2">
      <c r="A4" s="60" t="s">
        <v>162</v>
      </c>
      <c r="B4" s="60" t="s">
        <v>163</v>
      </c>
      <c r="C4" s="69">
        <f>IF(IFERROR(INDEX('2016'!$D$5:$D$72,MATCH(B4,'2016'!$A$5:$A$72,0)),0)=0,"N/A",INDEX('2016'!$D$5:$D$72,MATCH(B4,'2016'!$A$5:$A$72,0)))</f>
        <v>35.872999999999998</v>
      </c>
      <c r="D4" s="60">
        <v>36.156999999999996</v>
      </c>
      <c r="E4" s="60">
        <v>37.343000000000004</v>
      </c>
      <c r="F4" s="60">
        <v>36.676000000000002</v>
      </c>
      <c r="G4" s="60">
        <v>32.212000000000003</v>
      </c>
      <c r="H4" s="60">
        <v>26.242999999999999</v>
      </c>
      <c r="I4" s="60">
        <v>21.376999999999999</v>
      </c>
      <c r="J4" s="60">
        <v>19.869</v>
      </c>
      <c r="K4" s="60">
        <v>19.385999999999999</v>
      </c>
      <c r="L4" s="60">
        <v>21.207000000000001</v>
      </c>
      <c r="M4" s="60">
        <v>17.632999999999999</v>
      </c>
    </row>
    <row r="5" spans="1:14" x14ac:dyDescent="0.2">
      <c r="A5" s="60" t="s">
        <v>119</v>
      </c>
      <c r="B5" s="60" t="s">
        <v>0</v>
      </c>
      <c r="C5" s="69">
        <f>IF(IFERROR(INDEX('2016'!$D$5:$D$72,MATCH(B5,'2016'!$A$5:$A$72,0)),0)=0,"N/A",INDEX('2016'!$D$5:$D$72,MATCH(B5,'2016'!$A$5:$A$72,0)))</f>
        <v>38.164999999999999</v>
      </c>
      <c r="D5" s="60">
        <v>37.070999999999998</v>
      </c>
      <c r="E5" s="60">
        <v>35.063000000000002</v>
      </c>
      <c r="F5" s="60">
        <v>32.436999999999998</v>
      </c>
      <c r="G5" s="60">
        <v>30.481999999999999</v>
      </c>
      <c r="H5" s="60">
        <v>28.780999999999999</v>
      </c>
      <c r="I5" s="60">
        <v>27.263000000000002</v>
      </c>
      <c r="J5" s="60">
        <v>26.405999999999999</v>
      </c>
      <c r="K5" s="60">
        <v>25.370999999999999</v>
      </c>
      <c r="L5" s="60">
        <v>24.11</v>
      </c>
      <c r="M5" s="60">
        <v>21.901</v>
      </c>
    </row>
    <row r="6" spans="1:14" x14ac:dyDescent="0.2">
      <c r="A6" s="60" t="s">
        <v>120</v>
      </c>
      <c r="B6" s="60" t="s">
        <v>1</v>
      </c>
      <c r="C6" s="69">
        <f>IF(IFERROR(INDEX('2016'!$D$5:$D$72,MATCH(B6,'2016'!$A$5:$A$72,0)),0)=0,"N/A",INDEX('2016'!$D$5:$D$72,MATCH(B6,'2016'!$A$5:$A$72,0)))</f>
        <v>16.963000000000001</v>
      </c>
      <c r="D6" s="60">
        <v>16.411999999999999</v>
      </c>
      <c r="E6" s="60">
        <v>15.544</v>
      </c>
      <c r="F6" s="60">
        <v>14.789</v>
      </c>
      <c r="G6" s="60">
        <v>14.122999999999999</v>
      </c>
      <c r="H6" s="60">
        <v>13.57</v>
      </c>
      <c r="I6" s="60">
        <v>13.047000000000001</v>
      </c>
      <c r="J6" s="60">
        <v>12.537000000000001</v>
      </c>
      <c r="K6" s="60">
        <v>12.782</v>
      </c>
      <c r="L6" s="60">
        <v>12.148</v>
      </c>
      <c r="M6" s="60">
        <v>11.416</v>
      </c>
    </row>
    <row r="7" spans="1:14" x14ac:dyDescent="0.2">
      <c r="A7" s="60" t="s">
        <v>121</v>
      </c>
      <c r="B7" s="60" t="s">
        <v>2</v>
      </c>
      <c r="C7" s="69">
        <f>IF(IFERROR(INDEX('2016'!$D$5:$D$72,MATCH(B7,'2016'!$A$5:$A$72,0)),0)=0,"N/A",INDEX('2016'!$D$5:$D$72,MATCH(B7,'2016'!$A$5:$A$72,0)))</f>
        <v>35.380000000000003</v>
      </c>
      <c r="D7" s="60">
        <v>36.435000000000002</v>
      </c>
      <c r="E7" s="60">
        <v>34.368000000000002</v>
      </c>
      <c r="F7" s="60">
        <v>32.975999999999999</v>
      </c>
      <c r="G7" s="60">
        <v>31.373000000000001</v>
      </c>
      <c r="H7" s="60">
        <v>30.334</v>
      </c>
      <c r="I7" s="60">
        <v>28.332000000000001</v>
      </c>
      <c r="J7" s="60">
        <v>27.486000000000001</v>
      </c>
      <c r="K7" s="60">
        <v>26.332999999999998</v>
      </c>
      <c r="L7" s="60">
        <v>25.170999999999999</v>
      </c>
      <c r="M7" s="60">
        <v>23.727</v>
      </c>
    </row>
    <row r="8" spans="1:14" x14ac:dyDescent="0.2">
      <c r="A8" s="60" t="s">
        <v>164</v>
      </c>
      <c r="B8" s="60" t="s">
        <v>165</v>
      </c>
      <c r="C8" s="69">
        <f>IF(IFERROR(INDEX('2016'!$D$5:$D$72,MATCH(B8,'2016'!$A$5:$A$72,0)),0)=0,"N/A",INDEX('2016'!$D$5:$D$72,MATCH(B8,'2016'!$A$5:$A$72,0)))</f>
        <v>13.516</v>
      </c>
      <c r="D8" s="60">
        <v>12.765000000000001</v>
      </c>
      <c r="E8" s="60">
        <v>13.237</v>
      </c>
      <c r="F8" s="60">
        <v>12.717000000000001</v>
      </c>
      <c r="G8" s="60">
        <v>11.798999999999999</v>
      </c>
      <c r="H8" s="60">
        <v>10.840999999999999</v>
      </c>
      <c r="I8" s="60">
        <v>10.132</v>
      </c>
      <c r="J8" s="60">
        <v>9.6969999999999992</v>
      </c>
      <c r="K8" s="60">
        <v>8.9740000000000002</v>
      </c>
      <c r="L8" s="60">
        <v>8.7669999999999995</v>
      </c>
      <c r="M8" s="60">
        <v>8.3209999999999997</v>
      </c>
    </row>
    <row r="9" spans="1:14" x14ac:dyDescent="0.2">
      <c r="A9" s="60" t="s">
        <v>166</v>
      </c>
      <c r="B9" s="60" t="s">
        <v>167</v>
      </c>
      <c r="C9" s="69">
        <f>IF(IFERROR(INDEX('2016'!$D$5:$D$72,MATCH(B9,'2016'!$A$5:$A$72,0)),0)=0,"N/A",INDEX('2016'!$D$5:$D$72,MATCH(B9,'2016'!$A$5:$A$72,0)))</f>
        <v>29.242999999999999</v>
      </c>
      <c r="D9" s="60">
        <v>28.253</v>
      </c>
      <c r="E9" s="60">
        <v>27.390999999999998</v>
      </c>
      <c r="F9" s="60">
        <v>26.524000000000001</v>
      </c>
      <c r="G9" s="60">
        <v>25.105</v>
      </c>
      <c r="H9" s="60">
        <v>24.113</v>
      </c>
      <c r="I9" s="60">
        <v>23.588000000000001</v>
      </c>
      <c r="J9" s="60">
        <v>22.91</v>
      </c>
      <c r="K9" s="60">
        <v>25.638000000000002</v>
      </c>
      <c r="L9" s="60">
        <v>28.388000000000002</v>
      </c>
      <c r="M9" s="60">
        <v>23.859000000000002</v>
      </c>
    </row>
    <row r="10" spans="1:14" x14ac:dyDescent="0.2">
      <c r="A10" s="60" t="s">
        <v>122</v>
      </c>
      <c r="B10" s="60" t="s">
        <v>3</v>
      </c>
      <c r="C10" s="69">
        <f>IF(IFERROR(INDEX('2016'!$D$5:$D$72,MATCH(B10,'2016'!$A$5:$A$72,0)),0)=0,"N/A",INDEX('2016'!$D$5:$D$72,MATCH(B10,'2016'!$A$5:$A$72,0)))</f>
        <v>29.274000000000001</v>
      </c>
      <c r="D10" s="60">
        <v>28.626999999999999</v>
      </c>
      <c r="E10" s="60">
        <v>27.667000000000002</v>
      </c>
      <c r="F10" s="60">
        <v>26.971</v>
      </c>
      <c r="G10" s="60">
        <v>27.266999999999999</v>
      </c>
      <c r="H10" s="60">
        <v>32.642000000000003</v>
      </c>
      <c r="I10" s="60">
        <v>32.155000000000001</v>
      </c>
      <c r="J10" s="60">
        <v>33.079000000000001</v>
      </c>
      <c r="K10" s="60">
        <v>32.798000000000002</v>
      </c>
      <c r="L10" s="60">
        <v>32.414999999999999</v>
      </c>
      <c r="M10" s="60">
        <v>31.864000000000001</v>
      </c>
    </row>
    <row r="11" spans="1:14" x14ac:dyDescent="0.2">
      <c r="A11" s="60" t="s">
        <v>168</v>
      </c>
      <c r="B11" s="60" t="s">
        <v>169</v>
      </c>
      <c r="C11" s="69">
        <f>IF(IFERROR(INDEX('2016'!$D$5:$D$72,MATCH(B11,'2016'!$A$5:$A$72,0)),0)=0,"N/A",INDEX('2016'!$D$5:$D$72,MATCH(B11,'2016'!$A$5:$A$72,0)))</f>
        <v>10.592000000000001</v>
      </c>
      <c r="D11" s="60">
        <v>12.532999999999999</v>
      </c>
      <c r="E11" s="60">
        <v>14.021000000000001</v>
      </c>
      <c r="F11" s="60">
        <v>14.75</v>
      </c>
      <c r="G11" s="60">
        <v>15.217000000000001</v>
      </c>
      <c r="H11" s="60">
        <v>5.8680000000000003</v>
      </c>
      <c r="I11" s="60">
        <v>6.6050000000000004</v>
      </c>
      <c r="J11" s="60">
        <v>6.3239999999999998</v>
      </c>
      <c r="K11" s="60">
        <v>4.2850000000000001</v>
      </c>
      <c r="L11" s="60">
        <v>5.4249999999999998</v>
      </c>
      <c r="M11" s="60">
        <v>3.9</v>
      </c>
    </row>
    <row r="12" spans="1:14" x14ac:dyDescent="0.2">
      <c r="A12" s="60" t="s">
        <v>170</v>
      </c>
      <c r="B12" s="60" t="s">
        <v>171</v>
      </c>
      <c r="C12" s="69">
        <f>IF(IFERROR(INDEX('2016'!$D$5:$D$72,MATCH(B12,'2016'!$A$5:$A$72,0)),0)=0,"N/A",INDEX('2016'!$D$5:$D$72,MATCH(B12,'2016'!$A$5:$A$72,0)))</f>
        <v>10.429</v>
      </c>
      <c r="D12" s="60">
        <v>9.7759999999999998</v>
      </c>
      <c r="E12" s="60">
        <v>9.2690000000000001</v>
      </c>
      <c r="F12" s="60">
        <v>8.6270000000000007</v>
      </c>
      <c r="G12" s="60">
        <v>7.899</v>
      </c>
      <c r="H12" s="60">
        <v>7.2080000000000002</v>
      </c>
      <c r="I12" s="60">
        <v>6.8090000000000002</v>
      </c>
      <c r="J12" s="60">
        <v>6.5</v>
      </c>
      <c r="K12" s="60">
        <v>6.2549999999999999</v>
      </c>
      <c r="L12" s="60">
        <v>5.8550000000000004</v>
      </c>
      <c r="M12" s="60">
        <v>5.5720000000000001</v>
      </c>
    </row>
    <row r="13" spans="1:14" x14ac:dyDescent="0.2">
      <c r="A13" s="60" t="s">
        <v>172</v>
      </c>
      <c r="B13" s="60" t="s">
        <v>173</v>
      </c>
      <c r="C13" s="69">
        <f>IF(IFERROR(INDEX('2016'!$D$5:$D$72,MATCH(B13,'2016'!$A$5:$A$72,0)),0)=0,"N/A",INDEX('2016'!$D$5:$D$72,MATCH(B13,'2016'!$A$5:$A$72,0)))</f>
        <v>15.231999999999999</v>
      </c>
      <c r="D13" s="60">
        <v>14.609</v>
      </c>
      <c r="E13" s="60">
        <v>14.093999999999999</v>
      </c>
      <c r="F13" s="60">
        <v>13.798</v>
      </c>
      <c r="G13" s="60">
        <v>13.568</v>
      </c>
      <c r="H13" s="60">
        <v>13.122</v>
      </c>
      <c r="I13" s="60">
        <v>12.438000000000001</v>
      </c>
      <c r="J13" s="60">
        <v>12.145</v>
      </c>
      <c r="K13" s="60">
        <v>11.862</v>
      </c>
      <c r="L13" s="60">
        <v>11.662000000000001</v>
      </c>
      <c r="M13" s="60">
        <v>10.154</v>
      </c>
    </row>
    <row r="14" spans="1:14" x14ac:dyDescent="0.2">
      <c r="A14" s="60" t="s">
        <v>174</v>
      </c>
      <c r="B14" s="60" t="s">
        <v>175</v>
      </c>
      <c r="C14" s="69">
        <f>IF(IFERROR(INDEX('2016'!$D$5:$D$72,MATCH(B14,'2016'!$A$5:$A$72,0)),0)=0,"N/A",INDEX('2016'!$D$5:$D$72,MATCH(B14,'2016'!$A$5:$A$72,0)))</f>
        <v>33.320999999999998</v>
      </c>
      <c r="D14" s="60">
        <v>31.481999999999999</v>
      </c>
      <c r="E14" s="60">
        <v>30.742999999999999</v>
      </c>
      <c r="F14" s="60">
        <v>28.469000000000001</v>
      </c>
      <c r="G14" s="60">
        <v>26.143999999999998</v>
      </c>
      <c r="H14" s="60">
        <v>24.978000000000002</v>
      </c>
      <c r="I14" s="60">
        <v>24.16</v>
      </c>
      <c r="J14" s="60">
        <v>23.518999999999998</v>
      </c>
      <c r="K14" s="60">
        <v>22.600999999999999</v>
      </c>
      <c r="L14" s="60">
        <v>22.006</v>
      </c>
      <c r="M14" s="60">
        <v>20.163</v>
      </c>
    </row>
    <row r="15" spans="1:14" x14ac:dyDescent="0.2">
      <c r="A15" s="60" t="s">
        <v>263</v>
      </c>
      <c r="B15" s="60" t="s">
        <v>260</v>
      </c>
      <c r="C15" s="69">
        <f>IF(IFERROR(INDEX('2016'!$D$5:$D$72,MATCH(B15,'2016'!$A$5:$A$72,0)),0)=0,"N/A",INDEX('2016'!$D$5:$D$72,MATCH(B15,'2016'!$A$5:$A$72,0)))</f>
        <v>48.898000000000003</v>
      </c>
      <c r="D15" s="60">
        <v>48.737000000000002</v>
      </c>
      <c r="E15" s="69" t="s">
        <v>106</v>
      </c>
      <c r="F15" s="69" t="s">
        <v>106</v>
      </c>
      <c r="G15" s="69" t="s">
        <v>106</v>
      </c>
      <c r="H15" s="69" t="s">
        <v>106</v>
      </c>
      <c r="I15" s="69" t="s">
        <v>106</v>
      </c>
      <c r="J15" s="69" t="s">
        <v>106</v>
      </c>
      <c r="K15" s="69" t="s">
        <v>106</v>
      </c>
      <c r="L15" s="69" t="s">
        <v>106</v>
      </c>
      <c r="M15" s="69" t="s">
        <v>106</v>
      </c>
    </row>
    <row r="16" spans="1:14" x14ac:dyDescent="0.2">
      <c r="A16" s="60" t="s">
        <v>123</v>
      </c>
      <c r="B16" s="60" t="s">
        <v>4</v>
      </c>
      <c r="C16" s="69">
        <f>IF(IFERROR(INDEX('2016'!$D$5:$D$72,MATCH(B16,'2016'!$A$5:$A$72,0)),0)=0,"N/A",INDEX('2016'!$D$5:$D$72,MATCH(B16,'2016'!$A$5:$A$72,0)))</f>
        <v>25.686</v>
      </c>
      <c r="D16" s="60">
        <v>24.532</v>
      </c>
      <c r="E16" s="60">
        <v>23.837</v>
      </c>
      <c r="F16" s="60">
        <v>21.61</v>
      </c>
      <c r="G16" s="60">
        <v>21.056999999999999</v>
      </c>
      <c r="H16" s="60">
        <v>20.295000000000002</v>
      </c>
      <c r="I16" s="60">
        <v>19.709</v>
      </c>
      <c r="J16" s="60">
        <v>19.170999999999999</v>
      </c>
      <c r="K16" s="60">
        <v>18.295999999999999</v>
      </c>
      <c r="L16" s="60">
        <v>17.274000000000001</v>
      </c>
      <c r="M16" s="60">
        <v>17.459</v>
      </c>
    </row>
    <row r="17" spans="1:13" x14ac:dyDescent="0.2">
      <c r="A17" s="60" t="s">
        <v>124</v>
      </c>
      <c r="B17" s="60" t="s">
        <v>5</v>
      </c>
      <c r="C17" s="69">
        <f>IF(IFERROR(INDEX('2016'!$D$5:$D$72,MATCH(B17,'2016'!$A$5:$A$72,0)),0)=0,"N/A",INDEX('2016'!$D$5:$D$72,MATCH(B17,'2016'!$A$5:$A$72,0)))</f>
        <v>30.247</v>
      </c>
      <c r="D17" s="60">
        <v>28.635000000000002</v>
      </c>
      <c r="E17" s="60">
        <v>30.803000000000001</v>
      </c>
      <c r="F17" s="60">
        <v>29.388000000000002</v>
      </c>
      <c r="G17" s="60">
        <v>27.881</v>
      </c>
      <c r="H17" s="60">
        <v>27.532</v>
      </c>
      <c r="I17" s="60">
        <v>28.018999999999998</v>
      </c>
      <c r="J17" s="60">
        <v>27.838999999999999</v>
      </c>
      <c r="K17" s="60">
        <v>27.190999999999999</v>
      </c>
      <c r="L17" s="60">
        <v>25.66</v>
      </c>
      <c r="M17" s="60">
        <v>23.675999999999998</v>
      </c>
    </row>
    <row r="18" spans="1:13" x14ac:dyDescent="0.2">
      <c r="A18" s="60" t="s">
        <v>176</v>
      </c>
      <c r="B18" s="60" t="s">
        <v>177</v>
      </c>
      <c r="C18" s="69">
        <f>IF(IFERROR(INDEX('2016'!$D$5:$D$72,MATCH(B18,'2016'!$A$5:$A$72,0)),0)=0,"N/A",INDEX('2016'!$D$5:$D$72,MATCH(B18,'2016'!$A$5:$A$72,0)))</f>
        <v>13.749000000000001</v>
      </c>
      <c r="D18" s="60">
        <v>13.413</v>
      </c>
      <c r="E18" s="60">
        <v>13.108000000000001</v>
      </c>
      <c r="F18" s="60">
        <v>12.542</v>
      </c>
      <c r="G18" s="60">
        <v>11.284000000000001</v>
      </c>
      <c r="H18" s="60">
        <v>10.757</v>
      </c>
      <c r="I18" s="60">
        <v>10.452999999999999</v>
      </c>
      <c r="J18" s="60">
        <v>10.128</v>
      </c>
      <c r="K18" s="60">
        <v>9.7219999999999995</v>
      </c>
      <c r="L18" s="60">
        <v>9.2479999999999993</v>
      </c>
      <c r="M18" s="60">
        <v>9.0730000000000004</v>
      </c>
    </row>
    <row r="19" spans="1:13" x14ac:dyDescent="0.2">
      <c r="A19" s="60" t="s">
        <v>125</v>
      </c>
      <c r="B19" s="60" t="s">
        <v>6</v>
      </c>
      <c r="C19" s="69">
        <f>IF(IFERROR(INDEX('2016'!$D$5:$D$72,MATCH(B19,'2016'!$A$5:$A$72,0)),0)=0,"N/A",INDEX('2016'!$D$5:$D$72,MATCH(B19,'2016'!$A$5:$A$72,0)))</f>
        <v>8.0340000000000007</v>
      </c>
      <c r="D19" s="60">
        <v>8.0489999999999995</v>
      </c>
      <c r="E19" s="60">
        <v>10.601000000000001</v>
      </c>
      <c r="F19" s="60">
        <v>10.090999999999999</v>
      </c>
      <c r="G19" s="60">
        <v>10.061999999999999</v>
      </c>
      <c r="H19" s="60">
        <v>9.91</v>
      </c>
      <c r="I19" s="60">
        <v>7.53</v>
      </c>
      <c r="J19" s="60">
        <v>6.7359999999999998</v>
      </c>
      <c r="K19" s="60">
        <v>5.8860000000000001</v>
      </c>
      <c r="L19" s="60">
        <v>5.609</v>
      </c>
      <c r="M19" s="60">
        <v>4.9610000000000003</v>
      </c>
    </row>
    <row r="20" spans="1:13" x14ac:dyDescent="0.2">
      <c r="A20" s="60" t="s">
        <v>215</v>
      </c>
      <c r="B20" s="60" t="s">
        <v>178</v>
      </c>
      <c r="C20" s="69">
        <f>IF(IFERROR(INDEX('2016'!$D$5:$D$72,MATCH(B20,'2016'!$A$5:$A$72,0)),0)=0,"N/A",INDEX('2016'!$D$5:$D$72,MATCH(B20,'2016'!$A$5:$A$72,0)))</f>
        <v>27.361000000000001</v>
      </c>
      <c r="D20" s="60">
        <v>23.452999999999999</v>
      </c>
      <c r="E20" s="60">
        <v>20.585999999999999</v>
      </c>
      <c r="F20" s="60">
        <v>19.282</v>
      </c>
      <c r="G20" s="60">
        <v>17.824000000000002</v>
      </c>
      <c r="H20" s="60">
        <v>16.777999999999999</v>
      </c>
      <c r="I20" s="60">
        <v>15.836</v>
      </c>
      <c r="J20" s="60">
        <v>14.887</v>
      </c>
      <c r="K20" s="60">
        <v>12.018000000000001</v>
      </c>
      <c r="L20" s="60">
        <v>11.762</v>
      </c>
      <c r="M20" s="60">
        <v>11.08</v>
      </c>
    </row>
    <row r="21" spans="1:13" x14ac:dyDescent="0.2">
      <c r="A21" s="60" t="s">
        <v>126</v>
      </c>
      <c r="B21" s="60" t="s">
        <v>9</v>
      </c>
      <c r="C21" s="69">
        <f>IF(IFERROR(INDEX('2016'!$D$5:$D$72,MATCH(B21,'2016'!$A$5:$A$72,0)),0)=0,"N/A",INDEX('2016'!$D$5:$D$72,MATCH(B21,'2016'!$A$5:$A$72,0)))</f>
        <v>15.231999999999999</v>
      </c>
      <c r="D21" s="60">
        <v>14.208</v>
      </c>
      <c r="E21" s="60">
        <v>13.336</v>
      </c>
      <c r="F21" s="60">
        <v>12.98</v>
      </c>
      <c r="G21" s="60">
        <v>12.093999999999999</v>
      </c>
      <c r="H21" s="60">
        <v>11.917</v>
      </c>
      <c r="I21" s="60">
        <v>11.19</v>
      </c>
      <c r="J21" s="60">
        <v>11.417999999999999</v>
      </c>
      <c r="K21" s="60">
        <v>10.878</v>
      </c>
      <c r="L21" s="60">
        <v>9.4610000000000003</v>
      </c>
      <c r="M21" s="60">
        <v>10.028</v>
      </c>
    </row>
    <row r="22" spans="1:13" x14ac:dyDescent="0.2">
      <c r="A22" s="60" t="s">
        <v>179</v>
      </c>
      <c r="B22" s="60" t="s">
        <v>180</v>
      </c>
      <c r="C22" s="69">
        <f>IF(IFERROR(INDEX('2016'!$D$5:$D$72,MATCH(B22,'2016'!$A$5:$A$72,0)),0)=0,"N/A",INDEX('2016'!$D$5:$D$72,MATCH(B22,'2016'!$A$5:$A$72,0)))</f>
        <v>20.983000000000001</v>
      </c>
      <c r="D22" s="60">
        <v>20.010000000000002</v>
      </c>
      <c r="E22" s="60">
        <v>18.829000000000001</v>
      </c>
      <c r="F22" s="60">
        <v>17.914999999999999</v>
      </c>
      <c r="G22" s="60">
        <v>20.946000000000002</v>
      </c>
      <c r="H22" s="60">
        <v>13.497</v>
      </c>
      <c r="I22" s="60">
        <v>13.045</v>
      </c>
      <c r="J22" s="60">
        <v>12.67</v>
      </c>
      <c r="K22" s="60">
        <v>12.233000000000001</v>
      </c>
      <c r="L22" s="60">
        <v>11.95</v>
      </c>
      <c r="M22" s="60">
        <v>11.598000000000001</v>
      </c>
    </row>
    <row r="23" spans="1:13" x14ac:dyDescent="0.2">
      <c r="A23" s="60" t="s">
        <v>127</v>
      </c>
      <c r="B23" s="60" t="s">
        <v>10</v>
      </c>
      <c r="C23" s="69">
        <f>IF(IFERROR(INDEX('2016'!$D$5:$D$72,MATCH(B23,'2016'!$A$5:$A$72,0)),0)=0,"N/A",INDEX('2016'!$D$5:$D$72,MATCH(B23,'2016'!$A$5:$A$72,0)))</f>
        <v>46.878999999999998</v>
      </c>
      <c r="D23" s="60">
        <v>44.545999999999999</v>
      </c>
      <c r="E23" s="60">
        <v>42.94</v>
      </c>
      <c r="F23" s="60">
        <v>41.81</v>
      </c>
      <c r="G23" s="60">
        <v>40.526000000000003</v>
      </c>
      <c r="H23" s="60">
        <v>39.045999999999999</v>
      </c>
      <c r="I23" s="60">
        <v>37.93</v>
      </c>
      <c r="J23" s="60">
        <v>36.457000000000001</v>
      </c>
      <c r="K23" s="60">
        <v>35.43</v>
      </c>
      <c r="L23" s="60">
        <v>32.582000000000001</v>
      </c>
      <c r="M23" s="60">
        <v>31.088999999999999</v>
      </c>
    </row>
    <row r="24" spans="1:13" x14ac:dyDescent="0.2">
      <c r="A24" s="60" t="s">
        <v>181</v>
      </c>
      <c r="B24" s="60" t="s">
        <v>182</v>
      </c>
      <c r="C24" s="69">
        <f>IF(IFERROR(INDEX('2016'!$D$5:$D$72,MATCH(B24,'2016'!$A$5:$A$72,0)),0)=0,"N/A",INDEX('2016'!$D$5:$D$72,MATCH(B24,'2016'!$A$5:$A$72,0)))</f>
        <v>9.7889999999999997</v>
      </c>
      <c r="D24" s="60">
        <v>9.8109999999999999</v>
      </c>
      <c r="E24" s="60">
        <v>9.577</v>
      </c>
      <c r="F24" s="60">
        <v>9.4429999999999996</v>
      </c>
      <c r="G24" s="60">
        <v>9.1950000000000003</v>
      </c>
      <c r="H24" s="60">
        <v>8.8350000000000009</v>
      </c>
      <c r="I24" s="60">
        <v>8.6869999999999994</v>
      </c>
      <c r="J24" s="60">
        <v>8.5329999999999995</v>
      </c>
      <c r="K24" s="60">
        <v>8.3640000000000008</v>
      </c>
      <c r="L24" s="60">
        <v>8.2149999999999999</v>
      </c>
      <c r="M24" s="60">
        <v>7.4880000000000004</v>
      </c>
    </row>
    <row r="25" spans="1:13" x14ac:dyDescent="0.2">
      <c r="A25" s="60" t="s">
        <v>183</v>
      </c>
      <c r="B25" s="60" t="s">
        <v>184</v>
      </c>
      <c r="C25" s="69">
        <f>IF(IFERROR(INDEX('2016'!$D$5:$D$72,MATCH(B25,'2016'!$A$5:$A$72,0)),0)=0,"N/A",INDEX('2016'!$D$5:$D$72,MATCH(B25,'2016'!$A$5:$A$72,0)))</f>
        <v>10.965999999999999</v>
      </c>
      <c r="D25" s="60">
        <v>10.99</v>
      </c>
      <c r="E25" s="60">
        <v>10.763</v>
      </c>
      <c r="F25" s="60">
        <v>10.198</v>
      </c>
      <c r="G25" s="60">
        <v>9.7330000000000005</v>
      </c>
      <c r="H25" s="60">
        <v>9.4719999999999995</v>
      </c>
      <c r="I25" s="60">
        <v>9.11</v>
      </c>
      <c r="J25" s="60">
        <v>8.891</v>
      </c>
      <c r="K25" s="60">
        <v>8.7379999999999995</v>
      </c>
      <c r="L25" s="60">
        <v>8.3040000000000003</v>
      </c>
      <c r="M25" s="60">
        <v>8.0790000000000006</v>
      </c>
    </row>
    <row r="26" spans="1:13" x14ac:dyDescent="0.2">
      <c r="A26" s="60" t="s">
        <v>128</v>
      </c>
      <c r="B26" s="60" t="s">
        <v>11</v>
      </c>
      <c r="C26" s="69">
        <f>IF(IFERROR(INDEX('2016'!$D$5:$D$72,MATCH(B26,'2016'!$A$5:$A$72,0)),0)=0,"N/A",INDEX('2016'!$D$5:$D$72,MATCH(B26,'2016'!$A$5:$A$72,0)))</f>
        <v>23.263999999999999</v>
      </c>
      <c r="D26" s="60">
        <v>21.238</v>
      </c>
      <c r="E26" s="60">
        <v>19.742000000000001</v>
      </c>
      <c r="F26" s="60">
        <v>20.021000000000001</v>
      </c>
      <c r="G26" s="60">
        <v>18.344000000000001</v>
      </c>
      <c r="H26" s="60">
        <v>20.091000000000001</v>
      </c>
      <c r="I26" s="60">
        <v>20.655999999999999</v>
      </c>
      <c r="J26" s="60">
        <v>18.66</v>
      </c>
      <c r="K26" s="60">
        <v>17.279</v>
      </c>
      <c r="L26" s="60">
        <v>16.306999999999999</v>
      </c>
      <c r="M26" s="60">
        <v>18.5</v>
      </c>
    </row>
    <row r="27" spans="1:13" x14ac:dyDescent="0.2">
      <c r="A27" s="60" t="s">
        <v>129</v>
      </c>
      <c r="B27" s="60" t="s">
        <v>12</v>
      </c>
      <c r="C27" s="69">
        <f>IF(IFERROR(INDEX('2016'!$D$5:$D$72,MATCH(B27,'2016'!$A$5:$A$72,0)),0)=0,"N/A",INDEX('2016'!$D$5:$D$72,MATCH(B27,'2016'!$A$5:$A$72,0)))</f>
        <v>50.219000000000001</v>
      </c>
      <c r="D27" s="60">
        <v>48.877000000000002</v>
      </c>
      <c r="E27" s="60">
        <v>47.048000000000002</v>
      </c>
      <c r="F27" s="60">
        <v>44.728999999999999</v>
      </c>
      <c r="G27" s="60">
        <v>42.779000000000003</v>
      </c>
      <c r="H27" s="60">
        <v>41.412999999999997</v>
      </c>
      <c r="I27" s="60">
        <v>39.674999999999997</v>
      </c>
      <c r="J27" s="60">
        <v>37.956000000000003</v>
      </c>
      <c r="K27" s="60">
        <v>36.774999999999999</v>
      </c>
      <c r="L27" s="60">
        <v>35.856999999999999</v>
      </c>
      <c r="M27" s="60">
        <v>33.018999999999998</v>
      </c>
    </row>
    <row r="28" spans="1:13" x14ac:dyDescent="0.2">
      <c r="A28" s="60" t="s">
        <v>130</v>
      </c>
      <c r="B28" s="60" t="s">
        <v>13</v>
      </c>
      <c r="C28" s="69">
        <f>IF(IFERROR(INDEX('2016'!$D$5:$D$72,MATCH(B28,'2016'!$A$5:$A$72,0)),0)=0,"N/A",INDEX('2016'!$D$5:$D$72,MATCH(B28,'2016'!$A$5:$A$72,0)))</f>
        <v>58.619</v>
      </c>
      <c r="D28" s="60">
        <v>57.743000000000002</v>
      </c>
      <c r="E28" s="60">
        <v>57.814999999999998</v>
      </c>
      <c r="F28" s="60">
        <v>58.540999999999997</v>
      </c>
      <c r="G28" s="60">
        <v>58.043999999999997</v>
      </c>
      <c r="H28" s="60">
        <v>51.14</v>
      </c>
      <c r="I28" s="60">
        <v>50.844999999999999</v>
      </c>
      <c r="J28" s="60">
        <v>49.851999999999997</v>
      </c>
      <c r="K28" s="60">
        <v>49.505000000000003</v>
      </c>
      <c r="L28" s="60">
        <v>50.399000000000001</v>
      </c>
      <c r="M28" s="60">
        <v>62.302</v>
      </c>
    </row>
    <row r="29" spans="1:13" x14ac:dyDescent="0.2">
      <c r="A29" s="60" t="s">
        <v>131</v>
      </c>
      <c r="B29" s="60" t="s">
        <v>14</v>
      </c>
      <c r="C29" s="69">
        <f>IF(IFERROR(INDEX('2016'!$D$5:$D$72,MATCH(B29,'2016'!$A$5:$A$72,0)),0)=0,"N/A",INDEX('2016'!$D$5:$D$72,MATCH(B29,'2016'!$A$5:$A$72,0)))</f>
        <v>36.819000000000003</v>
      </c>
      <c r="D29" s="60">
        <v>34.890999999999998</v>
      </c>
      <c r="E29" s="60">
        <v>33.639000000000003</v>
      </c>
      <c r="F29" s="60">
        <v>30.501999999999999</v>
      </c>
      <c r="G29" s="60">
        <v>28.949000000000002</v>
      </c>
      <c r="H29" s="60">
        <v>30.861000000000001</v>
      </c>
      <c r="I29" s="60">
        <v>32.442</v>
      </c>
      <c r="J29" s="60">
        <v>30.204999999999998</v>
      </c>
      <c r="K29" s="60">
        <v>29.21</v>
      </c>
      <c r="L29" s="60">
        <v>25.917000000000002</v>
      </c>
      <c r="M29" s="60">
        <v>23.661000000000001</v>
      </c>
    </row>
    <row r="30" spans="1:13" x14ac:dyDescent="0.2">
      <c r="A30" s="60" t="s">
        <v>132</v>
      </c>
      <c r="B30" s="60" t="s">
        <v>15</v>
      </c>
      <c r="C30" s="69">
        <f>IF(IFERROR(INDEX('2016'!$D$5:$D$72,MATCH(B30,'2016'!$A$5:$A$72,0)),0)=0,"N/A",INDEX('2016'!$D$5:$D$72,MATCH(B30,'2016'!$A$5:$A$72,0)))</f>
        <v>26.516999999999999</v>
      </c>
      <c r="D30" s="60">
        <v>25.135000000000002</v>
      </c>
      <c r="E30" s="60">
        <v>24.388999999999999</v>
      </c>
      <c r="F30" s="60">
        <v>23.44</v>
      </c>
      <c r="G30" s="60">
        <v>20.567</v>
      </c>
      <c r="H30" s="60">
        <v>19.026</v>
      </c>
      <c r="I30" s="60">
        <v>19.036000000000001</v>
      </c>
      <c r="J30" s="60">
        <v>16.454000000000001</v>
      </c>
      <c r="K30" s="60">
        <v>15.467000000000001</v>
      </c>
      <c r="L30" s="60">
        <v>14.760999999999999</v>
      </c>
      <c r="M30" s="60">
        <v>12.603</v>
      </c>
    </row>
    <row r="31" spans="1:13" x14ac:dyDescent="0.2">
      <c r="A31" s="60" t="s">
        <v>133</v>
      </c>
      <c r="B31" s="60" t="s">
        <v>16</v>
      </c>
      <c r="C31" s="69" t="str">
        <f>IF(IFERROR(INDEX('2016'!$D$5:$D$72,MATCH(B31,'2016'!$A$5:$A$72,0)),0)=0,"N/A",INDEX('2016'!$D$5:$D$72,MATCH(B31,'2016'!$A$5:$A$72,0)))</f>
        <v>N/A</v>
      </c>
      <c r="D31" s="60">
        <v>18.318999999999999</v>
      </c>
      <c r="E31" s="60">
        <v>18.015000000000001</v>
      </c>
      <c r="F31" s="60">
        <v>17.427</v>
      </c>
      <c r="G31" s="60">
        <v>16.896000000000001</v>
      </c>
      <c r="H31" s="60">
        <v>16.532</v>
      </c>
      <c r="I31" s="60">
        <v>15.817</v>
      </c>
      <c r="J31" s="60">
        <v>15.747</v>
      </c>
      <c r="K31" s="60">
        <v>15.563000000000001</v>
      </c>
      <c r="L31" s="60">
        <v>16.044</v>
      </c>
      <c r="M31" s="60">
        <v>15.491</v>
      </c>
    </row>
    <row r="32" spans="1:13" x14ac:dyDescent="0.2">
      <c r="A32" s="60" t="s">
        <v>134</v>
      </c>
      <c r="B32" s="60" t="s">
        <v>17</v>
      </c>
      <c r="C32" s="69">
        <f>IF(IFERROR(INDEX('2016'!$D$5:$D$72,MATCH(B32,'2016'!$A$5:$A$72,0)),0)=0,"N/A",INDEX('2016'!$D$5:$D$72,MATCH(B32,'2016'!$A$5:$A$72,0)))</f>
        <v>45.116999999999997</v>
      </c>
      <c r="D32" s="60">
        <v>51.890999999999998</v>
      </c>
      <c r="E32" s="60">
        <v>55.834000000000003</v>
      </c>
      <c r="F32" s="60">
        <v>54.002000000000002</v>
      </c>
      <c r="G32" s="60">
        <v>51.725000000000001</v>
      </c>
      <c r="H32" s="60">
        <v>50.814</v>
      </c>
      <c r="I32" s="60">
        <v>47.533000000000001</v>
      </c>
      <c r="J32" s="60">
        <v>45.545000000000002</v>
      </c>
      <c r="K32" s="60">
        <v>42.070999999999998</v>
      </c>
      <c r="L32" s="60">
        <v>40.713999999999999</v>
      </c>
      <c r="M32" s="60">
        <v>40.450000000000003</v>
      </c>
    </row>
    <row r="33" spans="1:13" x14ac:dyDescent="0.2">
      <c r="A33" s="60" t="s">
        <v>210</v>
      </c>
      <c r="B33" s="60" t="s">
        <v>211</v>
      </c>
      <c r="C33" s="69">
        <f>IF(IFERROR(INDEX('2016'!$D$5:$D$72,MATCH(B33,'2016'!$A$5:$A$72,0)),0)=0,"N/A",INDEX('2016'!$D$5:$D$72,MATCH(B33,'2016'!$A$5:$A$72,0)))</f>
        <v>33.802999999999997</v>
      </c>
      <c r="D33" s="60">
        <v>32.637</v>
      </c>
      <c r="E33" s="60">
        <v>31.474</v>
      </c>
      <c r="F33" s="60">
        <v>30.486000000000001</v>
      </c>
      <c r="G33" s="60">
        <v>29.411999999999999</v>
      </c>
      <c r="H33" s="60">
        <v>22.65</v>
      </c>
      <c r="I33" s="60">
        <v>21.599</v>
      </c>
      <c r="J33" s="60">
        <v>20.373000000000001</v>
      </c>
      <c r="K33" s="60">
        <v>19.382000000000001</v>
      </c>
      <c r="L33" s="60">
        <v>18.652000000000001</v>
      </c>
      <c r="M33" s="60">
        <v>18.143000000000001</v>
      </c>
    </row>
    <row r="34" spans="1:13" x14ac:dyDescent="0.2">
      <c r="A34" s="60" t="s">
        <v>135</v>
      </c>
      <c r="B34" s="60" t="s">
        <v>18</v>
      </c>
      <c r="C34" s="69">
        <f>IF(IFERROR(INDEX('2016'!$D$5:$D$72,MATCH(B34,'2016'!$A$5:$A$72,0)),0)=0,"N/A",INDEX('2016'!$D$5:$D$72,MATCH(B34,'2016'!$A$5:$A$72,0)))</f>
        <v>27.960999999999999</v>
      </c>
      <c r="D34" s="60">
        <v>28.038</v>
      </c>
      <c r="E34" s="60">
        <v>26.292999999999999</v>
      </c>
      <c r="F34" s="60">
        <v>26.515999999999998</v>
      </c>
      <c r="G34" s="60">
        <v>25.071999999999999</v>
      </c>
      <c r="H34" s="60">
        <v>21.684999999999999</v>
      </c>
      <c r="I34" s="60">
        <v>20.488</v>
      </c>
      <c r="J34" s="60">
        <v>19.158999999999999</v>
      </c>
      <c r="K34" s="60">
        <v>16.785</v>
      </c>
      <c r="L34" s="60">
        <v>15.339</v>
      </c>
      <c r="M34" s="60">
        <v>14.888</v>
      </c>
    </row>
    <row r="35" spans="1:13" x14ac:dyDescent="0.2">
      <c r="A35" s="60" t="s">
        <v>136</v>
      </c>
      <c r="B35" s="60" t="s">
        <v>19</v>
      </c>
      <c r="C35" s="69">
        <f>IF(IFERROR(INDEX('2016'!$D$5:$D$72,MATCH(B35,'2016'!$A$5:$A$72,0)),0)=0,"N/A",INDEX('2016'!$D$5:$D$72,MATCH(B35,'2016'!$A$5:$A$72,0)))</f>
        <v>14.109</v>
      </c>
      <c r="D35" s="60">
        <v>29.324999999999999</v>
      </c>
      <c r="E35" s="60">
        <v>29.494</v>
      </c>
      <c r="F35" s="60">
        <v>30.318000000000001</v>
      </c>
      <c r="G35" s="60">
        <v>31.285</v>
      </c>
      <c r="H35" s="60">
        <v>31.754000000000001</v>
      </c>
      <c r="I35" s="60">
        <v>28.032</v>
      </c>
      <c r="J35" s="60">
        <v>28.077000000000002</v>
      </c>
      <c r="K35" s="60">
        <v>27.172000000000001</v>
      </c>
      <c r="L35" s="60">
        <v>29.449000000000002</v>
      </c>
      <c r="M35" s="60">
        <v>28.305</v>
      </c>
    </row>
    <row r="36" spans="1:13" x14ac:dyDescent="0.2">
      <c r="A36" s="60" t="s">
        <v>265</v>
      </c>
      <c r="B36" s="60" t="s">
        <v>266</v>
      </c>
      <c r="C36" s="69">
        <f>IF(IFERROR(INDEX('2016'!$D$5:$D$72,MATCH(B36,'2016'!$A$5:$A$72,0)),0)=0,"N/A",INDEX('2016'!$D$5:$D$72,MATCH(B36,'2016'!$A$5:$A$72,0)))</f>
        <v>32.314999999999998</v>
      </c>
      <c r="D36" s="60">
        <v>28.626000000000001</v>
      </c>
      <c r="E36" s="60">
        <v>24.895</v>
      </c>
      <c r="F36" s="60">
        <v>22.385999999999999</v>
      </c>
      <c r="G36" s="60">
        <v>20.838999999999999</v>
      </c>
      <c r="H36" s="60">
        <v>20.532</v>
      </c>
      <c r="I36" s="60">
        <v>18.951000000000001</v>
      </c>
      <c r="J36" s="60">
        <v>18.568999999999999</v>
      </c>
      <c r="K36" s="60">
        <v>18.003</v>
      </c>
      <c r="L36" s="60">
        <v>16.724</v>
      </c>
      <c r="M36" s="60">
        <v>12.255000000000001</v>
      </c>
    </row>
    <row r="37" spans="1:13" x14ac:dyDescent="0.2">
      <c r="A37" s="60" t="s">
        <v>185</v>
      </c>
      <c r="B37" s="60" t="s">
        <v>186</v>
      </c>
      <c r="C37" s="69">
        <f>IF(IFERROR(INDEX('2016'!$D$5:$D$72,MATCH(B37,'2016'!$A$5:$A$72,0)),0)=0,"N/A",INDEX('2016'!$D$5:$D$72,MATCH(B37,'2016'!$A$5:$A$72,0)))</f>
        <v>8.8360000000000003</v>
      </c>
      <c r="D37" s="60">
        <v>9.09</v>
      </c>
      <c r="E37" s="60">
        <v>9.1829999999999998</v>
      </c>
      <c r="F37" s="60">
        <v>9.327</v>
      </c>
      <c r="G37" s="60">
        <v>9.1210000000000004</v>
      </c>
      <c r="H37" s="60">
        <v>9.17</v>
      </c>
      <c r="I37" s="60">
        <v>9.0429999999999993</v>
      </c>
      <c r="J37" s="60">
        <v>8.1590000000000007</v>
      </c>
      <c r="K37" s="60">
        <v>7.0490000000000004</v>
      </c>
      <c r="L37" s="60">
        <v>5.1989999999999998</v>
      </c>
      <c r="M37" s="60">
        <v>4.3540000000000001</v>
      </c>
    </row>
    <row r="38" spans="1:13" x14ac:dyDescent="0.2">
      <c r="A38" s="60" t="s">
        <v>137</v>
      </c>
      <c r="B38" s="60" t="s">
        <v>20</v>
      </c>
      <c r="C38" s="69">
        <f>IF(IFERROR(INDEX('2016'!$D$5:$D$72,MATCH(B38,'2016'!$A$5:$A$72,0)),0)=0,"N/A",INDEX('2016'!$D$5:$D$72,MATCH(B38,'2016'!$A$5:$A$72,0)))</f>
        <v>24.731000000000002</v>
      </c>
      <c r="D38" s="60">
        <v>23.681000000000001</v>
      </c>
      <c r="E38" s="60">
        <v>23.262</v>
      </c>
      <c r="F38" s="60">
        <v>22.581</v>
      </c>
      <c r="G38" s="60">
        <v>21.754999999999999</v>
      </c>
      <c r="H38" s="60">
        <v>21.741</v>
      </c>
      <c r="I38" s="60">
        <v>21.265000000000001</v>
      </c>
      <c r="J38" s="60">
        <v>20.620999999999999</v>
      </c>
      <c r="K38" s="60">
        <v>21.388000000000002</v>
      </c>
      <c r="L38" s="60">
        <v>18.181999999999999</v>
      </c>
      <c r="M38" s="60">
        <v>16.701000000000001</v>
      </c>
    </row>
    <row r="39" spans="1:13" x14ac:dyDescent="0.2">
      <c r="A39" s="60" t="s">
        <v>138</v>
      </c>
      <c r="B39" s="60" t="s">
        <v>21</v>
      </c>
      <c r="C39" s="69">
        <f>IF(IFERROR(INDEX('2016'!$D$5:$D$72,MATCH(B39,'2016'!$A$5:$A$72,0)),0)=0,"N/A",INDEX('2016'!$D$5:$D$72,MATCH(B39,'2016'!$A$5:$A$72,0)))</f>
        <v>19.033999999999999</v>
      </c>
      <c r="D39" s="60">
        <v>17.937999999999999</v>
      </c>
      <c r="E39" s="60">
        <v>17.466000000000001</v>
      </c>
      <c r="F39" s="60">
        <v>17.056000000000001</v>
      </c>
      <c r="G39" s="60">
        <v>16.276</v>
      </c>
      <c r="H39" s="60">
        <v>15.951000000000001</v>
      </c>
      <c r="I39" s="60">
        <v>15.667999999999999</v>
      </c>
      <c r="J39" s="60">
        <v>15.582000000000001</v>
      </c>
      <c r="K39" s="60">
        <v>15.35</v>
      </c>
      <c r="L39" s="60">
        <v>15.287000000000001</v>
      </c>
      <c r="M39" s="60">
        <v>13.445</v>
      </c>
    </row>
    <row r="40" spans="1:13" x14ac:dyDescent="0.2">
      <c r="A40" s="60" t="s">
        <v>216</v>
      </c>
      <c r="B40" s="60" t="s">
        <v>22</v>
      </c>
      <c r="C40" s="69">
        <f>IF(IFERROR(INDEX('2016'!$D$5:$D$72,MATCH(B40,'2016'!$A$5:$A$72,0)),0)=0,"N/A",INDEX('2016'!$D$5:$D$72,MATCH(B40,'2016'!$A$5:$A$72,0)))</f>
        <v>42.738999999999997</v>
      </c>
      <c r="D40" s="60">
        <v>40.878999999999998</v>
      </c>
      <c r="E40" s="60">
        <v>38.853999999999999</v>
      </c>
      <c r="F40" s="60">
        <v>36.841999999999999</v>
      </c>
      <c r="G40" s="60">
        <v>35.064999999999998</v>
      </c>
      <c r="H40" s="60">
        <v>33.185000000000002</v>
      </c>
      <c r="I40" s="60">
        <v>31.010999999999999</v>
      </c>
      <c r="J40" s="60">
        <v>29.173999999999999</v>
      </c>
      <c r="K40" s="60">
        <v>27.759</v>
      </c>
      <c r="L40" s="60">
        <v>26.792000000000002</v>
      </c>
      <c r="M40" s="60">
        <v>25.765999999999998</v>
      </c>
    </row>
    <row r="41" spans="1:13" x14ac:dyDescent="0.2">
      <c r="A41" s="60" t="s">
        <v>139</v>
      </c>
      <c r="B41" s="60" t="s">
        <v>25</v>
      </c>
      <c r="C41" s="69">
        <f>IF(IFERROR(INDEX('2016'!$D$5:$D$72,MATCH(B41,'2016'!$A$5:$A$72,0)),0)=0,"N/A",INDEX('2016'!$D$5:$D$72,MATCH(B41,'2016'!$A$5:$A$72,0)))</f>
        <v>20.885999999999999</v>
      </c>
      <c r="D41" s="60">
        <v>19.916</v>
      </c>
      <c r="E41" s="60">
        <v>19.02</v>
      </c>
      <c r="F41" s="60">
        <v>17.812000000000001</v>
      </c>
      <c r="G41" s="60">
        <v>16.712</v>
      </c>
      <c r="H41" s="60">
        <v>15.89</v>
      </c>
      <c r="I41" s="60">
        <v>15.144</v>
      </c>
      <c r="J41" s="60">
        <v>14.473000000000001</v>
      </c>
      <c r="K41" s="60">
        <v>13.917999999999999</v>
      </c>
      <c r="L41" s="60">
        <v>12.99</v>
      </c>
      <c r="M41" s="60">
        <v>11.929</v>
      </c>
    </row>
    <row r="42" spans="1:13" x14ac:dyDescent="0.2">
      <c r="A42" s="60" t="s">
        <v>187</v>
      </c>
      <c r="B42" s="60" t="s">
        <v>188</v>
      </c>
      <c r="C42" s="69">
        <f>IF(IFERROR(INDEX('2016'!$D$5:$D$72,MATCH(B42,'2016'!$A$5:$A$72,0)),0)=0,"N/A",INDEX('2016'!$D$5:$D$72,MATCH(B42,'2016'!$A$5:$A$72,0)))</f>
        <v>13.404</v>
      </c>
      <c r="D42" s="60">
        <v>12.739000000000001</v>
      </c>
      <c r="E42" s="60">
        <v>12.236000000000001</v>
      </c>
      <c r="F42" s="60">
        <v>11.824</v>
      </c>
      <c r="G42" s="60">
        <v>11.484</v>
      </c>
      <c r="H42" s="60">
        <v>11.27</v>
      </c>
      <c r="I42" s="60">
        <v>11.132</v>
      </c>
      <c r="J42" s="60">
        <v>10.329000000000001</v>
      </c>
      <c r="K42" s="60">
        <v>10.029</v>
      </c>
      <c r="L42" s="60">
        <v>10.054</v>
      </c>
      <c r="M42" s="60">
        <v>9.5220000000000002</v>
      </c>
    </row>
    <row r="43" spans="1:13" x14ac:dyDescent="0.2">
      <c r="A43" s="60" t="s">
        <v>189</v>
      </c>
      <c r="B43" s="60" t="s">
        <v>190</v>
      </c>
      <c r="C43" s="69">
        <f>IF(IFERROR(INDEX('2016'!$D$5:$D$72,MATCH(B43,'2016'!$A$5:$A$72,0)),0)=0,"N/A",INDEX('2016'!$D$5:$D$72,MATCH(B43,'2016'!$A$5:$A$72,0)))</f>
        <v>13.583</v>
      </c>
      <c r="D43" s="60">
        <v>12.994999999999999</v>
      </c>
      <c r="E43" s="60">
        <v>11.475</v>
      </c>
      <c r="F43" s="60">
        <v>10.651</v>
      </c>
      <c r="G43" s="60">
        <v>9.7989999999999995</v>
      </c>
      <c r="H43" s="60">
        <v>9.3650000000000002</v>
      </c>
      <c r="I43" s="60">
        <v>8.81</v>
      </c>
      <c r="J43" s="60">
        <v>8.2929999999999993</v>
      </c>
      <c r="K43" s="60">
        <v>8.6419999999999995</v>
      </c>
      <c r="L43" s="60">
        <v>7.7480000000000002</v>
      </c>
      <c r="M43" s="60">
        <v>7.5010000000000003</v>
      </c>
    </row>
    <row r="44" spans="1:13" x14ac:dyDescent="0.2">
      <c r="A44" s="60" t="s">
        <v>140</v>
      </c>
      <c r="B44" s="60" t="s">
        <v>141</v>
      </c>
      <c r="C44" s="69">
        <f>IF(IFERROR(INDEX('2016'!$D$5:$D$72,MATCH(B44,'2016'!$A$5:$A$72,0)),0)=0,"N/A",INDEX('2016'!$D$5:$D$72,MATCH(B44,'2016'!$A$5:$A$72,0)))</f>
        <v>52.011000000000003</v>
      </c>
      <c r="D44" s="60">
        <v>48.966999999999999</v>
      </c>
      <c r="E44" s="60">
        <v>44.957000000000001</v>
      </c>
      <c r="F44" s="60">
        <v>41.470999999999997</v>
      </c>
      <c r="G44" s="60">
        <v>37.896000000000001</v>
      </c>
      <c r="H44" s="60">
        <v>35.920999999999999</v>
      </c>
      <c r="I44" s="60">
        <v>34.36</v>
      </c>
      <c r="J44" s="60">
        <v>31.35</v>
      </c>
      <c r="K44" s="60">
        <v>28.565999999999999</v>
      </c>
      <c r="L44" s="60">
        <v>26.353999999999999</v>
      </c>
      <c r="M44" s="60">
        <v>24.494</v>
      </c>
    </row>
    <row r="45" spans="1:13" x14ac:dyDescent="0.2">
      <c r="A45" s="60" t="s">
        <v>142</v>
      </c>
      <c r="B45" s="60" t="s">
        <v>26</v>
      </c>
      <c r="C45" s="69">
        <f>IF(IFERROR(INDEX('2016'!$D$5:$D$72,MATCH(B45,'2016'!$A$5:$A$72,0)),0)=0,"N/A",INDEX('2016'!$D$5:$D$72,MATCH(B45,'2016'!$A$5:$A$72,0)))</f>
        <v>12.598000000000001</v>
      </c>
      <c r="D45" s="60">
        <v>12.044</v>
      </c>
      <c r="E45" s="60">
        <v>19.54</v>
      </c>
      <c r="F45" s="60">
        <v>18.766999999999999</v>
      </c>
      <c r="G45" s="60">
        <v>17.901</v>
      </c>
      <c r="H45" s="60">
        <v>17.71</v>
      </c>
      <c r="I45" s="60">
        <v>17.626999999999999</v>
      </c>
      <c r="J45" s="60">
        <v>17.536999999999999</v>
      </c>
      <c r="K45" s="60">
        <v>17.242000000000001</v>
      </c>
      <c r="L45" s="60">
        <v>18.515999999999998</v>
      </c>
      <c r="M45" s="60">
        <v>18.321000000000002</v>
      </c>
    </row>
    <row r="46" spans="1:13" x14ac:dyDescent="0.2">
      <c r="A46" s="60" t="s">
        <v>191</v>
      </c>
      <c r="B46" s="60" t="s">
        <v>192</v>
      </c>
      <c r="C46" s="69">
        <f>IF(IFERROR(INDEX('2016'!$D$5:$D$72,MATCH(B46,'2016'!$A$5:$A$72,0)),0)=0,"N/A",INDEX('2016'!$D$5:$D$72,MATCH(B46,'2016'!$A$5:$A$72,0)))</f>
        <v>29.706</v>
      </c>
      <c r="D46" s="60">
        <v>28.475000000000001</v>
      </c>
      <c r="E46" s="60">
        <v>28.123000000000001</v>
      </c>
      <c r="F46" s="60">
        <v>27.77</v>
      </c>
      <c r="G46" s="60">
        <v>27.233000000000001</v>
      </c>
      <c r="H46" s="60">
        <v>26.704000000000001</v>
      </c>
      <c r="I46" s="60">
        <v>26.08</v>
      </c>
      <c r="J46" s="60">
        <v>24.879000000000001</v>
      </c>
      <c r="K46" s="60">
        <v>23.710999999999999</v>
      </c>
      <c r="L46" s="60">
        <v>22.521999999999998</v>
      </c>
      <c r="M46" s="60">
        <v>22.010999999999999</v>
      </c>
    </row>
    <row r="47" spans="1:13" x14ac:dyDescent="0.2">
      <c r="A47" s="60" t="s">
        <v>143</v>
      </c>
      <c r="B47" s="60" t="s">
        <v>144</v>
      </c>
      <c r="C47" s="69">
        <f>IF(IFERROR(INDEX('2016'!$D$5:$D$72,MATCH(B47,'2016'!$A$5:$A$72,0)),0)=0,"N/A",INDEX('2016'!$D$5:$D$72,MATCH(B47,'2016'!$A$5:$A$72,0)))</f>
        <v>34.682000000000002</v>
      </c>
      <c r="D47" s="60">
        <v>33.218000000000004</v>
      </c>
      <c r="E47" s="60">
        <v>31.498999999999999</v>
      </c>
      <c r="F47" s="60">
        <v>26.600999999999999</v>
      </c>
      <c r="G47" s="60">
        <v>25.094000000000001</v>
      </c>
      <c r="H47" s="60">
        <v>23.681000000000001</v>
      </c>
      <c r="I47" s="60">
        <v>22.643000000000001</v>
      </c>
      <c r="J47" s="60">
        <v>21.86</v>
      </c>
      <c r="K47" s="60">
        <v>21.251000000000001</v>
      </c>
      <c r="L47" s="60">
        <v>21.119</v>
      </c>
      <c r="M47" s="60">
        <v>20.651</v>
      </c>
    </row>
    <row r="48" spans="1:13" x14ac:dyDescent="0.2">
      <c r="A48" s="60" t="s">
        <v>145</v>
      </c>
      <c r="B48" s="60" t="s">
        <v>27</v>
      </c>
      <c r="C48" s="69">
        <f>IF(IFERROR(INDEX('2016'!$D$5:$D$72,MATCH(B48,'2016'!$A$5:$A$72,0)),0)=0,"N/A",INDEX('2016'!$D$5:$D$72,MATCH(B48,'2016'!$A$5:$A$72,0)))</f>
        <v>17.245000000000001</v>
      </c>
      <c r="D48" s="60">
        <v>16.655000000000001</v>
      </c>
      <c r="E48" s="60">
        <v>16.271000000000001</v>
      </c>
      <c r="F48" s="60">
        <v>15.3</v>
      </c>
      <c r="G48" s="60">
        <v>14.004</v>
      </c>
      <c r="H48" s="60">
        <v>13.065</v>
      </c>
      <c r="I48" s="60">
        <v>11.73</v>
      </c>
      <c r="J48" s="60">
        <v>10.52</v>
      </c>
      <c r="K48" s="60">
        <v>10.143000000000001</v>
      </c>
      <c r="L48" s="60">
        <v>9.1549999999999994</v>
      </c>
      <c r="M48" s="60">
        <v>8.7929999999999993</v>
      </c>
    </row>
    <row r="49" spans="1:13" x14ac:dyDescent="0.2">
      <c r="A49" s="60" t="s">
        <v>349</v>
      </c>
      <c r="B49" s="60" t="s">
        <v>346</v>
      </c>
      <c r="C49" s="69">
        <f>IF(IFERROR(INDEX('2016'!$D$5:$D$72,MATCH(B49,'2016'!$A$5:$A$72,0)),0)=0,"N/A",INDEX('2016'!$D$5:$D$72,MATCH(B49,'2016'!$A$5:$A$72,0)))</f>
        <v>36.116999999999997</v>
      </c>
      <c r="D49" s="60">
        <v>35.238999999999997</v>
      </c>
      <c r="E49" s="60">
        <v>34.445</v>
      </c>
    </row>
    <row r="50" spans="1:13" x14ac:dyDescent="0.2">
      <c r="A50" s="60" t="s">
        <v>146</v>
      </c>
      <c r="B50" s="60" t="s">
        <v>28</v>
      </c>
      <c r="C50" s="69">
        <f>IF(IFERROR(INDEX('2016'!$D$5:$D$72,MATCH(B50,'2016'!$A$5:$A$72,0)),0)=0,"N/A",INDEX('2016'!$D$5:$D$72,MATCH(B50,'2016'!$A$5:$A$72,0)))</f>
        <v>17.03</v>
      </c>
      <c r="D50" s="60">
        <v>15.981999999999999</v>
      </c>
      <c r="E50" s="60">
        <v>15.388999999999999</v>
      </c>
      <c r="F50" s="60">
        <v>14.744999999999999</v>
      </c>
      <c r="G50" s="60">
        <v>14.432</v>
      </c>
      <c r="H50" s="60">
        <v>15.829000000000001</v>
      </c>
      <c r="I50" s="60">
        <v>17.565000000000001</v>
      </c>
      <c r="J50" s="60">
        <v>18.785</v>
      </c>
      <c r="K50" s="60">
        <v>19.138999999999999</v>
      </c>
      <c r="L50" s="60">
        <v>17.550999999999998</v>
      </c>
      <c r="M50" s="60">
        <v>16.667000000000002</v>
      </c>
    </row>
    <row r="51" spans="1:13" x14ac:dyDescent="0.2">
      <c r="A51" s="60" t="s">
        <v>147</v>
      </c>
      <c r="B51" s="60" t="s">
        <v>30</v>
      </c>
      <c r="C51" s="69">
        <f>IF(IFERROR(INDEX('2016'!$D$5:$D$72,MATCH(B51,'2016'!$A$5:$A$72,0)),0)=0,"N/A",INDEX('2016'!$D$5:$D$72,MATCH(B51,'2016'!$A$5:$A$72,0)))</f>
        <v>35.392000000000003</v>
      </c>
      <c r="D51" s="60">
        <v>33.689</v>
      </c>
      <c r="E51" s="60">
        <v>33.090000000000003</v>
      </c>
      <c r="F51" s="60">
        <v>31.405999999999999</v>
      </c>
      <c r="G51" s="60">
        <v>30.353999999999999</v>
      </c>
      <c r="H51" s="60">
        <v>29.353000000000002</v>
      </c>
      <c r="I51" s="60">
        <v>28.545999999999999</v>
      </c>
      <c r="J51" s="60">
        <v>27.882000000000001</v>
      </c>
      <c r="K51" s="60">
        <v>25.971</v>
      </c>
      <c r="L51" s="60">
        <v>24.18</v>
      </c>
      <c r="M51" s="60">
        <v>22.437000000000001</v>
      </c>
    </row>
    <row r="52" spans="1:13" x14ac:dyDescent="0.2">
      <c r="A52" s="60" t="s">
        <v>148</v>
      </c>
      <c r="B52" s="60" t="s">
        <v>31</v>
      </c>
      <c r="C52" s="69">
        <f>IF(IFERROR(INDEX('2016'!$D$5:$D$72,MATCH(B52,'2016'!$A$5:$A$72,0)),0)=0,"N/A",INDEX('2016'!$D$5:$D$72,MATCH(B52,'2016'!$A$5:$A$72,0)))</f>
        <v>43.145000000000003</v>
      </c>
      <c r="D52" s="60">
        <v>41.304000000000002</v>
      </c>
      <c r="E52" s="60">
        <v>39.499000000000002</v>
      </c>
      <c r="F52" s="60">
        <v>38.069000000000003</v>
      </c>
      <c r="G52" s="60">
        <v>36.201000000000001</v>
      </c>
      <c r="H52" s="60">
        <v>34.984000000000002</v>
      </c>
      <c r="I52" s="60">
        <v>33.863999999999997</v>
      </c>
      <c r="J52" s="60">
        <v>32.692</v>
      </c>
      <c r="K52" s="60">
        <v>34.155999999999999</v>
      </c>
      <c r="L52" s="60">
        <v>35.145000000000003</v>
      </c>
      <c r="M52" s="60">
        <v>34.475000000000001</v>
      </c>
    </row>
    <row r="53" spans="1:13" x14ac:dyDescent="0.2">
      <c r="A53" s="60" t="s">
        <v>149</v>
      </c>
      <c r="B53" s="60" t="s">
        <v>32</v>
      </c>
      <c r="C53" s="69">
        <f>IF(IFERROR(INDEX('2016'!$D$5:$D$72,MATCH(B53,'2016'!$A$5:$A$72,0)),0)=0,"N/A",INDEX('2016'!$D$5:$D$72,MATCH(B53,'2016'!$A$5:$A$72,0)))</f>
        <v>21.04</v>
      </c>
      <c r="D53" s="60">
        <v>20.774999999999999</v>
      </c>
      <c r="E53" s="60">
        <v>22.390999999999998</v>
      </c>
      <c r="F53" s="60">
        <v>20.866</v>
      </c>
      <c r="G53" s="60">
        <v>20.045000000000002</v>
      </c>
      <c r="H53" s="60">
        <v>19.616</v>
      </c>
      <c r="I53" s="60">
        <v>17.597000000000001</v>
      </c>
      <c r="J53" s="60">
        <v>18.901</v>
      </c>
      <c r="K53" s="60">
        <v>18.893000000000001</v>
      </c>
      <c r="L53" s="60">
        <v>22.032</v>
      </c>
      <c r="M53" s="60">
        <v>22.091999999999999</v>
      </c>
    </row>
    <row r="54" spans="1:13" x14ac:dyDescent="0.2">
      <c r="A54" s="60" t="s">
        <v>150</v>
      </c>
      <c r="B54" s="60" t="s">
        <v>33</v>
      </c>
      <c r="C54" s="69">
        <f>IF(IFERROR(INDEX('2016'!$D$5:$D$72,MATCH(B54,'2016'!$A$5:$A$72,0)),0)=0,"N/A",INDEX('2016'!$D$5:$D$72,MATCH(B54,'2016'!$A$5:$A$72,0)))</f>
        <v>26.353000000000002</v>
      </c>
      <c r="D54" s="60">
        <v>25.43</v>
      </c>
      <c r="E54" s="60">
        <v>24.428000000000001</v>
      </c>
      <c r="F54" s="60">
        <v>23.295000000000002</v>
      </c>
      <c r="G54" s="60">
        <v>22.87</v>
      </c>
      <c r="H54" s="60">
        <v>22.067</v>
      </c>
      <c r="I54" s="60">
        <v>21.137</v>
      </c>
      <c r="J54" s="60">
        <v>20.501999999999999</v>
      </c>
      <c r="K54" s="60">
        <v>21.638000000000002</v>
      </c>
      <c r="L54" s="60">
        <v>21.045999999999999</v>
      </c>
      <c r="M54" s="60">
        <v>19.582999999999998</v>
      </c>
    </row>
    <row r="55" spans="1:13" x14ac:dyDescent="0.2">
      <c r="A55" s="60" t="s">
        <v>151</v>
      </c>
      <c r="B55" s="60" t="s">
        <v>34</v>
      </c>
      <c r="C55" s="69">
        <f>IF(IFERROR(INDEX('2016'!$D$5:$D$72,MATCH(B55,'2016'!$A$5:$A$72,0)),0)=0,"N/A",INDEX('2016'!$D$5:$D$72,MATCH(B55,'2016'!$A$5:$A$72,0)))</f>
        <v>14.563000000000001</v>
      </c>
      <c r="D55" s="60">
        <v>14.72</v>
      </c>
      <c r="E55" s="60">
        <v>20.466999999999999</v>
      </c>
      <c r="F55" s="60">
        <v>19.777000000000001</v>
      </c>
      <c r="G55" s="60">
        <v>18.009</v>
      </c>
      <c r="H55" s="60">
        <v>18.72</v>
      </c>
      <c r="I55" s="60">
        <v>16.984000000000002</v>
      </c>
      <c r="J55" s="60">
        <v>14.571</v>
      </c>
      <c r="K55" s="60">
        <v>13.554</v>
      </c>
      <c r="L55" s="60">
        <v>14.885</v>
      </c>
      <c r="M55" s="60">
        <v>13.303000000000001</v>
      </c>
    </row>
    <row r="56" spans="1:13" x14ac:dyDescent="0.2">
      <c r="A56" s="60" t="s">
        <v>152</v>
      </c>
      <c r="B56" s="60" t="s">
        <v>35</v>
      </c>
      <c r="C56" s="69">
        <f>IF(IFERROR(INDEX('2016'!$D$5:$D$72,MATCH(B56,'2016'!$A$5:$A$72,0)),0)=0,"N/A",INDEX('2016'!$D$5:$D$72,MATCH(B56,'2016'!$A$5:$A$72,0)))</f>
        <v>26.007000000000001</v>
      </c>
      <c r="D56" s="60">
        <v>25.859000000000002</v>
      </c>
      <c r="E56" s="60">
        <v>24.088999999999999</v>
      </c>
      <c r="F56" s="60">
        <v>22.946999999999999</v>
      </c>
      <c r="G56" s="60">
        <v>21.309000000000001</v>
      </c>
      <c r="H56" s="60">
        <v>20.298999999999999</v>
      </c>
      <c r="I56" s="60">
        <v>19.039000000000001</v>
      </c>
      <c r="J56" s="60">
        <v>17.367999999999999</v>
      </c>
      <c r="K56" s="60">
        <v>15.356999999999999</v>
      </c>
      <c r="L56" s="60">
        <v>14.353</v>
      </c>
      <c r="M56" s="60">
        <v>13.353</v>
      </c>
    </row>
    <row r="57" spans="1:13" x14ac:dyDescent="0.2">
      <c r="A57" s="60" t="s">
        <v>193</v>
      </c>
      <c r="B57" s="60" t="s">
        <v>194</v>
      </c>
      <c r="C57" s="69">
        <f>IF(IFERROR(INDEX('2016'!$D$5:$D$72,MATCH(B57,'2016'!$A$5:$A$72,0)),0)=0,"N/A",INDEX('2016'!$D$5:$D$72,MATCH(B57,'2016'!$A$5:$A$72,0)))</f>
        <v>7.7510000000000003</v>
      </c>
      <c r="D57" s="60">
        <v>11.145</v>
      </c>
      <c r="E57" s="60">
        <v>11.021000000000001</v>
      </c>
      <c r="F57" s="60">
        <v>10.510999999999999</v>
      </c>
      <c r="G57" s="60">
        <v>10.852</v>
      </c>
      <c r="H57" s="60">
        <v>10.548999999999999</v>
      </c>
      <c r="I57" s="60">
        <v>10.182</v>
      </c>
      <c r="J57" s="60">
        <v>10.004</v>
      </c>
      <c r="K57" s="60">
        <v>9.8940000000000001</v>
      </c>
      <c r="L57" s="60">
        <v>9.69</v>
      </c>
      <c r="M57" s="60">
        <v>9.4659999999999993</v>
      </c>
    </row>
    <row r="58" spans="1:13" x14ac:dyDescent="0.2">
      <c r="A58" s="60" t="s">
        <v>153</v>
      </c>
      <c r="B58" s="60" t="s">
        <v>36</v>
      </c>
      <c r="C58" s="69">
        <f>IF(IFERROR(INDEX('2016'!$D$5:$D$72,MATCH(B58,'2016'!$A$5:$A$72,0)),0)=0,"N/A",INDEX('2016'!$D$5:$D$72,MATCH(B58,'2016'!$A$5:$A$72,0)))</f>
        <v>40.063000000000002</v>
      </c>
      <c r="D58" s="60">
        <v>38.090000000000003</v>
      </c>
      <c r="E58" s="60">
        <v>34.947000000000003</v>
      </c>
      <c r="F58" s="60">
        <v>33.078000000000003</v>
      </c>
      <c r="G58" s="60">
        <v>31.466999999999999</v>
      </c>
      <c r="H58" s="60">
        <v>29.943000000000001</v>
      </c>
      <c r="I58" s="60">
        <v>29.047999999999998</v>
      </c>
      <c r="J58" s="60">
        <v>27.631</v>
      </c>
      <c r="K58" s="60">
        <v>25.853000000000002</v>
      </c>
      <c r="L58" s="60">
        <v>25.372</v>
      </c>
      <c r="M58" s="60">
        <v>24.395</v>
      </c>
    </row>
    <row r="59" spans="1:13" x14ac:dyDescent="0.2">
      <c r="A59" s="60" t="s">
        <v>154</v>
      </c>
      <c r="B59" s="60" t="s">
        <v>37</v>
      </c>
      <c r="C59" s="69">
        <f>IF(IFERROR(INDEX('2016'!$D$5:$D$72,MATCH(B59,'2016'!$A$5:$A$72,0)),0)=0,"N/A",INDEX('2016'!$D$5:$D$72,MATCH(B59,'2016'!$A$5:$A$72,0)))</f>
        <v>51.771999999999998</v>
      </c>
      <c r="D59" s="60">
        <v>47.56</v>
      </c>
      <c r="E59" s="60">
        <v>45.978999999999999</v>
      </c>
      <c r="F59" s="60">
        <v>45.03</v>
      </c>
      <c r="G59" s="60">
        <v>42.423000000000002</v>
      </c>
      <c r="H59" s="60">
        <v>41.003</v>
      </c>
      <c r="I59" s="60">
        <v>37.542999999999999</v>
      </c>
      <c r="J59" s="60">
        <v>36.537999999999997</v>
      </c>
      <c r="K59" s="60">
        <v>32.750999999999998</v>
      </c>
      <c r="L59" s="60">
        <v>31.87</v>
      </c>
      <c r="M59" s="60">
        <v>28.655999999999999</v>
      </c>
    </row>
    <row r="60" spans="1:13" x14ac:dyDescent="0.2">
      <c r="A60" s="60" t="s">
        <v>195</v>
      </c>
      <c r="B60" s="60" t="s">
        <v>196</v>
      </c>
      <c r="C60" s="69">
        <f>IF(IFERROR(INDEX('2016'!$D$5:$D$72,MATCH(B60,'2016'!$A$5:$A$72,0)),0)=0,"N/A",INDEX('2016'!$D$5:$D$72,MATCH(B60,'2016'!$A$5:$A$72,0)))</f>
        <v>20.611999999999998</v>
      </c>
      <c r="D60" s="60">
        <v>18.829999999999998</v>
      </c>
      <c r="E60" s="60">
        <v>17.753</v>
      </c>
      <c r="F60" s="60">
        <v>15.923999999999999</v>
      </c>
      <c r="G60" s="60">
        <v>14.708</v>
      </c>
      <c r="H60" s="60">
        <v>14.199</v>
      </c>
      <c r="I60" s="60">
        <v>13.747</v>
      </c>
      <c r="J60" s="60">
        <v>13.662000000000001</v>
      </c>
      <c r="K60" s="60">
        <v>13.993</v>
      </c>
      <c r="L60" s="60">
        <v>12.904</v>
      </c>
      <c r="M60" s="60">
        <v>12.481</v>
      </c>
    </row>
    <row r="61" spans="1:13" x14ac:dyDescent="0.2">
      <c r="A61" s="60" t="s">
        <v>197</v>
      </c>
      <c r="B61" s="60" t="s">
        <v>198</v>
      </c>
      <c r="C61" s="69">
        <f>IF(IFERROR(INDEX('2016'!$D$5:$D$72,MATCH(B61,'2016'!$A$5:$A$72,0)),0)=0,"N/A",INDEX('2016'!$D$5:$D$72,MATCH(B61,'2016'!$A$5:$A$72,0)))</f>
        <v>16.221</v>
      </c>
      <c r="D61" s="60">
        <v>14.62</v>
      </c>
      <c r="E61" s="60">
        <v>13.645</v>
      </c>
      <c r="F61" s="60">
        <v>12.638999999999999</v>
      </c>
      <c r="G61" s="60">
        <v>11.629</v>
      </c>
      <c r="H61" s="60">
        <v>10.329000000000001</v>
      </c>
      <c r="I61" s="60">
        <v>9.5419999999999998</v>
      </c>
      <c r="J61" s="60">
        <v>9.1219999999999999</v>
      </c>
      <c r="K61" s="60">
        <v>8.6660000000000004</v>
      </c>
      <c r="L61" s="60">
        <v>8.1240000000000006</v>
      </c>
      <c r="M61" s="60">
        <v>7.5540000000000003</v>
      </c>
    </row>
    <row r="62" spans="1:13" x14ac:dyDescent="0.2">
      <c r="A62" s="60" t="s">
        <v>155</v>
      </c>
      <c r="B62" s="60" t="s">
        <v>38</v>
      </c>
      <c r="C62" s="69">
        <f>IF(IFERROR(INDEX('2016'!$D$5:$D$72,MATCH(B62,'2016'!$A$5:$A$72,0)),0)=0,"N/A",INDEX('2016'!$D$5:$D$72,MATCH(B62,'2016'!$A$5:$A$72,0)))</f>
        <v>24.998000000000001</v>
      </c>
      <c r="D62" s="60">
        <v>22.585999999999999</v>
      </c>
      <c r="E62" s="60">
        <v>21.975999999999999</v>
      </c>
      <c r="F62" s="60">
        <v>21.427</v>
      </c>
      <c r="G62" s="60">
        <v>21.085000000000001</v>
      </c>
      <c r="H62" s="60">
        <v>20.318000000000001</v>
      </c>
      <c r="I62" s="60">
        <v>19.212</v>
      </c>
      <c r="J62" s="60">
        <v>18.152000000000001</v>
      </c>
      <c r="K62" s="60">
        <v>17.082000000000001</v>
      </c>
      <c r="L62" s="60">
        <v>16.23</v>
      </c>
      <c r="M62" s="60">
        <v>15.237</v>
      </c>
    </row>
    <row r="63" spans="1:13" x14ac:dyDescent="0.2">
      <c r="A63" s="60" t="s">
        <v>199</v>
      </c>
      <c r="B63" s="60" t="s">
        <v>200</v>
      </c>
      <c r="C63" s="69">
        <f>IF(IFERROR(INDEX('2016'!$D$5:$D$72,MATCH(B63,'2016'!$A$5:$A$72,0)),0)=0,"N/A",INDEX('2016'!$D$5:$D$72,MATCH(B63,'2016'!$A$5:$A$72,0)))</f>
        <v>35.033999999999999</v>
      </c>
      <c r="D63" s="60">
        <v>33.609000000000002</v>
      </c>
      <c r="E63" s="60">
        <v>31.946999999999999</v>
      </c>
      <c r="F63" s="60">
        <v>30.468</v>
      </c>
      <c r="G63" s="60">
        <v>28.355</v>
      </c>
      <c r="H63" s="60">
        <v>26.657</v>
      </c>
      <c r="I63" s="60">
        <v>25.614999999999998</v>
      </c>
      <c r="J63" s="60">
        <v>24.440999999999999</v>
      </c>
      <c r="K63" s="60">
        <v>23.484999999999999</v>
      </c>
      <c r="L63" s="60">
        <v>22.98</v>
      </c>
      <c r="M63" s="60">
        <v>21.581</v>
      </c>
    </row>
    <row r="64" spans="1:13" x14ac:dyDescent="0.2">
      <c r="A64" s="60" t="s">
        <v>243</v>
      </c>
      <c r="B64" s="60" t="s">
        <v>244</v>
      </c>
      <c r="C64" s="69">
        <f>IF(IFERROR(INDEX('2016'!$D$5:$D$72,MATCH(B64,'2016'!$A$5:$A$72,0)),0)=0,"N/A",INDEX('2016'!$D$5:$D$72,MATCH(B64,'2016'!$A$5:$A$72,0)))</f>
        <v>38.732999999999997</v>
      </c>
      <c r="D64" s="60">
        <v>36.295999999999999</v>
      </c>
      <c r="E64" s="60">
        <v>34.93</v>
      </c>
      <c r="F64" s="60">
        <v>31.998999999999999</v>
      </c>
      <c r="G64" s="60">
        <v>26.673999999999999</v>
      </c>
      <c r="H64" s="60">
        <v>25.56</v>
      </c>
      <c r="I64" s="60">
        <v>24.024999999999999</v>
      </c>
      <c r="J64" s="60">
        <v>23.323</v>
      </c>
      <c r="K64" s="60">
        <v>22.119</v>
      </c>
      <c r="L64" s="60">
        <v>19.788</v>
      </c>
      <c r="M64" s="60">
        <v>18.849</v>
      </c>
    </row>
    <row r="65" spans="1:13" x14ac:dyDescent="0.2">
      <c r="A65" s="60" t="s">
        <v>201</v>
      </c>
      <c r="B65" s="60" t="s">
        <v>202</v>
      </c>
      <c r="C65" s="69">
        <f>IF(IFERROR(INDEX('2016'!$D$5:$D$72,MATCH(B65,'2016'!$A$5:$A$72,0)),0)=0,"N/A",INDEX('2016'!$D$5:$D$72,MATCH(B65,'2016'!$A$5:$A$72,0)))</f>
        <v>5.3630000000000004</v>
      </c>
      <c r="D65" s="60">
        <v>5.032</v>
      </c>
      <c r="E65" s="60">
        <v>4.7539999999999996</v>
      </c>
      <c r="F65" s="60">
        <v>4.492</v>
      </c>
      <c r="G65" s="60">
        <v>4.2629999999999999</v>
      </c>
      <c r="H65" s="60">
        <v>4.1929999999999996</v>
      </c>
      <c r="I65" s="60">
        <v>4.1689999999999996</v>
      </c>
      <c r="J65" s="60">
        <v>4.077</v>
      </c>
      <c r="K65" s="60">
        <v>2.6389999999999998</v>
      </c>
      <c r="L65" s="60">
        <v>2.855</v>
      </c>
      <c r="M65" s="60">
        <v>2.2869999999999999</v>
      </c>
    </row>
    <row r="66" spans="1:13" x14ac:dyDescent="0.2">
      <c r="A66" s="60" t="s">
        <v>203</v>
      </c>
      <c r="B66" s="60" t="s">
        <v>204</v>
      </c>
      <c r="C66" s="69">
        <f>IF(IFERROR(INDEX('2016'!$D$5:$D$72,MATCH(B66,'2016'!$A$5:$A$72,0)),0)=0,"N/A",INDEX('2016'!$D$5:$D$72,MATCH(B66,'2016'!$A$5:$A$72,0)))</f>
        <v>16.465</v>
      </c>
      <c r="D66" s="60">
        <v>15.55</v>
      </c>
      <c r="E66" s="60">
        <v>15.394</v>
      </c>
      <c r="F66" s="60">
        <v>14.586</v>
      </c>
      <c r="G66" s="60">
        <v>13.209</v>
      </c>
      <c r="H66" s="60">
        <v>11.789</v>
      </c>
      <c r="I66" s="60">
        <v>11.099</v>
      </c>
      <c r="J66" s="60">
        <v>9.7759999999999998</v>
      </c>
      <c r="K66" s="60">
        <v>8.8000000000000007</v>
      </c>
      <c r="L66" s="60">
        <v>8.2629999999999999</v>
      </c>
      <c r="M66" s="60">
        <v>6.952</v>
      </c>
    </row>
    <row r="67" spans="1:13" x14ac:dyDescent="0.2">
      <c r="A67" s="60" t="s">
        <v>159</v>
      </c>
      <c r="B67" s="60" t="s">
        <v>83</v>
      </c>
      <c r="C67" s="69">
        <f>IF(IFERROR(INDEX('2016'!$D$5:$D$72,MATCH(B67,'2016'!$A$5:$A$72,0)),0)=0,"N/A",INDEX('2016'!$D$5:$D$72,MATCH(B67,'2016'!$A$5:$A$72,0)))</f>
        <v>20.824999999999999</v>
      </c>
      <c r="D67" s="60">
        <v>20.199000000000002</v>
      </c>
      <c r="E67" s="60">
        <v>19.625</v>
      </c>
      <c r="F67" s="60">
        <v>19.145</v>
      </c>
      <c r="G67" s="60">
        <v>18.896000000000001</v>
      </c>
      <c r="H67" s="60">
        <v>17.5</v>
      </c>
      <c r="I67" s="60">
        <v>17.355</v>
      </c>
      <c r="J67" s="60">
        <v>17.818999999999999</v>
      </c>
      <c r="K67" s="60">
        <v>17.904</v>
      </c>
      <c r="L67" s="60">
        <v>17.491</v>
      </c>
      <c r="M67" s="60">
        <v>17.305</v>
      </c>
    </row>
    <row r="68" spans="1:13" x14ac:dyDescent="0.2">
      <c r="A68" s="60" t="s">
        <v>156</v>
      </c>
      <c r="B68" s="60" t="s">
        <v>42</v>
      </c>
      <c r="C68" s="69">
        <f>IF(IFERROR(INDEX('2016'!$D$5:$D$72,MATCH(B68,'2016'!$A$5:$A$72,0)),0)=0,"N/A",INDEX('2016'!$D$5:$D$72,MATCH(B68,'2016'!$A$5:$A$72,0)))</f>
        <v>21.327999999999999</v>
      </c>
      <c r="D68" s="60">
        <v>20.335999999999999</v>
      </c>
      <c r="E68" s="60">
        <v>19.45</v>
      </c>
      <c r="F68" s="60">
        <v>18.863</v>
      </c>
      <c r="G68" s="60">
        <v>18.565999999999999</v>
      </c>
      <c r="H68" s="60">
        <v>17.893999999999998</v>
      </c>
      <c r="I68" s="60">
        <v>17.611999999999998</v>
      </c>
      <c r="J68" s="60">
        <v>17.228000000000002</v>
      </c>
      <c r="K68" s="60">
        <v>16.681000000000001</v>
      </c>
      <c r="L68" s="60">
        <v>16.157</v>
      </c>
      <c r="M68" s="60">
        <v>15.43</v>
      </c>
    </row>
    <row r="69" spans="1:13" x14ac:dyDescent="0.2">
      <c r="A69" s="60" t="s">
        <v>217</v>
      </c>
      <c r="B69" s="60" t="s">
        <v>44</v>
      </c>
      <c r="C69" s="69">
        <f>IF(IFERROR(INDEX('2016'!$D$5:$D$72,MATCH(B69,'2016'!$A$5:$A$72,0)),0)=0,"N/A",INDEX('2016'!$D$5:$D$72,MATCH(B69,'2016'!$A$5:$A$72,0)))</f>
        <v>28.292999999999999</v>
      </c>
      <c r="D69" s="60">
        <v>27.416</v>
      </c>
      <c r="E69" s="60">
        <v>19.597999999999999</v>
      </c>
      <c r="F69" s="60">
        <v>18.733000000000001</v>
      </c>
      <c r="G69" s="60">
        <v>18.053999999999998</v>
      </c>
      <c r="H69" s="60">
        <v>17.195</v>
      </c>
      <c r="I69" s="60">
        <v>16.263999999999999</v>
      </c>
      <c r="J69" s="60">
        <v>15.255000000000001</v>
      </c>
      <c r="K69" s="60">
        <v>14.27</v>
      </c>
      <c r="L69" s="60">
        <v>13.250999999999999</v>
      </c>
      <c r="M69" s="60">
        <v>12.349</v>
      </c>
    </row>
    <row r="70" spans="1:13" x14ac:dyDescent="0.2">
      <c r="A70" s="60" t="s">
        <v>157</v>
      </c>
      <c r="B70" s="60" t="s">
        <v>43</v>
      </c>
      <c r="C70" s="69">
        <f>IF(IFERROR(INDEX('2016'!$D$5:$D$72,MATCH(B70,'2016'!$A$5:$A$72,0)),0)=0,"N/A",INDEX('2016'!$D$5:$D$72,MATCH(B70,'2016'!$A$5:$A$72,0)))</f>
        <v>26.841000000000001</v>
      </c>
      <c r="D70" s="60">
        <v>25.869</v>
      </c>
      <c r="E70" s="60">
        <v>25.02</v>
      </c>
      <c r="F70" s="60">
        <v>23.879000000000001</v>
      </c>
      <c r="G70" s="60">
        <v>22.893999999999998</v>
      </c>
      <c r="H70" s="60">
        <v>22.030999999999999</v>
      </c>
      <c r="I70" s="60">
        <v>21.251000000000001</v>
      </c>
      <c r="J70" s="60">
        <v>20.585999999999999</v>
      </c>
      <c r="K70" s="60">
        <v>20.184000000000001</v>
      </c>
      <c r="L70" s="60">
        <v>19.138999999999999</v>
      </c>
      <c r="M70" s="60">
        <v>17.614999999999998</v>
      </c>
    </row>
    <row r="71" spans="1:13" x14ac:dyDescent="0.2">
      <c r="A71" s="60" t="s">
        <v>205</v>
      </c>
      <c r="B71" s="60" t="s">
        <v>206</v>
      </c>
      <c r="C71" s="69">
        <f>IF(IFERROR(INDEX('2016'!$D$5:$D$72,MATCH(B71,'2016'!$A$5:$A$72,0)),0)=0,"N/A",INDEX('2016'!$D$5:$D$72,MATCH(B71,'2016'!$A$5:$A$72,0)))</f>
        <v>26.777999999999999</v>
      </c>
      <c r="D71" s="60">
        <v>24.972999999999999</v>
      </c>
      <c r="E71" s="60">
        <v>24.084</v>
      </c>
      <c r="F71" s="60">
        <v>24.654</v>
      </c>
      <c r="G71" s="60">
        <v>24.640999999999998</v>
      </c>
      <c r="H71" s="60">
        <v>23.492999999999999</v>
      </c>
      <c r="I71" s="60">
        <v>22.821999999999999</v>
      </c>
      <c r="J71" s="60">
        <v>21.890999999999998</v>
      </c>
      <c r="K71" s="60">
        <v>20.986000000000001</v>
      </c>
      <c r="L71" s="60">
        <v>19.834</v>
      </c>
      <c r="M71" s="60">
        <v>18.856000000000002</v>
      </c>
    </row>
    <row r="72" spans="1:13" x14ac:dyDescent="0.2">
      <c r="A72" s="60" t="s">
        <v>158</v>
      </c>
      <c r="B72" s="60" t="s">
        <v>45</v>
      </c>
      <c r="C72" s="69">
        <f>IF(IFERROR(INDEX('2016'!$D$5:$D$72,MATCH(B72,'2016'!$A$5:$A$72,0)),0)=0,"N/A",INDEX('2016'!$D$5:$D$72,MATCH(B72,'2016'!$A$5:$A$72,0)))</f>
        <v>21.728000000000002</v>
      </c>
      <c r="D72" s="60">
        <v>20.887</v>
      </c>
      <c r="E72" s="60">
        <v>20.196999999999999</v>
      </c>
      <c r="F72" s="60">
        <v>19.21</v>
      </c>
      <c r="G72" s="60">
        <v>18.186</v>
      </c>
      <c r="H72" s="60">
        <v>17.434999999999999</v>
      </c>
      <c r="I72" s="60">
        <v>16.759</v>
      </c>
      <c r="J72" s="60">
        <v>15.919</v>
      </c>
      <c r="K72" s="60">
        <v>15.346</v>
      </c>
      <c r="L72" s="60">
        <v>14.695</v>
      </c>
      <c r="M72" s="60">
        <v>14.282</v>
      </c>
    </row>
    <row r="73" spans="1:13" x14ac:dyDescent="0.2">
      <c r="A73" s="60" t="s">
        <v>207</v>
      </c>
      <c r="B73" s="60" t="s">
        <v>208</v>
      </c>
      <c r="C73" s="69" t="str">
        <f>IF(IFERROR(INDEX('2016'!$D$5:$D$72,MATCH(B73,'2016'!$A$5:$A$72,0)),0)=0,"N/A",INDEX('2016'!$D$5:$D$72,MATCH(B73,'2016'!$A$5:$A$72,0)))</f>
        <v>N/A</v>
      </c>
      <c r="D73" s="60">
        <v>8.5129999999999999</v>
      </c>
      <c r="E73" s="60">
        <v>8.15</v>
      </c>
      <c r="F73" s="60">
        <v>7.9749999999999996</v>
      </c>
      <c r="G73" s="60">
        <v>7.7270000000000003</v>
      </c>
      <c r="H73" s="60">
        <v>7.4470000000000001</v>
      </c>
      <c r="I73" s="60">
        <v>7.19</v>
      </c>
      <c r="J73" s="60">
        <v>6.9210000000000003</v>
      </c>
      <c r="K73" s="60">
        <v>6.1369999999999996</v>
      </c>
      <c r="L73" s="60">
        <v>5.9720000000000004</v>
      </c>
      <c r="M73" s="60">
        <v>5.835</v>
      </c>
    </row>
  </sheetData>
  <autoFilter ref="A3:N73"/>
  <printOptions headings="1"/>
  <pageMargins left="0.3" right="0.3" top="0.75" bottom="0.75" header="0.3" footer="0.3"/>
  <pageSetup fitToHeight="0" orientation="landscape" r:id="rId1"/>
  <headerFooter>
    <oddHeader>&amp;R&amp;A
&amp;P/&amp;N</oddHeader>
    <oddFooter>&amp;R&amp;A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1:E44"/>
  <sheetViews>
    <sheetView zoomScaleNormal="100" workbookViewId="0">
      <pane ySplit="3" topLeftCell="A34" activePane="bottomLeft" state="frozen"/>
      <selection sqref="A1:B1048576"/>
      <selection pane="bottomLeft" activeCell="E45" sqref="E45"/>
    </sheetView>
  </sheetViews>
  <sheetFormatPr defaultRowHeight="14.25" x14ac:dyDescent="0.2"/>
  <cols>
    <col min="1" max="1" width="2.125" customWidth="1"/>
    <col min="2" max="2" width="11" customWidth="1"/>
    <col min="3" max="3" width="12.875" customWidth="1"/>
    <col min="4" max="4" width="7.5" bestFit="1" customWidth="1"/>
    <col min="5" max="5" width="9.875" bestFit="1" customWidth="1"/>
  </cols>
  <sheetData>
    <row r="1" spans="2:5" x14ac:dyDescent="0.2">
      <c r="E1" s="142" t="str">
        <f>TEXT(E44,"mmmm d, yyyy")</f>
        <v>December 14, 2018</v>
      </c>
    </row>
    <row r="2" spans="2:5" ht="15" x14ac:dyDescent="0.25">
      <c r="B2" s="243" t="s">
        <v>359</v>
      </c>
      <c r="C2" s="243"/>
    </row>
    <row r="3" spans="2:5" ht="15" x14ac:dyDescent="0.25">
      <c r="B3" s="24" t="s">
        <v>360</v>
      </c>
      <c r="C3" s="24" t="s">
        <v>361</v>
      </c>
    </row>
    <row r="6" spans="2:5" x14ac:dyDescent="0.2">
      <c r="B6" s="1">
        <v>1980</v>
      </c>
      <c r="C6" s="101">
        <v>0.13339999999999999</v>
      </c>
    </row>
    <row r="7" spans="2:5" x14ac:dyDescent="0.2">
      <c r="B7" s="1">
        <v>1981</v>
      </c>
      <c r="C7" s="101">
        <v>0.1595</v>
      </c>
    </row>
    <row r="8" spans="2:5" x14ac:dyDescent="0.2">
      <c r="B8" s="1">
        <v>1982</v>
      </c>
      <c r="C8" s="101">
        <v>0.15859999999999999</v>
      </c>
    </row>
    <row r="9" spans="2:5" x14ac:dyDescent="0.2">
      <c r="B9" s="1">
        <v>1983</v>
      </c>
      <c r="C9" s="101">
        <v>0.1366</v>
      </c>
    </row>
    <row r="10" spans="2:5" x14ac:dyDescent="0.2">
      <c r="B10" s="1">
        <v>1984</v>
      </c>
      <c r="C10" s="101">
        <v>0.14030000000000001</v>
      </c>
    </row>
    <row r="11" spans="2:5" x14ac:dyDescent="0.2">
      <c r="B11" s="1">
        <v>1985</v>
      </c>
      <c r="C11" s="101">
        <v>0.12470000000000001</v>
      </c>
    </row>
    <row r="12" spans="2:5" x14ac:dyDescent="0.2">
      <c r="B12" s="1">
        <v>1986</v>
      </c>
      <c r="C12" s="101">
        <v>9.5799999999999996E-2</v>
      </c>
    </row>
    <row r="13" spans="2:5" x14ac:dyDescent="0.2">
      <c r="B13" s="1">
        <v>1987</v>
      </c>
      <c r="C13" s="101">
        <v>0.10100000000000001</v>
      </c>
    </row>
    <row r="14" spans="2:5" x14ac:dyDescent="0.2">
      <c r="B14" s="1">
        <v>1988</v>
      </c>
      <c r="C14" s="101">
        <v>0.10489999999999999</v>
      </c>
    </row>
    <row r="15" spans="2:5" x14ac:dyDescent="0.2">
      <c r="B15" s="1">
        <v>1989</v>
      </c>
      <c r="C15" s="101">
        <v>9.7699999999999995E-2</v>
      </c>
    </row>
    <row r="16" spans="2:5" x14ac:dyDescent="0.2">
      <c r="B16" s="1">
        <v>1990</v>
      </c>
      <c r="C16" s="101">
        <v>9.8599999999999993E-2</v>
      </c>
    </row>
    <row r="17" spans="2:3" x14ac:dyDescent="0.2">
      <c r="B17" s="1">
        <v>1991</v>
      </c>
      <c r="C17" s="101">
        <v>9.3600000000000003E-2</v>
      </c>
    </row>
    <row r="18" spans="2:3" x14ac:dyDescent="0.2">
      <c r="B18" s="1">
        <v>1992</v>
      </c>
      <c r="C18" s="101">
        <v>8.6900000000000005E-2</v>
      </c>
    </row>
    <row r="19" spans="2:3" x14ac:dyDescent="0.2">
      <c r="B19" s="1">
        <v>1993</v>
      </c>
      <c r="C19" s="101">
        <v>7.5899999999999995E-2</v>
      </c>
    </row>
    <row r="20" spans="2:3" x14ac:dyDescent="0.2">
      <c r="B20" s="1">
        <v>1994</v>
      </c>
      <c r="C20" s="101">
        <v>8.3099999999999993E-2</v>
      </c>
    </row>
    <row r="21" spans="2:3" x14ac:dyDescent="0.2">
      <c r="B21" s="1">
        <v>1995</v>
      </c>
      <c r="C21" s="101">
        <v>7.8899999999999998E-2</v>
      </c>
    </row>
    <row r="22" spans="2:3" x14ac:dyDescent="0.2">
      <c r="B22" s="1">
        <v>1996</v>
      </c>
      <c r="C22" s="101">
        <v>7.7499999999999999E-2</v>
      </c>
    </row>
    <row r="23" spans="2:3" x14ac:dyDescent="0.2">
      <c r="B23" s="1">
        <v>1997</v>
      </c>
      <c r="C23" s="101">
        <v>7.5999999999999998E-2</v>
      </c>
    </row>
    <row r="24" spans="2:3" x14ac:dyDescent="0.2">
      <c r="B24" s="1">
        <v>1998</v>
      </c>
      <c r="C24" s="101">
        <v>7.0400000000000004E-2</v>
      </c>
    </row>
    <row r="25" spans="2:3" x14ac:dyDescent="0.2">
      <c r="B25" s="1">
        <v>1999</v>
      </c>
      <c r="C25" s="101">
        <v>7.6200000000000004E-2</v>
      </c>
    </row>
    <row r="26" spans="2:3" x14ac:dyDescent="0.2">
      <c r="B26" s="1">
        <v>2000</v>
      </c>
      <c r="C26" s="101">
        <v>8.2441666666666663E-2</v>
      </c>
    </row>
    <row r="27" spans="2:3" x14ac:dyDescent="0.2">
      <c r="B27" s="1">
        <v>2001</v>
      </c>
      <c r="C27" s="80">
        <v>7.7625E-2</v>
      </c>
    </row>
    <row r="28" spans="2:3" x14ac:dyDescent="0.2">
      <c r="B28" s="1">
        <v>2002</v>
      </c>
      <c r="C28" s="80">
        <v>7.3724999999999999E-2</v>
      </c>
    </row>
    <row r="29" spans="2:3" x14ac:dyDescent="0.2">
      <c r="B29" s="1">
        <v>2003</v>
      </c>
      <c r="C29" s="80">
        <v>6.580833333333333E-2</v>
      </c>
    </row>
    <row r="30" spans="2:3" x14ac:dyDescent="0.2">
      <c r="B30" s="1">
        <v>2004</v>
      </c>
      <c r="C30" s="80">
        <v>6.1599999999999995E-2</v>
      </c>
    </row>
    <row r="31" spans="2:3" x14ac:dyDescent="0.2">
      <c r="B31" s="1">
        <v>2005</v>
      </c>
      <c r="C31" s="80">
        <v>5.6491666666666662E-2</v>
      </c>
    </row>
    <row r="32" spans="2:3" x14ac:dyDescent="0.2">
      <c r="B32" s="1">
        <v>2006</v>
      </c>
      <c r="C32" s="80">
        <v>6.0683333333333332E-2</v>
      </c>
    </row>
    <row r="33" spans="2:5" x14ac:dyDescent="0.2">
      <c r="B33" s="1">
        <v>2007</v>
      </c>
      <c r="C33" s="80">
        <v>6.0733333333333334E-2</v>
      </c>
    </row>
    <row r="34" spans="2:5" x14ac:dyDescent="0.2">
      <c r="B34" s="1">
        <v>2008</v>
      </c>
      <c r="C34" s="80">
        <v>6.5283333333333332E-2</v>
      </c>
    </row>
    <row r="35" spans="2:5" x14ac:dyDescent="0.2">
      <c r="B35" s="1">
        <v>2009</v>
      </c>
      <c r="C35" s="80">
        <v>6.0391666666666656E-2</v>
      </c>
    </row>
    <row r="36" spans="2:5" x14ac:dyDescent="0.2">
      <c r="B36" s="1">
        <v>2010</v>
      </c>
      <c r="C36" s="80">
        <v>5.4644377733549555E-2</v>
      </c>
    </row>
    <row r="37" spans="2:5" x14ac:dyDescent="0.2">
      <c r="B37" s="1">
        <v>2011</v>
      </c>
      <c r="C37" s="80">
        <v>5.0407157265811221E-2</v>
      </c>
    </row>
    <row r="38" spans="2:5" x14ac:dyDescent="0.2">
      <c r="B38" s="1">
        <v>2012</v>
      </c>
      <c r="C38" s="80">
        <v>4.1308564221010043E-2</v>
      </c>
    </row>
    <row r="39" spans="2:5" x14ac:dyDescent="0.2">
      <c r="B39" s="1">
        <v>2013</v>
      </c>
      <c r="C39" s="80">
        <v>4.4759707479483019E-2</v>
      </c>
    </row>
    <row r="40" spans="2:5" x14ac:dyDescent="0.2">
      <c r="B40" s="1">
        <v>2014</v>
      </c>
      <c r="C40" s="80">
        <v>4.2774094021446961E-2</v>
      </c>
    </row>
    <row r="41" spans="2:5" x14ac:dyDescent="0.2">
      <c r="B41" s="1">
        <v>2015</v>
      </c>
      <c r="C41" s="80">
        <v>4.1153967589428117E-2</v>
      </c>
    </row>
    <row r="42" spans="2:5" x14ac:dyDescent="0.2">
      <c r="B42" s="1">
        <v>2016</v>
      </c>
      <c r="C42" s="80">
        <v>3.930199127182251E-2</v>
      </c>
      <c r="D42" s="142"/>
    </row>
    <row r="43" spans="2:5" x14ac:dyDescent="0.2">
      <c r="B43" s="1">
        <v>2017</v>
      </c>
      <c r="C43" s="80">
        <v>3.9988761663160968E-2</v>
      </c>
      <c r="E43" s="142"/>
    </row>
    <row r="44" spans="2:5" x14ac:dyDescent="0.2">
      <c r="B44" s="1">
        <v>2018</v>
      </c>
      <c r="C44" s="80">
        <v>4.254454527705958E-2</v>
      </c>
      <c r="D44" t="s">
        <v>430</v>
      </c>
      <c r="E44" s="29">
        <v>43448</v>
      </c>
    </row>
  </sheetData>
  <mergeCells count="1">
    <mergeCell ref="B2:C2"/>
  </mergeCells>
  <printOptions headings="1"/>
  <pageMargins left="0.7" right="0.7" top="0.75" bottom="0.75" header="0.3" footer="0.3"/>
  <pageSetup orientation="portrait" r:id="rId1"/>
  <headerFooter>
    <oddHeader>&amp;R&amp;Z&amp;F - &amp;A
&amp;P/&amp;N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pageSetUpPr fitToPage="1"/>
  </sheetPr>
  <dimension ref="A1:L50"/>
  <sheetViews>
    <sheetView zoomScale="80" zoomScaleNormal="80" zoomScaleSheetLayoutView="80" zoomScalePageLayoutView="80" workbookViewId="0">
      <selection activeCell="D27" sqref="D27"/>
    </sheetView>
  </sheetViews>
  <sheetFormatPr defaultColWidth="9" defaultRowHeight="14.25" x14ac:dyDescent="0.2"/>
  <cols>
    <col min="1" max="1" width="10.75" style="5" customWidth="1"/>
    <col min="2" max="2" width="8" style="5" customWidth="1"/>
    <col min="3" max="3" width="3.875" style="5" customWidth="1"/>
    <col min="4" max="6" width="17.625" style="5" customWidth="1"/>
    <col min="7" max="10" width="9" style="5"/>
    <col min="11" max="11" width="10.875" style="5" bestFit="1" customWidth="1"/>
    <col min="12" max="16384" width="9" style="5"/>
  </cols>
  <sheetData>
    <row r="1" spans="1:12" ht="27" customHeight="1" x14ac:dyDescent="0.4">
      <c r="A1" s="244"/>
      <c r="B1" s="244"/>
      <c r="C1" s="244"/>
      <c r="D1" s="244"/>
      <c r="E1" s="244"/>
      <c r="F1" s="244"/>
    </row>
    <row r="2" spans="1:12" x14ac:dyDescent="0.2">
      <c r="A2" s="143"/>
      <c r="B2" s="144"/>
      <c r="C2" s="144"/>
    </row>
    <row r="3" spans="1:12" x14ac:dyDescent="0.2">
      <c r="A3" s="143"/>
      <c r="B3" s="144"/>
      <c r="C3" s="144"/>
    </row>
    <row r="4" spans="1:12" x14ac:dyDescent="0.2">
      <c r="A4" s="143"/>
      <c r="B4" s="144"/>
      <c r="C4" s="144"/>
    </row>
    <row r="5" spans="1:12" ht="20.25" x14ac:dyDescent="0.3">
      <c r="A5" s="245" t="s">
        <v>383</v>
      </c>
      <c r="B5" s="245"/>
      <c r="C5" s="245"/>
      <c r="D5" s="245"/>
      <c r="E5" s="245"/>
      <c r="F5" s="245"/>
    </row>
    <row r="6" spans="1:12" x14ac:dyDescent="0.2">
      <c r="A6" s="143"/>
      <c r="B6" s="144"/>
      <c r="C6" s="144"/>
    </row>
    <row r="7" spans="1:12" x14ac:dyDescent="0.2">
      <c r="A7" s="143"/>
      <c r="B7" s="144"/>
      <c r="C7" s="144"/>
    </row>
    <row r="8" spans="1:12" x14ac:dyDescent="0.2">
      <c r="A8" s="143"/>
      <c r="B8" s="145"/>
      <c r="C8" s="145"/>
      <c r="D8" s="145"/>
      <c r="E8" s="145"/>
      <c r="F8" s="145"/>
    </row>
    <row r="9" spans="1:12" ht="15" x14ac:dyDescent="0.25">
      <c r="A9" s="146"/>
      <c r="B9" s="147"/>
      <c r="C9" s="147"/>
      <c r="D9" s="147" t="s">
        <v>384</v>
      </c>
      <c r="E9" s="147"/>
      <c r="F9" s="148"/>
    </row>
    <row r="10" spans="1:12" ht="15" x14ac:dyDescent="0.25">
      <c r="A10" s="149" t="s">
        <v>96</v>
      </c>
      <c r="B10" s="150" t="s">
        <v>385</v>
      </c>
      <c r="C10" s="151"/>
      <c r="D10" s="150" t="s">
        <v>386</v>
      </c>
      <c r="E10" s="150" t="s">
        <v>387</v>
      </c>
      <c r="F10" s="151" t="s">
        <v>388</v>
      </c>
    </row>
    <row r="11" spans="1:12" ht="15" x14ac:dyDescent="0.25">
      <c r="A11" s="149"/>
      <c r="B11" s="150"/>
      <c r="C11" s="152"/>
      <c r="D11" s="152">
        <v>-1</v>
      </c>
      <c r="E11" s="152">
        <v>-2</v>
      </c>
      <c r="F11" s="152">
        <v>-3</v>
      </c>
    </row>
    <row r="12" spans="1:12" ht="15" x14ac:dyDescent="0.25">
      <c r="A12" s="149"/>
      <c r="B12" s="150"/>
      <c r="C12" s="150"/>
      <c r="D12" s="145"/>
      <c r="F12" s="150"/>
      <c r="J12" s="153"/>
      <c r="K12" s="153"/>
      <c r="L12" s="153"/>
    </row>
    <row r="13" spans="1:12" s="158" customFormat="1" ht="15.75" customHeight="1" x14ac:dyDescent="0.2">
      <c r="A13" s="4">
        <f>MAX($A$12:A12)+1</f>
        <v>1</v>
      </c>
      <c r="B13" s="154">
        <v>2004</v>
      </c>
      <c r="C13" s="80"/>
      <c r="D13" s="155">
        <f>AVERAGEIF('Treas 20 yr'!$E$8:$E$785,'Implied Inflation'!B13,'Treas 20 yr'!$G$8:$G$785)/100</f>
        <v>4.9699999999999994E-2</v>
      </c>
      <c r="E13" s="155">
        <f>AVERAGEIF('FRED 20 yr TIPS monthly'!$E$8:$E$170,'Implied Inflation'!B13,'FRED 20 yr TIPS monthly'!$G$8:$G$170)/100</f>
        <v>2.1783333333333332E-2</v>
      </c>
      <c r="F13" s="80">
        <f>(1+D13)/(1+E13)-1</f>
        <v>2.7321513040925227E-2</v>
      </c>
      <c r="G13" s="156"/>
      <c r="H13" s="157"/>
      <c r="I13" s="158" t="s">
        <v>389</v>
      </c>
      <c r="J13" s="159"/>
      <c r="K13" s="160"/>
      <c r="L13" s="153"/>
    </row>
    <row r="14" spans="1:12" ht="15.75" customHeight="1" x14ac:dyDescent="0.2">
      <c r="A14" s="4">
        <f>MAX($A$12:A13)+1</f>
        <v>2</v>
      </c>
      <c r="B14" s="154">
        <v>2005</v>
      </c>
      <c r="C14" s="80"/>
      <c r="D14" s="155">
        <f>AVERAGEIF('Treas 20 yr'!$E$8:$E$785,'Implied Inflation'!B14,'Treas 20 yr'!$G$8:$G$785)/100</f>
        <v>4.6458333333333331E-2</v>
      </c>
      <c r="E14" s="155">
        <f>AVERAGEIF('FRED 20 yr TIPS monthly'!$E$8:$E$170,'Implied Inflation'!B14,'FRED 20 yr TIPS monthly'!$G$8:$G$170)/100</f>
        <v>1.9675000000000002E-2</v>
      </c>
      <c r="F14" s="80">
        <f t="shared" ref="F14:F26" si="0">(1+D14)/(1+E14)-1</f>
        <v>2.626653917506383E-2</v>
      </c>
      <c r="G14" s="156"/>
      <c r="H14" s="157"/>
      <c r="J14" s="159"/>
      <c r="K14" s="160"/>
      <c r="L14" s="153"/>
    </row>
    <row r="15" spans="1:12" ht="15.75" customHeight="1" x14ac:dyDescent="0.2">
      <c r="A15" s="4">
        <f>MAX($A$12:A14)+1</f>
        <v>3</v>
      </c>
      <c r="B15" s="154">
        <v>2006</v>
      </c>
      <c r="C15" s="80"/>
      <c r="D15" s="155">
        <f>AVERAGEIF('Treas 20 yr'!$E$8:$E$785,'Implied Inflation'!B15,'Treas 20 yr'!$G$8:$G$785)/100</f>
        <v>4.9924999999999997E-2</v>
      </c>
      <c r="E15" s="155">
        <f>AVERAGEIF('FRED 20 yr TIPS monthly'!$E$8:$E$170,'Implied Inflation'!B15,'FRED 20 yr TIPS monthly'!$G$8:$G$170)/100</f>
        <v>2.3074999999999998E-2</v>
      </c>
      <c r="F15" s="80">
        <f t="shared" si="0"/>
        <v>2.6244410233853932E-2</v>
      </c>
      <c r="G15" s="156"/>
      <c r="H15" s="157"/>
      <c r="J15" s="159"/>
      <c r="K15" s="160"/>
      <c r="L15" s="153"/>
    </row>
    <row r="16" spans="1:12" ht="15.75" customHeight="1" x14ac:dyDescent="0.2">
      <c r="A16" s="4">
        <f>MAX($A$12:A15)+1</f>
        <v>4</v>
      </c>
      <c r="B16" s="154">
        <v>2007</v>
      </c>
      <c r="C16" s="80"/>
      <c r="D16" s="155">
        <f>AVERAGEIF('Treas 20 yr'!$E$8:$E$785,'Implied Inflation'!B16,'Treas 20 yr'!$G$8:$G$785)/100</f>
        <v>4.9083333333333333E-2</v>
      </c>
      <c r="E16" s="155">
        <f>AVERAGEIF('FRED 20 yr TIPS monthly'!$E$8:$E$170,'Implied Inflation'!B16,'FRED 20 yr TIPS monthly'!$G$8:$G$170)/100</f>
        <v>2.3550000000000001E-2</v>
      </c>
      <c r="F16" s="80">
        <f t="shared" si="0"/>
        <v>2.4945858368749407E-2</v>
      </c>
      <c r="G16" s="156"/>
      <c r="H16" s="157"/>
      <c r="J16" s="159"/>
      <c r="K16" s="160"/>
      <c r="L16" s="153"/>
    </row>
    <row r="17" spans="1:12" ht="15.75" customHeight="1" x14ac:dyDescent="0.2">
      <c r="A17" s="4">
        <f>MAX($A$12:A16)+1</f>
        <v>5</v>
      </c>
      <c r="B17" s="154">
        <v>2008</v>
      </c>
      <c r="C17" s="80"/>
      <c r="D17" s="155">
        <f>AVERAGEIF('Treas 20 yr'!$E$8:$E$785,'Implied Inflation'!B17,'Treas 20 yr'!$G$8:$G$785)/100</f>
        <v>4.3624999999999997E-2</v>
      </c>
      <c r="E17" s="155">
        <f>AVERAGEIF('FRED 20 yr TIPS monthly'!$E$8:$E$170,'Implied Inflation'!B17,'FRED 20 yr TIPS monthly'!$G$8:$G$170)/100</f>
        <v>2.1850000000000001E-2</v>
      </c>
      <c r="F17" s="80">
        <f t="shared" si="0"/>
        <v>2.1309389832167236E-2</v>
      </c>
      <c r="G17" s="156"/>
      <c r="H17" s="157"/>
      <c r="J17" s="159"/>
      <c r="K17" s="160"/>
      <c r="L17" s="153"/>
    </row>
    <row r="18" spans="1:12" ht="15.75" customHeight="1" x14ac:dyDescent="0.2">
      <c r="A18" s="4">
        <f>MAX($A$12:A17)+1</f>
        <v>6</v>
      </c>
      <c r="B18" s="154">
        <v>2009</v>
      </c>
      <c r="C18" s="80"/>
      <c r="D18" s="155">
        <f>AVERAGEIF('Treas 20 yr'!$E$8:$E$785,'Implied Inflation'!B18,'Treas 20 yr'!$G$8:$G$785)/100</f>
        <v>4.1075000000000007E-2</v>
      </c>
      <c r="E18" s="155">
        <f>AVERAGEIF('FRED 20 yr TIPS monthly'!$E$8:$E$170,'Implied Inflation'!B18,'FRED 20 yr TIPS monthly'!$G$8:$G$170)/100</f>
        <v>2.2133333333333324E-2</v>
      </c>
      <c r="F18" s="80">
        <f t="shared" si="0"/>
        <v>1.8531502739368655E-2</v>
      </c>
      <c r="G18" s="156"/>
      <c r="H18" s="157"/>
      <c r="J18" s="159"/>
      <c r="K18" s="160"/>
      <c r="L18" s="153"/>
    </row>
    <row r="19" spans="1:12" ht="15.75" customHeight="1" x14ac:dyDescent="0.2">
      <c r="A19" s="4">
        <f>MAX($A$12:A18)+1</f>
        <v>7</v>
      </c>
      <c r="B19" s="154">
        <v>2010</v>
      </c>
      <c r="C19" s="80"/>
      <c r="D19" s="155">
        <f>AVERAGEIF('Treas 20 yr'!$E$8:$E$785,'Implied Inflation'!B19,'Treas 20 yr'!$G$8:$G$785)/100</f>
        <v>4.0300000000000002E-2</v>
      </c>
      <c r="E19" s="155">
        <f>AVERAGEIF('FRED 20 yr TIPS monthly'!$E$8:$E$170,'Implied Inflation'!B19,'FRED 20 yr TIPS monthly'!$G$8:$G$170)/100</f>
        <v>1.7316666666666668E-2</v>
      </c>
      <c r="F19" s="80">
        <f t="shared" si="0"/>
        <v>2.2592113239076728E-2</v>
      </c>
      <c r="G19" s="156"/>
      <c r="H19" s="157"/>
      <c r="J19" s="159"/>
      <c r="K19" s="160"/>
      <c r="L19" s="153"/>
    </row>
    <row r="20" spans="1:12" ht="15.75" customHeight="1" x14ac:dyDescent="0.2">
      <c r="A20" s="4">
        <f>MAX($A$12:A19)+1</f>
        <v>8</v>
      </c>
      <c r="B20" s="154">
        <v>2011</v>
      </c>
      <c r="C20" s="80"/>
      <c r="D20" s="155">
        <f>AVERAGEIF('Treas 20 yr'!$E$8:$E$785,'Implied Inflation'!B20,'Treas 20 yr'!$G$8:$G$785)/100</f>
        <v>3.6208333333333328E-2</v>
      </c>
      <c r="E20" s="155">
        <f>AVERAGEIF('FRED 20 yr TIPS monthly'!$E$8:$E$170,'Implied Inflation'!B20,'FRED 20 yr TIPS monthly'!$G$8:$G$170)/100</f>
        <v>1.1916666666666666E-2</v>
      </c>
      <c r="F20" s="80">
        <f t="shared" si="0"/>
        <v>2.400559993411866E-2</v>
      </c>
      <c r="G20" s="156"/>
      <c r="H20" s="157"/>
      <c r="J20" s="159"/>
      <c r="K20" s="160"/>
      <c r="L20" s="153"/>
    </row>
    <row r="21" spans="1:12" ht="15.75" customHeight="1" x14ac:dyDescent="0.2">
      <c r="A21" s="4">
        <f>MAX($A$12:A20)+1</f>
        <v>9</v>
      </c>
      <c r="B21" s="154">
        <v>2012</v>
      </c>
      <c r="C21" s="80"/>
      <c r="D21" s="155">
        <f>AVERAGEIF('Treas 20 yr'!$E$8:$E$785,'Implied Inflation'!B21,'Treas 20 yr'!$G$8:$G$785)/100</f>
        <v>2.5441666666666661E-2</v>
      </c>
      <c r="E21" s="155">
        <f>AVERAGEIF('FRED 20 yr TIPS monthly'!$E$8:$E$170,'Implied Inflation'!B21,'FRED 20 yr TIPS monthly'!$G$8:$G$170)/100</f>
        <v>2.1333333333333339E-3</v>
      </c>
      <c r="F21" s="80">
        <f t="shared" si="0"/>
        <v>2.3258714741883901E-2</v>
      </c>
      <c r="G21" s="156"/>
      <c r="H21" s="157"/>
      <c r="J21" s="159"/>
      <c r="K21" s="160"/>
      <c r="L21" s="153"/>
    </row>
    <row r="22" spans="1:12" ht="15.75" customHeight="1" x14ac:dyDescent="0.2">
      <c r="A22" s="4">
        <f>MAX($A$12:A21)+1</f>
        <v>10</v>
      </c>
      <c r="B22" s="154">
        <v>2013</v>
      </c>
      <c r="C22" s="80"/>
      <c r="D22" s="155">
        <f>AVERAGEIF('Treas 20 yr'!$E$8:$E$785,'Implied Inflation'!B22,'Treas 20 yr'!$G$8:$G$785)/100</f>
        <v>3.1191666666666666E-2</v>
      </c>
      <c r="E22" s="155">
        <f>AVERAGEIF('FRED 20 yr TIPS monthly'!$E$8:$E$170,'Implied Inflation'!B22,'FRED 20 yr TIPS monthly'!$G$8:$G$170)/100</f>
        <v>7.5166666666666663E-3</v>
      </c>
      <c r="F22" s="80">
        <f t="shared" si="0"/>
        <v>2.3498370581132022E-2</v>
      </c>
      <c r="G22" s="156"/>
      <c r="H22" s="157"/>
      <c r="J22" s="159"/>
      <c r="K22" s="160"/>
      <c r="L22" s="153"/>
    </row>
    <row r="23" spans="1:12" ht="15.75" customHeight="1" x14ac:dyDescent="0.2">
      <c r="A23" s="4">
        <f>MAX($A$12:A22)+1</f>
        <v>11</v>
      </c>
      <c r="B23" s="154">
        <v>2014</v>
      </c>
      <c r="C23" s="80"/>
      <c r="D23" s="155">
        <f>AVERAGEIF('Treas 20 yr'!$E$8:$E$785,'Implied Inflation'!B23,'Treas 20 yr'!$G$8:$G$785)/100</f>
        <v>3.0741666666666667E-2</v>
      </c>
      <c r="E23" s="155">
        <f>AVERAGEIF('FRED 20 yr TIPS monthly'!$E$8:$E$170,'Implied Inflation'!B23,'FRED 20 yr TIPS monthly'!$G$8:$G$170)/100</f>
        <v>8.6583333333333339E-3</v>
      </c>
      <c r="F23" s="80">
        <f t="shared" si="0"/>
        <v>2.1893769776683447E-2</v>
      </c>
      <c r="G23" s="156"/>
      <c r="H23" s="157"/>
      <c r="J23" s="159"/>
      <c r="K23" s="160"/>
      <c r="L23" s="153"/>
    </row>
    <row r="24" spans="1:12" ht="15.75" customHeight="1" x14ac:dyDescent="0.2">
      <c r="A24" s="4">
        <f>MAX($A$12:A23)+1</f>
        <v>12</v>
      </c>
      <c r="B24" s="154">
        <v>2015</v>
      </c>
      <c r="C24" s="80"/>
      <c r="D24" s="155">
        <f>AVERAGEIF('Treas 20 yr'!$E$8:$E$785,'Implied Inflation'!B24,'Treas 20 yr'!$G$8:$G$785)/100</f>
        <v>2.5466666666666669E-2</v>
      </c>
      <c r="E24" s="155">
        <f>AVERAGEIF('FRED 20 yr TIPS monthly'!$E$8:$E$170,'Implied Inflation'!B24,'FRED 20 yr TIPS monthly'!$G$8:$G$170)/100</f>
        <v>7.8333333333333328E-3</v>
      </c>
      <c r="F24" s="80">
        <f t="shared" si="0"/>
        <v>1.749627914668439E-2</v>
      </c>
      <c r="G24" s="156"/>
      <c r="H24" s="157"/>
      <c r="J24" s="159"/>
      <c r="K24" s="160"/>
      <c r="L24" s="153"/>
    </row>
    <row r="25" spans="1:12" ht="15.75" customHeight="1" x14ac:dyDescent="0.2">
      <c r="A25" s="4">
        <f>MAX($A$12:A24)+1</f>
        <v>13</v>
      </c>
      <c r="B25" s="154">
        <v>2016</v>
      </c>
      <c r="C25" s="80"/>
      <c r="D25" s="155">
        <f>AVERAGEIF('Treas 20 yr'!$E$8:$E$785,'Implied Inflation'!B25,'Treas 20 yr'!$G$8:$G$785)/100</f>
        <v>2.2250000000000002E-2</v>
      </c>
      <c r="E25" s="155">
        <f>AVERAGEIF('FRED 20 yr TIPS monthly'!$E$8:$E$170,'Implied Inflation'!B25,'FRED 20 yr TIPS monthly'!$G$8:$G$170)/100</f>
        <v>6.5750000000000001E-3</v>
      </c>
      <c r="F25" s="80">
        <f t="shared" si="0"/>
        <v>1.557261008866706E-2</v>
      </c>
      <c r="G25" s="156"/>
      <c r="H25" s="157"/>
      <c r="J25" s="159"/>
      <c r="K25" s="160"/>
      <c r="L25" s="153"/>
    </row>
    <row r="26" spans="1:12" ht="15.75" customHeight="1" x14ac:dyDescent="0.2">
      <c r="A26" s="4">
        <f>MAX($A$12:A25)+1</f>
        <v>14</v>
      </c>
      <c r="B26" s="154">
        <v>2017</v>
      </c>
      <c r="C26" s="80"/>
      <c r="D26" s="155">
        <f>AVERAGEIF('Treas 20 yr'!$E$8:$E$785,'Implied Inflation'!B26,'Treas 20 yr'!$G$8:$G$785)/100</f>
        <v>2.6525000000000003E-2</v>
      </c>
      <c r="E26" s="155">
        <f>AVERAGEIF('FRED 20 yr TIPS monthly'!$E$8:$E$170,'Implied Inflation'!B26,'FRED 20 yr TIPS monthly'!$G$8:$G$170)/100</f>
        <v>7.4583333333333324E-3</v>
      </c>
      <c r="F26" s="80">
        <f t="shared" si="0"/>
        <v>1.8925513875677202E-2</v>
      </c>
      <c r="G26" s="156"/>
      <c r="H26" s="157"/>
      <c r="J26" s="159"/>
      <c r="K26" s="160"/>
      <c r="L26" s="153"/>
    </row>
    <row r="27" spans="1:12" ht="15.75" customHeight="1" x14ac:dyDescent="0.2">
      <c r="A27" s="4">
        <f>MAX($A$12:A26)+1</f>
        <v>15</v>
      </c>
      <c r="B27" s="154">
        <v>2018</v>
      </c>
      <c r="C27" s="80"/>
      <c r="D27" s="155">
        <f>AVERAGEIF('Treas 20 yr'!$E$8:$E$800,'Implied Inflation'!B27,'Treas 20 yr'!$G$8:$G$800)/100</f>
        <v>3.0218181818181821E-2</v>
      </c>
      <c r="E27" s="155">
        <f>AVERAGEIF('FRED 20 yr TIPS monthly'!$E$8:$E$200,'Implied Inflation'!B27,'FRED 20 yr TIPS monthly'!$G$8:$G$200)/100</f>
        <v>9.1909090909090899E-3</v>
      </c>
      <c r="F27" s="80">
        <f>(1+D27)/(1+E27)-1</f>
        <v>2.0835773031501637E-2</v>
      </c>
      <c r="G27" s="156"/>
      <c r="H27" s="157"/>
      <c r="J27" s="159"/>
      <c r="K27" s="160"/>
      <c r="L27" s="153"/>
    </row>
    <row r="28" spans="1:12" ht="15.75" customHeight="1" x14ac:dyDescent="0.2">
      <c r="A28" s="4"/>
      <c r="B28" s="161"/>
      <c r="C28" s="162"/>
    </row>
    <row r="29" spans="1:12" ht="15.75" customHeight="1" x14ac:dyDescent="0.25">
      <c r="A29" s="4">
        <f>MAX($A$12:A28)+1</f>
        <v>16</v>
      </c>
      <c r="B29" s="163" t="s">
        <v>390</v>
      </c>
      <c r="C29" s="164"/>
      <c r="D29" s="164">
        <f>AVERAGE(D13:D26)</f>
        <v>3.6999404761904761E-2</v>
      </c>
      <c r="E29" s="164">
        <f t="shared" ref="E29:F29" si="1">AVERAGE(E13:E26)</f>
        <v>1.4391071428571428E-2</v>
      </c>
      <c r="F29" s="164">
        <f t="shared" si="1"/>
        <v>2.2275870341003694E-2</v>
      </c>
      <c r="H29" s="165"/>
      <c r="I29" s="165"/>
      <c r="J29" s="165"/>
    </row>
    <row r="30" spans="1:12" ht="15.75" customHeight="1" x14ac:dyDescent="0.25">
      <c r="A30" s="4"/>
      <c r="B30" s="163"/>
      <c r="C30" s="164"/>
      <c r="D30" s="164"/>
      <c r="E30" s="164"/>
      <c r="F30" s="164"/>
    </row>
    <row r="31" spans="1:12" ht="15.75" customHeight="1" x14ac:dyDescent="0.25">
      <c r="A31" s="4"/>
      <c r="B31" s="166"/>
      <c r="C31" s="166"/>
      <c r="D31" s="164"/>
      <c r="E31" s="164"/>
      <c r="F31" s="164"/>
    </row>
    <row r="32" spans="1:12" ht="15" x14ac:dyDescent="0.25">
      <c r="A32" s="143"/>
      <c r="B32" s="167"/>
      <c r="C32" s="168"/>
      <c r="D32" s="164"/>
      <c r="E32" s="164"/>
      <c r="F32" s="164"/>
    </row>
    <row r="33" spans="2:3" x14ac:dyDescent="0.2">
      <c r="B33" s="20" t="s">
        <v>107</v>
      </c>
      <c r="C33" s="20"/>
    </row>
    <row r="34" spans="2:3" ht="16.5" x14ac:dyDescent="0.2">
      <c r="B34" s="22" t="s">
        <v>391</v>
      </c>
      <c r="C34" s="22"/>
    </row>
    <row r="35" spans="2:3" x14ac:dyDescent="0.2">
      <c r="B35" s="22" t="s">
        <v>108</v>
      </c>
    </row>
    <row r="36" spans="2:3" x14ac:dyDescent="0.2">
      <c r="B36" s="22" t="s">
        <v>490</v>
      </c>
    </row>
    <row r="37" spans="2:3" x14ac:dyDescent="0.2">
      <c r="B37" s="5" t="s">
        <v>392</v>
      </c>
    </row>
    <row r="38" spans="2:3" x14ac:dyDescent="0.2">
      <c r="B38" s="5" t="s">
        <v>393</v>
      </c>
    </row>
    <row r="39" spans="2:3" x14ac:dyDescent="0.2">
      <c r="B39" s="5" t="s">
        <v>394</v>
      </c>
    </row>
    <row r="50" spans="1:1" ht="16.5" x14ac:dyDescent="0.2">
      <c r="A50" s="169"/>
    </row>
  </sheetData>
  <mergeCells count="2">
    <mergeCell ref="A1:F1"/>
    <mergeCell ref="A5:F5"/>
  </mergeCells>
  <printOptions horizontalCentered="1"/>
  <pageMargins left="0.7" right="0.7" top="1" bottom="0.75" header="0.55000000000000004" footer="0.51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L3761"/>
  <sheetViews>
    <sheetView workbookViewId="0">
      <pane ySplit="7" topLeftCell="A161" activePane="bottomLeft" state="frozen"/>
      <selection activeCell="B33" sqref="B33"/>
      <selection pane="bottomLeft"/>
    </sheetView>
  </sheetViews>
  <sheetFormatPr defaultColWidth="11.875" defaultRowHeight="12.75" x14ac:dyDescent="0.2"/>
  <cols>
    <col min="1" max="1" width="11.875" style="170"/>
    <col min="2" max="2" width="11.875" style="171"/>
    <col min="3" max="5" width="11.875" style="172"/>
    <col min="6" max="6" width="11.875" style="170"/>
    <col min="7" max="7" width="11.875" style="171"/>
    <col min="8" max="10" width="11.875" style="172"/>
    <col min="11" max="11" width="11.875" style="170"/>
    <col min="12" max="12" width="11.875" style="171"/>
    <col min="13" max="16384" width="11.875" style="172"/>
  </cols>
  <sheetData>
    <row r="1" spans="1:12" x14ac:dyDescent="0.2">
      <c r="A1" s="170" t="s">
        <v>395</v>
      </c>
      <c r="F1" s="170" t="s">
        <v>396</v>
      </c>
      <c r="K1" s="170" t="s">
        <v>397</v>
      </c>
    </row>
    <row r="2" spans="1:12" ht="14.25" x14ac:dyDescent="0.2">
      <c r="A2" s="170" t="s">
        <v>398</v>
      </c>
      <c r="B2" s="33" t="s">
        <v>399</v>
      </c>
      <c r="F2" s="170" t="s">
        <v>398</v>
      </c>
      <c r="G2" s="33" t="s">
        <v>399</v>
      </c>
      <c r="K2" s="170" t="s">
        <v>398</v>
      </c>
      <c r="L2" s="33" t="s">
        <v>399</v>
      </c>
    </row>
    <row r="3" spans="1:12" x14ac:dyDescent="0.2">
      <c r="A3" s="170" t="s">
        <v>11</v>
      </c>
      <c r="B3" s="171" t="s">
        <v>400</v>
      </c>
      <c r="F3" s="170" t="s">
        <v>401</v>
      </c>
      <c r="G3" s="171" t="s">
        <v>402</v>
      </c>
      <c r="K3" s="170" t="s">
        <v>403</v>
      </c>
      <c r="L3" s="171" t="s">
        <v>404</v>
      </c>
    </row>
    <row r="4" spans="1:12" x14ac:dyDescent="0.2">
      <c r="A4" s="170">
        <v>1</v>
      </c>
      <c r="B4" s="171" t="s">
        <v>520</v>
      </c>
      <c r="F4" s="170">
        <v>1</v>
      </c>
      <c r="G4" s="171" t="s">
        <v>516</v>
      </c>
      <c r="K4" s="170">
        <v>1</v>
      </c>
      <c r="L4" s="171" t="s">
        <v>521</v>
      </c>
    </row>
    <row r="5" spans="1:12" ht="14.25" x14ac:dyDescent="0.2">
      <c r="A5" s="173" t="s">
        <v>405</v>
      </c>
      <c r="F5" s="173" t="s">
        <v>405</v>
      </c>
      <c r="K5" s="173" t="s">
        <v>405</v>
      </c>
    </row>
    <row r="6" spans="1:12" x14ac:dyDescent="0.2">
      <c r="A6" s="170" t="s">
        <v>406</v>
      </c>
      <c r="F6" s="170" t="s">
        <v>406</v>
      </c>
      <c r="K6" s="170" t="s">
        <v>406</v>
      </c>
    </row>
    <row r="7" spans="1:12" x14ac:dyDescent="0.2">
      <c r="A7" s="170" t="s">
        <v>407</v>
      </c>
      <c r="B7" s="171" t="s">
        <v>408</v>
      </c>
      <c r="E7" s="174">
        <f>MATCH(9.99999999999999E+307,$A:$A)</f>
        <v>3761</v>
      </c>
      <c r="F7" s="170" t="s">
        <v>407</v>
      </c>
      <c r="G7" s="171" t="s">
        <v>408</v>
      </c>
      <c r="K7" s="170" t="s">
        <v>407</v>
      </c>
      <c r="L7" s="171" t="s">
        <v>408</v>
      </c>
    </row>
    <row r="8" spans="1:12" x14ac:dyDescent="0.2">
      <c r="A8" s="170">
        <v>38195</v>
      </c>
      <c r="B8" s="171">
        <v>2.4900000000000002</v>
      </c>
      <c r="E8" s="172">
        <f>YEAR(F8)</f>
        <v>2004</v>
      </c>
      <c r="F8" s="170">
        <v>38169</v>
      </c>
      <c r="G8" s="171">
        <v>2.44</v>
      </c>
      <c r="K8" s="170">
        <v>38198</v>
      </c>
      <c r="L8" s="171">
        <v>2.44</v>
      </c>
    </row>
    <row r="9" spans="1:12" x14ac:dyDescent="0.2">
      <c r="A9" s="170">
        <v>38196</v>
      </c>
      <c r="B9" s="171">
        <v>2.46</v>
      </c>
      <c r="E9" s="172">
        <f t="shared" ref="E9:E72" si="0">YEAR(F9)</f>
        <v>2004</v>
      </c>
      <c r="F9" s="170">
        <v>38200</v>
      </c>
      <c r="G9" s="171">
        <v>2.23</v>
      </c>
      <c r="K9" s="170">
        <v>38205</v>
      </c>
      <c r="L9" s="171">
        <v>2.3199999999999998</v>
      </c>
    </row>
    <row r="10" spans="1:12" x14ac:dyDescent="0.2">
      <c r="A10" s="170">
        <v>38197</v>
      </c>
      <c r="B10" s="171">
        <v>2.44</v>
      </c>
      <c r="E10" s="172">
        <f t="shared" si="0"/>
        <v>2004</v>
      </c>
      <c r="F10" s="170">
        <v>38231</v>
      </c>
      <c r="G10" s="171">
        <v>2.16</v>
      </c>
      <c r="K10" s="170">
        <v>38212</v>
      </c>
      <c r="L10" s="171">
        <v>2.21</v>
      </c>
    </row>
    <row r="11" spans="1:12" x14ac:dyDescent="0.2">
      <c r="A11" s="170">
        <v>38198</v>
      </c>
      <c r="B11" s="171">
        <v>2.38</v>
      </c>
      <c r="E11" s="172">
        <f t="shared" si="0"/>
        <v>2004</v>
      </c>
      <c r="F11" s="170">
        <v>38261</v>
      </c>
      <c r="G11" s="171">
        <v>2.13</v>
      </c>
      <c r="K11" s="170">
        <v>38219</v>
      </c>
      <c r="L11" s="171">
        <v>2.19</v>
      </c>
    </row>
    <row r="12" spans="1:12" x14ac:dyDescent="0.2">
      <c r="A12" s="175">
        <v>38201</v>
      </c>
      <c r="B12" s="176">
        <v>2.37</v>
      </c>
      <c r="E12" s="172">
        <f t="shared" si="0"/>
        <v>2004</v>
      </c>
      <c r="F12" s="170">
        <v>38292</v>
      </c>
      <c r="G12" s="171">
        <v>2.09</v>
      </c>
      <c r="K12" s="170">
        <v>38226</v>
      </c>
      <c r="L12" s="171">
        <v>2.23</v>
      </c>
    </row>
    <row r="13" spans="1:12" x14ac:dyDescent="0.2">
      <c r="A13" s="175">
        <v>38202</v>
      </c>
      <c r="B13" s="176">
        <v>2.36</v>
      </c>
      <c r="E13" s="172">
        <f t="shared" si="0"/>
        <v>2004</v>
      </c>
      <c r="F13" s="170">
        <v>38322</v>
      </c>
      <c r="G13" s="171">
        <v>2.02</v>
      </c>
      <c r="K13" s="170">
        <v>38233</v>
      </c>
      <c r="L13" s="171">
        <v>2.1800000000000002</v>
      </c>
    </row>
    <row r="14" spans="1:12" x14ac:dyDescent="0.2">
      <c r="A14" s="175">
        <v>38203</v>
      </c>
      <c r="B14" s="176">
        <v>2.35</v>
      </c>
      <c r="E14" s="172">
        <f t="shared" si="0"/>
        <v>2005</v>
      </c>
      <c r="F14" s="170">
        <v>38353</v>
      </c>
      <c r="G14" s="171">
        <v>1.98</v>
      </c>
      <c r="K14" s="170">
        <v>38240</v>
      </c>
      <c r="L14" s="171">
        <v>2.2000000000000002</v>
      </c>
    </row>
    <row r="15" spans="1:12" x14ac:dyDescent="0.2">
      <c r="A15" s="175">
        <v>38204</v>
      </c>
      <c r="B15" s="176">
        <v>2.3199999999999998</v>
      </c>
      <c r="E15" s="172">
        <f t="shared" si="0"/>
        <v>2005</v>
      </c>
      <c r="F15" s="170">
        <v>38384</v>
      </c>
      <c r="G15" s="171">
        <v>1.85</v>
      </c>
      <c r="K15" s="170">
        <v>38247</v>
      </c>
      <c r="L15" s="171">
        <v>2.1800000000000002</v>
      </c>
    </row>
    <row r="16" spans="1:12" x14ac:dyDescent="0.2">
      <c r="A16" s="175">
        <v>38205</v>
      </c>
      <c r="B16" s="176">
        <v>2.2200000000000002</v>
      </c>
      <c r="E16" s="172">
        <f t="shared" si="0"/>
        <v>2005</v>
      </c>
      <c r="F16" s="170">
        <v>38412</v>
      </c>
      <c r="G16" s="171">
        <v>1.95</v>
      </c>
      <c r="K16" s="170">
        <v>38254</v>
      </c>
      <c r="L16" s="171">
        <v>2.13</v>
      </c>
    </row>
    <row r="17" spans="1:12" x14ac:dyDescent="0.2">
      <c r="A17" s="175">
        <v>38208</v>
      </c>
      <c r="B17" s="176">
        <v>2.23</v>
      </c>
      <c r="E17" s="172">
        <f t="shared" si="0"/>
        <v>2005</v>
      </c>
      <c r="F17" s="170">
        <v>38443</v>
      </c>
      <c r="G17" s="171">
        <v>1.87</v>
      </c>
      <c r="K17" s="170">
        <v>38261</v>
      </c>
      <c r="L17" s="171">
        <v>2.12</v>
      </c>
    </row>
    <row r="18" spans="1:12" x14ac:dyDescent="0.2">
      <c r="A18" s="175">
        <v>38209</v>
      </c>
      <c r="B18" s="176">
        <v>2.2599999999999998</v>
      </c>
      <c r="E18" s="172">
        <f t="shared" si="0"/>
        <v>2005</v>
      </c>
      <c r="F18" s="170">
        <v>38473</v>
      </c>
      <c r="G18" s="171">
        <v>1.82</v>
      </c>
      <c r="K18" s="170">
        <v>38268</v>
      </c>
      <c r="L18" s="171">
        <v>2.21</v>
      </c>
    </row>
    <row r="19" spans="1:12" x14ac:dyDescent="0.2">
      <c r="A19" s="175">
        <v>38210</v>
      </c>
      <c r="B19" s="176">
        <v>2.23</v>
      </c>
      <c r="E19" s="172">
        <f t="shared" si="0"/>
        <v>2005</v>
      </c>
      <c r="F19" s="170">
        <v>38504</v>
      </c>
      <c r="G19" s="171">
        <v>1.8</v>
      </c>
      <c r="K19" s="170">
        <v>38275</v>
      </c>
      <c r="L19" s="171">
        <v>2.12</v>
      </c>
    </row>
    <row r="20" spans="1:12" x14ac:dyDescent="0.2">
      <c r="A20" s="175">
        <v>38211</v>
      </c>
      <c r="B20" s="176">
        <v>2.1800000000000002</v>
      </c>
      <c r="E20" s="172">
        <f t="shared" si="0"/>
        <v>2005</v>
      </c>
      <c r="F20" s="170">
        <v>38534</v>
      </c>
      <c r="G20" s="171">
        <v>2</v>
      </c>
      <c r="K20" s="170">
        <v>38282</v>
      </c>
      <c r="L20" s="171">
        <v>2.0699999999999998</v>
      </c>
    </row>
    <row r="21" spans="1:12" x14ac:dyDescent="0.2">
      <c r="A21" s="175">
        <v>38212</v>
      </c>
      <c r="B21" s="176">
        <v>2.14</v>
      </c>
      <c r="E21" s="172">
        <f t="shared" si="0"/>
        <v>2005</v>
      </c>
      <c r="F21" s="170">
        <v>38565</v>
      </c>
      <c r="G21" s="171">
        <v>2.02</v>
      </c>
      <c r="K21" s="170">
        <v>38289</v>
      </c>
      <c r="L21" s="171">
        <v>2.1</v>
      </c>
    </row>
    <row r="22" spans="1:12" x14ac:dyDescent="0.2">
      <c r="A22" s="175">
        <v>38215</v>
      </c>
      <c r="B22" s="176">
        <v>2.19</v>
      </c>
      <c r="E22" s="172">
        <f t="shared" si="0"/>
        <v>2005</v>
      </c>
      <c r="F22" s="170">
        <v>38596</v>
      </c>
      <c r="G22" s="171">
        <v>1.93</v>
      </c>
      <c r="K22" s="170">
        <v>38296</v>
      </c>
      <c r="L22" s="171">
        <v>2.09</v>
      </c>
    </row>
    <row r="23" spans="1:12" x14ac:dyDescent="0.2">
      <c r="A23" s="175">
        <v>38216</v>
      </c>
      <c r="B23" s="176">
        <v>2.1800000000000002</v>
      </c>
      <c r="E23" s="172">
        <f t="shared" si="0"/>
        <v>2005</v>
      </c>
      <c r="F23" s="170">
        <v>38626</v>
      </c>
      <c r="G23" s="171">
        <v>2.09</v>
      </c>
      <c r="K23" s="170">
        <v>38303</v>
      </c>
      <c r="L23" s="171">
        <v>2.16</v>
      </c>
    </row>
    <row r="24" spans="1:12" x14ac:dyDescent="0.2">
      <c r="A24" s="175">
        <v>38217</v>
      </c>
      <c r="B24" s="176">
        <v>2.2200000000000002</v>
      </c>
      <c r="E24" s="172">
        <f t="shared" si="0"/>
        <v>2005</v>
      </c>
      <c r="F24" s="170">
        <v>38657</v>
      </c>
      <c r="G24" s="171">
        <v>2.16</v>
      </c>
      <c r="K24" s="170">
        <v>38310</v>
      </c>
      <c r="L24" s="171">
        <v>2.0699999999999998</v>
      </c>
    </row>
    <row r="25" spans="1:12" x14ac:dyDescent="0.2">
      <c r="A25" s="175">
        <v>38218</v>
      </c>
      <c r="B25" s="176">
        <v>2.17</v>
      </c>
      <c r="E25" s="172">
        <f t="shared" si="0"/>
        <v>2005</v>
      </c>
      <c r="F25" s="170">
        <v>38687</v>
      </c>
      <c r="G25" s="171">
        <v>2.14</v>
      </c>
      <c r="K25" s="170">
        <v>38317</v>
      </c>
      <c r="L25" s="171">
        <v>2.04</v>
      </c>
    </row>
    <row r="26" spans="1:12" x14ac:dyDescent="0.2">
      <c r="A26" s="175">
        <v>38219</v>
      </c>
      <c r="B26" s="176">
        <v>2.17</v>
      </c>
      <c r="E26" s="172">
        <f t="shared" si="0"/>
        <v>2006</v>
      </c>
      <c r="F26" s="170">
        <v>38718</v>
      </c>
      <c r="G26" s="171">
        <v>2.0499999999999998</v>
      </c>
      <c r="K26" s="170">
        <v>38324</v>
      </c>
      <c r="L26" s="171">
        <v>2.15</v>
      </c>
    </row>
    <row r="27" spans="1:12" x14ac:dyDescent="0.2">
      <c r="A27" s="175">
        <v>38222</v>
      </c>
      <c r="B27" s="176">
        <v>2.23</v>
      </c>
      <c r="E27" s="172">
        <f t="shared" si="0"/>
        <v>2006</v>
      </c>
      <c r="F27" s="170">
        <v>38749</v>
      </c>
      <c r="G27" s="171">
        <v>2.0099999999999998</v>
      </c>
      <c r="K27" s="170">
        <v>38331</v>
      </c>
      <c r="L27" s="171">
        <v>2.0499999999999998</v>
      </c>
    </row>
    <row r="28" spans="1:12" x14ac:dyDescent="0.2">
      <c r="A28" s="175">
        <v>38223</v>
      </c>
      <c r="B28" s="176">
        <v>2.2400000000000002</v>
      </c>
      <c r="E28" s="172">
        <f t="shared" si="0"/>
        <v>2006</v>
      </c>
      <c r="F28" s="170">
        <v>38777</v>
      </c>
      <c r="G28" s="171">
        <v>2.17</v>
      </c>
      <c r="K28" s="170">
        <v>38338</v>
      </c>
      <c r="L28" s="171">
        <v>1.99</v>
      </c>
    </row>
    <row r="29" spans="1:12" x14ac:dyDescent="0.2">
      <c r="A29" s="175">
        <v>38224</v>
      </c>
      <c r="B29" s="176">
        <v>2.25</v>
      </c>
      <c r="E29" s="172">
        <f t="shared" si="0"/>
        <v>2006</v>
      </c>
      <c r="F29" s="170">
        <v>38808</v>
      </c>
      <c r="G29" s="171">
        <v>2.4300000000000002</v>
      </c>
      <c r="K29" s="170">
        <v>38345</v>
      </c>
      <c r="L29" s="171">
        <v>1.94</v>
      </c>
    </row>
    <row r="30" spans="1:12" x14ac:dyDescent="0.2">
      <c r="A30" s="175">
        <v>38225</v>
      </c>
      <c r="B30" s="176">
        <v>2.23</v>
      </c>
      <c r="E30" s="172">
        <f t="shared" si="0"/>
        <v>2006</v>
      </c>
      <c r="F30" s="170">
        <v>38838</v>
      </c>
      <c r="G30" s="171">
        <v>2.48</v>
      </c>
      <c r="K30" s="170">
        <v>38352</v>
      </c>
      <c r="L30" s="171">
        <v>1.99</v>
      </c>
    </row>
    <row r="31" spans="1:12" x14ac:dyDescent="0.2">
      <c r="A31" s="175">
        <v>38226</v>
      </c>
      <c r="B31" s="176">
        <v>2.2200000000000002</v>
      </c>
      <c r="E31" s="172">
        <f t="shared" si="0"/>
        <v>2006</v>
      </c>
      <c r="F31" s="170">
        <v>38869</v>
      </c>
      <c r="G31" s="171">
        <v>2.54</v>
      </c>
      <c r="K31" s="170">
        <v>38359</v>
      </c>
      <c r="L31" s="171">
        <v>2.02</v>
      </c>
    </row>
    <row r="32" spans="1:12" x14ac:dyDescent="0.2">
      <c r="A32" s="175">
        <v>38229</v>
      </c>
      <c r="B32" s="176">
        <v>2.2000000000000002</v>
      </c>
      <c r="E32" s="172">
        <f t="shared" si="0"/>
        <v>2006</v>
      </c>
      <c r="F32" s="170">
        <v>38899</v>
      </c>
      <c r="G32" s="171">
        <v>2.52</v>
      </c>
      <c r="K32" s="170">
        <v>38366</v>
      </c>
      <c r="L32" s="171">
        <v>2</v>
      </c>
    </row>
    <row r="33" spans="1:12" x14ac:dyDescent="0.2">
      <c r="A33" s="175">
        <v>38230</v>
      </c>
      <c r="B33" s="176">
        <v>2.14</v>
      </c>
      <c r="E33" s="172">
        <f t="shared" si="0"/>
        <v>2006</v>
      </c>
      <c r="F33" s="170">
        <v>38930</v>
      </c>
      <c r="G33" s="171">
        <v>2.31</v>
      </c>
      <c r="K33" s="170">
        <v>38373</v>
      </c>
      <c r="L33" s="171">
        <v>1.94</v>
      </c>
    </row>
    <row r="34" spans="1:12" x14ac:dyDescent="0.2">
      <c r="A34" s="175">
        <v>38231</v>
      </c>
      <c r="B34" s="176">
        <v>2.14</v>
      </c>
      <c r="E34" s="172">
        <f t="shared" si="0"/>
        <v>2006</v>
      </c>
      <c r="F34" s="170">
        <v>38961</v>
      </c>
      <c r="G34" s="171">
        <v>2.31</v>
      </c>
      <c r="K34" s="170">
        <v>38380</v>
      </c>
      <c r="L34" s="171">
        <v>1.96</v>
      </c>
    </row>
    <row r="35" spans="1:12" x14ac:dyDescent="0.2">
      <c r="A35" s="175">
        <v>38232</v>
      </c>
      <c r="B35" s="176">
        <v>2.1800000000000002</v>
      </c>
      <c r="E35" s="172">
        <f t="shared" si="0"/>
        <v>2006</v>
      </c>
      <c r="F35" s="170">
        <v>38991</v>
      </c>
      <c r="G35" s="171">
        <v>2.38</v>
      </c>
      <c r="K35" s="170">
        <v>38387</v>
      </c>
      <c r="L35" s="171">
        <v>1.93</v>
      </c>
    </row>
    <row r="36" spans="1:12" x14ac:dyDescent="0.2">
      <c r="A36" s="175">
        <v>38233</v>
      </c>
      <c r="B36" s="176">
        <v>2.23</v>
      </c>
      <c r="E36" s="172">
        <f t="shared" si="0"/>
        <v>2006</v>
      </c>
      <c r="F36" s="170">
        <v>39022</v>
      </c>
      <c r="G36" s="171">
        <v>2.23</v>
      </c>
      <c r="K36" s="170">
        <v>38394</v>
      </c>
      <c r="L36" s="171">
        <v>1.79</v>
      </c>
    </row>
    <row r="37" spans="1:12" x14ac:dyDescent="0.2">
      <c r="A37" s="175">
        <v>38236</v>
      </c>
      <c r="B37" s="176" t="e">
        <f>NA()</f>
        <v>#N/A</v>
      </c>
      <c r="E37" s="172">
        <f t="shared" si="0"/>
        <v>2006</v>
      </c>
      <c r="F37" s="170">
        <v>39052</v>
      </c>
      <c r="G37" s="171">
        <v>2.2599999999999998</v>
      </c>
      <c r="K37" s="170">
        <v>38401</v>
      </c>
      <c r="L37" s="171">
        <v>1.8</v>
      </c>
    </row>
    <row r="38" spans="1:12" x14ac:dyDescent="0.2">
      <c r="A38" s="175">
        <v>38237</v>
      </c>
      <c r="B38" s="176">
        <v>2.2200000000000002</v>
      </c>
      <c r="E38" s="172">
        <f t="shared" si="0"/>
        <v>2007</v>
      </c>
      <c r="F38" s="170">
        <v>39083</v>
      </c>
      <c r="G38" s="171">
        <v>2.42</v>
      </c>
      <c r="K38" s="170">
        <v>38408</v>
      </c>
      <c r="L38" s="171">
        <v>1.9</v>
      </c>
    </row>
    <row r="39" spans="1:12" x14ac:dyDescent="0.2">
      <c r="A39" s="175">
        <v>38238</v>
      </c>
      <c r="B39" s="176">
        <v>2.1800000000000002</v>
      </c>
      <c r="E39" s="172">
        <f t="shared" si="0"/>
        <v>2007</v>
      </c>
      <c r="F39" s="170">
        <v>39114</v>
      </c>
      <c r="G39" s="171">
        <v>2.38</v>
      </c>
      <c r="K39" s="170">
        <v>38415</v>
      </c>
      <c r="L39" s="171">
        <v>1.93</v>
      </c>
    </row>
    <row r="40" spans="1:12" x14ac:dyDescent="0.2">
      <c r="A40" s="175">
        <v>38239</v>
      </c>
      <c r="B40" s="176">
        <v>2.19</v>
      </c>
      <c r="E40" s="172">
        <f t="shared" si="0"/>
        <v>2007</v>
      </c>
      <c r="F40" s="170">
        <v>39142</v>
      </c>
      <c r="G40" s="171">
        <v>2.27</v>
      </c>
      <c r="K40" s="170">
        <v>38422</v>
      </c>
      <c r="L40" s="171">
        <v>1.9</v>
      </c>
    </row>
    <row r="41" spans="1:12" x14ac:dyDescent="0.2">
      <c r="A41" s="175">
        <v>38240</v>
      </c>
      <c r="B41" s="177">
        <v>2.19</v>
      </c>
      <c r="E41" s="172">
        <f t="shared" si="0"/>
        <v>2007</v>
      </c>
      <c r="F41" s="170">
        <v>39173</v>
      </c>
      <c r="G41" s="171">
        <v>2.35</v>
      </c>
      <c r="K41" s="170">
        <v>38429</v>
      </c>
      <c r="L41" s="171">
        <v>1.95</v>
      </c>
    </row>
    <row r="42" spans="1:12" x14ac:dyDescent="0.2">
      <c r="A42" s="175">
        <v>38243</v>
      </c>
      <c r="B42" s="176">
        <v>2.16</v>
      </c>
      <c r="E42" s="172">
        <f t="shared" si="0"/>
        <v>2007</v>
      </c>
      <c r="F42" s="170">
        <v>39203</v>
      </c>
      <c r="G42" s="171">
        <v>2.4500000000000002</v>
      </c>
      <c r="K42" s="170">
        <v>38436</v>
      </c>
      <c r="L42" s="171">
        <v>2.0099999999999998</v>
      </c>
    </row>
    <row r="43" spans="1:12" x14ac:dyDescent="0.2">
      <c r="A43" s="175">
        <v>38244</v>
      </c>
      <c r="B43" s="176">
        <v>2.17</v>
      </c>
      <c r="E43" s="172">
        <f t="shared" si="0"/>
        <v>2007</v>
      </c>
      <c r="F43" s="170">
        <v>39234</v>
      </c>
      <c r="G43" s="171">
        <v>2.67</v>
      </c>
      <c r="K43" s="170">
        <v>38443</v>
      </c>
      <c r="L43" s="171">
        <v>1.97</v>
      </c>
    </row>
    <row r="44" spans="1:12" x14ac:dyDescent="0.2">
      <c r="A44" s="175">
        <v>38245</v>
      </c>
      <c r="B44" s="176">
        <v>2.21</v>
      </c>
      <c r="E44" s="172">
        <f t="shared" si="0"/>
        <v>2007</v>
      </c>
      <c r="F44" s="170">
        <v>39264</v>
      </c>
      <c r="G44" s="171">
        <v>2.62</v>
      </c>
      <c r="K44" s="170">
        <v>38450</v>
      </c>
      <c r="L44" s="171">
        <v>1.94</v>
      </c>
    </row>
    <row r="45" spans="1:12" x14ac:dyDescent="0.2">
      <c r="A45" s="175">
        <v>38246</v>
      </c>
      <c r="B45" s="176">
        <v>2.17</v>
      </c>
      <c r="E45" s="172">
        <f t="shared" si="0"/>
        <v>2007</v>
      </c>
      <c r="F45" s="170">
        <v>39295</v>
      </c>
      <c r="G45" s="171">
        <v>2.4700000000000002</v>
      </c>
      <c r="K45" s="170">
        <v>38457</v>
      </c>
      <c r="L45" s="171">
        <v>1.9</v>
      </c>
    </row>
    <row r="46" spans="1:12" x14ac:dyDescent="0.2">
      <c r="A46" s="175">
        <v>38247</v>
      </c>
      <c r="B46" s="176">
        <v>2.2000000000000002</v>
      </c>
      <c r="E46" s="172">
        <f t="shared" si="0"/>
        <v>2007</v>
      </c>
      <c r="F46" s="170">
        <v>39326</v>
      </c>
      <c r="G46" s="171">
        <v>2.2999999999999998</v>
      </c>
      <c r="K46" s="170">
        <v>38464</v>
      </c>
      <c r="L46" s="171">
        <v>1.81</v>
      </c>
    </row>
    <row r="47" spans="1:12" x14ac:dyDescent="0.2">
      <c r="A47" s="175">
        <v>38250</v>
      </c>
      <c r="B47" s="176">
        <v>2.17</v>
      </c>
      <c r="E47" s="172">
        <f t="shared" si="0"/>
        <v>2007</v>
      </c>
      <c r="F47" s="170">
        <v>39356</v>
      </c>
      <c r="G47" s="171">
        <v>2.2599999999999998</v>
      </c>
      <c r="K47" s="170">
        <v>38471</v>
      </c>
      <c r="L47" s="171">
        <v>1.84</v>
      </c>
    </row>
    <row r="48" spans="1:12" x14ac:dyDescent="0.2">
      <c r="A48" s="175">
        <v>38251</v>
      </c>
      <c r="B48" s="176">
        <v>2.16</v>
      </c>
      <c r="E48" s="172">
        <f t="shared" si="0"/>
        <v>2007</v>
      </c>
      <c r="F48" s="170">
        <v>39387</v>
      </c>
      <c r="G48" s="171">
        <v>1.99</v>
      </c>
      <c r="K48" s="170">
        <v>38478</v>
      </c>
      <c r="L48" s="171">
        <v>1.85</v>
      </c>
    </row>
    <row r="49" spans="1:12" x14ac:dyDescent="0.2">
      <c r="A49" s="175">
        <v>38252</v>
      </c>
      <c r="B49" s="176">
        <v>2.09</v>
      </c>
      <c r="E49" s="172">
        <f t="shared" si="0"/>
        <v>2007</v>
      </c>
      <c r="F49" s="170">
        <v>39417</v>
      </c>
      <c r="G49" s="171">
        <v>2.08</v>
      </c>
      <c r="K49" s="170">
        <v>38485</v>
      </c>
      <c r="L49" s="171">
        <v>1.84</v>
      </c>
    </row>
    <row r="50" spans="1:12" x14ac:dyDescent="0.2">
      <c r="A50" s="175">
        <v>38253</v>
      </c>
      <c r="B50" s="176">
        <v>2.12</v>
      </c>
      <c r="E50" s="172">
        <f t="shared" si="0"/>
        <v>2008</v>
      </c>
      <c r="F50" s="170">
        <v>39448</v>
      </c>
      <c r="G50" s="171">
        <v>1.81</v>
      </c>
      <c r="K50" s="170">
        <v>38492</v>
      </c>
      <c r="L50" s="171">
        <v>1.81</v>
      </c>
    </row>
    <row r="51" spans="1:12" x14ac:dyDescent="0.2">
      <c r="A51" s="175">
        <v>38254</v>
      </c>
      <c r="B51" s="176">
        <v>2.12</v>
      </c>
      <c r="E51" s="172">
        <f t="shared" si="0"/>
        <v>2008</v>
      </c>
      <c r="F51" s="170">
        <v>39479</v>
      </c>
      <c r="G51" s="171">
        <v>1.87</v>
      </c>
      <c r="K51" s="170">
        <v>38499</v>
      </c>
      <c r="L51" s="171">
        <v>1.8</v>
      </c>
    </row>
    <row r="52" spans="1:12" x14ac:dyDescent="0.2">
      <c r="A52" s="175">
        <v>38257</v>
      </c>
      <c r="B52" s="176">
        <v>2.09</v>
      </c>
      <c r="E52" s="172">
        <f t="shared" si="0"/>
        <v>2008</v>
      </c>
      <c r="F52" s="170">
        <v>39508</v>
      </c>
      <c r="G52" s="171">
        <v>1.76</v>
      </c>
      <c r="K52" s="170">
        <v>38506</v>
      </c>
      <c r="L52" s="171">
        <v>1.72</v>
      </c>
    </row>
    <row r="53" spans="1:12" x14ac:dyDescent="0.2">
      <c r="A53" s="175">
        <v>38258</v>
      </c>
      <c r="B53" s="176">
        <v>2.0699999999999998</v>
      </c>
      <c r="E53" s="172">
        <f t="shared" si="0"/>
        <v>2008</v>
      </c>
      <c r="F53" s="170">
        <v>39539</v>
      </c>
      <c r="G53" s="171">
        <v>1.91</v>
      </c>
      <c r="K53" s="170">
        <v>38513</v>
      </c>
      <c r="L53" s="171">
        <v>1.75</v>
      </c>
    </row>
    <row r="54" spans="1:12" x14ac:dyDescent="0.2">
      <c r="A54" s="175">
        <v>38259</v>
      </c>
      <c r="B54" s="176">
        <v>2.12</v>
      </c>
      <c r="E54" s="172">
        <f t="shared" si="0"/>
        <v>2008</v>
      </c>
      <c r="F54" s="170">
        <v>39569</v>
      </c>
      <c r="G54" s="171">
        <v>2</v>
      </c>
      <c r="K54" s="170">
        <v>38520</v>
      </c>
      <c r="L54" s="171">
        <v>1.88</v>
      </c>
    </row>
    <row r="55" spans="1:12" x14ac:dyDescent="0.2">
      <c r="A55" s="175">
        <v>38260</v>
      </c>
      <c r="B55" s="176">
        <v>2.12</v>
      </c>
      <c r="E55" s="172">
        <f t="shared" si="0"/>
        <v>2008</v>
      </c>
      <c r="F55" s="170">
        <v>39600</v>
      </c>
      <c r="G55" s="171">
        <v>2.19</v>
      </c>
      <c r="K55" s="170">
        <v>38527</v>
      </c>
      <c r="L55" s="171">
        <v>1.84</v>
      </c>
    </row>
    <row r="56" spans="1:12" x14ac:dyDescent="0.2">
      <c r="A56" s="175">
        <v>38261</v>
      </c>
      <c r="B56" s="176">
        <v>2.1800000000000002</v>
      </c>
      <c r="E56" s="172">
        <f t="shared" si="0"/>
        <v>2008</v>
      </c>
      <c r="F56" s="170">
        <v>39630</v>
      </c>
      <c r="G56" s="171">
        <v>2.09</v>
      </c>
      <c r="K56" s="170">
        <v>38534</v>
      </c>
      <c r="L56" s="171">
        <v>1.81</v>
      </c>
    </row>
    <row r="57" spans="1:12" x14ac:dyDescent="0.2">
      <c r="A57" s="175">
        <v>38264</v>
      </c>
      <c r="B57" s="176">
        <v>2.19</v>
      </c>
      <c r="E57" s="172">
        <f t="shared" si="0"/>
        <v>2008</v>
      </c>
      <c r="F57" s="170">
        <v>39661</v>
      </c>
      <c r="G57" s="171">
        <v>2.15</v>
      </c>
      <c r="K57" s="170">
        <v>38541</v>
      </c>
      <c r="L57" s="171">
        <v>1.91</v>
      </c>
    </row>
    <row r="58" spans="1:12" x14ac:dyDescent="0.2">
      <c r="A58" s="175">
        <v>38265</v>
      </c>
      <c r="B58" s="176">
        <v>2.1800000000000002</v>
      </c>
      <c r="E58" s="172">
        <f t="shared" si="0"/>
        <v>2008</v>
      </c>
      <c r="F58" s="170">
        <v>39692</v>
      </c>
      <c r="G58" s="171">
        <v>2.25</v>
      </c>
      <c r="K58" s="170">
        <v>38548</v>
      </c>
      <c r="L58" s="171">
        <v>1.99</v>
      </c>
    </row>
    <row r="59" spans="1:12" x14ac:dyDescent="0.2">
      <c r="A59" s="175">
        <v>38266</v>
      </c>
      <c r="B59" s="176">
        <v>2.2400000000000002</v>
      </c>
      <c r="E59" s="172">
        <f t="shared" si="0"/>
        <v>2008</v>
      </c>
      <c r="F59" s="170">
        <v>39722</v>
      </c>
      <c r="G59" s="171">
        <v>2.87</v>
      </c>
      <c r="K59" s="170">
        <v>38555</v>
      </c>
      <c r="L59" s="171">
        <v>2.0499999999999998</v>
      </c>
    </row>
    <row r="60" spans="1:12" x14ac:dyDescent="0.2">
      <c r="A60" s="175">
        <v>38267</v>
      </c>
      <c r="B60" s="176">
        <v>2.25</v>
      </c>
      <c r="E60" s="172">
        <f t="shared" si="0"/>
        <v>2008</v>
      </c>
      <c r="F60" s="170">
        <v>39753</v>
      </c>
      <c r="G60" s="171">
        <v>3</v>
      </c>
      <c r="K60" s="170">
        <v>38562</v>
      </c>
      <c r="L60" s="171">
        <v>2.0499999999999998</v>
      </c>
    </row>
    <row r="61" spans="1:12" x14ac:dyDescent="0.2">
      <c r="A61" s="175">
        <v>38268</v>
      </c>
      <c r="B61" s="176">
        <v>2.17</v>
      </c>
      <c r="E61" s="172">
        <f t="shared" si="0"/>
        <v>2008</v>
      </c>
      <c r="F61" s="170">
        <v>39783</v>
      </c>
      <c r="G61" s="171">
        <v>2.3199999999999998</v>
      </c>
      <c r="K61" s="170">
        <v>38569</v>
      </c>
      <c r="L61" s="171">
        <v>2.08</v>
      </c>
    </row>
    <row r="62" spans="1:12" x14ac:dyDescent="0.2">
      <c r="A62" s="175">
        <v>38271</v>
      </c>
      <c r="B62" s="176" t="e">
        <f>NA()</f>
        <v>#N/A</v>
      </c>
      <c r="E62" s="172">
        <f t="shared" si="0"/>
        <v>2009</v>
      </c>
      <c r="F62" s="170">
        <v>39814</v>
      </c>
      <c r="G62" s="171">
        <v>2.46</v>
      </c>
      <c r="K62" s="170">
        <v>38576</v>
      </c>
      <c r="L62" s="171">
        <v>2.08</v>
      </c>
    </row>
    <row r="63" spans="1:12" x14ac:dyDescent="0.2">
      <c r="A63" s="175">
        <v>38272</v>
      </c>
      <c r="B63" s="176">
        <v>2.14</v>
      </c>
      <c r="E63" s="172">
        <f t="shared" si="0"/>
        <v>2009</v>
      </c>
      <c r="F63" s="170">
        <v>39845</v>
      </c>
      <c r="G63" s="171">
        <v>2.31</v>
      </c>
      <c r="K63" s="170">
        <v>38583</v>
      </c>
      <c r="L63" s="171">
        <v>2.0099999999999998</v>
      </c>
    </row>
    <row r="64" spans="1:12" x14ac:dyDescent="0.2">
      <c r="A64" s="175">
        <v>38273</v>
      </c>
      <c r="B64" s="176">
        <v>2.12</v>
      </c>
      <c r="E64" s="172">
        <f t="shared" si="0"/>
        <v>2009</v>
      </c>
      <c r="F64" s="170">
        <v>39873</v>
      </c>
      <c r="G64" s="171">
        <v>2.2599999999999998</v>
      </c>
      <c r="K64" s="170">
        <v>38590</v>
      </c>
      <c r="L64" s="171">
        <v>1.97</v>
      </c>
    </row>
    <row r="65" spans="1:12" x14ac:dyDescent="0.2">
      <c r="A65" s="175">
        <v>38274</v>
      </c>
      <c r="B65" s="176">
        <v>2.1</v>
      </c>
      <c r="E65" s="172">
        <f t="shared" si="0"/>
        <v>2009</v>
      </c>
      <c r="F65" s="170">
        <v>39904</v>
      </c>
      <c r="G65" s="171">
        <v>2.2200000000000002</v>
      </c>
      <c r="K65" s="170">
        <v>38597</v>
      </c>
      <c r="L65" s="171">
        <v>1.88</v>
      </c>
    </row>
    <row r="66" spans="1:12" x14ac:dyDescent="0.2">
      <c r="A66" s="175">
        <v>38275</v>
      </c>
      <c r="B66" s="177">
        <v>2.1</v>
      </c>
      <c r="E66" s="172">
        <f t="shared" si="0"/>
        <v>2009</v>
      </c>
      <c r="F66" s="170">
        <v>39934</v>
      </c>
      <c r="G66" s="171">
        <v>2.36</v>
      </c>
      <c r="K66" s="170">
        <v>38604</v>
      </c>
      <c r="L66" s="171">
        <v>1.93</v>
      </c>
    </row>
    <row r="67" spans="1:12" x14ac:dyDescent="0.2">
      <c r="A67" s="175">
        <v>38278</v>
      </c>
      <c r="B67" s="176">
        <v>2.1</v>
      </c>
      <c r="E67" s="172">
        <f t="shared" si="0"/>
        <v>2009</v>
      </c>
      <c r="F67" s="170">
        <v>39965</v>
      </c>
      <c r="G67" s="171">
        <v>2.36</v>
      </c>
      <c r="K67" s="170">
        <v>38611</v>
      </c>
      <c r="L67" s="171">
        <v>1.94</v>
      </c>
    </row>
    <row r="68" spans="1:12" x14ac:dyDescent="0.2">
      <c r="A68" s="175">
        <v>38279</v>
      </c>
      <c r="B68" s="176">
        <v>2.1</v>
      </c>
      <c r="E68" s="172">
        <f t="shared" si="0"/>
        <v>2009</v>
      </c>
      <c r="F68" s="170">
        <v>39995</v>
      </c>
      <c r="G68" s="171">
        <v>2.31</v>
      </c>
      <c r="K68" s="170">
        <v>38618</v>
      </c>
      <c r="L68" s="171">
        <v>1.93</v>
      </c>
    </row>
    <row r="69" spans="1:12" x14ac:dyDescent="0.2">
      <c r="A69" s="175">
        <v>38280</v>
      </c>
      <c r="B69" s="176">
        <v>2.06</v>
      </c>
      <c r="E69" s="172">
        <f t="shared" si="0"/>
        <v>2009</v>
      </c>
      <c r="F69" s="170">
        <v>40026</v>
      </c>
      <c r="G69" s="171">
        <v>2.2200000000000002</v>
      </c>
      <c r="K69" s="170">
        <v>38625</v>
      </c>
      <c r="L69" s="171">
        <v>1.94</v>
      </c>
    </row>
    <row r="70" spans="1:12" x14ac:dyDescent="0.2">
      <c r="A70" s="175">
        <v>38281</v>
      </c>
      <c r="B70" s="176">
        <v>2.04</v>
      </c>
      <c r="E70" s="172">
        <f t="shared" si="0"/>
        <v>2009</v>
      </c>
      <c r="F70" s="170">
        <v>40057</v>
      </c>
      <c r="G70" s="171">
        <v>2.13</v>
      </c>
      <c r="K70" s="170">
        <v>38632</v>
      </c>
      <c r="L70" s="171">
        <v>2.02</v>
      </c>
    </row>
    <row r="71" spans="1:12" x14ac:dyDescent="0.2">
      <c r="A71" s="175">
        <v>38282</v>
      </c>
      <c r="B71" s="176">
        <v>2.06</v>
      </c>
      <c r="E71" s="172">
        <f t="shared" si="0"/>
        <v>2009</v>
      </c>
      <c r="F71" s="170">
        <v>40087</v>
      </c>
      <c r="G71" s="171">
        <v>2.04</v>
      </c>
      <c r="K71" s="170">
        <v>38639</v>
      </c>
      <c r="L71" s="171">
        <v>2.09</v>
      </c>
    </row>
    <row r="72" spans="1:12" x14ac:dyDescent="0.2">
      <c r="A72" s="175">
        <v>38285</v>
      </c>
      <c r="B72" s="176">
        <v>2.0499999999999998</v>
      </c>
      <c r="E72" s="172">
        <f t="shared" si="0"/>
        <v>2009</v>
      </c>
      <c r="F72" s="170">
        <v>40118</v>
      </c>
      <c r="G72" s="171">
        <v>1.9</v>
      </c>
      <c r="K72" s="170">
        <v>38646</v>
      </c>
      <c r="L72" s="171">
        <v>2.09</v>
      </c>
    </row>
    <row r="73" spans="1:12" x14ac:dyDescent="0.2">
      <c r="A73" s="175">
        <v>38286</v>
      </c>
      <c r="B73" s="176">
        <v>2.0699999999999998</v>
      </c>
      <c r="E73" s="172">
        <f t="shared" ref="E73:E136" si="1">YEAR(F73)</f>
        <v>2009</v>
      </c>
      <c r="F73" s="170">
        <v>40148</v>
      </c>
      <c r="G73" s="171">
        <v>1.99</v>
      </c>
      <c r="K73" s="170">
        <v>38653</v>
      </c>
      <c r="L73" s="171">
        <v>2.16</v>
      </c>
    </row>
    <row r="74" spans="1:12" x14ac:dyDescent="0.2">
      <c r="A74" s="175">
        <v>38287</v>
      </c>
      <c r="B74" s="176">
        <v>2.17</v>
      </c>
      <c r="E74" s="172">
        <f t="shared" si="1"/>
        <v>2010</v>
      </c>
      <c r="F74" s="170">
        <v>40179</v>
      </c>
      <c r="G74" s="171">
        <v>2</v>
      </c>
      <c r="K74" s="170">
        <v>38660</v>
      </c>
      <c r="L74" s="171">
        <v>2.16</v>
      </c>
    </row>
    <row r="75" spans="1:12" x14ac:dyDescent="0.2">
      <c r="A75" s="175">
        <v>38288</v>
      </c>
      <c r="B75" s="176">
        <v>2.12</v>
      </c>
      <c r="E75" s="172">
        <f t="shared" si="1"/>
        <v>2010</v>
      </c>
      <c r="F75" s="170">
        <v>40210</v>
      </c>
      <c r="G75" s="171">
        <v>2.0299999999999998</v>
      </c>
      <c r="K75" s="170">
        <v>38667</v>
      </c>
      <c r="L75" s="171">
        <v>2.16</v>
      </c>
    </row>
    <row r="76" spans="1:12" x14ac:dyDescent="0.2">
      <c r="A76" s="175">
        <v>38289</v>
      </c>
      <c r="B76" s="176">
        <v>2.09</v>
      </c>
      <c r="E76" s="172">
        <f t="shared" si="1"/>
        <v>2010</v>
      </c>
      <c r="F76" s="170">
        <v>40238</v>
      </c>
      <c r="G76" s="171">
        <v>1.98</v>
      </c>
      <c r="K76" s="170">
        <v>38674</v>
      </c>
      <c r="L76" s="171">
        <v>2.15</v>
      </c>
    </row>
    <row r="77" spans="1:12" x14ac:dyDescent="0.2">
      <c r="A77" s="175">
        <v>38292</v>
      </c>
      <c r="B77" s="176">
        <v>2.13</v>
      </c>
      <c r="E77" s="172">
        <f t="shared" si="1"/>
        <v>2010</v>
      </c>
      <c r="F77" s="170">
        <v>40269</v>
      </c>
      <c r="G77" s="171">
        <v>1.9</v>
      </c>
      <c r="K77" s="170">
        <v>38681</v>
      </c>
      <c r="L77" s="171">
        <v>2.15</v>
      </c>
    </row>
    <row r="78" spans="1:12" x14ac:dyDescent="0.2">
      <c r="A78" s="175">
        <v>38293</v>
      </c>
      <c r="B78" s="176">
        <v>2.0699999999999998</v>
      </c>
      <c r="E78" s="172">
        <f t="shared" si="1"/>
        <v>2010</v>
      </c>
      <c r="F78" s="170">
        <v>40299</v>
      </c>
      <c r="G78" s="171">
        <v>1.72</v>
      </c>
      <c r="K78" s="170">
        <v>38688</v>
      </c>
      <c r="L78" s="171">
        <v>2.1800000000000002</v>
      </c>
    </row>
    <row r="79" spans="1:12" x14ac:dyDescent="0.2">
      <c r="A79" s="175">
        <v>38294</v>
      </c>
      <c r="B79" s="176">
        <v>2.0499999999999998</v>
      </c>
      <c r="E79" s="172">
        <f t="shared" si="1"/>
        <v>2010</v>
      </c>
      <c r="F79" s="170">
        <v>40330</v>
      </c>
      <c r="G79" s="171">
        <v>1.69</v>
      </c>
      <c r="K79" s="170">
        <v>38695</v>
      </c>
      <c r="L79" s="171">
        <v>2.21</v>
      </c>
    </row>
    <row r="80" spans="1:12" x14ac:dyDescent="0.2">
      <c r="A80" s="175">
        <v>38295</v>
      </c>
      <c r="B80" s="176">
        <v>2.08</v>
      </c>
      <c r="E80" s="172">
        <f t="shared" si="1"/>
        <v>2010</v>
      </c>
      <c r="F80" s="170">
        <v>40360</v>
      </c>
      <c r="G80" s="171">
        <v>1.8</v>
      </c>
      <c r="K80" s="170">
        <v>38702</v>
      </c>
      <c r="L80" s="171">
        <v>2.1800000000000002</v>
      </c>
    </row>
    <row r="81" spans="1:12" x14ac:dyDescent="0.2">
      <c r="A81" s="175">
        <v>38296</v>
      </c>
      <c r="B81" s="176">
        <v>2.14</v>
      </c>
      <c r="E81" s="172">
        <f t="shared" si="1"/>
        <v>2010</v>
      </c>
      <c r="F81" s="170">
        <v>40391</v>
      </c>
      <c r="G81" s="171">
        <v>1.65</v>
      </c>
      <c r="K81" s="170">
        <v>38709</v>
      </c>
      <c r="L81" s="171">
        <v>2.1</v>
      </c>
    </row>
    <row r="82" spans="1:12" x14ac:dyDescent="0.2">
      <c r="A82" s="175">
        <v>38299</v>
      </c>
      <c r="B82" s="176">
        <v>2.16</v>
      </c>
      <c r="E82" s="172">
        <f t="shared" si="1"/>
        <v>2010</v>
      </c>
      <c r="F82" s="170">
        <v>40422</v>
      </c>
      <c r="G82" s="171">
        <v>1.58</v>
      </c>
      <c r="K82" s="170">
        <v>38716</v>
      </c>
      <c r="L82" s="171">
        <v>2.04</v>
      </c>
    </row>
    <row r="83" spans="1:12" x14ac:dyDescent="0.2">
      <c r="A83" s="175">
        <v>38300</v>
      </c>
      <c r="B83" s="176">
        <v>2.17</v>
      </c>
      <c r="E83" s="172">
        <f t="shared" si="1"/>
        <v>2010</v>
      </c>
      <c r="F83" s="170">
        <v>40452</v>
      </c>
      <c r="G83" s="171">
        <v>1.32</v>
      </c>
      <c r="K83" s="170">
        <v>38723</v>
      </c>
      <c r="L83" s="171">
        <v>2.0499999999999998</v>
      </c>
    </row>
    <row r="84" spans="1:12" x14ac:dyDescent="0.2">
      <c r="A84" s="175">
        <v>38301</v>
      </c>
      <c r="B84" s="176">
        <v>2.19</v>
      </c>
      <c r="E84" s="172">
        <f t="shared" si="1"/>
        <v>2010</v>
      </c>
      <c r="F84" s="170">
        <v>40483</v>
      </c>
      <c r="G84" s="171">
        <v>1.44</v>
      </c>
      <c r="K84" s="170">
        <v>38730</v>
      </c>
      <c r="L84" s="171">
        <v>2.08</v>
      </c>
    </row>
    <row r="85" spans="1:12" x14ac:dyDescent="0.2">
      <c r="A85" s="175">
        <v>38302</v>
      </c>
      <c r="B85" s="176" t="e">
        <f>NA()</f>
        <v>#N/A</v>
      </c>
      <c r="E85" s="172">
        <f t="shared" si="1"/>
        <v>2010</v>
      </c>
      <c r="F85" s="170">
        <v>40513</v>
      </c>
      <c r="G85" s="171">
        <v>1.67</v>
      </c>
      <c r="K85" s="170">
        <v>38737</v>
      </c>
      <c r="L85" s="171">
        <v>2.02</v>
      </c>
    </row>
    <row r="86" spans="1:12" x14ac:dyDescent="0.2">
      <c r="A86" s="175">
        <v>38303</v>
      </c>
      <c r="B86" s="176">
        <v>2.13</v>
      </c>
      <c r="E86" s="172">
        <f t="shared" si="1"/>
        <v>2011</v>
      </c>
      <c r="F86" s="170">
        <v>40544</v>
      </c>
      <c r="G86" s="171">
        <v>1.7</v>
      </c>
      <c r="K86" s="170">
        <v>38744</v>
      </c>
      <c r="L86" s="171">
        <v>2.04</v>
      </c>
    </row>
    <row r="87" spans="1:12" x14ac:dyDescent="0.2">
      <c r="A87" s="175">
        <v>38306</v>
      </c>
      <c r="B87" s="176">
        <v>2.09</v>
      </c>
      <c r="E87" s="172">
        <f t="shared" si="1"/>
        <v>2011</v>
      </c>
      <c r="F87" s="170">
        <v>40575</v>
      </c>
      <c r="G87" s="171">
        <v>1.85</v>
      </c>
      <c r="K87" s="170">
        <v>38751</v>
      </c>
      <c r="L87" s="171">
        <v>2.02</v>
      </c>
    </row>
    <row r="88" spans="1:12" x14ac:dyDescent="0.2">
      <c r="A88" s="175">
        <v>38307</v>
      </c>
      <c r="B88" s="176">
        <v>2.1</v>
      </c>
      <c r="E88" s="172">
        <f t="shared" si="1"/>
        <v>2011</v>
      </c>
      <c r="F88" s="170">
        <v>40603</v>
      </c>
      <c r="G88" s="171">
        <v>1.58</v>
      </c>
      <c r="K88" s="170">
        <v>38758</v>
      </c>
      <c r="L88" s="171">
        <v>1.99</v>
      </c>
    </row>
    <row r="89" spans="1:12" x14ac:dyDescent="0.2">
      <c r="A89" s="175">
        <v>38308</v>
      </c>
      <c r="B89" s="177">
        <v>2.0499999999999998</v>
      </c>
      <c r="E89" s="172">
        <f t="shared" si="1"/>
        <v>2011</v>
      </c>
      <c r="F89" s="170">
        <v>40634</v>
      </c>
      <c r="G89" s="171">
        <v>1.48</v>
      </c>
      <c r="K89" s="170">
        <v>38765</v>
      </c>
      <c r="L89" s="171">
        <v>2.04</v>
      </c>
    </row>
    <row r="90" spans="1:12" x14ac:dyDescent="0.2">
      <c r="A90" s="175">
        <v>38309</v>
      </c>
      <c r="B90" s="176">
        <v>2.0299999999999998</v>
      </c>
      <c r="E90" s="172">
        <f t="shared" si="1"/>
        <v>2011</v>
      </c>
      <c r="F90" s="170">
        <v>40664</v>
      </c>
      <c r="G90" s="171">
        <v>1.47</v>
      </c>
      <c r="K90" s="170">
        <v>38772</v>
      </c>
      <c r="L90" s="171">
        <v>1.99</v>
      </c>
    </row>
    <row r="91" spans="1:12" x14ac:dyDescent="0.2">
      <c r="A91" s="175">
        <v>38310</v>
      </c>
      <c r="B91" s="176">
        <v>2.06</v>
      </c>
      <c r="E91" s="172">
        <f t="shared" si="1"/>
        <v>2011</v>
      </c>
      <c r="F91" s="170">
        <v>40695</v>
      </c>
      <c r="G91" s="171">
        <v>1.53</v>
      </c>
      <c r="K91" s="170">
        <v>38779</v>
      </c>
      <c r="L91" s="171">
        <v>2.0099999999999998</v>
      </c>
    </row>
    <row r="92" spans="1:12" x14ac:dyDescent="0.2">
      <c r="A92" s="175">
        <v>38313</v>
      </c>
      <c r="B92" s="176">
        <v>2.0099999999999998</v>
      </c>
      <c r="E92" s="172">
        <f t="shared" si="1"/>
        <v>2011</v>
      </c>
      <c r="F92" s="170">
        <v>40725</v>
      </c>
      <c r="G92" s="171">
        <v>1.36</v>
      </c>
      <c r="K92" s="170">
        <v>38786</v>
      </c>
      <c r="L92" s="171">
        <v>2.14</v>
      </c>
    </row>
    <row r="93" spans="1:12" x14ac:dyDescent="0.2">
      <c r="A93" s="175">
        <v>38314</v>
      </c>
      <c r="B93" s="176">
        <v>2.04</v>
      </c>
      <c r="E93" s="172">
        <f t="shared" si="1"/>
        <v>2011</v>
      </c>
      <c r="F93" s="170">
        <v>40756</v>
      </c>
      <c r="G93" s="171">
        <v>0.81</v>
      </c>
      <c r="K93" s="170">
        <v>38793</v>
      </c>
      <c r="L93" s="171">
        <v>2.16</v>
      </c>
    </row>
    <row r="94" spans="1:12" x14ac:dyDescent="0.2">
      <c r="A94" s="175">
        <v>38315</v>
      </c>
      <c r="B94" s="176">
        <v>2.0299999999999998</v>
      </c>
      <c r="E94" s="172">
        <f t="shared" si="1"/>
        <v>2011</v>
      </c>
      <c r="F94" s="170">
        <v>40787</v>
      </c>
      <c r="G94" s="171">
        <v>0.69</v>
      </c>
      <c r="K94" s="170">
        <v>38800</v>
      </c>
      <c r="L94" s="171">
        <v>2.19</v>
      </c>
    </row>
    <row r="95" spans="1:12" x14ac:dyDescent="0.2">
      <c r="A95" s="175">
        <v>38316</v>
      </c>
      <c r="B95" s="176" t="e">
        <f>NA()</f>
        <v>#N/A</v>
      </c>
      <c r="E95" s="172">
        <f t="shared" si="1"/>
        <v>2011</v>
      </c>
      <c r="F95" s="170">
        <v>40817</v>
      </c>
      <c r="G95" s="171">
        <v>0.72</v>
      </c>
      <c r="K95" s="170">
        <v>38807</v>
      </c>
      <c r="L95" s="171">
        <v>2.29</v>
      </c>
    </row>
    <row r="96" spans="1:12" x14ac:dyDescent="0.2">
      <c r="A96" s="175">
        <v>38317</v>
      </c>
      <c r="B96" s="176">
        <v>2.06</v>
      </c>
      <c r="E96" s="172">
        <f t="shared" si="1"/>
        <v>2011</v>
      </c>
      <c r="F96" s="170">
        <v>40848</v>
      </c>
      <c r="G96" s="171">
        <v>0.55000000000000004</v>
      </c>
      <c r="K96" s="170">
        <v>38814</v>
      </c>
      <c r="L96" s="171">
        <v>2.37</v>
      </c>
    </row>
    <row r="97" spans="1:12" x14ac:dyDescent="0.2">
      <c r="A97" s="175">
        <v>38320</v>
      </c>
      <c r="B97" s="176">
        <v>2.11</v>
      </c>
      <c r="E97" s="172">
        <f t="shared" si="1"/>
        <v>2011</v>
      </c>
      <c r="F97" s="170">
        <v>40878</v>
      </c>
      <c r="G97" s="171">
        <v>0.56000000000000005</v>
      </c>
      <c r="K97" s="170">
        <v>38821</v>
      </c>
      <c r="L97" s="171">
        <v>2.44</v>
      </c>
    </row>
    <row r="98" spans="1:12" x14ac:dyDescent="0.2">
      <c r="A98" s="175">
        <v>38321</v>
      </c>
      <c r="B98" s="176">
        <v>2.15</v>
      </c>
      <c r="E98" s="172">
        <f t="shared" si="1"/>
        <v>2012</v>
      </c>
      <c r="F98" s="170">
        <v>40909</v>
      </c>
      <c r="G98" s="171">
        <v>0.51</v>
      </c>
      <c r="K98" s="170">
        <v>38828</v>
      </c>
      <c r="L98" s="171">
        <v>2.44</v>
      </c>
    </row>
    <row r="99" spans="1:12" x14ac:dyDescent="0.2">
      <c r="A99" s="175">
        <v>38322</v>
      </c>
      <c r="B99" s="177">
        <v>2.1800000000000002</v>
      </c>
      <c r="E99" s="172">
        <f t="shared" si="1"/>
        <v>2012</v>
      </c>
      <c r="F99" s="170">
        <v>40940</v>
      </c>
      <c r="G99" s="171">
        <v>0.45</v>
      </c>
      <c r="K99" s="170">
        <v>38835</v>
      </c>
      <c r="L99" s="171">
        <v>2.48</v>
      </c>
    </row>
    <row r="100" spans="1:12" x14ac:dyDescent="0.2">
      <c r="A100" s="175">
        <v>38323</v>
      </c>
      <c r="B100" s="176">
        <v>2.2000000000000002</v>
      </c>
      <c r="E100" s="172">
        <f t="shared" si="1"/>
        <v>2012</v>
      </c>
      <c r="F100" s="170">
        <v>40969</v>
      </c>
      <c r="G100" s="171">
        <v>0.56000000000000005</v>
      </c>
      <c r="K100" s="170">
        <v>38842</v>
      </c>
      <c r="L100" s="171">
        <v>2.5099999999999998</v>
      </c>
    </row>
    <row r="101" spans="1:12" x14ac:dyDescent="0.2">
      <c r="A101" s="175">
        <v>38324</v>
      </c>
      <c r="B101" s="176">
        <v>2.1</v>
      </c>
      <c r="E101" s="172">
        <f t="shared" si="1"/>
        <v>2012</v>
      </c>
      <c r="F101" s="170">
        <v>41000</v>
      </c>
      <c r="G101" s="171">
        <v>0.5</v>
      </c>
      <c r="K101" s="170">
        <v>38849</v>
      </c>
      <c r="L101" s="171">
        <v>2.48</v>
      </c>
    </row>
    <row r="102" spans="1:12" x14ac:dyDescent="0.2">
      <c r="A102" s="175">
        <v>38327</v>
      </c>
      <c r="B102" s="176">
        <v>2.08</v>
      </c>
      <c r="E102" s="172">
        <f t="shared" si="1"/>
        <v>2012</v>
      </c>
      <c r="F102" s="170">
        <v>41030</v>
      </c>
      <c r="G102" s="171">
        <v>0.44</v>
      </c>
      <c r="K102" s="170">
        <v>38856</v>
      </c>
      <c r="L102" s="171">
        <v>2.48</v>
      </c>
    </row>
    <row r="103" spans="1:12" x14ac:dyDescent="0.2">
      <c r="A103" s="175">
        <v>38328</v>
      </c>
      <c r="B103" s="176">
        <v>2.08</v>
      </c>
      <c r="E103" s="172">
        <f t="shared" si="1"/>
        <v>2012</v>
      </c>
      <c r="F103" s="170">
        <v>41061</v>
      </c>
      <c r="G103" s="171">
        <v>0.1</v>
      </c>
      <c r="K103" s="170">
        <v>38863</v>
      </c>
      <c r="L103" s="171">
        <v>2.46</v>
      </c>
    </row>
    <row r="104" spans="1:12" x14ac:dyDescent="0.2">
      <c r="A104" s="175">
        <v>38329</v>
      </c>
      <c r="B104" s="176">
        <v>2</v>
      </c>
      <c r="E104" s="172">
        <f t="shared" si="1"/>
        <v>2012</v>
      </c>
      <c r="F104" s="170">
        <v>41091</v>
      </c>
      <c r="G104" s="171">
        <v>-0.01</v>
      </c>
      <c r="K104" s="170">
        <v>38870</v>
      </c>
      <c r="L104" s="171">
        <v>2.4700000000000002</v>
      </c>
    </row>
    <row r="105" spans="1:12" x14ac:dyDescent="0.2">
      <c r="A105" s="175">
        <v>38330</v>
      </c>
      <c r="B105" s="176">
        <v>2.0299999999999998</v>
      </c>
      <c r="E105" s="172">
        <f t="shared" si="1"/>
        <v>2012</v>
      </c>
      <c r="F105" s="170">
        <v>41122</v>
      </c>
      <c r="G105" s="171">
        <v>0.06</v>
      </c>
      <c r="K105" s="170">
        <v>38877</v>
      </c>
      <c r="L105" s="171">
        <v>2.4700000000000002</v>
      </c>
    </row>
    <row r="106" spans="1:12" x14ac:dyDescent="0.2">
      <c r="A106" s="175">
        <v>38331</v>
      </c>
      <c r="B106" s="176">
        <v>2.0499999999999998</v>
      </c>
      <c r="E106" s="172">
        <f t="shared" si="1"/>
        <v>2012</v>
      </c>
      <c r="F106" s="170">
        <v>41153</v>
      </c>
      <c r="G106" s="171">
        <v>0.02</v>
      </c>
      <c r="K106" s="170">
        <v>38884</v>
      </c>
      <c r="L106" s="171">
        <v>2.4900000000000002</v>
      </c>
    </row>
    <row r="107" spans="1:12" x14ac:dyDescent="0.2">
      <c r="A107" s="175">
        <v>38334</v>
      </c>
      <c r="B107" s="176">
        <v>2.0299999999999998</v>
      </c>
      <c r="E107" s="172">
        <f t="shared" si="1"/>
        <v>2012</v>
      </c>
      <c r="F107" s="170">
        <v>41183</v>
      </c>
      <c r="G107" s="171">
        <v>-0.01</v>
      </c>
      <c r="K107" s="170">
        <v>38891</v>
      </c>
      <c r="L107" s="171">
        <v>2.59</v>
      </c>
    </row>
    <row r="108" spans="1:12" x14ac:dyDescent="0.2">
      <c r="A108" s="175">
        <v>38335</v>
      </c>
      <c r="B108" s="176">
        <v>2</v>
      </c>
      <c r="E108" s="172">
        <f t="shared" si="1"/>
        <v>2012</v>
      </c>
      <c r="F108" s="170">
        <v>41214</v>
      </c>
      <c r="G108" s="171">
        <v>-0.06</v>
      </c>
      <c r="K108" s="170">
        <v>38898</v>
      </c>
      <c r="L108" s="171">
        <v>2.63</v>
      </c>
    </row>
    <row r="109" spans="1:12" x14ac:dyDescent="0.2">
      <c r="A109" s="175">
        <v>38336</v>
      </c>
      <c r="B109" s="176">
        <v>1.93</v>
      </c>
      <c r="E109" s="172">
        <f t="shared" si="1"/>
        <v>2012</v>
      </c>
      <c r="F109" s="170">
        <v>41244</v>
      </c>
      <c r="G109" s="171">
        <v>0</v>
      </c>
      <c r="K109" s="170">
        <v>38905</v>
      </c>
      <c r="L109" s="171">
        <v>2.6</v>
      </c>
    </row>
    <row r="110" spans="1:12" x14ac:dyDescent="0.2">
      <c r="A110" s="175">
        <v>38337</v>
      </c>
      <c r="B110" s="176">
        <v>2</v>
      </c>
      <c r="E110" s="172">
        <f t="shared" si="1"/>
        <v>2013</v>
      </c>
      <c r="F110" s="170">
        <v>41275</v>
      </c>
      <c r="G110" s="171">
        <v>0.2</v>
      </c>
      <c r="K110" s="170">
        <v>38912</v>
      </c>
      <c r="L110" s="171">
        <v>2.54</v>
      </c>
    </row>
    <row r="111" spans="1:12" x14ac:dyDescent="0.2">
      <c r="A111" s="175">
        <v>38338</v>
      </c>
      <c r="B111" s="176">
        <v>2</v>
      </c>
      <c r="E111" s="172">
        <f t="shared" si="1"/>
        <v>2013</v>
      </c>
      <c r="F111" s="170">
        <v>41306</v>
      </c>
      <c r="G111" s="171">
        <v>0.19</v>
      </c>
      <c r="K111" s="170">
        <v>38919</v>
      </c>
      <c r="L111" s="171">
        <v>2.5099999999999998</v>
      </c>
    </row>
    <row r="112" spans="1:12" x14ac:dyDescent="0.2">
      <c r="A112" s="175">
        <v>38341</v>
      </c>
      <c r="B112" s="176">
        <v>1.97</v>
      </c>
      <c r="E112" s="172">
        <f t="shared" si="1"/>
        <v>2013</v>
      </c>
      <c r="F112" s="170">
        <v>41334</v>
      </c>
      <c r="G112" s="171">
        <v>0.19</v>
      </c>
      <c r="K112" s="170">
        <v>38926</v>
      </c>
      <c r="L112" s="171">
        <v>2.46</v>
      </c>
    </row>
    <row r="113" spans="1:12" x14ac:dyDescent="0.2">
      <c r="A113" s="175">
        <v>38342</v>
      </c>
      <c r="B113" s="176">
        <v>1.89</v>
      </c>
      <c r="E113" s="172">
        <f t="shared" si="1"/>
        <v>2013</v>
      </c>
      <c r="F113" s="170">
        <v>41365</v>
      </c>
      <c r="G113" s="171">
        <v>7.0000000000000007E-2</v>
      </c>
      <c r="K113" s="170">
        <v>38933</v>
      </c>
      <c r="L113" s="171">
        <v>2.39</v>
      </c>
    </row>
    <row r="114" spans="1:12" x14ac:dyDescent="0.2">
      <c r="A114" s="175">
        <v>38343</v>
      </c>
      <c r="B114" s="176">
        <v>1.94</v>
      </c>
      <c r="E114" s="172">
        <f t="shared" si="1"/>
        <v>2013</v>
      </c>
      <c r="F114" s="170">
        <v>41395</v>
      </c>
      <c r="G114" s="171">
        <v>0.35</v>
      </c>
      <c r="K114" s="170">
        <v>38940</v>
      </c>
      <c r="L114" s="171">
        <v>2.3199999999999998</v>
      </c>
    </row>
    <row r="115" spans="1:12" x14ac:dyDescent="0.2">
      <c r="A115" s="175">
        <v>38344</v>
      </c>
      <c r="B115" s="176">
        <v>1.95</v>
      </c>
      <c r="E115" s="172">
        <f t="shared" si="1"/>
        <v>2013</v>
      </c>
      <c r="F115" s="170">
        <v>41426</v>
      </c>
      <c r="G115" s="171">
        <v>0.98</v>
      </c>
      <c r="K115" s="170">
        <v>38947</v>
      </c>
      <c r="L115" s="171">
        <v>2.34</v>
      </c>
    </row>
    <row r="116" spans="1:12" x14ac:dyDescent="0.2">
      <c r="A116" s="175">
        <v>38345</v>
      </c>
      <c r="B116" s="176" t="e">
        <f>NA()</f>
        <v>#N/A</v>
      </c>
      <c r="E116" s="172">
        <f t="shared" si="1"/>
        <v>2013</v>
      </c>
      <c r="F116" s="170">
        <v>41456</v>
      </c>
      <c r="G116" s="171">
        <v>1.0900000000000001</v>
      </c>
      <c r="K116" s="170">
        <v>38954</v>
      </c>
      <c r="L116" s="171">
        <v>2.2599999999999998</v>
      </c>
    </row>
    <row r="117" spans="1:12" x14ac:dyDescent="0.2">
      <c r="A117" s="175">
        <v>38348</v>
      </c>
      <c r="B117" s="176">
        <v>1.98</v>
      </c>
      <c r="E117" s="172">
        <f t="shared" si="1"/>
        <v>2013</v>
      </c>
      <c r="F117" s="170">
        <v>41487</v>
      </c>
      <c r="G117" s="171">
        <v>1.1599999999999999</v>
      </c>
      <c r="K117" s="170">
        <v>38961</v>
      </c>
      <c r="L117" s="171">
        <v>2.2599999999999998</v>
      </c>
    </row>
    <row r="118" spans="1:12" x14ac:dyDescent="0.2">
      <c r="A118" s="175">
        <v>38349</v>
      </c>
      <c r="B118" s="176">
        <v>2</v>
      </c>
      <c r="E118" s="172">
        <f t="shared" si="1"/>
        <v>2013</v>
      </c>
      <c r="F118" s="170">
        <v>41518</v>
      </c>
      <c r="G118" s="171">
        <v>1.22</v>
      </c>
      <c r="K118" s="170">
        <v>38968</v>
      </c>
      <c r="L118" s="171">
        <v>2.33</v>
      </c>
    </row>
    <row r="119" spans="1:12" x14ac:dyDescent="0.2">
      <c r="A119" s="175">
        <v>38350</v>
      </c>
      <c r="B119" s="176">
        <v>2.0299999999999998</v>
      </c>
      <c r="E119" s="172">
        <f t="shared" si="1"/>
        <v>2013</v>
      </c>
      <c r="F119" s="170">
        <v>41548</v>
      </c>
      <c r="G119" s="171">
        <v>1.05</v>
      </c>
      <c r="K119" s="170">
        <v>38975</v>
      </c>
      <c r="L119" s="171">
        <v>2.34</v>
      </c>
    </row>
    <row r="120" spans="1:12" x14ac:dyDescent="0.2">
      <c r="A120" s="175">
        <v>38351</v>
      </c>
      <c r="B120" s="177">
        <v>2</v>
      </c>
      <c r="E120" s="172">
        <f t="shared" si="1"/>
        <v>2013</v>
      </c>
      <c r="F120" s="170">
        <v>41579</v>
      </c>
      <c r="G120" s="171">
        <v>1.2</v>
      </c>
      <c r="K120" s="170">
        <v>38982</v>
      </c>
      <c r="L120" s="171">
        <v>2.3199999999999998</v>
      </c>
    </row>
    <row r="121" spans="1:12" x14ac:dyDescent="0.2">
      <c r="A121" s="175">
        <v>38352</v>
      </c>
      <c r="B121" s="176">
        <v>1.96</v>
      </c>
      <c r="E121" s="172">
        <f t="shared" si="1"/>
        <v>2013</v>
      </c>
      <c r="F121" s="170">
        <v>41609</v>
      </c>
      <c r="G121" s="171">
        <v>1.32</v>
      </c>
      <c r="K121" s="170">
        <v>38989</v>
      </c>
      <c r="L121" s="171">
        <v>2.25</v>
      </c>
    </row>
    <row r="122" spans="1:12" x14ac:dyDescent="0.2">
      <c r="A122" s="175">
        <v>38355</v>
      </c>
      <c r="B122" s="176">
        <v>1.96</v>
      </c>
      <c r="E122" s="172">
        <f t="shared" si="1"/>
        <v>2014</v>
      </c>
      <c r="F122" s="170">
        <v>41640</v>
      </c>
      <c r="G122" s="171">
        <v>1.17</v>
      </c>
      <c r="K122" s="170">
        <v>38996</v>
      </c>
      <c r="L122" s="171">
        <v>2.27</v>
      </c>
    </row>
    <row r="123" spans="1:12" x14ac:dyDescent="0.2">
      <c r="A123" s="175">
        <v>38356</v>
      </c>
      <c r="B123" s="176">
        <v>2.02</v>
      </c>
      <c r="E123" s="172">
        <f t="shared" si="1"/>
        <v>2014</v>
      </c>
      <c r="F123" s="170">
        <v>41671</v>
      </c>
      <c r="G123" s="171">
        <v>1.1200000000000001</v>
      </c>
      <c r="K123" s="170">
        <v>39003</v>
      </c>
      <c r="L123" s="171">
        <v>2.41</v>
      </c>
    </row>
    <row r="124" spans="1:12" x14ac:dyDescent="0.2">
      <c r="A124" s="175">
        <v>38357</v>
      </c>
      <c r="B124" s="176">
        <v>2.04</v>
      </c>
      <c r="E124" s="172">
        <f t="shared" si="1"/>
        <v>2014</v>
      </c>
      <c r="F124" s="170">
        <v>41699</v>
      </c>
      <c r="G124" s="171">
        <v>1.05</v>
      </c>
      <c r="K124" s="170">
        <v>39010</v>
      </c>
      <c r="L124" s="171">
        <v>2.44</v>
      </c>
    </row>
    <row r="125" spans="1:12" x14ac:dyDescent="0.2">
      <c r="A125" s="175">
        <v>38358</v>
      </c>
      <c r="B125" s="176">
        <v>2.0299999999999998</v>
      </c>
      <c r="E125" s="172">
        <f t="shared" si="1"/>
        <v>2014</v>
      </c>
      <c r="F125" s="170">
        <v>41730</v>
      </c>
      <c r="G125" s="171">
        <v>0.98</v>
      </c>
      <c r="K125" s="170">
        <v>39017</v>
      </c>
      <c r="L125" s="171">
        <v>2.42</v>
      </c>
    </row>
    <row r="126" spans="1:12" x14ac:dyDescent="0.2">
      <c r="A126" s="175">
        <v>38359</v>
      </c>
      <c r="B126" s="176">
        <v>2.06</v>
      </c>
      <c r="E126" s="172">
        <f t="shared" si="1"/>
        <v>2014</v>
      </c>
      <c r="F126" s="170">
        <v>41760</v>
      </c>
      <c r="G126" s="171">
        <v>0.82</v>
      </c>
      <c r="K126" s="170">
        <v>39024</v>
      </c>
      <c r="L126" s="171">
        <v>2.2999999999999998</v>
      </c>
    </row>
    <row r="127" spans="1:12" x14ac:dyDescent="0.2">
      <c r="A127" s="175">
        <v>38362</v>
      </c>
      <c r="B127" s="176">
        <v>2.0499999999999998</v>
      </c>
      <c r="E127" s="172">
        <f t="shared" si="1"/>
        <v>2014</v>
      </c>
      <c r="F127" s="170">
        <v>41791</v>
      </c>
      <c r="G127" s="171">
        <v>0.84</v>
      </c>
      <c r="K127" s="170">
        <v>39031</v>
      </c>
      <c r="L127" s="171">
        <v>2.2400000000000002</v>
      </c>
    </row>
    <row r="128" spans="1:12" x14ac:dyDescent="0.2">
      <c r="A128" s="175">
        <v>38363</v>
      </c>
      <c r="B128" s="176">
        <v>2.0299999999999998</v>
      </c>
      <c r="E128" s="172">
        <f t="shared" si="1"/>
        <v>2014</v>
      </c>
      <c r="F128" s="170">
        <v>41821</v>
      </c>
      <c r="G128" s="171">
        <v>0.72</v>
      </c>
      <c r="K128" s="170">
        <v>39038</v>
      </c>
      <c r="L128" s="171">
        <v>2.23</v>
      </c>
    </row>
    <row r="129" spans="1:12" x14ac:dyDescent="0.2">
      <c r="A129" s="175">
        <v>38364</v>
      </c>
      <c r="B129" s="176">
        <v>2</v>
      </c>
      <c r="E129" s="172">
        <f t="shared" si="1"/>
        <v>2014</v>
      </c>
      <c r="F129" s="170">
        <v>41852</v>
      </c>
      <c r="G129" s="171">
        <v>0.64</v>
      </c>
      <c r="K129" s="170">
        <v>39045</v>
      </c>
      <c r="L129" s="171">
        <v>2.2400000000000002</v>
      </c>
    </row>
    <row r="130" spans="1:12" x14ac:dyDescent="0.2">
      <c r="A130" s="175">
        <v>38365</v>
      </c>
      <c r="B130" s="176">
        <v>1.97</v>
      </c>
      <c r="E130" s="172">
        <f t="shared" si="1"/>
        <v>2014</v>
      </c>
      <c r="F130" s="170">
        <v>41883</v>
      </c>
      <c r="G130" s="171">
        <v>0.81</v>
      </c>
      <c r="K130" s="170">
        <v>39052</v>
      </c>
      <c r="L130" s="171">
        <v>2.15</v>
      </c>
    </row>
    <row r="131" spans="1:12" x14ac:dyDescent="0.2">
      <c r="A131" s="175">
        <v>38366</v>
      </c>
      <c r="B131" s="176">
        <v>1.97</v>
      </c>
      <c r="E131" s="172">
        <f t="shared" si="1"/>
        <v>2014</v>
      </c>
      <c r="F131" s="170">
        <v>41913</v>
      </c>
      <c r="G131" s="171">
        <v>0.74</v>
      </c>
      <c r="K131" s="170">
        <v>39059</v>
      </c>
      <c r="L131" s="171">
        <v>2.15</v>
      </c>
    </row>
    <row r="132" spans="1:12" x14ac:dyDescent="0.2">
      <c r="A132" s="175">
        <v>38369</v>
      </c>
      <c r="B132" s="176" t="e">
        <f>NA()</f>
        <v>#N/A</v>
      </c>
      <c r="E132" s="172">
        <f t="shared" si="1"/>
        <v>2014</v>
      </c>
      <c r="F132" s="170">
        <v>41944</v>
      </c>
      <c r="G132" s="171">
        <v>0.77</v>
      </c>
      <c r="K132" s="170">
        <v>39066</v>
      </c>
      <c r="L132" s="171">
        <v>2.2200000000000002</v>
      </c>
    </row>
    <row r="133" spans="1:12" x14ac:dyDescent="0.2">
      <c r="A133" s="175">
        <v>38370</v>
      </c>
      <c r="B133" s="176">
        <v>1.93</v>
      </c>
      <c r="E133" s="172">
        <f t="shared" si="1"/>
        <v>2014</v>
      </c>
      <c r="F133" s="170">
        <v>41974</v>
      </c>
      <c r="G133" s="171">
        <v>0.73</v>
      </c>
      <c r="K133" s="170">
        <v>39073</v>
      </c>
      <c r="L133" s="171">
        <v>2.33</v>
      </c>
    </row>
    <row r="134" spans="1:12" x14ac:dyDescent="0.2">
      <c r="A134" s="175">
        <v>38371</v>
      </c>
      <c r="B134" s="176">
        <v>1.95</v>
      </c>
      <c r="E134" s="172">
        <f t="shared" si="1"/>
        <v>2015</v>
      </c>
      <c r="F134" s="170">
        <v>42005</v>
      </c>
      <c r="G134" s="171">
        <v>0.5</v>
      </c>
      <c r="K134" s="170">
        <v>39080</v>
      </c>
      <c r="L134" s="171">
        <v>2.38</v>
      </c>
    </row>
    <row r="135" spans="1:12" x14ac:dyDescent="0.2">
      <c r="A135" s="175">
        <v>38372</v>
      </c>
      <c r="B135" s="176">
        <v>1.94</v>
      </c>
      <c r="E135" s="172">
        <f t="shared" si="1"/>
        <v>2015</v>
      </c>
      <c r="F135" s="170">
        <v>42036</v>
      </c>
      <c r="G135" s="171">
        <v>0.52</v>
      </c>
      <c r="K135" s="170">
        <v>39087</v>
      </c>
      <c r="L135" s="171">
        <v>2.35</v>
      </c>
    </row>
    <row r="136" spans="1:12" x14ac:dyDescent="0.2">
      <c r="A136" s="175">
        <v>38373</v>
      </c>
      <c r="B136" s="177">
        <v>1.93</v>
      </c>
      <c r="E136" s="172">
        <f t="shared" si="1"/>
        <v>2015</v>
      </c>
      <c r="F136" s="170">
        <v>42064</v>
      </c>
      <c r="G136" s="171">
        <v>0.55000000000000004</v>
      </c>
      <c r="K136" s="170">
        <v>39094</v>
      </c>
      <c r="L136" s="171">
        <v>2.42</v>
      </c>
    </row>
    <row r="137" spans="1:12" x14ac:dyDescent="0.2">
      <c r="A137" s="175">
        <v>38376</v>
      </c>
      <c r="B137" s="176">
        <v>1.9</v>
      </c>
      <c r="E137" s="172">
        <f t="shared" ref="E137:E180" si="2">YEAR(F137)</f>
        <v>2015</v>
      </c>
      <c r="F137" s="170">
        <v>42095</v>
      </c>
      <c r="G137" s="171">
        <v>0.42</v>
      </c>
      <c r="K137" s="170">
        <v>39101</v>
      </c>
      <c r="L137" s="171">
        <v>2.4700000000000002</v>
      </c>
    </row>
    <row r="138" spans="1:12" x14ac:dyDescent="0.2">
      <c r="A138" s="175">
        <v>38377</v>
      </c>
      <c r="B138" s="176">
        <v>2</v>
      </c>
      <c r="E138" s="172">
        <f t="shared" si="2"/>
        <v>2015</v>
      </c>
      <c r="F138" s="170">
        <v>42125</v>
      </c>
      <c r="G138" s="171">
        <v>0.7</v>
      </c>
      <c r="K138" s="170">
        <v>39108</v>
      </c>
      <c r="L138" s="171">
        <v>2.4300000000000002</v>
      </c>
    </row>
    <row r="139" spans="1:12" x14ac:dyDescent="0.2">
      <c r="A139" s="175">
        <v>38378</v>
      </c>
      <c r="B139" s="176">
        <v>1.99</v>
      </c>
      <c r="E139" s="172">
        <f t="shared" si="2"/>
        <v>2015</v>
      </c>
      <c r="F139" s="170">
        <v>42156</v>
      </c>
      <c r="G139" s="171">
        <v>0.89</v>
      </c>
      <c r="K139" s="170">
        <v>39115</v>
      </c>
      <c r="L139" s="171">
        <v>2.44</v>
      </c>
    </row>
    <row r="140" spans="1:12" x14ac:dyDescent="0.2">
      <c r="A140" s="175">
        <v>38379</v>
      </c>
      <c r="B140" s="176">
        <v>1.99</v>
      </c>
      <c r="E140" s="172">
        <f t="shared" si="2"/>
        <v>2015</v>
      </c>
      <c r="F140" s="170">
        <v>42186</v>
      </c>
      <c r="G140" s="171">
        <v>0.87</v>
      </c>
      <c r="K140" s="170">
        <v>39122</v>
      </c>
      <c r="L140" s="171">
        <v>2.41</v>
      </c>
    </row>
    <row r="141" spans="1:12" x14ac:dyDescent="0.2">
      <c r="A141" s="175">
        <v>38380</v>
      </c>
      <c r="B141" s="176">
        <v>1.94</v>
      </c>
      <c r="E141" s="172">
        <f t="shared" si="2"/>
        <v>2015</v>
      </c>
      <c r="F141" s="170">
        <v>42217</v>
      </c>
      <c r="G141" s="171">
        <v>0.87</v>
      </c>
      <c r="K141" s="170">
        <v>39129</v>
      </c>
      <c r="L141" s="171">
        <v>2.42</v>
      </c>
    </row>
    <row r="142" spans="1:12" x14ac:dyDescent="0.2">
      <c r="A142" s="175">
        <v>38383</v>
      </c>
      <c r="B142" s="176">
        <v>1.92</v>
      </c>
      <c r="E142" s="172">
        <f t="shared" si="2"/>
        <v>2015</v>
      </c>
      <c r="F142" s="170">
        <v>42248</v>
      </c>
      <c r="G142" s="171">
        <v>1.01</v>
      </c>
      <c r="K142" s="170">
        <v>39136</v>
      </c>
      <c r="L142" s="171">
        <v>2.36</v>
      </c>
    </row>
    <row r="143" spans="1:12" x14ac:dyDescent="0.2">
      <c r="A143" s="175">
        <v>38384</v>
      </c>
      <c r="B143" s="176">
        <v>1.94</v>
      </c>
      <c r="E143" s="172">
        <f t="shared" si="2"/>
        <v>2015</v>
      </c>
      <c r="F143" s="170">
        <v>42278</v>
      </c>
      <c r="G143" s="171">
        <v>0.98</v>
      </c>
      <c r="K143" s="170">
        <v>39143</v>
      </c>
      <c r="L143" s="171">
        <v>2.23</v>
      </c>
    </row>
    <row r="144" spans="1:12" x14ac:dyDescent="0.2">
      <c r="A144" s="175">
        <v>38385</v>
      </c>
      <c r="B144" s="176">
        <v>1.96</v>
      </c>
      <c r="E144" s="172">
        <f t="shared" si="2"/>
        <v>2015</v>
      </c>
      <c r="F144" s="170">
        <v>42309</v>
      </c>
      <c r="G144" s="171">
        <v>1.03</v>
      </c>
      <c r="K144" s="170">
        <v>39150</v>
      </c>
      <c r="L144" s="171">
        <v>2.25</v>
      </c>
    </row>
    <row r="145" spans="1:12" x14ac:dyDescent="0.2">
      <c r="A145" s="175">
        <v>38386</v>
      </c>
      <c r="B145" s="176">
        <v>1.97</v>
      </c>
      <c r="E145" s="172">
        <f t="shared" si="2"/>
        <v>2015</v>
      </c>
      <c r="F145" s="170">
        <v>42339</v>
      </c>
      <c r="G145" s="171">
        <v>1.06</v>
      </c>
      <c r="K145" s="170">
        <v>39157</v>
      </c>
      <c r="L145" s="171">
        <v>2.27</v>
      </c>
    </row>
    <row r="146" spans="1:12" x14ac:dyDescent="0.2">
      <c r="A146" s="175">
        <v>38387</v>
      </c>
      <c r="B146" s="176">
        <v>1.88</v>
      </c>
      <c r="E146" s="172">
        <f t="shared" si="2"/>
        <v>2016</v>
      </c>
      <c r="F146" s="170">
        <v>42370</v>
      </c>
      <c r="G146" s="171">
        <v>1.05</v>
      </c>
      <c r="K146" s="170">
        <v>39164</v>
      </c>
      <c r="L146" s="171">
        <v>2.2799999999999998</v>
      </c>
    </row>
    <row r="147" spans="1:12" x14ac:dyDescent="0.2">
      <c r="A147" s="175">
        <v>38390</v>
      </c>
      <c r="B147" s="176">
        <v>1.84</v>
      </c>
      <c r="E147" s="172">
        <f t="shared" si="2"/>
        <v>2016</v>
      </c>
      <c r="F147" s="170">
        <v>42401</v>
      </c>
      <c r="G147" s="171">
        <v>0.85</v>
      </c>
      <c r="K147" s="170">
        <v>39171</v>
      </c>
      <c r="L147" s="171">
        <v>2.29</v>
      </c>
    </row>
    <row r="148" spans="1:12" x14ac:dyDescent="0.2">
      <c r="A148" s="175">
        <v>38391</v>
      </c>
      <c r="B148" s="176">
        <v>1.79</v>
      </c>
      <c r="E148" s="172">
        <f t="shared" si="2"/>
        <v>2016</v>
      </c>
      <c r="F148" s="170">
        <v>42430</v>
      </c>
      <c r="G148" s="171">
        <v>0.73</v>
      </c>
      <c r="K148" s="170">
        <v>39178</v>
      </c>
      <c r="L148" s="171">
        <v>2.34</v>
      </c>
    </row>
    <row r="149" spans="1:12" x14ac:dyDescent="0.2">
      <c r="A149" s="175">
        <v>38392</v>
      </c>
      <c r="B149" s="176">
        <v>1.73</v>
      </c>
      <c r="E149" s="172">
        <f t="shared" si="2"/>
        <v>2016</v>
      </c>
      <c r="F149" s="170">
        <v>42461</v>
      </c>
      <c r="G149" s="171">
        <v>0.6</v>
      </c>
      <c r="K149" s="170">
        <v>39185</v>
      </c>
      <c r="L149" s="171">
        <v>2.39</v>
      </c>
    </row>
    <row r="150" spans="1:12" x14ac:dyDescent="0.2">
      <c r="A150" s="175">
        <v>38393</v>
      </c>
      <c r="B150" s="176">
        <v>1.8</v>
      </c>
      <c r="E150" s="172">
        <f t="shared" si="2"/>
        <v>2016</v>
      </c>
      <c r="F150" s="170">
        <v>42491</v>
      </c>
      <c r="G150" s="171">
        <v>0.64</v>
      </c>
      <c r="K150" s="170">
        <v>39192</v>
      </c>
      <c r="L150" s="171">
        <v>2.36</v>
      </c>
    </row>
    <row r="151" spans="1:12" x14ac:dyDescent="0.2">
      <c r="A151" s="175">
        <v>38394</v>
      </c>
      <c r="B151" s="176">
        <v>1.78</v>
      </c>
      <c r="E151" s="172">
        <f t="shared" si="2"/>
        <v>2016</v>
      </c>
      <c r="F151" s="170">
        <v>42522</v>
      </c>
      <c r="G151" s="171">
        <v>0.63</v>
      </c>
      <c r="K151" s="170">
        <v>39199</v>
      </c>
      <c r="L151" s="171">
        <v>2.35</v>
      </c>
    </row>
    <row r="152" spans="1:12" x14ac:dyDescent="0.2">
      <c r="A152" s="175">
        <v>38397</v>
      </c>
      <c r="B152" s="176">
        <v>1.73</v>
      </c>
      <c r="E152" s="172">
        <f t="shared" si="2"/>
        <v>2016</v>
      </c>
      <c r="F152" s="170">
        <v>42552</v>
      </c>
      <c r="G152" s="171">
        <v>0.42</v>
      </c>
      <c r="K152" s="170">
        <v>39206</v>
      </c>
      <c r="L152" s="171">
        <v>2.33</v>
      </c>
    </row>
    <row r="153" spans="1:12" x14ac:dyDescent="0.2">
      <c r="A153" s="175">
        <v>38398</v>
      </c>
      <c r="B153" s="176">
        <v>1.78</v>
      </c>
      <c r="E153" s="172">
        <f t="shared" si="2"/>
        <v>2016</v>
      </c>
      <c r="F153" s="170">
        <v>42583</v>
      </c>
      <c r="G153" s="171">
        <v>0.43</v>
      </c>
      <c r="K153" s="170">
        <v>39213</v>
      </c>
      <c r="L153" s="171">
        <v>2.38</v>
      </c>
    </row>
    <row r="154" spans="1:12" x14ac:dyDescent="0.2">
      <c r="A154" s="175">
        <v>38399</v>
      </c>
      <c r="B154" s="176">
        <v>1.81</v>
      </c>
      <c r="E154" s="172">
        <f t="shared" si="2"/>
        <v>2016</v>
      </c>
      <c r="F154" s="170">
        <v>42614</v>
      </c>
      <c r="G154" s="171">
        <v>0.47</v>
      </c>
      <c r="K154" s="170">
        <v>39220</v>
      </c>
      <c r="L154" s="171">
        <v>2.4700000000000002</v>
      </c>
    </row>
    <row r="155" spans="1:12" x14ac:dyDescent="0.2">
      <c r="A155" s="175">
        <v>38400</v>
      </c>
      <c r="B155" s="176">
        <v>1.83</v>
      </c>
      <c r="E155" s="172">
        <f t="shared" si="2"/>
        <v>2016</v>
      </c>
      <c r="F155" s="170">
        <v>42644</v>
      </c>
      <c r="G155" s="171">
        <v>0.49</v>
      </c>
      <c r="K155" s="170">
        <v>39227</v>
      </c>
      <c r="L155" s="171">
        <v>2.52</v>
      </c>
    </row>
    <row r="156" spans="1:12" x14ac:dyDescent="0.2">
      <c r="A156" s="175">
        <v>38401</v>
      </c>
      <c r="B156" s="176">
        <v>1.86</v>
      </c>
      <c r="E156" s="172">
        <f t="shared" si="2"/>
        <v>2016</v>
      </c>
      <c r="F156" s="170">
        <v>42675</v>
      </c>
      <c r="G156" s="171">
        <v>0.69</v>
      </c>
      <c r="K156" s="170">
        <v>39234</v>
      </c>
      <c r="L156" s="171">
        <v>2.5499999999999998</v>
      </c>
    </row>
    <row r="157" spans="1:12" x14ac:dyDescent="0.2">
      <c r="A157" s="175">
        <v>38404</v>
      </c>
      <c r="B157" s="176" t="e">
        <f>NA()</f>
        <v>#N/A</v>
      </c>
      <c r="E157" s="172">
        <f t="shared" si="2"/>
        <v>2016</v>
      </c>
      <c r="F157" s="170">
        <v>42705</v>
      </c>
      <c r="G157" s="171">
        <v>0.89</v>
      </c>
      <c r="K157" s="170">
        <v>39241</v>
      </c>
      <c r="L157" s="171">
        <v>2.61</v>
      </c>
    </row>
    <row r="158" spans="1:12" x14ac:dyDescent="0.2">
      <c r="A158" s="175">
        <v>38405</v>
      </c>
      <c r="B158" s="176">
        <v>1.9</v>
      </c>
      <c r="E158" s="172">
        <f t="shared" si="2"/>
        <v>2017</v>
      </c>
      <c r="F158" s="170">
        <v>42736</v>
      </c>
      <c r="G158" s="171">
        <v>0.74</v>
      </c>
      <c r="K158" s="170">
        <v>39248</v>
      </c>
      <c r="L158" s="171">
        <v>2.73</v>
      </c>
    </row>
    <row r="159" spans="1:12" x14ac:dyDescent="0.2">
      <c r="A159" s="175">
        <v>38406</v>
      </c>
      <c r="B159" s="176">
        <v>1.88</v>
      </c>
      <c r="E159" s="172">
        <f t="shared" si="2"/>
        <v>2017</v>
      </c>
      <c r="F159" s="170">
        <v>42767</v>
      </c>
      <c r="G159" s="171">
        <v>0.73</v>
      </c>
      <c r="K159" s="170">
        <v>39255</v>
      </c>
      <c r="L159" s="171">
        <v>2.7</v>
      </c>
    </row>
    <row r="160" spans="1:12" x14ac:dyDescent="0.2">
      <c r="A160" s="175">
        <v>38407</v>
      </c>
      <c r="B160" s="176">
        <v>1.9</v>
      </c>
      <c r="E160" s="172">
        <f t="shared" si="2"/>
        <v>2017</v>
      </c>
      <c r="F160" s="170">
        <v>42795</v>
      </c>
      <c r="G160" s="171">
        <v>0.79</v>
      </c>
      <c r="K160" s="170">
        <v>39262</v>
      </c>
      <c r="L160" s="171">
        <v>2.67</v>
      </c>
    </row>
    <row r="161" spans="1:12" x14ac:dyDescent="0.2">
      <c r="A161" s="175">
        <v>38408</v>
      </c>
      <c r="B161" s="177">
        <v>1.9</v>
      </c>
      <c r="E161" s="172">
        <f t="shared" si="2"/>
        <v>2017</v>
      </c>
      <c r="F161" s="170">
        <v>42826</v>
      </c>
      <c r="G161" s="171">
        <v>0.72</v>
      </c>
      <c r="K161" s="170">
        <v>39269</v>
      </c>
      <c r="L161" s="171">
        <v>2.69</v>
      </c>
    </row>
    <row r="162" spans="1:12" x14ac:dyDescent="0.2">
      <c r="A162" s="175">
        <v>38411</v>
      </c>
      <c r="B162" s="176">
        <v>1.96</v>
      </c>
      <c r="E162" s="172">
        <f t="shared" si="2"/>
        <v>2017</v>
      </c>
      <c r="F162" s="170">
        <v>42856</v>
      </c>
      <c r="G162" s="171">
        <v>0.8</v>
      </c>
      <c r="K162" s="170">
        <v>39276</v>
      </c>
      <c r="L162" s="171">
        <v>2.68</v>
      </c>
    </row>
    <row r="163" spans="1:12" x14ac:dyDescent="0.2">
      <c r="A163" s="175">
        <v>38412</v>
      </c>
      <c r="B163" s="176">
        <v>1.95</v>
      </c>
      <c r="E163" s="172">
        <f t="shared" si="2"/>
        <v>2017</v>
      </c>
      <c r="F163" s="170">
        <v>42887</v>
      </c>
      <c r="G163" s="171">
        <v>0.75</v>
      </c>
      <c r="K163" s="170">
        <v>39283</v>
      </c>
      <c r="L163" s="171">
        <v>2.64</v>
      </c>
    </row>
    <row r="164" spans="1:12" x14ac:dyDescent="0.2">
      <c r="A164" s="175">
        <v>38413</v>
      </c>
      <c r="B164" s="176">
        <v>1.95</v>
      </c>
      <c r="E164" s="172">
        <f t="shared" si="2"/>
        <v>2017</v>
      </c>
      <c r="F164" s="170">
        <v>42917</v>
      </c>
      <c r="G164" s="171">
        <v>0.84</v>
      </c>
      <c r="K164" s="170">
        <v>39290</v>
      </c>
      <c r="L164" s="171">
        <v>2.54</v>
      </c>
    </row>
    <row r="165" spans="1:12" x14ac:dyDescent="0.2">
      <c r="A165" s="175">
        <v>38414</v>
      </c>
      <c r="B165" s="176">
        <v>1.93</v>
      </c>
      <c r="E165" s="172">
        <f t="shared" si="2"/>
        <v>2017</v>
      </c>
      <c r="F165" s="170">
        <v>42948</v>
      </c>
      <c r="G165" s="171">
        <v>0.74</v>
      </c>
      <c r="K165" s="170">
        <v>39297</v>
      </c>
      <c r="L165" s="171">
        <v>2.4500000000000002</v>
      </c>
    </row>
    <row r="166" spans="1:12" x14ac:dyDescent="0.2">
      <c r="A166" s="175">
        <v>38415</v>
      </c>
      <c r="B166" s="176">
        <v>1.86</v>
      </c>
      <c r="E166" s="172">
        <f t="shared" si="2"/>
        <v>2017</v>
      </c>
      <c r="F166" s="170">
        <v>42979</v>
      </c>
      <c r="G166" s="171">
        <v>0.67</v>
      </c>
      <c r="K166" s="170">
        <v>39304</v>
      </c>
      <c r="L166" s="171">
        <v>2.52</v>
      </c>
    </row>
    <row r="167" spans="1:12" x14ac:dyDescent="0.2">
      <c r="A167" s="175">
        <v>38418</v>
      </c>
      <c r="B167" s="176">
        <v>1.81</v>
      </c>
      <c r="E167" s="172">
        <f t="shared" si="2"/>
        <v>2017</v>
      </c>
      <c r="F167" s="170">
        <v>43009</v>
      </c>
      <c r="G167" s="171">
        <v>0.77</v>
      </c>
      <c r="K167" s="170">
        <v>39311</v>
      </c>
      <c r="L167" s="171">
        <v>2.52</v>
      </c>
    </row>
    <row r="168" spans="1:12" x14ac:dyDescent="0.2">
      <c r="A168" s="175">
        <v>38419</v>
      </c>
      <c r="B168" s="176">
        <v>1.84</v>
      </c>
      <c r="E168" s="172">
        <f t="shared" si="2"/>
        <v>2017</v>
      </c>
      <c r="F168" s="170">
        <v>43040</v>
      </c>
      <c r="G168" s="171">
        <v>0.72</v>
      </c>
      <c r="K168" s="170">
        <v>39318</v>
      </c>
      <c r="L168" s="171">
        <v>2.46</v>
      </c>
    </row>
    <row r="169" spans="1:12" x14ac:dyDescent="0.2">
      <c r="A169" s="175">
        <v>38420</v>
      </c>
      <c r="B169" s="176">
        <v>1.93</v>
      </c>
      <c r="E169" s="172">
        <f t="shared" si="2"/>
        <v>2017</v>
      </c>
      <c r="F169" s="170">
        <v>43070</v>
      </c>
      <c r="G169" s="171">
        <v>0.68</v>
      </c>
      <c r="K169" s="170">
        <v>39325</v>
      </c>
      <c r="L169" s="171">
        <v>2.42</v>
      </c>
    </row>
    <row r="170" spans="1:12" x14ac:dyDescent="0.2">
      <c r="A170" s="175">
        <v>38421</v>
      </c>
      <c r="B170" s="176">
        <v>1.93</v>
      </c>
      <c r="E170" s="172">
        <f t="shared" si="2"/>
        <v>2018</v>
      </c>
      <c r="F170" s="170">
        <v>43101</v>
      </c>
      <c r="G170" s="171">
        <v>0.69</v>
      </c>
      <c r="K170" s="170">
        <v>39332</v>
      </c>
      <c r="L170" s="171">
        <v>2.36</v>
      </c>
    </row>
    <row r="171" spans="1:12" x14ac:dyDescent="0.2">
      <c r="A171" s="175">
        <v>38422</v>
      </c>
      <c r="B171" s="176">
        <v>1.99</v>
      </c>
      <c r="E171" s="172">
        <f t="shared" si="2"/>
        <v>2018</v>
      </c>
      <c r="F171" s="170">
        <v>43132</v>
      </c>
      <c r="G171" s="171">
        <v>0.89</v>
      </c>
      <c r="K171" s="170">
        <v>39339</v>
      </c>
      <c r="L171" s="171">
        <v>2.23</v>
      </c>
    </row>
    <row r="172" spans="1:12" x14ac:dyDescent="0.2">
      <c r="A172" s="175">
        <v>38425</v>
      </c>
      <c r="B172" s="176">
        <v>1.98</v>
      </c>
      <c r="E172" s="172">
        <f t="shared" si="2"/>
        <v>2018</v>
      </c>
      <c r="F172" s="170">
        <v>43160</v>
      </c>
      <c r="G172" s="171">
        <v>0.89</v>
      </c>
      <c r="K172" s="170">
        <v>39346</v>
      </c>
      <c r="L172" s="171">
        <v>2.2799999999999998</v>
      </c>
    </row>
    <row r="173" spans="1:12" x14ac:dyDescent="0.2">
      <c r="A173" s="175">
        <v>38426</v>
      </c>
      <c r="B173" s="176">
        <v>1.99</v>
      </c>
      <c r="E173" s="172">
        <f t="shared" si="2"/>
        <v>2018</v>
      </c>
      <c r="F173" s="170">
        <v>43191</v>
      </c>
      <c r="G173" s="171">
        <v>0.85</v>
      </c>
      <c r="K173" s="170">
        <v>39353</v>
      </c>
      <c r="L173" s="171">
        <v>2.34</v>
      </c>
    </row>
    <row r="174" spans="1:12" x14ac:dyDescent="0.2">
      <c r="A174" s="175">
        <v>38427</v>
      </c>
      <c r="B174" s="176">
        <v>1.96</v>
      </c>
      <c r="E174" s="172">
        <f t="shared" si="2"/>
        <v>2018</v>
      </c>
      <c r="F174" s="170">
        <v>43221</v>
      </c>
      <c r="G174" s="171">
        <v>0.92</v>
      </c>
      <c r="K174" s="170">
        <v>39360</v>
      </c>
      <c r="L174" s="171">
        <v>2.2799999999999998</v>
      </c>
    </row>
    <row r="175" spans="1:12" x14ac:dyDescent="0.2">
      <c r="A175" s="175">
        <v>38428</v>
      </c>
      <c r="B175" s="176">
        <v>1.9</v>
      </c>
      <c r="E175" s="172">
        <f t="shared" si="2"/>
        <v>2018</v>
      </c>
      <c r="F175" s="170">
        <v>43252</v>
      </c>
      <c r="G175" s="171">
        <v>0.87</v>
      </c>
      <c r="K175" s="170">
        <v>39367</v>
      </c>
      <c r="L175" s="171">
        <v>2.37</v>
      </c>
    </row>
    <row r="176" spans="1:12" x14ac:dyDescent="0.2">
      <c r="A176" s="175">
        <v>38429</v>
      </c>
      <c r="B176" s="176">
        <v>1.94</v>
      </c>
      <c r="E176" s="172">
        <f t="shared" si="2"/>
        <v>2018</v>
      </c>
      <c r="F176" s="170">
        <v>43282</v>
      </c>
      <c r="G176" s="171">
        <v>0.84</v>
      </c>
      <c r="K176" s="170">
        <v>39374</v>
      </c>
      <c r="L176" s="171">
        <v>2.31</v>
      </c>
    </row>
    <row r="177" spans="1:12" x14ac:dyDescent="0.2">
      <c r="A177" s="175">
        <v>38432</v>
      </c>
      <c r="B177" s="176">
        <v>1.95</v>
      </c>
      <c r="E177" s="172">
        <f t="shared" si="2"/>
        <v>2018</v>
      </c>
      <c r="F177" s="170">
        <v>43313</v>
      </c>
      <c r="G177" s="171">
        <v>0.86</v>
      </c>
      <c r="K177" s="170">
        <v>39381</v>
      </c>
      <c r="L177" s="171">
        <v>2.17</v>
      </c>
    </row>
    <row r="178" spans="1:12" x14ac:dyDescent="0.2">
      <c r="A178" s="175">
        <v>38433</v>
      </c>
      <c r="B178" s="176">
        <v>2.02</v>
      </c>
      <c r="E178" s="172">
        <f t="shared" si="2"/>
        <v>2018</v>
      </c>
      <c r="F178" s="170">
        <v>43344</v>
      </c>
      <c r="G178" s="171">
        <v>0.95</v>
      </c>
      <c r="K178" s="170">
        <v>39388</v>
      </c>
      <c r="L178" s="171">
        <v>2.14</v>
      </c>
    </row>
    <row r="179" spans="1:12" x14ac:dyDescent="0.2">
      <c r="A179" s="175">
        <v>38434</v>
      </c>
      <c r="B179" s="176">
        <v>2.04</v>
      </c>
      <c r="E179" s="172">
        <f t="shared" si="2"/>
        <v>2018</v>
      </c>
      <c r="F179" s="170">
        <v>43374</v>
      </c>
      <c r="G179" s="171">
        <v>1.1399999999999999</v>
      </c>
      <c r="K179" s="170">
        <v>39395</v>
      </c>
      <c r="L179" s="171">
        <v>2.0699999999999998</v>
      </c>
    </row>
    <row r="180" spans="1:12" x14ac:dyDescent="0.2">
      <c r="A180" s="175">
        <v>38435</v>
      </c>
      <c r="B180" s="176">
        <v>2.0299999999999998</v>
      </c>
      <c r="E180" s="172">
        <f t="shared" si="2"/>
        <v>2018</v>
      </c>
      <c r="F180" s="170">
        <v>43405</v>
      </c>
      <c r="G180" s="171">
        <v>1.21</v>
      </c>
      <c r="K180" s="170">
        <v>39402</v>
      </c>
      <c r="L180" s="171">
        <v>2.0499999999999998</v>
      </c>
    </row>
    <row r="181" spans="1:12" x14ac:dyDescent="0.2">
      <c r="A181" s="175">
        <v>38436</v>
      </c>
      <c r="B181" s="176" t="e">
        <f>NA()</f>
        <v>#N/A</v>
      </c>
      <c r="K181" s="170">
        <v>39409</v>
      </c>
      <c r="L181" s="171">
        <v>1.95</v>
      </c>
    </row>
    <row r="182" spans="1:12" x14ac:dyDescent="0.2">
      <c r="A182" s="175">
        <v>38439</v>
      </c>
      <c r="B182" s="176">
        <v>2.0499999999999998</v>
      </c>
      <c r="K182" s="170">
        <v>39416</v>
      </c>
      <c r="L182" s="171">
        <v>1.87</v>
      </c>
    </row>
    <row r="183" spans="1:12" x14ac:dyDescent="0.2">
      <c r="A183" s="175">
        <v>38440</v>
      </c>
      <c r="B183" s="176">
        <v>2.0299999999999998</v>
      </c>
      <c r="K183" s="170">
        <v>39423</v>
      </c>
      <c r="L183" s="171">
        <v>2.0099999999999998</v>
      </c>
    </row>
    <row r="184" spans="1:12" x14ac:dyDescent="0.2">
      <c r="A184" s="175">
        <v>38441</v>
      </c>
      <c r="B184" s="176">
        <v>1.98</v>
      </c>
      <c r="K184" s="170">
        <v>39430</v>
      </c>
      <c r="L184" s="171">
        <v>2.13</v>
      </c>
    </row>
    <row r="185" spans="1:12" x14ac:dyDescent="0.2">
      <c r="A185" s="175">
        <v>38442</v>
      </c>
      <c r="B185" s="177">
        <v>1.91</v>
      </c>
      <c r="K185" s="170">
        <v>39437</v>
      </c>
      <c r="L185" s="171">
        <v>2.06</v>
      </c>
    </row>
    <row r="186" spans="1:12" x14ac:dyDescent="0.2">
      <c r="A186" s="175">
        <v>38443</v>
      </c>
      <c r="B186" s="176">
        <v>1.88</v>
      </c>
      <c r="K186" s="170">
        <v>39444</v>
      </c>
      <c r="L186" s="171">
        <v>2.13</v>
      </c>
    </row>
    <row r="187" spans="1:12" x14ac:dyDescent="0.2">
      <c r="A187" s="175">
        <v>38446</v>
      </c>
      <c r="B187" s="176">
        <v>1.9</v>
      </c>
      <c r="K187" s="170">
        <v>39451</v>
      </c>
      <c r="L187" s="171">
        <v>1.91</v>
      </c>
    </row>
    <row r="188" spans="1:12" x14ac:dyDescent="0.2">
      <c r="A188" s="175">
        <v>38447</v>
      </c>
      <c r="B188" s="176">
        <v>1.93</v>
      </c>
      <c r="K188" s="170">
        <v>39458</v>
      </c>
      <c r="L188" s="171">
        <v>1.89</v>
      </c>
    </row>
    <row r="189" spans="1:12" x14ac:dyDescent="0.2">
      <c r="A189" s="175">
        <v>38448</v>
      </c>
      <c r="B189" s="176">
        <v>1.93</v>
      </c>
      <c r="K189" s="170">
        <v>39465</v>
      </c>
      <c r="L189" s="171">
        <v>1.8</v>
      </c>
    </row>
    <row r="190" spans="1:12" x14ac:dyDescent="0.2">
      <c r="A190" s="175">
        <v>38449</v>
      </c>
      <c r="B190" s="176">
        <v>1.99</v>
      </c>
      <c r="K190" s="170">
        <v>39472</v>
      </c>
      <c r="L190" s="171">
        <v>1.73</v>
      </c>
    </row>
    <row r="191" spans="1:12" x14ac:dyDescent="0.2">
      <c r="A191" s="175">
        <v>38450</v>
      </c>
      <c r="B191" s="176">
        <v>1.97</v>
      </c>
      <c r="K191" s="170">
        <v>39479</v>
      </c>
      <c r="L191" s="171">
        <v>1.74</v>
      </c>
    </row>
    <row r="192" spans="1:12" x14ac:dyDescent="0.2">
      <c r="A192" s="175">
        <v>38453</v>
      </c>
      <c r="B192" s="176">
        <v>1.94</v>
      </c>
      <c r="K192" s="170">
        <v>39486</v>
      </c>
      <c r="L192" s="171">
        <v>1.77</v>
      </c>
    </row>
    <row r="193" spans="1:12" x14ac:dyDescent="0.2">
      <c r="A193" s="175">
        <v>38454</v>
      </c>
      <c r="B193" s="176">
        <v>1.89</v>
      </c>
      <c r="K193" s="170">
        <v>39493</v>
      </c>
      <c r="L193" s="171">
        <v>1.89</v>
      </c>
    </row>
    <row r="194" spans="1:12" x14ac:dyDescent="0.2">
      <c r="A194" s="175">
        <v>38455</v>
      </c>
      <c r="B194" s="176">
        <v>1.9</v>
      </c>
      <c r="K194" s="170">
        <v>39500</v>
      </c>
      <c r="L194" s="171">
        <v>1.97</v>
      </c>
    </row>
    <row r="195" spans="1:12" x14ac:dyDescent="0.2">
      <c r="A195" s="175">
        <v>38456</v>
      </c>
      <c r="B195" s="176">
        <v>1.9</v>
      </c>
      <c r="K195" s="170">
        <v>39507</v>
      </c>
      <c r="L195" s="171">
        <v>1.9</v>
      </c>
    </row>
    <row r="196" spans="1:12" x14ac:dyDescent="0.2">
      <c r="A196" s="175">
        <v>38457</v>
      </c>
      <c r="B196" s="176">
        <v>1.85</v>
      </c>
      <c r="K196" s="170">
        <v>39514</v>
      </c>
      <c r="L196" s="171">
        <v>1.74</v>
      </c>
    </row>
    <row r="197" spans="1:12" x14ac:dyDescent="0.2">
      <c r="A197" s="175">
        <v>38460</v>
      </c>
      <c r="B197" s="176">
        <v>1.83</v>
      </c>
      <c r="K197" s="170">
        <v>39521</v>
      </c>
      <c r="L197" s="171">
        <v>1.64</v>
      </c>
    </row>
    <row r="198" spans="1:12" x14ac:dyDescent="0.2">
      <c r="A198" s="175">
        <v>38461</v>
      </c>
      <c r="B198" s="176">
        <v>1.78</v>
      </c>
      <c r="K198" s="170">
        <v>39528</v>
      </c>
      <c r="L198" s="171">
        <v>1.76</v>
      </c>
    </row>
    <row r="199" spans="1:12" x14ac:dyDescent="0.2">
      <c r="A199" s="175">
        <v>38462</v>
      </c>
      <c r="B199" s="176">
        <v>1.79</v>
      </c>
      <c r="K199" s="170">
        <v>39535</v>
      </c>
      <c r="L199" s="171">
        <v>1.9</v>
      </c>
    </row>
    <row r="200" spans="1:12" x14ac:dyDescent="0.2">
      <c r="A200" s="175">
        <v>38463</v>
      </c>
      <c r="B200" s="176">
        <v>1.84</v>
      </c>
      <c r="K200" s="170">
        <v>39542</v>
      </c>
      <c r="L200" s="171">
        <v>1.85</v>
      </c>
    </row>
    <row r="201" spans="1:12" x14ac:dyDescent="0.2">
      <c r="A201" s="175">
        <v>38464</v>
      </c>
      <c r="B201" s="176">
        <v>1.8</v>
      </c>
      <c r="K201" s="170">
        <v>39549</v>
      </c>
      <c r="L201" s="171">
        <v>1.79</v>
      </c>
    </row>
    <row r="202" spans="1:12" x14ac:dyDescent="0.2">
      <c r="A202" s="175">
        <v>38467</v>
      </c>
      <c r="B202" s="176">
        <v>1.83</v>
      </c>
      <c r="K202" s="170">
        <v>39556</v>
      </c>
      <c r="L202" s="171">
        <v>1.89</v>
      </c>
    </row>
    <row r="203" spans="1:12" x14ac:dyDescent="0.2">
      <c r="A203" s="175">
        <v>38468</v>
      </c>
      <c r="B203" s="176">
        <v>1.86</v>
      </c>
      <c r="K203" s="170">
        <v>39563</v>
      </c>
      <c r="L203" s="171">
        <v>1.99</v>
      </c>
    </row>
    <row r="204" spans="1:12" x14ac:dyDescent="0.2">
      <c r="A204" s="175">
        <v>38469</v>
      </c>
      <c r="B204" s="176">
        <v>1.87</v>
      </c>
      <c r="K204" s="170">
        <v>39570</v>
      </c>
      <c r="L204" s="171">
        <v>2.0299999999999998</v>
      </c>
    </row>
    <row r="205" spans="1:12" x14ac:dyDescent="0.2">
      <c r="A205" s="175">
        <v>38470</v>
      </c>
      <c r="B205" s="176">
        <v>1.8</v>
      </c>
      <c r="K205" s="170">
        <v>39577</v>
      </c>
      <c r="L205" s="171">
        <v>2.02</v>
      </c>
    </row>
    <row r="206" spans="1:12" x14ac:dyDescent="0.2">
      <c r="A206" s="175">
        <v>38471</v>
      </c>
      <c r="B206" s="176">
        <v>1.82</v>
      </c>
      <c r="K206" s="170">
        <v>39584</v>
      </c>
      <c r="L206" s="171">
        <v>1.99</v>
      </c>
    </row>
    <row r="207" spans="1:12" x14ac:dyDescent="0.2">
      <c r="A207" s="175">
        <v>38474</v>
      </c>
      <c r="B207" s="176">
        <v>1.82</v>
      </c>
      <c r="K207" s="170">
        <v>39591</v>
      </c>
      <c r="L207" s="171">
        <v>1.9</v>
      </c>
    </row>
    <row r="208" spans="1:12" x14ac:dyDescent="0.2">
      <c r="A208" s="175">
        <v>38475</v>
      </c>
      <c r="B208" s="176">
        <v>1.84</v>
      </c>
      <c r="K208" s="170">
        <v>39598</v>
      </c>
      <c r="L208" s="171">
        <v>2.1</v>
      </c>
    </row>
    <row r="209" spans="1:12" x14ac:dyDescent="0.2">
      <c r="A209" s="175">
        <v>38476</v>
      </c>
      <c r="B209" s="176">
        <v>1.86</v>
      </c>
      <c r="K209" s="170">
        <v>39605</v>
      </c>
      <c r="L209" s="171">
        <v>2.17</v>
      </c>
    </row>
    <row r="210" spans="1:12" x14ac:dyDescent="0.2">
      <c r="A210" s="175">
        <v>38477</v>
      </c>
      <c r="B210" s="176">
        <v>1.86</v>
      </c>
      <c r="K210" s="170">
        <v>39612</v>
      </c>
      <c r="L210" s="171">
        <v>2.2400000000000002</v>
      </c>
    </row>
    <row r="211" spans="1:12" x14ac:dyDescent="0.2">
      <c r="A211" s="175">
        <v>38478</v>
      </c>
      <c r="B211" s="176">
        <v>1.89</v>
      </c>
      <c r="K211" s="170">
        <v>39619</v>
      </c>
      <c r="L211" s="171">
        <v>2.2400000000000002</v>
      </c>
    </row>
    <row r="212" spans="1:12" x14ac:dyDescent="0.2">
      <c r="A212" s="175">
        <v>38481</v>
      </c>
      <c r="B212" s="176">
        <v>1.88</v>
      </c>
      <c r="K212" s="170">
        <v>39626</v>
      </c>
      <c r="L212" s="171">
        <v>2.15</v>
      </c>
    </row>
    <row r="213" spans="1:12" x14ac:dyDescent="0.2">
      <c r="A213" s="175">
        <v>38482</v>
      </c>
      <c r="B213" s="176">
        <v>1.85</v>
      </c>
      <c r="K213" s="170">
        <v>39633</v>
      </c>
      <c r="L213" s="171">
        <v>2.02</v>
      </c>
    </row>
    <row r="214" spans="1:12" x14ac:dyDescent="0.2">
      <c r="A214" s="175">
        <v>38483</v>
      </c>
      <c r="B214" s="176">
        <v>1.82</v>
      </c>
      <c r="K214" s="170">
        <v>39640</v>
      </c>
      <c r="L214" s="171">
        <v>1.97</v>
      </c>
    </row>
    <row r="215" spans="1:12" x14ac:dyDescent="0.2">
      <c r="A215" s="175">
        <v>38484</v>
      </c>
      <c r="B215" s="176">
        <v>1.83</v>
      </c>
      <c r="K215" s="170">
        <v>39647</v>
      </c>
      <c r="L215" s="171">
        <v>2.06</v>
      </c>
    </row>
    <row r="216" spans="1:12" x14ac:dyDescent="0.2">
      <c r="A216" s="175">
        <v>38485</v>
      </c>
      <c r="B216" s="176">
        <v>1.83</v>
      </c>
      <c r="K216" s="170">
        <v>39654</v>
      </c>
      <c r="L216" s="171">
        <v>2.2200000000000002</v>
      </c>
    </row>
    <row r="217" spans="1:12" x14ac:dyDescent="0.2">
      <c r="A217" s="175">
        <v>38488</v>
      </c>
      <c r="B217" s="176">
        <v>1.83</v>
      </c>
      <c r="K217" s="170">
        <v>39661</v>
      </c>
      <c r="L217" s="171">
        <v>2.1800000000000002</v>
      </c>
    </row>
    <row r="218" spans="1:12" x14ac:dyDescent="0.2">
      <c r="A218" s="175">
        <v>38489</v>
      </c>
      <c r="B218" s="176">
        <v>1.8</v>
      </c>
      <c r="K218" s="170">
        <v>39668</v>
      </c>
      <c r="L218" s="171">
        <v>2.17</v>
      </c>
    </row>
    <row r="219" spans="1:12" x14ac:dyDescent="0.2">
      <c r="A219" s="175">
        <v>38490</v>
      </c>
      <c r="B219" s="176">
        <v>1.8</v>
      </c>
      <c r="K219" s="170">
        <v>39675</v>
      </c>
      <c r="L219" s="171">
        <v>2.19</v>
      </c>
    </row>
    <row r="220" spans="1:12" x14ac:dyDescent="0.2">
      <c r="A220" s="175">
        <v>38491</v>
      </c>
      <c r="B220" s="176">
        <v>1.83</v>
      </c>
      <c r="K220" s="170">
        <v>39682</v>
      </c>
      <c r="L220" s="171">
        <v>2.12</v>
      </c>
    </row>
    <row r="221" spans="1:12" x14ac:dyDescent="0.2">
      <c r="A221" s="175">
        <v>38492</v>
      </c>
      <c r="B221" s="176">
        <v>1.8</v>
      </c>
      <c r="K221" s="170">
        <v>39689</v>
      </c>
      <c r="L221" s="171">
        <v>2.1</v>
      </c>
    </row>
    <row r="222" spans="1:12" x14ac:dyDescent="0.2">
      <c r="A222" s="175">
        <v>38495</v>
      </c>
      <c r="B222" s="176">
        <v>1.76</v>
      </c>
      <c r="K222" s="170">
        <v>39696</v>
      </c>
      <c r="L222" s="171">
        <v>2.19</v>
      </c>
    </row>
    <row r="223" spans="1:12" x14ac:dyDescent="0.2">
      <c r="A223" s="175">
        <v>38496</v>
      </c>
      <c r="B223" s="176">
        <v>1.74</v>
      </c>
      <c r="K223" s="170">
        <v>39703</v>
      </c>
      <c r="L223" s="171">
        <v>2.12</v>
      </c>
    </row>
    <row r="224" spans="1:12" x14ac:dyDescent="0.2">
      <c r="A224" s="175">
        <v>38497</v>
      </c>
      <c r="B224" s="176">
        <v>1.8</v>
      </c>
      <c r="K224" s="170">
        <v>39710</v>
      </c>
      <c r="L224" s="171">
        <v>2.2000000000000002</v>
      </c>
    </row>
    <row r="225" spans="1:12" x14ac:dyDescent="0.2">
      <c r="A225" s="175">
        <v>38498</v>
      </c>
      <c r="B225" s="176">
        <v>1.85</v>
      </c>
      <c r="K225" s="170">
        <v>39717</v>
      </c>
      <c r="L225" s="171">
        <v>2.4</v>
      </c>
    </row>
    <row r="226" spans="1:12" x14ac:dyDescent="0.2">
      <c r="A226" s="175">
        <v>38499</v>
      </c>
      <c r="B226" s="176">
        <v>1.83</v>
      </c>
      <c r="K226" s="170">
        <v>39724</v>
      </c>
      <c r="L226" s="171">
        <v>2.5</v>
      </c>
    </row>
    <row r="227" spans="1:12" x14ac:dyDescent="0.2">
      <c r="A227" s="175">
        <v>38502</v>
      </c>
      <c r="B227" s="176" t="e">
        <f>NA()</f>
        <v>#N/A</v>
      </c>
      <c r="K227" s="170">
        <v>39731</v>
      </c>
      <c r="L227" s="171">
        <v>2.75</v>
      </c>
    </row>
    <row r="228" spans="1:12" x14ac:dyDescent="0.2">
      <c r="A228" s="175">
        <v>38503</v>
      </c>
      <c r="B228" s="176">
        <v>1.78</v>
      </c>
      <c r="K228" s="170">
        <v>39738</v>
      </c>
      <c r="L228" s="171">
        <v>2.94</v>
      </c>
    </row>
    <row r="229" spans="1:12" x14ac:dyDescent="0.2">
      <c r="A229" s="175">
        <v>38504</v>
      </c>
      <c r="B229" s="176">
        <v>1.69</v>
      </c>
      <c r="K229" s="170">
        <v>39745</v>
      </c>
      <c r="L229" s="171">
        <v>2.82</v>
      </c>
    </row>
    <row r="230" spans="1:12" x14ac:dyDescent="0.2">
      <c r="A230" s="175">
        <v>38505</v>
      </c>
      <c r="B230" s="176">
        <v>1.69</v>
      </c>
      <c r="K230" s="170">
        <v>39752</v>
      </c>
      <c r="L230" s="171">
        <v>3.2</v>
      </c>
    </row>
    <row r="231" spans="1:12" x14ac:dyDescent="0.2">
      <c r="A231" s="175">
        <v>38506</v>
      </c>
      <c r="B231" s="177">
        <v>1.73</v>
      </c>
      <c r="K231" s="170">
        <v>39759</v>
      </c>
      <c r="L231" s="171">
        <v>3.07</v>
      </c>
    </row>
    <row r="232" spans="1:12" x14ac:dyDescent="0.2">
      <c r="A232" s="175">
        <v>38509</v>
      </c>
      <c r="B232" s="176">
        <v>1.71</v>
      </c>
      <c r="K232" s="170">
        <v>39766</v>
      </c>
      <c r="L232" s="171">
        <v>2.89</v>
      </c>
    </row>
    <row r="233" spans="1:12" x14ac:dyDescent="0.2">
      <c r="A233" s="175">
        <v>38510</v>
      </c>
      <c r="B233" s="176">
        <v>1.71</v>
      </c>
      <c r="K233" s="170">
        <v>39773</v>
      </c>
      <c r="L233" s="171">
        <v>2.91</v>
      </c>
    </row>
    <row r="234" spans="1:12" x14ac:dyDescent="0.2">
      <c r="A234" s="175">
        <v>38511</v>
      </c>
      <c r="B234" s="176">
        <v>1.73</v>
      </c>
      <c r="K234" s="170">
        <v>39780</v>
      </c>
      <c r="L234" s="171">
        <v>3.14</v>
      </c>
    </row>
    <row r="235" spans="1:12" x14ac:dyDescent="0.2">
      <c r="A235" s="175">
        <v>38512</v>
      </c>
      <c r="B235" s="176">
        <v>1.75</v>
      </c>
      <c r="K235" s="170">
        <v>39787</v>
      </c>
      <c r="L235" s="171">
        <v>2.5099999999999998</v>
      </c>
    </row>
    <row r="236" spans="1:12" x14ac:dyDescent="0.2">
      <c r="A236" s="175">
        <v>38513</v>
      </c>
      <c r="B236" s="176">
        <v>1.83</v>
      </c>
      <c r="K236" s="170">
        <v>39794</v>
      </c>
      <c r="L236" s="171">
        <v>2.44</v>
      </c>
    </row>
    <row r="237" spans="1:12" x14ac:dyDescent="0.2">
      <c r="A237" s="175">
        <v>38516</v>
      </c>
      <c r="B237" s="176">
        <v>1.88</v>
      </c>
      <c r="K237" s="170">
        <v>39801</v>
      </c>
      <c r="L237" s="171">
        <v>2.17</v>
      </c>
    </row>
    <row r="238" spans="1:12" x14ac:dyDescent="0.2">
      <c r="A238" s="175">
        <v>38517</v>
      </c>
      <c r="B238" s="176">
        <v>1.91</v>
      </c>
      <c r="K238" s="170">
        <v>39808</v>
      </c>
      <c r="L238" s="171">
        <v>2.16</v>
      </c>
    </row>
    <row r="239" spans="1:12" x14ac:dyDescent="0.2">
      <c r="A239" s="175">
        <v>38518</v>
      </c>
      <c r="B239" s="176">
        <v>1.91</v>
      </c>
      <c r="K239" s="170">
        <v>39815</v>
      </c>
      <c r="L239" s="171">
        <v>2.3199999999999998</v>
      </c>
    </row>
    <row r="240" spans="1:12" x14ac:dyDescent="0.2">
      <c r="A240" s="175">
        <v>38519</v>
      </c>
      <c r="B240" s="176">
        <v>1.86</v>
      </c>
      <c r="K240" s="170">
        <v>39822</v>
      </c>
      <c r="L240" s="171">
        <v>2.57</v>
      </c>
    </row>
    <row r="241" spans="1:12" x14ac:dyDescent="0.2">
      <c r="A241" s="175">
        <v>38520</v>
      </c>
      <c r="B241" s="176">
        <v>1.86</v>
      </c>
      <c r="K241" s="170">
        <v>39829</v>
      </c>
      <c r="L241" s="171">
        <v>2.29</v>
      </c>
    </row>
    <row r="242" spans="1:12" x14ac:dyDescent="0.2">
      <c r="A242" s="175">
        <v>38523</v>
      </c>
      <c r="B242" s="176">
        <v>1.88</v>
      </c>
      <c r="K242" s="170">
        <v>39836</v>
      </c>
      <c r="L242" s="171">
        <v>2.54</v>
      </c>
    </row>
    <row r="243" spans="1:12" x14ac:dyDescent="0.2">
      <c r="A243" s="175">
        <v>38524</v>
      </c>
      <c r="B243" s="176">
        <v>1.86</v>
      </c>
      <c r="K243" s="170">
        <v>39843</v>
      </c>
      <c r="L243" s="171">
        <v>2.4300000000000002</v>
      </c>
    </row>
    <row r="244" spans="1:12" x14ac:dyDescent="0.2">
      <c r="A244" s="175">
        <v>38525</v>
      </c>
      <c r="B244" s="176">
        <v>1.82</v>
      </c>
      <c r="K244" s="170">
        <v>39850</v>
      </c>
      <c r="L244" s="171">
        <v>2.4</v>
      </c>
    </row>
    <row r="245" spans="1:12" x14ac:dyDescent="0.2">
      <c r="A245" s="175">
        <v>38526</v>
      </c>
      <c r="B245" s="176">
        <v>1.82</v>
      </c>
      <c r="K245" s="170">
        <v>39857</v>
      </c>
      <c r="L245" s="171">
        <v>2.25</v>
      </c>
    </row>
    <row r="246" spans="1:12" x14ac:dyDescent="0.2">
      <c r="A246" s="175">
        <v>38527</v>
      </c>
      <c r="B246" s="176">
        <v>1.8</v>
      </c>
      <c r="K246" s="170">
        <v>39864</v>
      </c>
      <c r="L246" s="171">
        <v>2.2400000000000002</v>
      </c>
    </row>
    <row r="247" spans="1:12" x14ac:dyDescent="0.2">
      <c r="A247" s="175">
        <v>38530</v>
      </c>
      <c r="B247" s="176">
        <v>1.77</v>
      </c>
      <c r="K247" s="170">
        <v>39871</v>
      </c>
      <c r="L247" s="171">
        <v>2.35</v>
      </c>
    </row>
    <row r="248" spans="1:12" x14ac:dyDescent="0.2">
      <c r="A248" s="175">
        <v>38531</v>
      </c>
      <c r="B248" s="176">
        <v>1.81</v>
      </c>
      <c r="K248" s="170">
        <v>39878</v>
      </c>
      <c r="L248" s="171">
        <v>2.4700000000000002</v>
      </c>
    </row>
    <row r="249" spans="1:12" x14ac:dyDescent="0.2">
      <c r="A249" s="175">
        <v>38532</v>
      </c>
      <c r="B249" s="176">
        <v>1.83</v>
      </c>
      <c r="K249" s="170">
        <v>39885</v>
      </c>
      <c r="L249" s="171">
        <v>2.4900000000000002</v>
      </c>
    </row>
    <row r="250" spans="1:12" x14ac:dyDescent="0.2">
      <c r="A250" s="175">
        <v>38533</v>
      </c>
      <c r="B250" s="176">
        <v>1.79</v>
      </c>
      <c r="K250" s="170">
        <v>39892</v>
      </c>
      <c r="L250" s="171">
        <v>2.21</v>
      </c>
    </row>
    <row r="251" spans="1:12" x14ac:dyDescent="0.2">
      <c r="A251" s="175">
        <v>38534</v>
      </c>
      <c r="B251" s="176">
        <v>1.84</v>
      </c>
      <c r="K251" s="170">
        <v>39899</v>
      </c>
      <c r="L251" s="171">
        <v>2</v>
      </c>
    </row>
    <row r="252" spans="1:12" x14ac:dyDescent="0.2">
      <c r="A252" s="175">
        <v>38537</v>
      </c>
      <c r="B252" s="176" t="e">
        <f>NA()</f>
        <v>#N/A</v>
      </c>
      <c r="K252" s="170">
        <v>39906</v>
      </c>
      <c r="L252" s="171">
        <v>2.0299999999999998</v>
      </c>
    </row>
    <row r="253" spans="1:12" x14ac:dyDescent="0.2">
      <c r="A253" s="175">
        <v>38538</v>
      </c>
      <c r="B253" s="176">
        <v>1.9</v>
      </c>
      <c r="K253" s="170">
        <v>39913</v>
      </c>
      <c r="L253" s="171">
        <v>2.2000000000000002</v>
      </c>
    </row>
    <row r="254" spans="1:12" x14ac:dyDescent="0.2">
      <c r="A254" s="175">
        <v>38539</v>
      </c>
      <c r="B254" s="176">
        <v>1.9</v>
      </c>
      <c r="K254" s="170">
        <v>39920</v>
      </c>
      <c r="L254" s="171">
        <v>2.21</v>
      </c>
    </row>
    <row r="255" spans="1:12" x14ac:dyDescent="0.2">
      <c r="A255" s="175">
        <v>38540</v>
      </c>
      <c r="B255" s="176">
        <v>1.89</v>
      </c>
      <c r="K255" s="170">
        <v>39927</v>
      </c>
      <c r="L255" s="171">
        <v>2.2999999999999998</v>
      </c>
    </row>
    <row r="256" spans="1:12" x14ac:dyDescent="0.2">
      <c r="A256" s="175">
        <v>38541</v>
      </c>
      <c r="B256" s="177">
        <v>1.95</v>
      </c>
      <c r="K256" s="170">
        <v>39934</v>
      </c>
      <c r="L256" s="171">
        <v>2.33</v>
      </c>
    </row>
    <row r="257" spans="1:12" x14ac:dyDescent="0.2">
      <c r="A257" s="175">
        <v>38544</v>
      </c>
      <c r="B257" s="176">
        <v>1.93</v>
      </c>
      <c r="K257" s="170">
        <v>39941</v>
      </c>
      <c r="L257" s="171">
        <v>2.46</v>
      </c>
    </row>
    <row r="258" spans="1:12" x14ac:dyDescent="0.2">
      <c r="A258" s="175">
        <v>38545</v>
      </c>
      <c r="B258" s="176">
        <v>1.95</v>
      </c>
      <c r="K258" s="170">
        <v>39948</v>
      </c>
      <c r="L258" s="171">
        <v>2.31</v>
      </c>
    </row>
    <row r="259" spans="1:12" x14ac:dyDescent="0.2">
      <c r="A259" s="175">
        <v>38546</v>
      </c>
      <c r="B259" s="176">
        <v>1.98</v>
      </c>
      <c r="K259" s="170">
        <v>39955</v>
      </c>
      <c r="L259" s="171">
        <v>2.2599999999999998</v>
      </c>
    </row>
    <row r="260" spans="1:12" x14ac:dyDescent="0.2">
      <c r="A260" s="175">
        <v>38547</v>
      </c>
      <c r="B260" s="176">
        <v>2.0499999999999998</v>
      </c>
      <c r="K260" s="170">
        <v>39962</v>
      </c>
      <c r="L260" s="171">
        <v>2.36</v>
      </c>
    </row>
    <row r="261" spans="1:12" x14ac:dyDescent="0.2">
      <c r="A261" s="175">
        <v>38548</v>
      </c>
      <c r="B261" s="176">
        <v>2.06</v>
      </c>
      <c r="K261" s="170">
        <v>39969</v>
      </c>
      <c r="L261" s="171">
        <v>2.38</v>
      </c>
    </row>
    <row r="262" spans="1:12" x14ac:dyDescent="0.2">
      <c r="A262" s="175">
        <v>38551</v>
      </c>
      <c r="B262" s="176">
        <v>2.1</v>
      </c>
      <c r="K262" s="170">
        <v>39976</v>
      </c>
      <c r="L262" s="171">
        <v>2.44</v>
      </c>
    </row>
    <row r="263" spans="1:12" x14ac:dyDescent="0.2">
      <c r="A263" s="175">
        <v>38552</v>
      </c>
      <c r="B263" s="176">
        <v>2.0499999999999998</v>
      </c>
      <c r="K263" s="170">
        <v>39983</v>
      </c>
      <c r="L263" s="171">
        <v>2.44</v>
      </c>
    </row>
    <row r="264" spans="1:12" x14ac:dyDescent="0.2">
      <c r="A264" s="175">
        <v>38553</v>
      </c>
      <c r="B264" s="176">
        <v>2.0099999999999998</v>
      </c>
      <c r="K264" s="170">
        <v>39990</v>
      </c>
      <c r="L264" s="171">
        <v>2.2599999999999998</v>
      </c>
    </row>
    <row r="265" spans="1:12" x14ac:dyDescent="0.2">
      <c r="A265" s="175">
        <v>38554</v>
      </c>
      <c r="B265" s="176">
        <v>2.0699999999999998</v>
      </c>
      <c r="K265" s="170">
        <v>39997</v>
      </c>
      <c r="L265" s="171">
        <v>2.17</v>
      </c>
    </row>
    <row r="266" spans="1:12" x14ac:dyDescent="0.2">
      <c r="A266" s="175">
        <v>38555</v>
      </c>
      <c r="B266" s="176">
        <v>2.0099999999999998</v>
      </c>
      <c r="K266" s="170">
        <v>40004</v>
      </c>
      <c r="L266" s="171">
        <v>2.27</v>
      </c>
    </row>
    <row r="267" spans="1:12" x14ac:dyDescent="0.2">
      <c r="A267" s="175">
        <v>38558</v>
      </c>
      <c r="B267" s="176">
        <v>2.0699999999999998</v>
      </c>
      <c r="K267" s="170">
        <v>40011</v>
      </c>
      <c r="L267" s="171">
        <v>2.37</v>
      </c>
    </row>
    <row r="268" spans="1:12" x14ac:dyDescent="0.2">
      <c r="A268" s="175">
        <v>38559</v>
      </c>
      <c r="B268" s="176">
        <v>2.0499999999999998</v>
      </c>
      <c r="K268" s="170">
        <v>40018</v>
      </c>
      <c r="L268" s="171">
        <v>2.31</v>
      </c>
    </row>
    <row r="269" spans="1:12" x14ac:dyDescent="0.2">
      <c r="A269" s="175">
        <v>38560</v>
      </c>
      <c r="B269" s="176">
        <v>2.06</v>
      </c>
      <c r="K269" s="170">
        <v>40025</v>
      </c>
      <c r="L269" s="171">
        <v>2.3199999999999998</v>
      </c>
    </row>
    <row r="270" spans="1:12" x14ac:dyDescent="0.2">
      <c r="A270" s="175">
        <v>38561</v>
      </c>
      <c r="B270" s="176">
        <v>2.02</v>
      </c>
      <c r="K270" s="170">
        <v>40032</v>
      </c>
      <c r="L270" s="171">
        <v>2.34</v>
      </c>
    </row>
    <row r="271" spans="1:12" x14ac:dyDescent="0.2">
      <c r="A271" s="175">
        <v>38562</v>
      </c>
      <c r="B271" s="176">
        <v>2.0299999999999998</v>
      </c>
      <c r="K271" s="170">
        <v>40039</v>
      </c>
      <c r="L271" s="171">
        <v>2.27</v>
      </c>
    </row>
    <row r="272" spans="1:12" x14ac:dyDescent="0.2">
      <c r="A272" s="175">
        <v>38565</v>
      </c>
      <c r="B272" s="176">
        <v>2.08</v>
      </c>
      <c r="K272" s="170">
        <v>40046</v>
      </c>
      <c r="L272" s="171">
        <v>2.15</v>
      </c>
    </row>
    <row r="273" spans="1:12" x14ac:dyDescent="0.2">
      <c r="A273" s="175">
        <v>38566</v>
      </c>
      <c r="B273" s="176">
        <v>2.12</v>
      </c>
      <c r="K273" s="170">
        <v>40053</v>
      </c>
      <c r="L273" s="171">
        <v>2.13</v>
      </c>
    </row>
    <row r="274" spans="1:12" x14ac:dyDescent="0.2">
      <c r="A274" s="175">
        <v>38567</v>
      </c>
      <c r="B274" s="176">
        <v>2.06</v>
      </c>
      <c r="K274" s="170">
        <v>40060</v>
      </c>
      <c r="L274" s="171">
        <v>2.19</v>
      </c>
    </row>
    <row r="275" spans="1:12" x14ac:dyDescent="0.2">
      <c r="A275" s="175">
        <v>38568</v>
      </c>
      <c r="B275" s="176">
        <v>2.0499999999999998</v>
      </c>
      <c r="K275" s="170">
        <v>40067</v>
      </c>
      <c r="L275" s="171">
        <v>2.15</v>
      </c>
    </row>
    <row r="276" spans="1:12" x14ac:dyDescent="0.2">
      <c r="A276" s="175">
        <v>38569</v>
      </c>
      <c r="B276" s="176">
        <v>2.1</v>
      </c>
      <c r="K276" s="170">
        <v>40074</v>
      </c>
      <c r="L276" s="171">
        <v>2.14</v>
      </c>
    </row>
    <row r="277" spans="1:12" x14ac:dyDescent="0.2">
      <c r="A277" s="175">
        <v>38572</v>
      </c>
      <c r="B277" s="176">
        <v>2.11</v>
      </c>
      <c r="K277" s="170">
        <v>40081</v>
      </c>
      <c r="L277" s="171">
        <v>2.11</v>
      </c>
    </row>
    <row r="278" spans="1:12" x14ac:dyDescent="0.2">
      <c r="A278" s="175">
        <v>38573</v>
      </c>
      <c r="B278" s="176">
        <v>2.1</v>
      </c>
      <c r="K278" s="170">
        <v>40088</v>
      </c>
      <c r="L278" s="171">
        <v>2.0299999999999998</v>
      </c>
    </row>
    <row r="279" spans="1:12" x14ac:dyDescent="0.2">
      <c r="A279" s="175">
        <v>38574</v>
      </c>
      <c r="B279" s="176">
        <v>2.11</v>
      </c>
      <c r="K279" s="170">
        <v>40095</v>
      </c>
      <c r="L279" s="171">
        <v>2.04</v>
      </c>
    </row>
    <row r="280" spans="1:12" x14ac:dyDescent="0.2">
      <c r="A280" s="175">
        <v>38575</v>
      </c>
      <c r="B280" s="176">
        <v>2.0699999999999998</v>
      </c>
      <c r="K280" s="170">
        <v>40102</v>
      </c>
      <c r="L280" s="171">
        <v>2.04</v>
      </c>
    </row>
    <row r="281" spans="1:12" x14ac:dyDescent="0.2">
      <c r="A281" s="175">
        <v>38576</v>
      </c>
      <c r="B281" s="176">
        <v>2.0099999999999998</v>
      </c>
      <c r="K281" s="170">
        <v>40109</v>
      </c>
      <c r="L281" s="171">
        <v>2.0099999999999998</v>
      </c>
    </row>
    <row r="282" spans="1:12" x14ac:dyDescent="0.2">
      <c r="A282" s="175">
        <v>38579</v>
      </c>
      <c r="B282" s="176">
        <v>2.04</v>
      </c>
      <c r="K282" s="170">
        <v>40116</v>
      </c>
      <c r="L282" s="171">
        <v>2.09</v>
      </c>
    </row>
    <row r="283" spans="1:12" x14ac:dyDescent="0.2">
      <c r="A283" s="175">
        <v>38580</v>
      </c>
      <c r="B283" s="176">
        <v>2</v>
      </c>
      <c r="K283" s="170">
        <v>40123</v>
      </c>
      <c r="L283" s="171">
        <v>2.0099999999999998</v>
      </c>
    </row>
    <row r="284" spans="1:12" x14ac:dyDescent="0.2">
      <c r="A284" s="175">
        <v>38581</v>
      </c>
      <c r="B284" s="176">
        <v>2.0299999999999998</v>
      </c>
      <c r="K284" s="170">
        <v>40130</v>
      </c>
      <c r="L284" s="171">
        <v>1.97</v>
      </c>
    </row>
    <row r="285" spans="1:12" x14ac:dyDescent="0.2">
      <c r="A285" s="175">
        <v>38582</v>
      </c>
      <c r="B285" s="176">
        <v>1.99</v>
      </c>
      <c r="K285" s="170">
        <v>40137</v>
      </c>
      <c r="L285" s="171">
        <v>1.84</v>
      </c>
    </row>
    <row r="286" spans="1:12" x14ac:dyDescent="0.2">
      <c r="A286" s="175">
        <v>38583</v>
      </c>
      <c r="B286" s="176">
        <v>1.99</v>
      </c>
      <c r="K286" s="170">
        <v>40144</v>
      </c>
      <c r="L286" s="171">
        <v>1.8</v>
      </c>
    </row>
    <row r="287" spans="1:12" x14ac:dyDescent="0.2">
      <c r="A287" s="175">
        <v>38586</v>
      </c>
      <c r="B287" s="176">
        <v>2</v>
      </c>
      <c r="K287" s="170">
        <v>40151</v>
      </c>
      <c r="L287" s="171">
        <v>1.83</v>
      </c>
    </row>
    <row r="288" spans="1:12" x14ac:dyDescent="0.2">
      <c r="A288" s="175">
        <v>38587</v>
      </c>
      <c r="B288" s="176">
        <v>1.99</v>
      </c>
      <c r="K288" s="170">
        <v>40158</v>
      </c>
      <c r="L288" s="171">
        <v>2</v>
      </c>
    </row>
    <row r="289" spans="1:12" x14ac:dyDescent="0.2">
      <c r="A289" s="175">
        <v>38588</v>
      </c>
      <c r="B289" s="176">
        <v>1.97</v>
      </c>
      <c r="K289" s="170">
        <v>40165</v>
      </c>
      <c r="L289" s="171">
        <v>1.98</v>
      </c>
    </row>
    <row r="290" spans="1:12" x14ac:dyDescent="0.2">
      <c r="A290" s="175">
        <v>38589</v>
      </c>
      <c r="B290" s="176">
        <v>1.94</v>
      </c>
      <c r="K290" s="170">
        <v>40172</v>
      </c>
      <c r="L290" s="171">
        <v>2.08</v>
      </c>
    </row>
    <row r="291" spans="1:12" x14ac:dyDescent="0.2">
      <c r="A291" s="175">
        <v>38590</v>
      </c>
      <c r="B291" s="176">
        <v>1.94</v>
      </c>
      <c r="K291" s="170">
        <v>40179</v>
      </c>
      <c r="L291" s="171">
        <v>2.06</v>
      </c>
    </row>
    <row r="292" spans="1:12" x14ac:dyDescent="0.2">
      <c r="A292" s="175">
        <v>38593</v>
      </c>
      <c r="B292" s="176">
        <v>1.92</v>
      </c>
      <c r="K292" s="170">
        <v>40186</v>
      </c>
      <c r="L292" s="171">
        <v>2.0099999999999998</v>
      </c>
    </row>
    <row r="293" spans="1:12" x14ac:dyDescent="0.2">
      <c r="A293" s="175">
        <v>38594</v>
      </c>
      <c r="B293" s="176">
        <v>1.9</v>
      </c>
      <c r="K293" s="170">
        <v>40193</v>
      </c>
      <c r="L293" s="171">
        <v>2.0099999999999998</v>
      </c>
    </row>
    <row r="294" spans="1:12" x14ac:dyDescent="0.2">
      <c r="A294" s="175">
        <v>38595</v>
      </c>
      <c r="B294" s="176">
        <v>1.87</v>
      </c>
      <c r="K294" s="170">
        <v>40200</v>
      </c>
      <c r="L294" s="171">
        <v>1.98</v>
      </c>
    </row>
    <row r="295" spans="1:12" x14ac:dyDescent="0.2">
      <c r="A295" s="175">
        <v>38596</v>
      </c>
      <c r="B295" s="176">
        <v>1.85</v>
      </c>
      <c r="K295" s="170">
        <v>40207</v>
      </c>
      <c r="L295" s="171">
        <v>1.98</v>
      </c>
    </row>
    <row r="296" spans="1:12" x14ac:dyDescent="0.2">
      <c r="A296" s="175">
        <v>38597</v>
      </c>
      <c r="B296" s="176">
        <v>1.84</v>
      </c>
      <c r="K296" s="170">
        <v>40214</v>
      </c>
      <c r="L296" s="171">
        <v>1.94</v>
      </c>
    </row>
    <row r="297" spans="1:12" x14ac:dyDescent="0.2">
      <c r="A297" s="175">
        <v>38600</v>
      </c>
      <c r="B297" s="176" t="e">
        <f>NA()</f>
        <v>#N/A</v>
      </c>
      <c r="K297" s="170">
        <v>40221</v>
      </c>
      <c r="L297" s="171">
        <v>2.06</v>
      </c>
    </row>
    <row r="298" spans="1:12" x14ac:dyDescent="0.2">
      <c r="A298" s="175">
        <v>38601</v>
      </c>
      <c r="B298" s="176">
        <v>1.92</v>
      </c>
      <c r="K298" s="170">
        <v>40228</v>
      </c>
      <c r="L298" s="171">
        <v>2.12</v>
      </c>
    </row>
    <row r="299" spans="1:12" x14ac:dyDescent="0.2">
      <c r="A299" s="175">
        <v>38602</v>
      </c>
      <c r="B299" s="176">
        <v>1.96</v>
      </c>
      <c r="K299" s="170">
        <v>40235</v>
      </c>
      <c r="L299" s="171">
        <v>2.0099999999999998</v>
      </c>
    </row>
    <row r="300" spans="1:12" x14ac:dyDescent="0.2">
      <c r="A300" s="175">
        <v>38603</v>
      </c>
      <c r="B300" s="176">
        <v>1.94</v>
      </c>
      <c r="K300" s="170">
        <v>40242</v>
      </c>
      <c r="L300" s="171">
        <v>1.98</v>
      </c>
    </row>
    <row r="301" spans="1:12" x14ac:dyDescent="0.2">
      <c r="A301" s="175">
        <v>38604</v>
      </c>
      <c r="B301" s="177">
        <v>1.91</v>
      </c>
      <c r="K301" s="170">
        <v>40249</v>
      </c>
      <c r="L301" s="171">
        <v>1.99</v>
      </c>
    </row>
    <row r="302" spans="1:12" x14ac:dyDescent="0.2">
      <c r="A302" s="175">
        <v>38607</v>
      </c>
      <c r="B302" s="176">
        <v>1.94</v>
      </c>
      <c r="K302" s="170">
        <v>40256</v>
      </c>
      <c r="L302" s="171">
        <v>1.92</v>
      </c>
    </row>
    <row r="303" spans="1:12" x14ac:dyDescent="0.2">
      <c r="A303" s="175">
        <v>38608</v>
      </c>
      <c r="B303" s="176">
        <v>1.91</v>
      </c>
      <c r="K303" s="170">
        <v>40263</v>
      </c>
      <c r="L303" s="171">
        <v>1.99</v>
      </c>
    </row>
    <row r="304" spans="1:12" x14ac:dyDescent="0.2">
      <c r="A304" s="175">
        <v>38609</v>
      </c>
      <c r="B304" s="176">
        <v>1.92</v>
      </c>
      <c r="K304" s="170">
        <v>40270</v>
      </c>
      <c r="L304" s="171">
        <v>2.04</v>
      </c>
    </row>
    <row r="305" spans="1:12" x14ac:dyDescent="0.2">
      <c r="A305" s="175">
        <v>38610</v>
      </c>
      <c r="B305" s="176">
        <v>1.96</v>
      </c>
      <c r="K305" s="170">
        <v>40277</v>
      </c>
      <c r="L305" s="171">
        <v>2.04</v>
      </c>
    </row>
    <row r="306" spans="1:12" x14ac:dyDescent="0.2">
      <c r="A306" s="175">
        <v>38611</v>
      </c>
      <c r="B306" s="176">
        <v>1.97</v>
      </c>
      <c r="K306" s="170">
        <v>40284</v>
      </c>
      <c r="L306" s="171">
        <v>1.89</v>
      </c>
    </row>
    <row r="307" spans="1:12" x14ac:dyDescent="0.2">
      <c r="A307" s="175">
        <v>38614</v>
      </c>
      <c r="B307" s="176">
        <v>1.94</v>
      </c>
      <c r="K307" s="170">
        <v>40291</v>
      </c>
      <c r="L307" s="171">
        <v>1.85</v>
      </c>
    </row>
    <row r="308" spans="1:12" x14ac:dyDescent="0.2">
      <c r="A308" s="175">
        <v>38615</v>
      </c>
      <c r="B308" s="176">
        <v>1.95</v>
      </c>
      <c r="K308" s="170">
        <v>40298</v>
      </c>
      <c r="L308" s="171">
        <v>1.76</v>
      </c>
    </row>
    <row r="309" spans="1:12" x14ac:dyDescent="0.2">
      <c r="A309" s="175">
        <v>38616</v>
      </c>
      <c r="B309" s="176">
        <v>1.91</v>
      </c>
      <c r="K309" s="170">
        <v>40305</v>
      </c>
      <c r="L309" s="171">
        <v>1.68</v>
      </c>
    </row>
    <row r="310" spans="1:12" x14ac:dyDescent="0.2">
      <c r="A310" s="175">
        <v>38617</v>
      </c>
      <c r="B310" s="176">
        <v>1.9</v>
      </c>
      <c r="K310" s="170">
        <v>40312</v>
      </c>
      <c r="L310" s="171">
        <v>1.72</v>
      </c>
    </row>
    <row r="311" spans="1:12" x14ac:dyDescent="0.2">
      <c r="A311" s="175">
        <v>38618</v>
      </c>
      <c r="B311" s="176">
        <v>1.95</v>
      </c>
      <c r="K311" s="170">
        <v>40319</v>
      </c>
      <c r="L311" s="171">
        <v>1.74</v>
      </c>
    </row>
    <row r="312" spans="1:12" x14ac:dyDescent="0.2">
      <c r="A312" s="175">
        <v>38621</v>
      </c>
      <c r="B312" s="176">
        <v>1.99</v>
      </c>
      <c r="K312" s="170">
        <v>40326</v>
      </c>
      <c r="L312" s="171">
        <v>1.76</v>
      </c>
    </row>
    <row r="313" spans="1:12" x14ac:dyDescent="0.2">
      <c r="A313" s="175">
        <v>38622</v>
      </c>
      <c r="B313" s="176">
        <v>1.95</v>
      </c>
      <c r="K313" s="170">
        <v>40333</v>
      </c>
      <c r="L313" s="171">
        <v>1.73</v>
      </c>
    </row>
    <row r="314" spans="1:12" x14ac:dyDescent="0.2">
      <c r="A314" s="175">
        <v>38623</v>
      </c>
      <c r="B314" s="176">
        <v>1.9</v>
      </c>
      <c r="K314" s="170">
        <v>40340</v>
      </c>
      <c r="L314" s="171">
        <v>1.69</v>
      </c>
    </row>
    <row r="315" spans="1:12" x14ac:dyDescent="0.2">
      <c r="A315" s="175">
        <v>38624</v>
      </c>
      <c r="B315" s="176">
        <v>1.93</v>
      </c>
      <c r="K315" s="170">
        <v>40347</v>
      </c>
      <c r="L315" s="171">
        <v>1.7</v>
      </c>
    </row>
    <row r="316" spans="1:12" x14ac:dyDescent="0.2">
      <c r="A316" s="175">
        <v>38625</v>
      </c>
      <c r="B316" s="176">
        <v>1.95</v>
      </c>
      <c r="K316" s="170">
        <v>40354</v>
      </c>
      <c r="L316" s="171">
        <v>1.67</v>
      </c>
    </row>
    <row r="317" spans="1:12" x14ac:dyDescent="0.2">
      <c r="A317" s="175">
        <v>38628</v>
      </c>
      <c r="B317" s="176">
        <v>2.02</v>
      </c>
      <c r="K317" s="170">
        <v>40361</v>
      </c>
      <c r="L317" s="171">
        <v>1.67</v>
      </c>
    </row>
    <row r="318" spans="1:12" x14ac:dyDescent="0.2">
      <c r="A318" s="175">
        <v>38629</v>
      </c>
      <c r="B318" s="176">
        <v>2.0099999999999998</v>
      </c>
      <c r="K318" s="170">
        <v>40368</v>
      </c>
      <c r="L318" s="171">
        <v>1.76</v>
      </c>
    </row>
    <row r="319" spans="1:12" x14ac:dyDescent="0.2">
      <c r="A319" s="175">
        <v>38630</v>
      </c>
      <c r="B319" s="176">
        <v>2</v>
      </c>
      <c r="K319" s="170">
        <v>40375</v>
      </c>
      <c r="L319" s="171">
        <v>1.79</v>
      </c>
    </row>
    <row r="320" spans="1:12" x14ac:dyDescent="0.2">
      <c r="A320" s="175">
        <v>38631</v>
      </c>
      <c r="B320" s="176">
        <v>2.06</v>
      </c>
      <c r="K320" s="170">
        <v>40382</v>
      </c>
      <c r="L320" s="171">
        <v>1.82</v>
      </c>
    </row>
    <row r="321" spans="1:12" x14ac:dyDescent="0.2">
      <c r="A321" s="175">
        <v>38632</v>
      </c>
      <c r="B321" s="176">
        <v>2.0299999999999998</v>
      </c>
      <c r="K321" s="170">
        <v>40389</v>
      </c>
      <c r="L321" s="171">
        <v>1.84</v>
      </c>
    </row>
    <row r="322" spans="1:12" x14ac:dyDescent="0.2">
      <c r="A322" s="175">
        <v>38635</v>
      </c>
      <c r="B322" s="176" t="e">
        <f>NA()</f>
        <v>#N/A</v>
      </c>
      <c r="K322" s="170">
        <v>40396</v>
      </c>
      <c r="L322" s="171">
        <v>1.74</v>
      </c>
    </row>
    <row r="323" spans="1:12" x14ac:dyDescent="0.2">
      <c r="A323" s="175">
        <v>38636</v>
      </c>
      <c r="B323" s="176">
        <v>2.0499999999999998</v>
      </c>
      <c r="K323" s="170">
        <v>40403</v>
      </c>
      <c r="L323" s="171">
        <v>1.69</v>
      </c>
    </row>
    <row r="324" spans="1:12" x14ac:dyDescent="0.2">
      <c r="A324" s="175">
        <v>38637</v>
      </c>
      <c r="B324" s="176">
        <v>2.1</v>
      </c>
      <c r="K324" s="170">
        <v>40410</v>
      </c>
      <c r="L324" s="171">
        <v>1.66</v>
      </c>
    </row>
    <row r="325" spans="1:12" x14ac:dyDescent="0.2">
      <c r="A325" s="175">
        <v>38638</v>
      </c>
      <c r="B325" s="176">
        <v>2.12</v>
      </c>
      <c r="K325" s="170">
        <v>40417</v>
      </c>
      <c r="L325" s="171">
        <v>1.57</v>
      </c>
    </row>
    <row r="326" spans="1:12" x14ac:dyDescent="0.2">
      <c r="A326" s="175">
        <v>38639</v>
      </c>
      <c r="B326" s="177">
        <v>2.1</v>
      </c>
      <c r="K326" s="170">
        <v>40424</v>
      </c>
      <c r="L326" s="171">
        <v>1.59</v>
      </c>
    </row>
    <row r="327" spans="1:12" x14ac:dyDescent="0.2">
      <c r="A327" s="175">
        <v>38642</v>
      </c>
      <c r="B327" s="176">
        <v>2.11</v>
      </c>
      <c r="K327" s="170">
        <v>40431</v>
      </c>
      <c r="L327" s="171">
        <v>1.65</v>
      </c>
    </row>
    <row r="328" spans="1:12" x14ac:dyDescent="0.2">
      <c r="A328" s="175">
        <v>38643</v>
      </c>
      <c r="B328" s="176">
        <v>2.08</v>
      </c>
      <c r="K328" s="170">
        <v>40438</v>
      </c>
      <c r="L328" s="171">
        <v>1.67</v>
      </c>
    </row>
    <row r="329" spans="1:12" x14ac:dyDescent="0.2">
      <c r="A329" s="175">
        <v>38644</v>
      </c>
      <c r="B329" s="176">
        <v>2.11</v>
      </c>
      <c r="K329" s="170">
        <v>40445</v>
      </c>
      <c r="L329" s="171">
        <v>1.49</v>
      </c>
    </row>
    <row r="330" spans="1:12" x14ac:dyDescent="0.2">
      <c r="A330" s="175">
        <v>38645</v>
      </c>
      <c r="B330" s="176">
        <v>2.09</v>
      </c>
      <c r="K330" s="170">
        <v>40452</v>
      </c>
      <c r="L330" s="171">
        <v>1.49</v>
      </c>
    </row>
    <row r="331" spans="1:12" x14ac:dyDescent="0.2">
      <c r="A331" s="175">
        <v>38646</v>
      </c>
      <c r="B331" s="176">
        <v>2.0699999999999998</v>
      </c>
      <c r="K331" s="170">
        <v>40459</v>
      </c>
      <c r="L331" s="171">
        <v>1.36</v>
      </c>
    </row>
    <row r="332" spans="1:12" x14ac:dyDescent="0.2">
      <c r="A332" s="175">
        <v>38649</v>
      </c>
      <c r="B332" s="176">
        <v>2.11</v>
      </c>
      <c r="K332" s="170">
        <v>40466</v>
      </c>
      <c r="L332" s="171">
        <v>1.28</v>
      </c>
    </row>
    <row r="333" spans="1:12" x14ac:dyDescent="0.2">
      <c r="A333" s="175">
        <v>38650</v>
      </c>
      <c r="B333" s="176">
        <v>2.1800000000000002</v>
      </c>
      <c r="K333" s="170">
        <v>40473</v>
      </c>
      <c r="L333" s="171">
        <v>1.28</v>
      </c>
    </row>
    <row r="334" spans="1:12" x14ac:dyDescent="0.2">
      <c r="A334" s="175">
        <v>38651</v>
      </c>
      <c r="B334" s="176">
        <v>2.21</v>
      </c>
      <c r="K334" s="170">
        <v>40480</v>
      </c>
      <c r="L334" s="171">
        <v>1.33</v>
      </c>
    </row>
    <row r="335" spans="1:12" x14ac:dyDescent="0.2">
      <c r="A335" s="175">
        <v>38652</v>
      </c>
      <c r="B335" s="176">
        <v>2.15</v>
      </c>
      <c r="K335" s="170">
        <v>40487</v>
      </c>
      <c r="L335" s="171">
        <v>1.22</v>
      </c>
    </row>
    <row r="336" spans="1:12" x14ac:dyDescent="0.2">
      <c r="A336" s="175">
        <v>38653</v>
      </c>
      <c r="B336" s="176">
        <v>2.14</v>
      </c>
      <c r="K336" s="170">
        <v>40494</v>
      </c>
      <c r="L336" s="171">
        <v>1.37</v>
      </c>
    </row>
    <row r="337" spans="1:12" x14ac:dyDescent="0.2">
      <c r="A337" s="175">
        <v>38656</v>
      </c>
      <c r="B337" s="176">
        <v>2.13</v>
      </c>
      <c r="K337" s="170">
        <v>40501</v>
      </c>
      <c r="L337" s="171">
        <v>1.64</v>
      </c>
    </row>
    <row r="338" spans="1:12" x14ac:dyDescent="0.2">
      <c r="A338" s="175">
        <v>38657</v>
      </c>
      <c r="B338" s="176">
        <v>2.14</v>
      </c>
      <c r="K338" s="170">
        <v>40508</v>
      </c>
      <c r="L338" s="171">
        <v>1.5</v>
      </c>
    </row>
    <row r="339" spans="1:12" x14ac:dyDescent="0.2">
      <c r="A339" s="175">
        <v>38658</v>
      </c>
      <c r="B339" s="176">
        <v>2.15</v>
      </c>
      <c r="K339" s="170">
        <v>40515</v>
      </c>
      <c r="L339" s="171">
        <v>1.53</v>
      </c>
    </row>
    <row r="340" spans="1:12" x14ac:dyDescent="0.2">
      <c r="A340" s="175">
        <v>38659</v>
      </c>
      <c r="B340" s="176">
        <v>2.1800000000000002</v>
      </c>
      <c r="K340" s="170">
        <v>40522</v>
      </c>
      <c r="L340" s="171">
        <v>1.68</v>
      </c>
    </row>
    <row r="341" spans="1:12" x14ac:dyDescent="0.2">
      <c r="A341" s="175">
        <v>38660</v>
      </c>
      <c r="B341" s="176">
        <v>2.2000000000000002</v>
      </c>
      <c r="K341" s="170">
        <v>40529</v>
      </c>
      <c r="L341" s="171">
        <v>1.74</v>
      </c>
    </row>
    <row r="342" spans="1:12" x14ac:dyDescent="0.2">
      <c r="A342" s="175">
        <v>38663</v>
      </c>
      <c r="B342" s="176">
        <v>2.16</v>
      </c>
      <c r="K342" s="170">
        <v>40536</v>
      </c>
      <c r="L342" s="171">
        <v>1.65</v>
      </c>
    </row>
    <row r="343" spans="1:12" x14ac:dyDescent="0.2">
      <c r="A343" s="175">
        <v>38664</v>
      </c>
      <c r="B343" s="176">
        <v>2.13</v>
      </c>
      <c r="K343" s="170">
        <v>40543</v>
      </c>
      <c r="L343" s="171">
        <v>1.66</v>
      </c>
    </row>
    <row r="344" spans="1:12" x14ac:dyDescent="0.2">
      <c r="A344" s="175">
        <v>38665</v>
      </c>
      <c r="B344" s="176">
        <v>2.19</v>
      </c>
      <c r="K344" s="170">
        <v>40550</v>
      </c>
      <c r="L344" s="171">
        <v>1.65</v>
      </c>
    </row>
    <row r="345" spans="1:12" x14ac:dyDescent="0.2">
      <c r="A345" s="175">
        <v>38666</v>
      </c>
      <c r="B345" s="176">
        <v>2.15</v>
      </c>
      <c r="K345" s="170">
        <v>40557</v>
      </c>
      <c r="L345" s="171">
        <v>1.63</v>
      </c>
    </row>
    <row r="346" spans="1:12" x14ac:dyDescent="0.2">
      <c r="A346" s="175">
        <v>38667</v>
      </c>
      <c r="B346" s="176" t="e">
        <f>NA()</f>
        <v>#N/A</v>
      </c>
      <c r="K346" s="170">
        <v>40564</v>
      </c>
      <c r="L346" s="171">
        <v>1.72</v>
      </c>
    </row>
    <row r="347" spans="1:12" x14ac:dyDescent="0.2">
      <c r="A347" s="175">
        <v>38670</v>
      </c>
      <c r="B347" s="176">
        <v>2.21</v>
      </c>
      <c r="K347" s="170">
        <v>40571</v>
      </c>
      <c r="L347" s="171">
        <v>1.79</v>
      </c>
    </row>
    <row r="348" spans="1:12" x14ac:dyDescent="0.2">
      <c r="A348" s="175">
        <v>38671</v>
      </c>
      <c r="B348" s="176">
        <v>2.16</v>
      </c>
      <c r="K348" s="170">
        <v>40578</v>
      </c>
      <c r="L348" s="171">
        <v>1.84</v>
      </c>
    </row>
    <row r="349" spans="1:12" x14ac:dyDescent="0.2">
      <c r="A349" s="175">
        <v>38672</v>
      </c>
      <c r="B349" s="176">
        <v>2.12</v>
      </c>
      <c r="K349" s="170">
        <v>40585</v>
      </c>
      <c r="L349" s="171">
        <v>1.94</v>
      </c>
    </row>
    <row r="350" spans="1:12" x14ac:dyDescent="0.2">
      <c r="A350" s="175">
        <v>38673</v>
      </c>
      <c r="B350" s="177">
        <v>2.1</v>
      </c>
      <c r="K350" s="170">
        <v>40592</v>
      </c>
      <c r="L350" s="171">
        <v>1.91</v>
      </c>
    </row>
    <row r="351" spans="1:12" x14ac:dyDescent="0.2">
      <c r="A351" s="175">
        <v>38674</v>
      </c>
      <c r="B351" s="176">
        <v>2.15</v>
      </c>
      <c r="K351" s="170">
        <v>40599</v>
      </c>
      <c r="L351" s="171">
        <v>1.72</v>
      </c>
    </row>
    <row r="352" spans="1:12" x14ac:dyDescent="0.2">
      <c r="A352" s="175">
        <v>38677</v>
      </c>
      <c r="B352" s="176">
        <v>2.14</v>
      </c>
      <c r="K352" s="170">
        <v>40606</v>
      </c>
      <c r="L352" s="171">
        <v>1.65</v>
      </c>
    </row>
    <row r="353" spans="1:12" x14ac:dyDescent="0.2">
      <c r="A353" s="175">
        <v>38678</v>
      </c>
      <c r="B353" s="176">
        <v>2.13</v>
      </c>
      <c r="K353" s="170">
        <v>40613</v>
      </c>
      <c r="L353" s="171">
        <v>1.6</v>
      </c>
    </row>
    <row r="354" spans="1:12" x14ac:dyDescent="0.2">
      <c r="A354" s="175">
        <v>38679</v>
      </c>
      <c r="B354" s="176">
        <v>2.1800000000000002</v>
      </c>
      <c r="K354" s="170">
        <v>40620</v>
      </c>
      <c r="L354" s="171">
        <v>1.52</v>
      </c>
    </row>
    <row r="355" spans="1:12" x14ac:dyDescent="0.2">
      <c r="A355" s="175">
        <v>38680</v>
      </c>
      <c r="B355" s="176" t="e">
        <f>NA()</f>
        <v>#N/A</v>
      </c>
      <c r="K355" s="170">
        <v>40627</v>
      </c>
      <c r="L355" s="171">
        <v>1.56</v>
      </c>
    </row>
    <row r="356" spans="1:12" x14ac:dyDescent="0.2">
      <c r="A356" s="175">
        <v>38681</v>
      </c>
      <c r="B356" s="176">
        <v>2.15</v>
      </c>
      <c r="K356" s="170">
        <v>40634</v>
      </c>
      <c r="L356" s="171">
        <v>1.58</v>
      </c>
    </row>
    <row r="357" spans="1:12" x14ac:dyDescent="0.2">
      <c r="A357" s="175">
        <v>38684</v>
      </c>
      <c r="B357" s="176">
        <v>2.13</v>
      </c>
      <c r="K357" s="170">
        <v>40641</v>
      </c>
      <c r="L357" s="171">
        <v>1.56</v>
      </c>
    </row>
    <row r="358" spans="1:12" x14ac:dyDescent="0.2">
      <c r="A358" s="175">
        <v>38685</v>
      </c>
      <c r="B358" s="176">
        <v>2.1800000000000002</v>
      </c>
      <c r="K358" s="170">
        <v>40648</v>
      </c>
      <c r="L358" s="171">
        <v>1.48</v>
      </c>
    </row>
    <row r="359" spans="1:12" x14ac:dyDescent="0.2">
      <c r="A359" s="175">
        <v>38686</v>
      </c>
      <c r="B359" s="177">
        <v>2.17</v>
      </c>
      <c r="K359" s="170">
        <v>40655</v>
      </c>
      <c r="L359" s="171">
        <v>1.41</v>
      </c>
    </row>
    <row r="360" spans="1:12" x14ac:dyDescent="0.2">
      <c r="A360" s="175">
        <v>38687</v>
      </c>
      <c r="B360" s="176">
        <v>2.21</v>
      </c>
      <c r="K360" s="170">
        <v>40662</v>
      </c>
      <c r="L360" s="171">
        <v>1.44</v>
      </c>
    </row>
    <row r="361" spans="1:12" x14ac:dyDescent="0.2">
      <c r="A361" s="175">
        <v>38688</v>
      </c>
      <c r="B361" s="176">
        <v>2.21</v>
      </c>
      <c r="K361" s="170">
        <v>40669</v>
      </c>
      <c r="L361" s="171">
        <v>1.4</v>
      </c>
    </row>
    <row r="362" spans="1:12" x14ac:dyDescent="0.2">
      <c r="A362" s="175">
        <v>38691</v>
      </c>
      <c r="B362" s="176">
        <v>2.2200000000000002</v>
      </c>
      <c r="K362" s="170">
        <v>40676</v>
      </c>
      <c r="L362" s="171">
        <v>1.44</v>
      </c>
    </row>
    <row r="363" spans="1:12" x14ac:dyDescent="0.2">
      <c r="A363" s="175">
        <v>38692</v>
      </c>
      <c r="B363" s="176">
        <v>2.1800000000000002</v>
      </c>
      <c r="K363" s="170">
        <v>40683</v>
      </c>
      <c r="L363" s="171">
        <v>1.53</v>
      </c>
    </row>
    <row r="364" spans="1:12" x14ac:dyDescent="0.2">
      <c r="A364" s="175">
        <v>38693</v>
      </c>
      <c r="B364" s="176">
        <v>2.23</v>
      </c>
      <c r="K364" s="170">
        <v>40690</v>
      </c>
      <c r="L364" s="171">
        <v>1.51</v>
      </c>
    </row>
    <row r="365" spans="1:12" x14ac:dyDescent="0.2">
      <c r="A365" s="175">
        <v>38694</v>
      </c>
      <c r="B365" s="176">
        <v>2.19</v>
      </c>
      <c r="K365" s="170">
        <v>40697</v>
      </c>
      <c r="L365" s="171">
        <v>1.52</v>
      </c>
    </row>
    <row r="366" spans="1:12" x14ac:dyDescent="0.2">
      <c r="A366" s="175">
        <v>38695</v>
      </c>
      <c r="B366" s="176">
        <v>2.23</v>
      </c>
      <c r="K366" s="170">
        <v>40704</v>
      </c>
      <c r="L366" s="171">
        <v>1.61</v>
      </c>
    </row>
    <row r="367" spans="1:12" x14ac:dyDescent="0.2">
      <c r="A367" s="175">
        <v>38698</v>
      </c>
      <c r="B367" s="176">
        <v>2.2200000000000002</v>
      </c>
      <c r="K367" s="170">
        <v>40711</v>
      </c>
      <c r="L367" s="171">
        <v>1.55</v>
      </c>
    </row>
    <row r="368" spans="1:12" x14ac:dyDescent="0.2">
      <c r="A368" s="175">
        <v>38699</v>
      </c>
      <c r="B368" s="176">
        <v>2.21</v>
      </c>
      <c r="K368" s="170">
        <v>40718</v>
      </c>
      <c r="L368" s="171">
        <v>1.49</v>
      </c>
    </row>
    <row r="369" spans="1:12" x14ac:dyDescent="0.2">
      <c r="A369" s="175">
        <v>38700</v>
      </c>
      <c r="B369" s="176">
        <v>2.15</v>
      </c>
      <c r="K369" s="170">
        <v>40725</v>
      </c>
      <c r="L369" s="171">
        <v>1.46</v>
      </c>
    </row>
    <row r="370" spans="1:12" x14ac:dyDescent="0.2">
      <c r="A370" s="175">
        <v>38701</v>
      </c>
      <c r="B370" s="176">
        <v>2.16</v>
      </c>
      <c r="K370" s="170">
        <v>40732</v>
      </c>
      <c r="L370" s="171">
        <v>1.48</v>
      </c>
    </row>
    <row r="371" spans="1:12" x14ac:dyDescent="0.2">
      <c r="A371" s="175">
        <v>38702</v>
      </c>
      <c r="B371" s="176">
        <v>2.14</v>
      </c>
      <c r="K371" s="170">
        <v>40739</v>
      </c>
      <c r="L371" s="171">
        <v>1.35</v>
      </c>
    </row>
    <row r="372" spans="1:12" x14ac:dyDescent="0.2">
      <c r="A372" s="175">
        <v>38705</v>
      </c>
      <c r="B372" s="176">
        <v>2.12</v>
      </c>
      <c r="K372" s="170">
        <v>40746</v>
      </c>
      <c r="L372" s="171">
        <v>1.35</v>
      </c>
    </row>
    <row r="373" spans="1:12" x14ac:dyDescent="0.2">
      <c r="A373" s="175">
        <v>38706</v>
      </c>
      <c r="B373" s="176">
        <v>2.12</v>
      </c>
      <c r="K373" s="170">
        <v>40753</v>
      </c>
      <c r="L373" s="171">
        <v>1.27</v>
      </c>
    </row>
    <row r="374" spans="1:12" x14ac:dyDescent="0.2">
      <c r="A374" s="175">
        <v>38707</v>
      </c>
      <c r="B374" s="176">
        <v>2.12</v>
      </c>
      <c r="K374" s="170">
        <v>40760</v>
      </c>
      <c r="L374" s="171">
        <v>1</v>
      </c>
    </row>
    <row r="375" spans="1:12" x14ac:dyDescent="0.2">
      <c r="A375" s="175">
        <v>38708</v>
      </c>
      <c r="B375" s="176">
        <v>2.09</v>
      </c>
      <c r="K375" s="170">
        <v>40767</v>
      </c>
      <c r="L375" s="171">
        <v>0.8</v>
      </c>
    </row>
    <row r="376" spans="1:12" x14ac:dyDescent="0.2">
      <c r="A376" s="175">
        <v>38709</v>
      </c>
      <c r="B376" s="176">
        <v>2.04</v>
      </c>
      <c r="K376" s="170">
        <v>40774</v>
      </c>
      <c r="L376" s="171">
        <v>0.69</v>
      </c>
    </row>
    <row r="377" spans="1:12" x14ac:dyDescent="0.2">
      <c r="A377" s="175">
        <v>38712</v>
      </c>
      <c r="B377" s="176" t="e">
        <f>NA()</f>
        <v>#N/A</v>
      </c>
      <c r="K377" s="170">
        <v>40781</v>
      </c>
      <c r="L377" s="171">
        <v>0.75</v>
      </c>
    </row>
    <row r="378" spans="1:12" x14ac:dyDescent="0.2">
      <c r="A378" s="175">
        <v>38713</v>
      </c>
      <c r="B378" s="176">
        <v>2.0099999999999998</v>
      </c>
      <c r="K378" s="170">
        <v>40788</v>
      </c>
      <c r="L378" s="171">
        <v>0.75</v>
      </c>
    </row>
    <row r="379" spans="1:12" x14ac:dyDescent="0.2">
      <c r="A379" s="175">
        <v>38714</v>
      </c>
      <c r="B379" s="176">
        <v>2.0499999999999998</v>
      </c>
      <c r="K379" s="170">
        <v>40795</v>
      </c>
      <c r="L379" s="171">
        <v>0.66</v>
      </c>
    </row>
    <row r="380" spans="1:12" x14ac:dyDescent="0.2">
      <c r="A380" s="175">
        <v>38715</v>
      </c>
      <c r="B380" s="176">
        <v>2.04</v>
      </c>
      <c r="K380" s="170">
        <v>40802</v>
      </c>
      <c r="L380" s="171">
        <v>0.72</v>
      </c>
    </row>
    <row r="381" spans="1:12" x14ac:dyDescent="0.2">
      <c r="A381" s="175">
        <v>38716</v>
      </c>
      <c r="B381" s="177">
        <v>2.04</v>
      </c>
      <c r="K381" s="170">
        <v>40809</v>
      </c>
      <c r="L381" s="171">
        <v>0.66</v>
      </c>
    </row>
    <row r="382" spans="1:12" x14ac:dyDescent="0.2">
      <c r="A382" s="175">
        <v>38719</v>
      </c>
      <c r="B382" s="176" t="e">
        <f>NA()</f>
        <v>#N/A</v>
      </c>
      <c r="K382" s="170">
        <v>40816</v>
      </c>
      <c r="L382" s="171">
        <v>0.73</v>
      </c>
    </row>
    <row r="383" spans="1:12" x14ac:dyDescent="0.2">
      <c r="A383" s="175">
        <v>38720</v>
      </c>
      <c r="B383" s="176">
        <v>2.06</v>
      </c>
      <c r="K383" s="170">
        <v>40823</v>
      </c>
      <c r="L383" s="171">
        <v>0.62</v>
      </c>
    </row>
    <row r="384" spans="1:12" x14ac:dyDescent="0.2">
      <c r="A384" s="175">
        <v>38721</v>
      </c>
      <c r="B384" s="176">
        <v>2.02</v>
      </c>
      <c r="K384" s="170">
        <v>40830</v>
      </c>
      <c r="L384" s="171">
        <v>0.8</v>
      </c>
    </row>
    <row r="385" spans="1:12" x14ac:dyDescent="0.2">
      <c r="A385" s="175">
        <v>38722</v>
      </c>
      <c r="B385" s="176">
        <v>2.06</v>
      </c>
      <c r="K385" s="170">
        <v>40837</v>
      </c>
      <c r="L385" s="171">
        <v>0.77</v>
      </c>
    </row>
    <row r="386" spans="1:12" x14ac:dyDescent="0.2">
      <c r="A386" s="175">
        <v>38723</v>
      </c>
      <c r="B386" s="177">
        <v>2.0699999999999998</v>
      </c>
      <c r="K386" s="170">
        <v>40844</v>
      </c>
      <c r="L386" s="171">
        <v>0.74</v>
      </c>
    </row>
    <row r="387" spans="1:12" x14ac:dyDescent="0.2">
      <c r="A387" s="175">
        <v>38726</v>
      </c>
      <c r="B387" s="176">
        <v>2.09</v>
      </c>
      <c r="K387" s="170">
        <v>40851</v>
      </c>
      <c r="L387" s="171">
        <v>0.52</v>
      </c>
    </row>
    <row r="388" spans="1:12" x14ac:dyDescent="0.2">
      <c r="A388" s="175">
        <v>38727</v>
      </c>
      <c r="B388" s="176">
        <v>2.1</v>
      </c>
      <c r="K388" s="170">
        <v>40858</v>
      </c>
      <c r="L388" s="171">
        <v>0.51</v>
      </c>
    </row>
    <row r="389" spans="1:12" x14ac:dyDescent="0.2">
      <c r="A389" s="175">
        <v>38728</v>
      </c>
      <c r="B389" s="176">
        <v>2.11</v>
      </c>
      <c r="K389" s="170">
        <v>40865</v>
      </c>
      <c r="L389" s="171">
        <v>0.59</v>
      </c>
    </row>
    <row r="390" spans="1:12" x14ac:dyDescent="0.2">
      <c r="A390" s="175">
        <v>38729</v>
      </c>
      <c r="B390" s="176">
        <v>2.06</v>
      </c>
      <c r="K390" s="170">
        <v>40872</v>
      </c>
      <c r="L390" s="171">
        <v>0.57999999999999996</v>
      </c>
    </row>
    <row r="391" spans="1:12" x14ac:dyDescent="0.2">
      <c r="A391" s="175">
        <v>38730</v>
      </c>
      <c r="B391" s="176">
        <v>2.0299999999999998</v>
      </c>
      <c r="K391" s="170">
        <v>40879</v>
      </c>
      <c r="L391" s="171">
        <v>0.56999999999999995</v>
      </c>
    </row>
    <row r="392" spans="1:12" x14ac:dyDescent="0.2">
      <c r="A392" s="175">
        <v>38733</v>
      </c>
      <c r="B392" s="176" t="e">
        <f>NA()</f>
        <v>#N/A</v>
      </c>
      <c r="K392" s="170">
        <v>40886</v>
      </c>
      <c r="L392" s="171">
        <v>0.63</v>
      </c>
    </row>
    <row r="393" spans="1:12" x14ac:dyDescent="0.2">
      <c r="A393" s="175">
        <v>38734</v>
      </c>
      <c r="B393" s="176">
        <v>2.0099999999999998</v>
      </c>
      <c r="K393" s="170">
        <v>40893</v>
      </c>
      <c r="L393" s="171">
        <v>0.55000000000000004</v>
      </c>
    </row>
    <row r="394" spans="1:12" x14ac:dyDescent="0.2">
      <c r="A394" s="175">
        <v>38735</v>
      </c>
      <c r="B394" s="176">
        <v>2.02</v>
      </c>
      <c r="K394" s="170">
        <v>40900</v>
      </c>
      <c r="L394" s="171">
        <v>0.51</v>
      </c>
    </row>
    <row r="395" spans="1:12" x14ac:dyDescent="0.2">
      <c r="A395" s="175">
        <v>38736</v>
      </c>
      <c r="B395" s="176">
        <v>2.04</v>
      </c>
      <c r="K395" s="170">
        <v>40907</v>
      </c>
      <c r="L395" s="171">
        <v>0.54</v>
      </c>
    </row>
    <row r="396" spans="1:12" x14ac:dyDescent="0.2">
      <c r="A396" s="175">
        <v>38737</v>
      </c>
      <c r="B396" s="177">
        <v>1.99</v>
      </c>
      <c r="K396" s="170">
        <v>40914</v>
      </c>
      <c r="L396" s="171">
        <v>0.52</v>
      </c>
    </row>
    <row r="397" spans="1:12" x14ac:dyDescent="0.2">
      <c r="A397" s="175">
        <v>38740</v>
      </c>
      <c r="B397" s="176">
        <v>2</v>
      </c>
      <c r="K397" s="170">
        <v>40921</v>
      </c>
      <c r="L397" s="171">
        <v>0.49</v>
      </c>
    </row>
    <row r="398" spans="1:12" x14ac:dyDescent="0.2">
      <c r="A398" s="175">
        <v>38741</v>
      </c>
      <c r="B398" s="176">
        <v>1.99</v>
      </c>
      <c r="K398" s="170">
        <v>40928</v>
      </c>
      <c r="L398" s="171">
        <v>0.52</v>
      </c>
    </row>
    <row r="399" spans="1:12" x14ac:dyDescent="0.2">
      <c r="A399" s="175">
        <v>38742</v>
      </c>
      <c r="B399" s="176">
        <v>2.1</v>
      </c>
      <c r="K399" s="170">
        <v>40935</v>
      </c>
      <c r="L399" s="171">
        <v>0.56000000000000005</v>
      </c>
    </row>
    <row r="400" spans="1:12" x14ac:dyDescent="0.2">
      <c r="A400" s="175">
        <v>38743</v>
      </c>
      <c r="B400" s="176">
        <v>2.08</v>
      </c>
      <c r="K400" s="170">
        <v>40942</v>
      </c>
      <c r="L400" s="171">
        <v>0.44</v>
      </c>
    </row>
    <row r="401" spans="1:12" x14ac:dyDescent="0.2">
      <c r="A401" s="175">
        <v>38744</v>
      </c>
      <c r="B401" s="176">
        <v>2.0499999999999998</v>
      </c>
      <c r="K401" s="170">
        <v>40949</v>
      </c>
      <c r="L401" s="171">
        <v>0.51</v>
      </c>
    </row>
    <row r="402" spans="1:12" x14ac:dyDescent="0.2">
      <c r="A402" s="175">
        <v>38747</v>
      </c>
      <c r="B402" s="176">
        <v>2.0699999999999998</v>
      </c>
      <c r="K402" s="170">
        <v>40956</v>
      </c>
      <c r="L402" s="171">
        <v>0.46</v>
      </c>
    </row>
    <row r="403" spans="1:12" x14ac:dyDescent="0.2">
      <c r="A403" s="175">
        <v>38748</v>
      </c>
      <c r="B403" s="176">
        <v>2.02</v>
      </c>
      <c r="K403" s="170">
        <v>40963</v>
      </c>
      <c r="L403" s="171">
        <v>0.41</v>
      </c>
    </row>
    <row r="404" spans="1:12" x14ac:dyDescent="0.2">
      <c r="A404" s="175">
        <v>38749</v>
      </c>
      <c r="B404" s="176">
        <v>2.0299999999999998</v>
      </c>
      <c r="K404" s="170">
        <v>40970</v>
      </c>
      <c r="L404" s="171">
        <v>0.41</v>
      </c>
    </row>
    <row r="405" spans="1:12" x14ac:dyDescent="0.2">
      <c r="A405" s="175">
        <v>38750</v>
      </c>
      <c r="B405" s="176">
        <v>2.02</v>
      </c>
      <c r="K405" s="170">
        <v>40977</v>
      </c>
      <c r="L405" s="171">
        <v>0.52</v>
      </c>
    </row>
    <row r="406" spans="1:12" x14ac:dyDescent="0.2">
      <c r="A406" s="175">
        <v>38751</v>
      </c>
      <c r="B406" s="176">
        <v>1.96</v>
      </c>
      <c r="K406" s="170">
        <v>40984</v>
      </c>
      <c r="L406" s="171">
        <v>0.56999999999999995</v>
      </c>
    </row>
    <row r="407" spans="1:12" x14ac:dyDescent="0.2">
      <c r="A407" s="175">
        <v>38754</v>
      </c>
      <c r="B407" s="176">
        <v>1.95</v>
      </c>
      <c r="K407" s="170">
        <v>40991</v>
      </c>
      <c r="L407" s="171">
        <v>0.6</v>
      </c>
    </row>
    <row r="408" spans="1:12" x14ac:dyDescent="0.2">
      <c r="A408" s="175">
        <v>38755</v>
      </c>
      <c r="B408" s="176">
        <v>1.99</v>
      </c>
      <c r="K408" s="170">
        <v>40998</v>
      </c>
      <c r="L408" s="171">
        <v>0.57999999999999996</v>
      </c>
    </row>
    <row r="409" spans="1:12" x14ac:dyDescent="0.2">
      <c r="A409" s="175">
        <v>38756</v>
      </c>
      <c r="B409" s="176">
        <v>2.02</v>
      </c>
      <c r="K409" s="170">
        <v>41005</v>
      </c>
      <c r="L409" s="171">
        <v>0.57999999999999996</v>
      </c>
    </row>
    <row r="410" spans="1:12" x14ac:dyDescent="0.2">
      <c r="A410" s="175">
        <v>38757</v>
      </c>
      <c r="B410" s="176">
        <v>1.99</v>
      </c>
      <c r="K410" s="170">
        <v>41012</v>
      </c>
      <c r="L410" s="171">
        <v>0.47</v>
      </c>
    </row>
    <row r="411" spans="1:12" x14ac:dyDescent="0.2">
      <c r="A411" s="175">
        <v>38758</v>
      </c>
      <c r="B411" s="176">
        <v>2.02</v>
      </c>
      <c r="K411" s="170">
        <v>41019</v>
      </c>
      <c r="L411" s="171">
        <v>0.46</v>
      </c>
    </row>
    <row r="412" spans="1:12" x14ac:dyDescent="0.2">
      <c r="A412" s="175">
        <v>38761</v>
      </c>
      <c r="B412" s="176">
        <v>2.02</v>
      </c>
      <c r="K412" s="170">
        <v>41026</v>
      </c>
      <c r="L412" s="171">
        <v>0.49</v>
      </c>
    </row>
    <row r="413" spans="1:12" x14ac:dyDescent="0.2">
      <c r="A413" s="175">
        <v>38762</v>
      </c>
      <c r="B413" s="176">
        <v>2.08</v>
      </c>
      <c r="K413" s="170">
        <v>41033</v>
      </c>
      <c r="L413" s="171">
        <v>0.51</v>
      </c>
    </row>
    <row r="414" spans="1:12" x14ac:dyDescent="0.2">
      <c r="A414" s="175">
        <v>38763</v>
      </c>
      <c r="B414" s="176">
        <v>2.0699999999999998</v>
      </c>
      <c r="K414" s="170">
        <v>41040</v>
      </c>
      <c r="L414" s="171">
        <v>0.6</v>
      </c>
    </row>
    <row r="415" spans="1:12" x14ac:dyDescent="0.2">
      <c r="A415" s="175">
        <v>38764</v>
      </c>
      <c r="B415" s="176">
        <v>2.04</v>
      </c>
      <c r="K415" s="170">
        <v>41047</v>
      </c>
      <c r="L415" s="171">
        <v>0.45</v>
      </c>
    </row>
    <row r="416" spans="1:12" x14ac:dyDescent="0.2">
      <c r="A416" s="175">
        <v>38765</v>
      </c>
      <c r="B416" s="176">
        <v>1.99</v>
      </c>
      <c r="K416" s="170">
        <v>41054</v>
      </c>
      <c r="L416" s="171">
        <v>0.33</v>
      </c>
    </row>
    <row r="417" spans="1:12" x14ac:dyDescent="0.2">
      <c r="A417" s="175">
        <v>38768</v>
      </c>
      <c r="B417" s="176" t="e">
        <f>NA()</f>
        <v>#N/A</v>
      </c>
      <c r="K417" s="170">
        <v>41061</v>
      </c>
      <c r="L417" s="171">
        <v>0.16</v>
      </c>
    </row>
    <row r="418" spans="1:12" x14ac:dyDescent="0.2">
      <c r="A418" s="175">
        <v>38769</v>
      </c>
      <c r="B418" s="176">
        <v>2.0099999999999998</v>
      </c>
      <c r="K418" s="170">
        <v>41068</v>
      </c>
      <c r="L418" s="171">
        <v>0.06</v>
      </c>
    </row>
    <row r="419" spans="1:12" x14ac:dyDescent="0.2">
      <c r="A419" s="175">
        <v>38770</v>
      </c>
      <c r="B419" s="176">
        <v>1.98</v>
      </c>
      <c r="K419" s="170">
        <v>41075</v>
      </c>
      <c r="L419" s="171">
        <v>0.11</v>
      </c>
    </row>
    <row r="420" spans="1:12" x14ac:dyDescent="0.2">
      <c r="A420" s="175">
        <v>38771</v>
      </c>
      <c r="B420" s="176">
        <v>2</v>
      </c>
      <c r="K420" s="170">
        <v>41082</v>
      </c>
      <c r="L420" s="171">
        <v>0.12</v>
      </c>
    </row>
    <row r="421" spans="1:12" x14ac:dyDescent="0.2">
      <c r="A421" s="175">
        <v>38772</v>
      </c>
      <c r="B421" s="177">
        <v>1.98</v>
      </c>
      <c r="K421" s="170">
        <v>41089</v>
      </c>
      <c r="L421" s="171">
        <v>0.12</v>
      </c>
    </row>
    <row r="422" spans="1:12" x14ac:dyDescent="0.2">
      <c r="A422" s="175">
        <v>38775</v>
      </c>
      <c r="B422" s="176">
        <v>2.0099999999999998</v>
      </c>
      <c r="K422" s="170">
        <v>41096</v>
      </c>
      <c r="L422" s="171">
        <v>0.11</v>
      </c>
    </row>
    <row r="423" spans="1:12" x14ac:dyDescent="0.2">
      <c r="A423" s="175">
        <v>38776</v>
      </c>
      <c r="B423" s="176">
        <v>1.98</v>
      </c>
      <c r="K423" s="170">
        <v>41103</v>
      </c>
      <c r="L423" s="171">
        <v>0.01</v>
      </c>
    </row>
    <row r="424" spans="1:12" x14ac:dyDescent="0.2">
      <c r="A424" s="175">
        <v>38777</v>
      </c>
      <c r="B424" s="176">
        <v>2</v>
      </c>
      <c r="K424" s="170">
        <v>41110</v>
      </c>
      <c r="L424" s="171">
        <v>-0.02</v>
      </c>
    </row>
    <row r="425" spans="1:12" x14ac:dyDescent="0.2">
      <c r="A425" s="175">
        <v>38778</v>
      </c>
      <c r="B425" s="176">
        <v>2.0299999999999998</v>
      </c>
      <c r="K425" s="170">
        <v>41117</v>
      </c>
      <c r="L425" s="171">
        <v>-0.08</v>
      </c>
    </row>
    <row r="426" spans="1:12" x14ac:dyDescent="0.2">
      <c r="A426" s="175">
        <v>38779</v>
      </c>
      <c r="B426" s="176">
        <v>2.04</v>
      </c>
      <c r="K426" s="170">
        <v>41124</v>
      </c>
      <c r="L426" s="171">
        <v>-7.0000000000000007E-2</v>
      </c>
    </row>
    <row r="427" spans="1:12" x14ac:dyDescent="0.2">
      <c r="A427" s="175">
        <v>38782</v>
      </c>
      <c r="B427" s="176">
        <v>2.11</v>
      </c>
      <c r="K427" s="170">
        <v>41131</v>
      </c>
      <c r="L427" s="171">
        <v>0</v>
      </c>
    </row>
    <row r="428" spans="1:12" x14ac:dyDescent="0.2">
      <c r="A428" s="175">
        <v>38783</v>
      </c>
      <c r="B428" s="176">
        <v>2.11</v>
      </c>
      <c r="K428" s="170">
        <v>41138</v>
      </c>
      <c r="L428" s="171">
        <v>0.17</v>
      </c>
    </row>
    <row r="429" spans="1:12" x14ac:dyDescent="0.2">
      <c r="A429" s="175">
        <v>38784</v>
      </c>
      <c r="B429" s="176">
        <v>2.15</v>
      </c>
      <c r="K429" s="170">
        <v>41145</v>
      </c>
      <c r="L429" s="171">
        <v>0.14000000000000001</v>
      </c>
    </row>
    <row r="430" spans="1:12" x14ac:dyDescent="0.2">
      <c r="A430" s="175">
        <v>38785</v>
      </c>
      <c r="B430" s="176">
        <v>2.15</v>
      </c>
      <c r="K430" s="170">
        <v>41152</v>
      </c>
      <c r="L430" s="171">
        <v>0.02</v>
      </c>
    </row>
    <row r="431" spans="1:12" x14ac:dyDescent="0.2">
      <c r="A431" s="175">
        <v>38786</v>
      </c>
      <c r="B431" s="176">
        <v>2.17</v>
      </c>
      <c r="K431" s="170">
        <v>41159</v>
      </c>
      <c r="L431" s="171">
        <v>0.02</v>
      </c>
    </row>
    <row r="432" spans="1:12" x14ac:dyDescent="0.2">
      <c r="A432" s="175">
        <v>38789</v>
      </c>
      <c r="B432" s="176">
        <v>2.2000000000000002</v>
      </c>
      <c r="K432" s="170">
        <v>41166</v>
      </c>
      <c r="L432" s="171">
        <v>0.04</v>
      </c>
    </row>
    <row r="433" spans="1:12" x14ac:dyDescent="0.2">
      <c r="A433" s="175">
        <v>38790</v>
      </c>
      <c r="B433" s="176">
        <v>2.15</v>
      </c>
      <c r="K433" s="170">
        <v>41173</v>
      </c>
      <c r="L433" s="171">
        <v>0.04</v>
      </c>
    </row>
    <row r="434" spans="1:12" x14ac:dyDescent="0.2">
      <c r="A434" s="175">
        <v>38791</v>
      </c>
      <c r="B434" s="176">
        <v>2.17</v>
      </c>
      <c r="K434" s="170">
        <v>41180</v>
      </c>
      <c r="L434" s="171">
        <v>0</v>
      </c>
    </row>
    <row r="435" spans="1:12" x14ac:dyDescent="0.2">
      <c r="A435" s="175">
        <v>38792</v>
      </c>
      <c r="B435" s="176">
        <v>2.13</v>
      </c>
      <c r="K435" s="170">
        <v>41187</v>
      </c>
      <c r="L435" s="171">
        <v>-0.06</v>
      </c>
    </row>
    <row r="436" spans="1:12" x14ac:dyDescent="0.2">
      <c r="A436" s="175">
        <v>38793</v>
      </c>
      <c r="B436" s="176">
        <v>2.16</v>
      </c>
      <c r="K436" s="170">
        <v>41194</v>
      </c>
      <c r="L436" s="171">
        <v>-0.03</v>
      </c>
    </row>
    <row r="437" spans="1:12" x14ac:dyDescent="0.2">
      <c r="A437" s="175">
        <v>38796</v>
      </c>
      <c r="B437" s="176">
        <v>2.15</v>
      </c>
      <c r="K437" s="170">
        <v>41201</v>
      </c>
      <c r="L437" s="171">
        <v>0.04</v>
      </c>
    </row>
    <row r="438" spans="1:12" x14ac:dyDescent="0.2">
      <c r="A438" s="175">
        <v>38797</v>
      </c>
      <c r="B438" s="176">
        <v>2.21</v>
      </c>
      <c r="K438" s="170">
        <v>41208</v>
      </c>
      <c r="L438" s="171">
        <v>0.02</v>
      </c>
    </row>
    <row r="439" spans="1:12" x14ac:dyDescent="0.2">
      <c r="A439" s="175">
        <v>38798</v>
      </c>
      <c r="B439" s="176">
        <v>2.2000000000000002</v>
      </c>
      <c r="K439" s="170">
        <v>41215</v>
      </c>
      <c r="L439" s="171">
        <v>-0.05</v>
      </c>
    </row>
    <row r="440" spans="1:12" x14ac:dyDescent="0.2">
      <c r="A440" s="175">
        <v>38799</v>
      </c>
      <c r="B440" s="176">
        <v>2.21</v>
      </c>
      <c r="K440" s="170">
        <v>41222</v>
      </c>
      <c r="L440" s="171">
        <v>-0.09</v>
      </c>
    </row>
    <row r="441" spans="1:12" x14ac:dyDescent="0.2">
      <c r="A441" s="175">
        <v>38800</v>
      </c>
      <c r="B441" s="176">
        <v>2.16</v>
      </c>
      <c r="K441" s="170">
        <v>41229</v>
      </c>
      <c r="L441" s="171">
        <v>-0.14000000000000001</v>
      </c>
    </row>
    <row r="442" spans="1:12" x14ac:dyDescent="0.2">
      <c r="A442" s="175">
        <v>38803</v>
      </c>
      <c r="B442" s="176">
        <v>2.21</v>
      </c>
      <c r="K442" s="170">
        <v>41236</v>
      </c>
      <c r="L442" s="171">
        <v>-0.03</v>
      </c>
    </row>
    <row r="443" spans="1:12" x14ac:dyDescent="0.2">
      <c r="A443" s="175">
        <v>38804</v>
      </c>
      <c r="B443" s="176">
        <v>2.2799999999999998</v>
      </c>
      <c r="K443" s="170">
        <v>41243</v>
      </c>
      <c r="L443" s="171">
        <v>0</v>
      </c>
    </row>
    <row r="444" spans="1:12" x14ac:dyDescent="0.2">
      <c r="A444" s="175">
        <v>38805</v>
      </c>
      <c r="B444" s="176">
        <v>2.31</v>
      </c>
      <c r="K444" s="170">
        <v>41250</v>
      </c>
      <c r="L444" s="171">
        <v>-0.09</v>
      </c>
    </row>
    <row r="445" spans="1:12" x14ac:dyDescent="0.2">
      <c r="A445" s="175">
        <v>38806</v>
      </c>
      <c r="B445" s="176">
        <v>2.34</v>
      </c>
      <c r="K445" s="170">
        <v>41257</v>
      </c>
      <c r="L445" s="171">
        <v>-0.04</v>
      </c>
    </row>
    <row r="446" spans="1:12" x14ac:dyDescent="0.2">
      <c r="A446" s="175">
        <v>38807</v>
      </c>
      <c r="B446" s="176">
        <v>2.33</v>
      </c>
      <c r="K446" s="170">
        <v>41264</v>
      </c>
      <c r="L446" s="171">
        <v>7.0000000000000007E-2</v>
      </c>
    </row>
    <row r="447" spans="1:12" x14ac:dyDescent="0.2">
      <c r="A447" s="175">
        <v>38810</v>
      </c>
      <c r="B447" s="176">
        <v>2.34</v>
      </c>
      <c r="K447" s="170">
        <v>41271</v>
      </c>
      <c r="L447" s="171">
        <v>0.05</v>
      </c>
    </row>
    <row r="448" spans="1:12" x14ac:dyDescent="0.2">
      <c r="A448" s="175">
        <v>38811</v>
      </c>
      <c r="B448" s="176">
        <v>2.36</v>
      </c>
      <c r="K448" s="170">
        <v>41278</v>
      </c>
      <c r="L448" s="171">
        <v>0.24</v>
      </c>
    </row>
    <row r="449" spans="1:12" x14ac:dyDescent="0.2">
      <c r="A449" s="175">
        <v>38812</v>
      </c>
      <c r="B449" s="176">
        <v>2.33</v>
      </c>
      <c r="K449" s="170">
        <v>41285</v>
      </c>
      <c r="L449" s="171">
        <v>0.18</v>
      </c>
    </row>
    <row r="450" spans="1:12" x14ac:dyDescent="0.2">
      <c r="A450" s="175">
        <v>38813</v>
      </c>
      <c r="B450" s="176">
        <v>2.37</v>
      </c>
      <c r="K450" s="170">
        <v>41292</v>
      </c>
      <c r="L450" s="171">
        <v>0.16</v>
      </c>
    </row>
    <row r="451" spans="1:12" x14ac:dyDescent="0.2">
      <c r="A451" s="175">
        <v>38814</v>
      </c>
      <c r="B451" s="176">
        <v>2.4300000000000002</v>
      </c>
      <c r="K451" s="170">
        <v>41299</v>
      </c>
      <c r="L451" s="171">
        <v>0.19</v>
      </c>
    </row>
    <row r="452" spans="1:12" x14ac:dyDescent="0.2">
      <c r="A452" s="175">
        <v>38817</v>
      </c>
      <c r="B452" s="176">
        <v>2.42</v>
      </c>
      <c r="K452" s="170">
        <v>41306</v>
      </c>
      <c r="L452" s="171">
        <v>0.23</v>
      </c>
    </row>
    <row r="453" spans="1:12" x14ac:dyDescent="0.2">
      <c r="A453" s="175">
        <v>38818</v>
      </c>
      <c r="B453" s="176">
        <v>2.39</v>
      </c>
      <c r="K453" s="170">
        <v>41313</v>
      </c>
      <c r="L453" s="171">
        <v>0.2</v>
      </c>
    </row>
    <row r="454" spans="1:12" x14ac:dyDescent="0.2">
      <c r="A454" s="175">
        <v>38819</v>
      </c>
      <c r="B454" s="176">
        <v>2.44</v>
      </c>
      <c r="K454" s="170">
        <v>41320</v>
      </c>
      <c r="L454" s="171">
        <v>0.21</v>
      </c>
    </row>
    <row r="455" spans="1:12" x14ac:dyDescent="0.2">
      <c r="A455" s="175">
        <v>38820</v>
      </c>
      <c r="B455" s="176">
        <v>2.5</v>
      </c>
      <c r="K455" s="170">
        <v>41327</v>
      </c>
      <c r="L455" s="171">
        <v>0.21</v>
      </c>
    </row>
    <row r="456" spans="1:12" x14ac:dyDescent="0.2">
      <c r="A456" s="175">
        <v>38821</v>
      </c>
      <c r="B456" s="176" t="e">
        <f>NA()</f>
        <v>#N/A</v>
      </c>
      <c r="K456" s="170">
        <v>41334</v>
      </c>
      <c r="L456" s="171">
        <v>0.12</v>
      </c>
    </row>
    <row r="457" spans="1:12" x14ac:dyDescent="0.2">
      <c r="A457" s="175">
        <v>38824</v>
      </c>
      <c r="B457" s="176">
        <v>2.4500000000000002</v>
      </c>
      <c r="K457" s="170">
        <v>41341</v>
      </c>
      <c r="L457" s="171">
        <v>0.17</v>
      </c>
    </row>
    <row r="458" spans="1:12" x14ac:dyDescent="0.2">
      <c r="A458" s="175">
        <v>38825</v>
      </c>
      <c r="B458" s="176">
        <v>2.42</v>
      </c>
      <c r="K458" s="170">
        <v>41348</v>
      </c>
      <c r="L458" s="171">
        <v>0.25</v>
      </c>
    </row>
    <row r="459" spans="1:12" x14ac:dyDescent="0.2">
      <c r="A459" s="175">
        <v>38826</v>
      </c>
      <c r="B459" s="176">
        <v>2.44</v>
      </c>
      <c r="K459" s="170">
        <v>41355</v>
      </c>
      <c r="L459" s="171">
        <v>0.2</v>
      </c>
    </row>
    <row r="460" spans="1:12" x14ac:dyDescent="0.2">
      <c r="A460" s="175">
        <v>38827</v>
      </c>
      <c r="B460" s="177">
        <v>2.46</v>
      </c>
      <c r="K460" s="170">
        <v>41362</v>
      </c>
      <c r="L460" s="171">
        <v>0.17</v>
      </c>
    </row>
    <row r="461" spans="1:12" x14ac:dyDescent="0.2">
      <c r="A461" s="175">
        <v>38828</v>
      </c>
      <c r="B461" s="176">
        <v>2.4300000000000002</v>
      </c>
      <c r="K461" s="170">
        <v>41369</v>
      </c>
      <c r="L461" s="171">
        <v>0.09</v>
      </c>
    </row>
    <row r="462" spans="1:12" x14ac:dyDescent="0.2">
      <c r="A462" s="175">
        <v>38831</v>
      </c>
      <c r="B462" s="176">
        <v>2.4300000000000002</v>
      </c>
      <c r="K462" s="170">
        <v>41376</v>
      </c>
      <c r="L462" s="171">
        <v>0.08</v>
      </c>
    </row>
    <row r="463" spans="1:12" x14ac:dyDescent="0.2">
      <c r="A463" s="175">
        <v>38832</v>
      </c>
      <c r="B463" s="176">
        <v>2.5099999999999998</v>
      </c>
      <c r="K463" s="170">
        <v>41383</v>
      </c>
      <c r="L463" s="171">
        <v>0.08</v>
      </c>
    </row>
    <row r="464" spans="1:12" x14ac:dyDescent="0.2">
      <c r="A464" s="175">
        <v>38833</v>
      </c>
      <c r="B464" s="176">
        <v>2.54</v>
      </c>
      <c r="K464" s="170">
        <v>41390</v>
      </c>
      <c r="L464" s="171">
        <v>0.03</v>
      </c>
    </row>
    <row r="465" spans="1:12" x14ac:dyDescent="0.2">
      <c r="A465" s="175">
        <v>38834</v>
      </c>
      <c r="B465" s="176">
        <v>2.5</v>
      </c>
      <c r="K465" s="170">
        <v>41397</v>
      </c>
      <c r="L465" s="171">
        <v>7.0000000000000007E-2</v>
      </c>
    </row>
    <row r="466" spans="1:12" x14ac:dyDescent="0.2">
      <c r="A466" s="175">
        <v>38835</v>
      </c>
      <c r="B466" s="176">
        <v>2.44</v>
      </c>
      <c r="K466" s="170">
        <v>41404</v>
      </c>
      <c r="L466" s="171">
        <v>0.23</v>
      </c>
    </row>
    <row r="467" spans="1:12" x14ac:dyDescent="0.2">
      <c r="A467" s="175">
        <v>38838</v>
      </c>
      <c r="B467" s="176">
        <v>2.48</v>
      </c>
      <c r="K467" s="170">
        <v>41411</v>
      </c>
      <c r="L467" s="171">
        <v>0.34</v>
      </c>
    </row>
    <row r="468" spans="1:12" x14ac:dyDescent="0.2">
      <c r="A468" s="175">
        <v>38839</v>
      </c>
      <c r="B468" s="176">
        <v>2.4900000000000002</v>
      </c>
      <c r="K468" s="170">
        <v>41418</v>
      </c>
      <c r="L468" s="171">
        <v>0.43</v>
      </c>
    </row>
    <row r="469" spans="1:12" x14ac:dyDescent="0.2">
      <c r="A469" s="175">
        <v>38840</v>
      </c>
      <c r="B469" s="176">
        <v>2.52</v>
      </c>
      <c r="K469" s="170">
        <v>41425</v>
      </c>
      <c r="L469" s="171">
        <v>0.59</v>
      </c>
    </row>
    <row r="470" spans="1:12" x14ac:dyDescent="0.2">
      <c r="A470" s="175">
        <v>38841</v>
      </c>
      <c r="B470" s="176">
        <v>2.54</v>
      </c>
      <c r="K470" s="170">
        <v>41432</v>
      </c>
      <c r="L470" s="171">
        <v>0.68</v>
      </c>
    </row>
    <row r="471" spans="1:12" x14ac:dyDescent="0.2">
      <c r="A471" s="175">
        <v>38842</v>
      </c>
      <c r="B471" s="176">
        <v>2.5099999999999998</v>
      </c>
      <c r="K471" s="170">
        <v>41439</v>
      </c>
      <c r="L471" s="171">
        <v>0.94</v>
      </c>
    </row>
    <row r="472" spans="1:12" x14ac:dyDescent="0.2">
      <c r="A472" s="175">
        <v>38845</v>
      </c>
      <c r="B472" s="176">
        <v>2.4900000000000002</v>
      </c>
      <c r="K472" s="170">
        <v>41446</v>
      </c>
      <c r="L472" s="171">
        <v>1.1399999999999999</v>
      </c>
    </row>
    <row r="473" spans="1:12" x14ac:dyDescent="0.2">
      <c r="A473" s="175">
        <v>38846</v>
      </c>
      <c r="B473" s="176">
        <v>2.48</v>
      </c>
      <c r="K473" s="170">
        <v>41453</v>
      </c>
      <c r="L473" s="171">
        <v>1.1599999999999999</v>
      </c>
    </row>
    <row r="474" spans="1:12" x14ac:dyDescent="0.2">
      <c r="A474" s="175">
        <v>38847</v>
      </c>
      <c r="B474" s="176">
        <v>2.46</v>
      </c>
      <c r="K474" s="170">
        <v>41460</v>
      </c>
      <c r="L474" s="171">
        <v>1.1200000000000001</v>
      </c>
    </row>
    <row r="475" spans="1:12" x14ac:dyDescent="0.2">
      <c r="A475" s="175">
        <v>38848</v>
      </c>
      <c r="B475" s="176">
        <v>2.4700000000000002</v>
      </c>
      <c r="K475" s="170">
        <v>41467</v>
      </c>
      <c r="L475" s="171">
        <v>1.18</v>
      </c>
    </row>
    <row r="476" spans="1:12" x14ac:dyDescent="0.2">
      <c r="A476" s="175">
        <v>38849</v>
      </c>
      <c r="B476" s="176">
        <v>2.5099999999999998</v>
      </c>
      <c r="K476" s="170">
        <v>41474</v>
      </c>
      <c r="L476" s="171">
        <v>1.03</v>
      </c>
    </row>
    <row r="477" spans="1:12" x14ac:dyDescent="0.2">
      <c r="A477" s="175">
        <v>38852</v>
      </c>
      <c r="B477" s="176">
        <v>2.5099999999999998</v>
      </c>
      <c r="K477" s="170">
        <v>41481</v>
      </c>
      <c r="L477" s="171">
        <v>1.05</v>
      </c>
    </row>
    <row r="478" spans="1:12" x14ac:dyDescent="0.2">
      <c r="A478" s="175">
        <v>38853</v>
      </c>
      <c r="B478" s="176">
        <v>2.4700000000000002</v>
      </c>
      <c r="K478" s="170">
        <v>41488</v>
      </c>
      <c r="L478" s="171">
        <v>1.08</v>
      </c>
    </row>
    <row r="479" spans="1:12" x14ac:dyDescent="0.2">
      <c r="A479" s="175">
        <v>38854</v>
      </c>
      <c r="B479" s="176">
        <v>2.52</v>
      </c>
      <c r="K479" s="170">
        <v>41495</v>
      </c>
      <c r="L479" s="171">
        <v>1</v>
      </c>
    </row>
    <row r="480" spans="1:12" x14ac:dyDescent="0.2">
      <c r="A480" s="175">
        <v>38855</v>
      </c>
      <c r="B480" s="176">
        <v>2.4500000000000002</v>
      </c>
      <c r="K480" s="170">
        <v>41502</v>
      </c>
      <c r="L480" s="171">
        <v>1.1499999999999999</v>
      </c>
    </row>
    <row r="481" spans="1:12" x14ac:dyDescent="0.2">
      <c r="A481" s="175">
        <v>38856</v>
      </c>
      <c r="B481" s="176">
        <v>2.44</v>
      </c>
      <c r="K481" s="170">
        <v>41509</v>
      </c>
      <c r="L481" s="171">
        <v>1.31</v>
      </c>
    </row>
    <row r="482" spans="1:12" x14ac:dyDescent="0.2">
      <c r="A482" s="175">
        <v>38859</v>
      </c>
      <c r="B482" s="176">
        <v>2.4500000000000002</v>
      </c>
      <c r="K482" s="170">
        <v>41516</v>
      </c>
      <c r="L482" s="171">
        <v>1.18</v>
      </c>
    </row>
    <row r="483" spans="1:12" x14ac:dyDescent="0.2">
      <c r="A483" s="175">
        <v>38860</v>
      </c>
      <c r="B483" s="176">
        <v>2.46</v>
      </c>
      <c r="K483" s="170">
        <v>41523</v>
      </c>
      <c r="L483" s="171">
        <v>1.35</v>
      </c>
    </row>
    <row r="484" spans="1:12" x14ac:dyDescent="0.2">
      <c r="A484" s="175">
        <v>38861</v>
      </c>
      <c r="B484" s="176">
        <v>2.44</v>
      </c>
      <c r="K484" s="170">
        <v>41530</v>
      </c>
      <c r="L484" s="171">
        <v>1.33</v>
      </c>
    </row>
    <row r="485" spans="1:12" x14ac:dyDescent="0.2">
      <c r="A485" s="175">
        <v>38862</v>
      </c>
      <c r="B485" s="176">
        <v>2.48</v>
      </c>
      <c r="K485" s="170">
        <v>41537</v>
      </c>
      <c r="L485" s="171">
        <v>1.21</v>
      </c>
    </row>
    <row r="486" spans="1:12" x14ac:dyDescent="0.2">
      <c r="A486" s="175">
        <v>38863</v>
      </c>
      <c r="B486" s="176">
        <v>2.4700000000000002</v>
      </c>
      <c r="K486" s="170">
        <v>41544</v>
      </c>
      <c r="L486" s="171">
        <v>1.07</v>
      </c>
    </row>
    <row r="487" spans="1:12" x14ac:dyDescent="0.2">
      <c r="A487" s="175">
        <v>38866</v>
      </c>
      <c r="B487" s="176" t="e">
        <f>NA()</f>
        <v>#N/A</v>
      </c>
      <c r="K487" s="170">
        <v>41551</v>
      </c>
      <c r="L487" s="171">
        <v>1.07</v>
      </c>
    </row>
    <row r="488" spans="1:12" x14ac:dyDescent="0.2">
      <c r="A488" s="175">
        <v>38867</v>
      </c>
      <c r="B488" s="176">
        <v>2.4900000000000002</v>
      </c>
      <c r="K488" s="170">
        <v>41558</v>
      </c>
      <c r="L488" s="171">
        <v>1.08</v>
      </c>
    </row>
    <row r="489" spans="1:12" x14ac:dyDescent="0.2">
      <c r="A489" s="175">
        <v>38868</v>
      </c>
      <c r="B489" s="176">
        <v>2.5</v>
      </c>
      <c r="K489" s="170">
        <v>41565</v>
      </c>
      <c r="L489" s="171">
        <v>1.1000000000000001</v>
      </c>
    </row>
    <row r="490" spans="1:12" x14ac:dyDescent="0.2">
      <c r="A490" s="175">
        <v>38869</v>
      </c>
      <c r="B490" s="176">
        <v>2.4900000000000002</v>
      </c>
      <c r="K490" s="170">
        <v>41572</v>
      </c>
      <c r="L490" s="171">
        <v>1.01</v>
      </c>
    </row>
    <row r="491" spans="1:12" x14ac:dyDescent="0.2">
      <c r="A491" s="175">
        <v>38870</v>
      </c>
      <c r="B491" s="177">
        <v>2.41</v>
      </c>
      <c r="K491" s="170">
        <v>41579</v>
      </c>
      <c r="L491" s="171">
        <v>1.02</v>
      </c>
    </row>
    <row r="492" spans="1:12" x14ac:dyDescent="0.2">
      <c r="A492" s="175">
        <v>38873</v>
      </c>
      <c r="B492" s="176">
        <v>2.42</v>
      </c>
      <c r="K492" s="170">
        <v>41586</v>
      </c>
      <c r="L492" s="171">
        <v>1.1599999999999999</v>
      </c>
    </row>
    <row r="493" spans="1:12" x14ac:dyDescent="0.2">
      <c r="A493" s="175">
        <v>38874</v>
      </c>
      <c r="B493" s="176">
        <v>2.4700000000000002</v>
      </c>
      <c r="K493" s="170">
        <v>41593</v>
      </c>
      <c r="L493" s="171">
        <v>1.21</v>
      </c>
    </row>
    <row r="494" spans="1:12" x14ac:dyDescent="0.2">
      <c r="A494" s="175">
        <v>38875</v>
      </c>
      <c r="B494" s="176">
        <v>2.5099999999999998</v>
      </c>
      <c r="K494" s="170">
        <v>41600</v>
      </c>
      <c r="L494" s="171">
        <v>1.23</v>
      </c>
    </row>
    <row r="495" spans="1:12" x14ac:dyDescent="0.2">
      <c r="A495" s="175">
        <v>38876</v>
      </c>
      <c r="B495" s="176">
        <v>2.4900000000000002</v>
      </c>
      <c r="K495" s="170">
        <v>41607</v>
      </c>
      <c r="L495" s="171">
        <v>1.21</v>
      </c>
    </row>
    <row r="496" spans="1:12" x14ac:dyDescent="0.2">
      <c r="A496" s="175">
        <v>38877</v>
      </c>
      <c r="B496" s="176">
        <v>2.46</v>
      </c>
      <c r="K496" s="170">
        <v>41614</v>
      </c>
      <c r="L496" s="171">
        <v>1.32</v>
      </c>
    </row>
    <row r="497" spans="1:12" x14ac:dyDescent="0.2">
      <c r="A497" s="175">
        <v>38880</v>
      </c>
      <c r="B497" s="176">
        <v>2.46</v>
      </c>
      <c r="K497" s="170">
        <v>41621</v>
      </c>
      <c r="L497" s="171">
        <v>1.31</v>
      </c>
    </row>
    <row r="498" spans="1:12" x14ac:dyDescent="0.2">
      <c r="A498" s="175">
        <v>38881</v>
      </c>
      <c r="B498" s="176">
        <v>2.4500000000000002</v>
      </c>
      <c r="K498" s="170">
        <v>41628</v>
      </c>
      <c r="L498" s="171">
        <v>1.3</v>
      </c>
    </row>
    <row r="499" spans="1:12" x14ac:dyDescent="0.2">
      <c r="A499" s="175">
        <v>38882</v>
      </c>
      <c r="B499" s="176">
        <v>2.5</v>
      </c>
      <c r="K499" s="170">
        <v>41635</v>
      </c>
      <c r="L499" s="171">
        <v>1.34</v>
      </c>
    </row>
    <row r="500" spans="1:12" x14ac:dyDescent="0.2">
      <c r="A500" s="175">
        <v>38883</v>
      </c>
      <c r="B500" s="176">
        <v>2.52</v>
      </c>
      <c r="K500" s="170">
        <v>41642</v>
      </c>
      <c r="L500" s="171">
        <v>1.32</v>
      </c>
    </row>
    <row r="501" spans="1:12" x14ac:dyDescent="0.2">
      <c r="A501" s="175">
        <v>38884</v>
      </c>
      <c r="B501" s="176">
        <v>2.54</v>
      </c>
      <c r="K501" s="170">
        <v>41649</v>
      </c>
      <c r="L501" s="171">
        <v>1.22</v>
      </c>
    </row>
    <row r="502" spans="1:12" x14ac:dyDescent="0.2">
      <c r="A502" s="175">
        <v>38887</v>
      </c>
      <c r="B502" s="176">
        <v>2.56</v>
      </c>
      <c r="K502" s="170">
        <v>41656</v>
      </c>
      <c r="L502" s="171">
        <v>1.1499999999999999</v>
      </c>
    </row>
    <row r="503" spans="1:12" x14ac:dyDescent="0.2">
      <c r="A503" s="175">
        <v>38888</v>
      </c>
      <c r="B503" s="176">
        <v>2.57</v>
      </c>
      <c r="K503" s="170">
        <v>41663</v>
      </c>
      <c r="L503" s="171">
        <v>1.1399999999999999</v>
      </c>
    </row>
    <row r="504" spans="1:12" x14ac:dyDescent="0.2">
      <c r="A504" s="175">
        <v>38889</v>
      </c>
      <c r="B504" s="176">
        <v>2.58</v>
      </c>
      <c r="K504" s="170">
        <v>41670</v>
      </c>
      <c r="L504" s="171">
        <v>1.1100000000000001</v>
      </c>
    </row>
    <row r="505" spans="1:12" x14ac:dyDescent="0.2">
      <c r="A505" s="175">
        <v>38890</v>
      </c>
      <c r="B505" s="176">
        <v>2.6</v>
      </c>
      <c r="K505" s="170">
        <v>41677</v>
      </c>
      <c r="L505" s="171">
        <v>1.1000000000000001</v>
      </c>
    </row>
    <row r="506" spans="1:12" x14ac:dyDescent="0.2">
      <c r="A506" s="175">
        <v>38891</v>
      </c>
      <c r="B506" s="176">
        <v>2.63</v>
      </c>
      <c r="K506" s="170">
        <v>41684</v>
      </c>
      <c r="L506" s="171">
        <v>1.1399999999999999</v>
      </c>
    </row>
    <row r="507" spans="1:12" x14ac:dyDescent="0.2">
      <c r="A507" s="175">
        <v>38894</v>
      </c>
      <c r="B507" s="176">
        <v>2.66</v>
      </c>
      <c r="K507" s="170">
        <v>41691</v>
      </c>
      <c r="L507" s="171">
        <v>1.1599999999999999</v>
      </c>
    </row>
    <row r="508" spans="1:12" x14ac:dyDescent="0.2">
      <c r="A508" s="175">
        <v>38895</v>
      </c>
      <c r="B508" s="176">
        <v>2.63</v>
      </c>
      <c r="K508" s="170">
        <v>41698</v>
      </c>
      <c r="L508" s="171">
        <v>1.08</v>
      </c>
    </row>
    <row r="509" spans="1:12" x14ac:dyDescent="0.2">
      <c r="A509" s="175">
        <v>38896</v>
      </c>
      <c r="B509" s="176">
        <v>2.68</v>
      </c>
      <c r="K509" s="170">
        <v>41705</v>
      </c>
      <c r="L509" s="171">
        <v>1.04</v>
      </c>
    </row>
    <row r="510" spans="1:12" x14ac:dyDescent="0.2">
      <c r="A510" s="175">
        <v>38897</v>
      </c>
      <c r="B510" s="176">
        <v>2.64</v>
      </c>
      <c r="K510" s="170">
        <v>41712</v>
      </c>
      <c r="L510" s="171">
        <v>1.06</v>
      </c>
    </row>
    <row r="511" spans="1:12" x14ac:dyDescent="0.2">
      <c r="A511" s="175">
        <v>38898</v>
      </c>
      <c r="B511" s="176">
        <v>2.56</v>
      </c>
      <c r="K511" s="170">
        <v>41719</v>
      </c>
      <c r="L511" s="171">
        <v>1.08</v>
      </c>
    </row>
    <row r="512" spans="1:12" x14ac:dyDescent="0.2">
      <c r="A512" s="175">
        <v>38901</v>
      </c>
      <c r="B512" s="176">
        <v>2.58</v>
      </c>
      <c r="K512" s="170">
        <v>41726</v>
      </c>
      <c r="L512" s="171">
        <v>1.03</v>
      </c>
    </row>
    <row r="513" spans="1:12" x14ac:dyDescent="0.2">
      <c r="A513" s="175">
        <v>38902</v>
      </c>
      <c r="B513" s="176" t="e">
        <f>NA()</f>
        <v>#N/A</v>
      </c>
      <c r="K513" s="170">
        <v>41733</v>
      </c>
      <c r="L513" s="171">
        <v>1.07</v>
      </c>
    </row>
    <row r="514" spans="1:12" x14ac:dyDescent="0.2">
      <c r="A514" s="175">
        <v>38903</v>
      </c>
      <c r="B514" s="176">
        <v>2.64</v>
      </c>
      <c r="K514" s="170">
        <v>41740</v>
      </c>
      <c r="L514" s="171">
        <v>1</v>
      </c>
    </row>
    <row r="515" spans="1:12" x14ac:dyDescent="0.2">
      <c r="A515" s="175">
        <v>38904</v>
      </c>
      <c r="B515" s="176">
        <v>2.61</v>
      </c>
      <c r="K515" s="170">
        <v>41747</v>
      </c>
      <c r="L515" s="171">
        <v>0.95</v>
      </c>
    </row>
    <row r="516" spans="1:12" x14ac:dyDescent="0.2">
      <c r="A516" s="175">
        <v>38905</v>
      </c>
      <c r="B516" s="176">
        <v>2.56</v>
      </c>
      <c r="K516" s="170">
        <v>41754</v>
      </c>
      <c r="L516" s="171">
        <v>0.92</v>
      </c>
    </row>
    <row r="517" spans="1:12" x14ac:dyDescent="0.2">
      <c r="A517" s="175">
        <v>38908</v>
      </c>
      <c r="B517" s="177">
        <v>2.56</v>
      </c>
      <c r="K517" s="170">
        <v>41761</v>
      </c>
      <c r="L517" s="171">
        <v>0.9</v>
      </c>
    </row>
    <row r="518" spans="1:12" x14ac:dyDescent="0.2">
      <c r="A518" s="175">
        <v>38909</v>
      </c>
      <c r="B518" s="176">
        <v>2.5499999999999998</v>
      </c>
      <c r="K518" s="170">
        <v>41768</v>
      </c>
      <c r="L518" s="171">
        <v>0.84</v>
      </c>
    </row>
    <row r="519" spans="1:12" x14ac:dyDescent="0.2">
      <c r="A519" s="175">
        <v>38910</v>
      </c>
      <c r="B519" s="176">
        <v>2.5499999999999998</v>
      </c>
      <c r="K519" s="170">
        <v>41775</v>
      </c>
      <c r="L519" s="171">
        <v>0.84</v>
      </c>
    </row>
    <row r="520" spans="1:12" x14ac:dyDescent="0.2">
      <c r="A520" s="175">
        <v>38911</v>
      </c>
      <c r="B520" s="176">
        <v>2.52</v>
      </c>
      <c r="K520" s="170">
        <v>41782</v>
      </c>
      <c r="L520" s="171">
        <v>0.83</v>
      </c>
    </row>
    <row r="521" spans="1:12" x14ac:dyDescent="0.2">
      <c r="A521" s="175">
        <v>38912</v>
      </c>
      <c r="B521" s="176">
        <v>2.5099999999999998</v>
      </c>
      <c r="K521" s="170">
        <v>41789</v>
      </c>
      <c r="L521" s="171">
        <v>0.73</v>
      </c>
    </row>
    <row r="522" spans="1:12" x14ac:dyDescent="0.2">
      <c r="A522" s="175">
        <v>38915</v>
      </c>
      <c r="B522" s="176">
        <v>2.5</v>
      </c>
      <c r="K522" s="170">
        <v>41796</v>
      </c>
      <c r="L522" s="171">
        <v>0.87</v>
      </c>
    </row>
    <row r="523" spans="1:12" x14ac:dyDescent="0.2">
      <c r="A523" s="175">
        <v>38916</v>
      </c>
      <c r="B523" s="176">
        <v>2.56</v>
      </c>
      <c r="K523" s="170">
        <v>41803</v>
      </c>
      <c r="L523" s="171">
        <v>0.89</v>
      </c>
    </row>
    <row r="524" spans="1:12" x14ac:dyDescent="0.2">
      <c r="A524" s="175">
        <v>38917</v>
      </c>
      <c r="B524" s="176">
        <v>2.5</v>
      </c>
      <c r="K524" s="170">
        <v>41810</v>
      </c>
      <c r="L524" s="171">
        <v>0.86</v>
      </c>
    </row>
    <row r="525" spans="1:12" x14ac:dyDescent="0.2">
      <c r="A525" s="175">
        <v>38918</v>
      </c>
      <c r="B525" s="176">
        <v>2.4700000000000002</v>
      </c>
      <c r="K525" s="170">
        <v>41817</v>
      </c>
      <c r="L525" s="171">
        <v>0.77</v>
      </c>
    </row>
    <row r="526" spans="1:12" x14ac:dyDescent="0.2">
      <c r="A526" s="175">
        <v>38919</v>
      </c>
      <c r="B526" s="176">
        <v>2.5</v>
      </c>
      <c r="K526" s="170">
        <v>41824</v>
      </c>
      <c r="L526" s="171">
        <v>0.81</v>
      </c>
    </row>
    <row r="527" spans="1:12" x14ac:dyDescent="0.2">
      <c r="A527" s="175">
        <v>38922</v>
      </c>
      <c r="B527" s="176">
        <v>2.5099999999999998</v>
      </c>
      <c r="K527" s="170">
        <v>41831</v>
      </c>
      <c r="L527" s="171">
        <v>0.75</v>
      </c>
    </row>
    <row r="528" spans="1:12" x14ac:dyDescent="0.2">
      <c r="A528" s="175">
        <v>38923</v>
      </c>
      <c r="B528" s="176">
        <v>2.4900000000000002</v>
      </c>
      <c r="K528" s="170">
        <v>41838</v>
      </c>
      <c r="L528" s="171">
        <v>0.72</v>
      </c>
    </row>
    <row r="529" spans="1:12" x14ac:dyDescent="0.2">
      <c r="A529" s="175">
        <v>38924</v>
      </c>
      <c r="B529" s="176">
        <v>2.4500000000000002</v>
      </c>
      <c r="K529" s="170">
        <v>41845</v>
      </c>
      <c r="L529" s="171">
        <v>0.65</v>
      </c>
    </row>
    <row r="530" spans="1:12" x14ac:dyDescent="0.2">
      <c r="A530" s="175">
        <v>38925</v>
      </c>
      <c r="B530" s="176">
        <v>2.4500000000000002</v>
      </c>
      <c r="K530" s="170">
        <v>41852</v>
      </c>
      <c r="L530" s="171">
        <v>0.67</v>
      </c>
    </row>
    <row r="531" spans="1:12" x14ac:dyDescent="0.2">
      <c r="A531" s="175">
        <v>38926</v>
      </c>
      <c r="B531" s="176">
        <v>2.42</v>
      </c>
      <c r="K531" s="170">
        <v>41859</v>
      </c>
      <c r="L531" s="171">
        <v>0.66</v>
      </c>
    </row>
    <row r="532" spans="1:12" x14ac:dyDescent="0.2">
      <c r="A532" s="175">
        <v>38929</v>
      </c>
      <c r="B532" s="176">
        <v>2.42</v>
      </c>
      <c r="K532" s="170">
        <v>41866</v>
      </c>
      <c r="L532" s="171">
        <v>0.64</v>
      </c>
    </row>
    <row r="533" spans="1:12" x14ac:dyDescent="0.2">
      <c r="A533" s="175">
        <v>38930</v>
      </c>
      <c r="B533" s="176">
        <v>2.42</v>
      </c>
      <c r="K533" s="170">
        <v>41873</v>
      </c>
      <c r="L533" s="171">
        <v>0.65</v>
      </c>
    </row>
    <row r="534" spans="1:12" x14ac:dyDescent="0.2">
      <c r="A534" s="175">
        <v>38931</v>
      </c>
      <c r="B534" s="176">
        <v>2.39</v>
      </c>
      <c r="K534" s="170">
        <v>41880</v>
      </c>
      <c r="L534" s="171">
        <v>0.6</v>
      </c>
    </row>
    <row r="535" spans="1:12" x14ac:dyDescent="0.2">
      <c r="A535" s="175">
        <v>38932</v>
      </c>
      <c r="B535" s="176">
        <v>2.38</v>
      </c>
      <c r="K535" s="170">
        <v>41887</v>
      </c>
      <c r="L535" s="171">
        <v>0.64</v>
      </c>
    </row>
    <row r="536" spans="1:12" x14ac:dyDescent="0.2">
      <c r="A536" s="175">
        <v>38933</v>
      </c>
      <c r="B536" s="176">
        <v>2.33</v>
      </c>
      <c r="K536" s="170">
        <v>41894</v>
      </c>
      <c r="L536" s="171">
        <v>0.77</v>
      </c>
    </row>
    <row r="537" spans="1:12" x14ac:dyDescent="0.2">
      <c r="A537" s="175">
        <v>38936</v>
      </c>
      <c r="B537" s="176">
        <v>2.31</v>
      </c>
      <c r="K537" s="170">
        <v>41901</v>
      </c>
      <c r="L537" s="171">
        <v>0.89</v>
      </c>
    </row>
    <row r="538" spans="1:12" x14ac:dyDescent="0.2">
      <c r="A538" s="175">
        <v>38937</v>
      </c>
      <c r="B538" s="176">
        <v>2.2999999999999998</v>
      </c>
      <c r="K538" s="170">
        <v>41908</v>
      </c>
      <c r="L538" s="171">
        <v>0.89</v>
      </c>
    </row>
    <row r="539" spans="1:12" x14ac:dyDescent="0.2">
      <c r="A539" s="175">
        <v>38938</v>
      </c>
      <c r="B539" s="176">
        <v>2.31</v>
      </c>
      <c r="K539" s="170">
        <v>41915</v>
      </c>
      <c r="L539" s="171">
        <v>0.85</v>
      </c>
    </row>
    <row r="540" spans="1:12" x14ac:dyDescent="0.2">
      <c r="A540" s="175">
        <v>38939</v>
      </c>
      <c r="B540" s="176">
        <v>2.34</v>
      </c>
      <c r="K540" s="170">
        <v>41922</v>
      </c>
      <c r="L540" s="171">
        <v>0.77</v>
      </c>
    </row>
    <row r="541" spans="1:12" x14ac:dyDescent="0.2">
      <c r="A541" s="175">
        <v>38940</v>
      </c>
      <c r="B541" s="176">
        <v>2.36</v>
      </c>
      <c r="K541" s="170">
        <v>41929</v>
      </c>
      <c r="L541" s="171">
        <v>0.64</v>
      </c>
    </row>
    <row r="542" spans="1:12" x14ac:dyDescent="0.2">
      <c r="A542" s="175">
        <v>38943</v>
      </c>
      <c r="B542" s="176">
        <v>2.39</v>
      </c>
      <c r="K542" s="170">
        <v>41936</v>
      </c>
      <c r="L542" s="171">
        <v>0.7</v>
      </c>
    </row>
    <row r="543" spans="1:12" x14ac:dyDescent="0.2">
      <c r="A543" s="175">
        <v>38944</v>
      </c>
      <c r="B543" s="176">
        <v>2.35</v>
      </c>
      <c r="K543" s="170">
        <v>41943</v>
      </c>
      <c r="L543" s="171">
        <v>0.76</v>
      </c>
    </row>
    <row r="544" spans="1:12" x14ac:dyDescent="0.2">
      <c r="A544" s="175">
        <v>38945</v>
      </c>
      <c r="B544" s="176">
        <v>2.3199999999999998</v>
      </c>
      <c r="K544" s="170">
        <v>41950</v>
      </c>
      <c r="L544" s="171">
        <v>0.77</v>
      </c>
    </row>
    <row r="545" spans="1:12" x14ac:dyDescent="0.2">
      <c r="A545" s="175">
        <v>38946</v>
      </c>
      <c r="B545" s="176">
        <v>2.3199999999999998</v>
      </c>
      <c r="K545" s="170">
        <v>41957</v>
      </c>
      <c r="L545" s="171">
        <v>0.78</v>
      </c>
    </row>
    <row r="546" spans="1:12" x14ac:dyDescent="0.2">
      <c r="A546" s="175">
        <v>38947</v>
      </c>
      <c r="B546" s="176">
        <v>2.2999999999999998</v>
      </c>
      <c r="K546" s="170">
        <v>41964</v>
      </c>
      <c r="L546" s="171">
        <v>0.79</v>
      </c>
    </row>
    <row r="547" spans="1:12" x14ac:dyDescent="0.2">
      <c r="A547" s="175">
        <v>38950</v>
      </c>
      <c r="B547" s="176">
        <v>2.27</v>
      </c>
      <c r="K547" s="170">
        <v>41971</v>
      </c>
      <c r="L547" s="171">
        <v>0.74</v>
      </c>
    </row>
    <row r="548" spans="1:12" x14ac:dyDescent="0.2">
      <c r="A548" s="175">
        <v>38951</v>
      </c>
      <c r="B548" s="176">
        <v>2.2400000000000002</v>
      </c>
      <c r="K548" s="170">
        <v>41978</v>
      </c>
      <c r="L548" s="171">
        <v>0.8</v>
      </c>
    </row>
    <row r="549" spans="1:12" x14ac:dyDescent="0.2">
      <c r="A549" s="175">
        <v>38952</v>
      </c>
      <c r="B549" s="176">
        <v>2.2599999999999998</v>
      </c>
      <c r="K549" s="170">
        <v>41985</v>
      </c>
      <c r="L549" s="171">
        <v>0.73</v>
      </c>
    </row>
    <row r="550" spans="1:12" x14ac:dyDescent="0.2">
      <c r="A550" s="175">
        <v>38953</v>
      </c>
      <c r="B550" s="176">
        <v>2.27</v>
      </c>
      <c r="K550" s="170">
        <v>41992</v>
      </c>
      <c r="L550" s="171">
        <v>0.69</v>
      </c>
    </row>
    <row r="551" spans="1:12" x14ac:dyDescent="0.2">
      <c r="A551" s="175">
        <v>38954</v>
      </c>
      <c r="B551" s="176">
        <v>2.25</v>
      </c>
      <c r="K551" s="170">
        <v>41999</v>
      </c>
      <c r="L551" s="171">
        <v>0.74</v>
      </c>
    </row>
    <row r="552" spans="1:12" x14ac:dyDescent="0.2">
      <c r="A552" s="175">
        <v>38957</v>
      </c>
      <c r="B552" s="176">
        <v>2.2799999999999998</v>
      </c>
      <c r="K552" s="170">
        <v>42006</v>
      </c>
      <c r="L552" s="171">
        <v>0.7</v>
      </c>
    </row>
    <row r="553" spans="1:12" x14ac:dyDescent="0.2">
      <c r="A553" s="175">
        <v>38958</v>
      </c>
      <c r="B553" s="176">
        <v>2.2799999999999998</v>
      </c>
      <c r="K553" s="170">
        <v>42013</v>
      </c>
      <c r="L553" s="171">
        <v>0.56999999999999995</v>
      </c>
    </row>
    <row r="554" spans="1:12" x14ac:dyDescent="0.2">
      <c r="A554" s="175">
        <v>38959</v>
      </c>
      <c r="B554" s="176">
        <v>2.2599999999999998</v>
      </c>
      <c r="K554" s="170">
        <v>42020</v>
      </c>
      <c r="L554" s="171">
        <v>0.52</v>
      </c>
    </row>
    <row r="555" spans="1:12" x14ac:dyDescent="0.2">
      <c r="A555" s="175">
        <v>38960</v>
      </c>
      <c r="B555" s="176">
        <v>2.23</v>
      </c>
      <c r="K555" s="170">
        <v>42027</v>
      </c>
      <c r="L555" s="171">
        <v>0.49</v>
      </c>
    </row>
    <row r="556" spans="1:12" x14ac:dyDescent="0.2">
      <c r="A556" s="175">
        <v>38961</v>
      </c>
      <c r="B556" s="176">
        <v>2.2400000000000002</v>
      </c>
      <c r="K556" s="170">
        <v>42034</v>
      </c>
      <c r="L556" s="171">
        <v>0.4</v>
      </c>
    </row>
    <row r="557" spans="1:12" x14ac:dyDescent="0.2">
      <c r="A557" s="175">
        <v>38964</v>
      </c>
      <c r="B557" s="176" t="e">
        <f>NA()</f>
        <v>#N/A</v>
      </c>
      <c r="K557" s="170">
        <v>42041</v>
      </c>
      <c r="L557" s="171">
        <v>0.4</v>
      </c>
    </row>
    <row r="558" spans="1:12" x14ac:dyDescent="0.2">
      <c r="A558" s="175">
        <v>38965</v>
      </c>
      <c r="B558" s="176">
        <v>2.31</v>
      </c>
      <c r="K558" s="170">
        <v>42048</v>
      </c>
      <c r="L558" s="171">
        <v>0.56000000000000005</v>
      </c>
    </row>
    <row r="559" spans="1:12" x14ac:dyDescent="0.2">
      <c r="A559" s="175">
        <v>38966</v>
      </c>
      <c r="B559" s="176">
        <v>2.3199999999999998</v>
      </c>
      <c r="K559" s="170">
        <v>42055</v>
      </c>
      <c r="L559" s="171">
        <v>0.64</v>
      </c>
    </row>
    <row r="560" spans="1:12" x14ac:dyDescent="0.2">
      <c r="A560" s="175">
        <v>38967</v>
      </c>
      <c r="B560" s="176">
        <v>2.33</v>
      </c>
      <c r="K560" s="170">
        <v>42062</v>
      </c>
      <c r="L560" s="171">
        <v>0.51</v>
      </c>
    </row>
    <row r="561" spans="1:12" x14ac:dyDescent="0.2">
      <c r="A561" s="175">
        <v>38968</v>
      </c>
      <c r="B561" s="177">
        <v>2.34</v>
      </c>
      <c r="K561" s="170">
        <v>42069</v>
      </c>
      <c r="L561" s="171">
        <v>0.57999999999999996</v>
      </c>
    </row>
    <row r="562" spans="1:12" x14ac:dyDescent="0.2">
      <c r="A562" s="175">
        <v>38971</v>
      </c>
      <c r="B562" s="176">
        <v>2.37</v>
      </c>
      <c r="K562" s="170">
        <v>42076</v>
      </c>
      <c r="L562" s="171">
        <v>0.67</v>
      </c>
    </row>
    <row r="563" spans="1:12" x14ac:dyDescent="0.2">
      <c r="A563" s="175">
        <v>38972</v>
      </c>
      <c r="B563" s="176">
        <v>2.34</v>
      </c>
      <c r="K563" s="170">
        <v>42083</v>
      </c>
      <c r="L563" s="171">
        <v>0.53</v>
      </c>
    </row>
    <row r="564" spans="1:12" x14ac:dyDescent="0.2">
      <c r="A564" s="175">
        <v>38973</v>
      </c>
      <c r="B564" s="176">
        <v>2.33</v>
      </c>
      <c r="K564" s="170">
        <v>42090</v>
      </c>
      <c r="L564" s="171">
        <v>0.41</v>
      </c>
    </row>
    <row r="565" spans="1:12" x14ac:dyDescent="0.2">
      <c r="A565" s="175">
        <v>38974</v>
      </c>
      <c r="B565" s="176">
        <v>2.3199999999999998</v>
      </c>
      <c r="K565" s="170">
        <v>42097</v>
      </c>
      <c r="L565" s="171">
        <v>0.44</v>
      </c>
    </row>
    <row r="566" spans="1:12" x14ac:dyDescent="0.2">
      <c r="A566" s="175">
        <v>38975</v>
      </c>
      <c r="B566" s="176">
        <v>2.36</v>
      </c>
      <c r="K566" s="170">
        <v>42104</v>
      </c>
      <c r="L566" s="171">
        <v>0.43</v>
      </c>
    </row>
    <row r="567" spans="1:12" x14ac:dyDescent="0.2">
      <c r="A567" s="175">
        <v>38978</v>
      </c>
      <c r="B567" s="176">
        <v>2.37</v>
      </c>
      <c r="K567" s="170">
        <v>42111</v>
      </c>
      <c r="L567" s="171">
        <v>0.41</v>
      </c>
    </row>
    <row r="568" spans="1:12" x14ac:dyDescent="0.2">
      <c r="A568" s="175">
        <v>38979</v>
      </c>
      <c r="B568" s="176">
        <v>2.33</v>
      </c>
      <c r="K568" s="170">
        <v>42118</v>
      </c>
      <c r="L568" s="171">
        <v>0.41</v>
      </c>
    </row>
    <row r="569" spans="1:12" x14ac:dyDescent="0.2">
      <c r="A569" s="175">
        <v>38980</v>
      </c>
      <c r="B569" s="176">
        <v>2.35</v>
      </c>
      <c r="K569" s="170">
        <v>42125</v>
      </c>
      <c r="L569" s="171">
        <v>0.48</v>
      </c>
    </row>
    <row r="570" spans="1:12" x14ac:dyDescent="0.2">
      <c r="A570" s="175">
        <v>38981</v>
      </c>
      <c r="B570" s="176">
        <v>2.2999999999999998</v>
      </c>
      <c r="K570" s="170">
        <v>42132</v>
      </c>
      <c r="L570" s="171">
        <v>0.65</v>
      </c>
    </row>
    <row r="571" spans="1:12" x14ac:dyDescent="0.2">
      <c r="A571" s="175">
        <v>38982</v>
      </c>
      <c r="B571" s="176">
        <v>2.25</v>
      </c>
      <c r="K571" s="170">
        <v>42139</v>
      </c>
      <c r="L571" s="171">
        <v>0.74</v>
      </c>
    </row>
    <row r="572" spans="1:12" x14ac:dyDescent="0.2">
      <c r="A572" s="175">
        <v>38985</v>
      </c>
      <c r="B572" s="176">
        <v>2.2200000000000002</v>
      </c>
      <c r="K572" s="170">
        <v>42146</v>
      </c>
      <c r="L572" s="171">
        <v>0.78</v>
      </c>
    </row>
    <row r="573" spans="1:12" x14ac:dyDescent="0.2">
      <c r="A573" s="175">
        <v>38986</v>
      </c>
      <c r="B573" s="176">
        <v>2.2400000000000002</v>
      </c>
      <c r="K573" s="170">
        <v>42153</v>
      </c>
      <c r="L573" s="171">
        <v>0.68</v>
      </c>
    </row>
    <row r="574" spans="1:12" x14ac:dyDescent="0.2">
      <c r="A574" s="175">
        <v>38987</v>
      </c>
      <c r="B574" s="176">
        <v>2.25</v>
      </c>
      <c r="K574" s="170">
        <v>42160</v>
      </c>
      <c r="L574" s="171">
        <v>0.87</v>
      </c>
    </row>
    <row r="575" spans="1:12" x14ac:dyDescent="0.2">
      <c r="A575" s="175">
        <v>38988</v>
      </c>
      <c r="B575" s="176">
        <v>2.2599999999999998</v>
      </c>
      <c r="K575" s="170">
        <v>42167</v>
      </c>
      <c r="L575" s="171">
        <v>0.95</v>
      </c>
    </row>
    <row r="576" spans="1:12" x14ac:dyDescent="0.2">
      <c r="A576" s="175">
        <v>38989</v>
      </c>
      <c r="B576" s="176">
        <v>2.27</v>
      </c>
      <c r="K576" s="170">
        <v>42174</v>
      </c>
      <c r="L576" s="171">
        <v>0.85</v>
      </c>
    </row>
    <row r="577" spans="1:12" x14ac:dyDescent="0.2">
      <c r="A577" s="175">
        <v>38992</v>
      </c>
      <c r="B577" s="176">
        <v>2.2599999999999998</v>
      </c>
      <c r="K577" s="170">
        <v>42181</v>
      </c>
      <c r="L577" s="171">
        <v>0.91</v>
      </c>
    </row>
    <row r="578" spans="1:12" x14ac:dyDescent="0.2">
      <c r="A578" s="175">
        <v>38993</v>
      </c>
      <c r="B578" s="176">
        <v>2.2799999999999998</v>
      </c>
      <c r="K578" s="170">
        <v>42188</v>
      </c>
      <c r="L578" s="171">
        <v>0.9</v>
      </c>
    </row>
    <row r="579" spans="1:12" x14ac:dyDescent="0.2">
      <c r="A579" s="175">
        <v>38994</v>
      </c>
      <c r="B579" s="176">
        <v>2.2400000000000002</v>
      </c>
      <c r="K579" s="170">
        <v>42195</v>
      </c>
      <c r="L579" s="171">
        <v>0.85</v>
      </c>
    </row>
    <row r="580" spans="1:12" x14ac:dyDescent="0.2">
      <c r="A580" s="175">
        <v>38995</v>
      </c>
      <c r="B580" s="176">
        <v>2.27</v>
      </c>
      <c r="K580" s="170">
        <v>42202</v>
      </c>
      <c r="L580" s="171">
        <v>0.9</v>
      </c>
    </row>
    <row r="581" spans="1:12" x14ac:dyDescent="0.2">
      <c r="A581" s="175">
        <v>38996</v>
      </c>
      <c r="B581" s="176">
        <v>2.3199999999999998</v>
      </c>
      <c r="K581" s="170">
        <v>42209</v>
      </c>
      <c r="L581" s="171">
        <v>0.87</v>
      </c>
    </row>
    <row r="582" spans="1:12" x14ac:dyDescent="0.2">
      <c r="A582" s="175">
        <v>38999</v>
      </c>
      <c r="B582" s="176" t="e">
        <f>NA()</f>
        <v>#N/A</v>
      </c>
      <c r="K582" s="170">
        <v>42216</v>
      </c>
      <c r="L582" s="171">
        <v>0.84</v>
      </c>
    </row>
    <row r="583" spans="1:12" x14ac:dyDescent="0.2">
      <c r="A583" s="175">
        <v>39000</v>
      </c>
      <c r="B583" s="176">
        <v>2.37</v>
      </c>
      <c r="K583" s="170">
        <v>42223</v>
      </c>
      <c r="L583" s="171">
        <v>0.84</v>
      </c>
    </row>
    <row r="584" spans="1:12" x14ac:dyDescent="0.2">
      <c r="A584" s="175">
        <v>39001</v>
      </c>
      <c r="B584" s="176">
        <v>2.41</v>
      </c>
      <c r="K584" s="170">
        <v>42230</v>
      </c>
      <c r="L584" s="171">
        <v>0.84</v>
      </c>
    </row>
    <row r="585" spans="1:12" x14ac:dyDescent="0.2">
      <c r="A585" s="175">
        <v>39002</v>
      </c>
      <c r="B585" s="176">
        <v>2.42</v>
      </c>
      <c r="K585" s="170">
        <v>42237</v>
      </c>
      <c r="L585" s="171">
        <v>0.85</v>
      </c>
    </row>
    <row r="586" spans="1:12" x14ac:dyDescent="0.2">
      <c r="A586" s="175">
        <v>39003</v>
      </c>
      <c r="B586" s="177">
        <v>2.44</v>
      </c>
      <c r="K586" s="170">
        <v>42244</v>
      </c>
      <c r="L586" s="171">
        <v>0.92</v>
      </c>
    </row>
    <row r="587" spans="1:12" x14ac:dyDescent="0.2">
      <c r="A587" s="175">
        <v>39006</v>
      </c>
      <c r="B587" s="176">
        <v>2.4300000000000002</v>
      </c>
      <c r="K587" s="170">
        <v>42251</v>
      </c>
      <c r="L587" s="171">
        <v>0.97</v>
      </c>
    </row>
    <row r="588" spans="1:12" x14ac:dyDescent="0.2">
      <c r="A588" s="175">
        <v>39007</v>
      </c>
      <c r="B588" s="176">
        <v>2.4300000000000002</v>
      </c>
      <c r="K588" s="170">
        <v>42258</v>
      </c>
      <c r="L588" s="171">
        <v>0.99</v>
      </c>
    </row>
    <row r="589" spans="1:12" x14ac:dyDescent="0.2">
      <c r="A589" s="175">
        <v>39008</v>
      </c>
      <c r="B589" s="176">
        <v>2.4300000000000002</v>
      </c>
      <c r="K589" s="170">
        <v>42265</v>
      </c>
      <c r="L589" s="171">
        <v>1.02</v>
      </c>
    </row>
    <row r="590" spans="1:12" x14ac:dyDescent="0.2">
      <c r="A590" s="175">
        <v>39009</v>
      </c>
      <c r="B590" s="176">
        <v>2.46</v>
      </c>
      <c r="K590" s="170">
        <v>42272</v>
      </c>
      <c r="L590" s="171">
        <v>1.04</v>
      </c>
    </row>
    <row r="591" spans="1:12" x14ac:dyDescent="0.2">
      <c r="A591" s="175">
        <v>39010</v>
      </c>
      <c r="B591" s="176">
        <v>2.46</v>
      </c>
      <c r="K591" s="170">
        <v>42279</v>
      </c>
      <c r="L591" s="171">
        <v>1.01</v>
      </c>
    </row>
    <row r="592" spans="1:12" x14ac:dyDescent="0.2">
      <c r="A592" s="175">
        <v>39013</v>
      </c>
      <c r="B592" s="176">
        <v>2.5</v>
      </c>
      <c r="K592" s="170">
        <v>42286</v>
      </c>
      <c r="L592" s="171">
        <v>0.98</v>
      </c>
    </row>
    <row r="593" spans="1:12" x14ac:dyDescent="0.2">
      <c r="A593" s="175">
        <v>39014</v>
      </c>
      <c r="B593" s="176">
        <v>2.4900000000000002</v>
      </c>
      <c r="K593" s="170">
        <v>42293</v>
      </c>
      <c r="L593" s="171">
        <v>0.97</v>
      </c>
    </row>
    <row r="594" spans="1:12" x14ac:dyDescent="0.2">
      <c r="A594" s="175">
        <v>39015</v>
      </c>
      <c r="B594" s="176">
        <v>2.41</v>
      </c>
      <c r="K594" s="170">
        <v>42300</v>
      </c>
      <c r="L594" s="171">
        <v>0.99</v>
      </c>
    </row>
    <row r="595" spans="1:12" x14ac:dyDescent="0.2">
      <c r="A595" s="175">
        <v>39016</v>
      </c>
      <c r="B595" s="176">
        <v>2.36</v>
      </c>
      <c r="K595" s="170">
        <v>42307</v>
      </c>
      <c r="L595" s="171">
        <v>0.98</v>
      </c>
    </row>
    <row r="596" spans="1:12" x14ac:dyDescent="0.2">
      <c r="A596" s="175">
        <v>39017</v>
      </c>
      <c r="B596" s="176">
        <v>2.33</v>
      </c>
      <c r="K596" s="170">
        <v>42314</v>
      </c>
      <c r="L596" s="171">
        <v>1.03</v>
      </c>
    </row>
    <row r="597" spans="1:12" x14ac:dyDescent="0.2">
      <c r="A597" s="175">
        <v>39020</v>
      </c>
      <c r="B597" s="176">
        <v>2.34</v>
      </c>
      <c r="K597" s="170">
        <v>42321</v>
      </c>
      <c r="L597" s="171">
        <v>1.1000000000000001</v>
      </c>
    </row>
    <row r="598" spans="1:12" x14ac:dyDescent="0.2">
      <c r="A598" s="175">
        <v>39021</v>
      </c>
      <c r="B598" s="176">
        <v>2.2799999999999998</v>
      </c>
      <c r="K598" s="170">
        <v>42328</v>
      </c>
      <c r="L598" s="171">
        <v>1.05</v>
      </c>
    </row>
    <row r="599" spans="1:12" x14ac:dyDescent="0.2">
      <c r="A599" s="175">
        <v>39022</v>
      </c>
      <c r="B599" s="176">
        <v>2.2400000000000002</v>
      </c>
      <c r="K599" s="170">
        <v>42335</v>
      </c>
      <c r="L599" s="171">
        <v>0.97</v>
      </c>
    </row>
    <row r="600" spans="1:12" x14ac:dyDescent="0.2">
      <c r="A600" s="175">
        <v>39023</v>
      </c>
      <c r="B600" s="176">
        <v>2.2799999999999998</v>
      </c>
      <c r="K600" s="170">
        <v>42342</v>
      </c>
      <c r="L600" s="171">
        <v>0.98</v>
      </c>
    </row>
    <row r="601" spans="1:12" x14ac:dyDescent="0.2">
      <c r="A601" s="175">
        <v>39024</v>
      </c>
      <c r="B601" s="176">
        <v>2.34</v>
      </c>
      <c r="K601" s="170">
        <v>42349</v>
      </c>
      <c r="L601" s="171">
        <v>1.01</v>
      </c>
    </row>
    <row r="602" spans="1:12" x14ac:dyDescent="0.2">
      <c r="A602" s="175">
        <v>39027</v>
      </c>
      <c r="B602" s="176">
        <v>2.29</v>
      </c>
      <c r="K602" s="170">
        <v>42356</v>
      </c>
      <c r="L602" s="171">
        <v>1.1200000000000001</v>
      </c>
    </row>
    <row r="603" spans="1:12" x14ac:dyDescent="0.2">
      <c r="A603" s="175">
        <v>39028</v>
      </c>
      <c r="B603" s="176">
        <v>2.2599999999999998</v>
      </c>
      <c r="K603" s="170">
        <v>42363</v>
      </c>
      <c r="L603" s="171">
        <v>1.08</v>
      </c>
    </row>
    <row r="604" spans="1:12" x14ac:dyDescent="0.2">
      <c r="A604" s="175">
        <v>39029</v>
      </c>
      <c r="B604" s="176">
        <v>2.2200000000000002</v>
      </c>
      <c r="K604" s="170">
        <v>42370</v>
      </c>
      <c r="L604" s="171">
        <v>1.08</v>
      </c>
    </row>
    <row r="605" spans="1:12" x14ac:dyDescent="0.2">
      <c r="A605" s="175">
        <v>39030</v>
      </c>
      <c r="B605" s="176">
        <v>2.23</v>
      </c>
      <c r="K605" s="170">
        <v>42377</v>
      </c>
      <c r="L605" s="171">
        <v>1.03</v>
      </c>
    </row>
    <row r="606" spans="1:12" x14ac:dyDescent="0.2">
      <c r="A606" s="175">
        <v>39031</v>
      </c>
      <c r="B606" s="176">
        <v>2.19</v>
      </c>
      <c r="K606" s="170">
        <v>42384</v>
      </c>
      <c r="L606" s="171">
        <v>1.07</v>
      </c>
    </row>
    <row r="607" spans="1:12" x14ac:dyDescent="0.2">
      <c r="A607" s="175">
        <v>39034</v>
      </c>
      <c r="B607" s="176">
        <v>2.2200000000000002</v>
      </c>
      <c r="K607" s="170">
        <v>42391</v>
      </c>
      <c r="L607" s="171">
        <v>1.0900000000000001</v>
      </c>
    </row>
    <row r="608" spans="1:12" x14ac:dyDescent="0.2">
      <c r="A608" s="175">
        <v>39035</v>
      </c>
      <c r="B608" s="176">
        <v>2.19</v>
      </c>
      <c r="K608" s="170">
        <v>42398</v>
      </c>
      <c r="L608" s="171">
        <v>1.01</v>
      </c>
    </row>
    <row r="609" spans="1:12" x14ac:dyDescent="0.2">
      <c r="A609" s="175">
        <v>39036</v>
      </c>
      <c r="B609" s="176">
        <v>2.2200000000000002</v>
      </c>
      <c r="K609" s="170">
        <v>42405</v>
      </c>
      <c r="L609" s="171">
        <v>0.92</v>
      </c>
    </row>
    <row r="610" spans="1:12" x14ac:dyDescent="0.2">
      <c r="A610" s="175">
        <v>39037</v>
      </c>
      <c r="B610" s="176">
        <v>2.2799999999999998</v>
      </c>
      <c r="K610" s="170">
        <v>42412</v>
      </c>
      <c r="L610" s="171">
        <v>0.86</v>
      </c>
    </row>
    <row r="611" spans="1:12" x14ac:dyDescent="0.2">
      <c r="A611" s="175">
        <v>39038</v>
      </c>
      <c r="B611" s="176">
        <v>2.25</v>
      </c>
      <c r="K611" s="170">
        <v>42419</v>
      </c>
      <c r="L611" s="171">
        <v>0.9</v>
      </c>
    </row>
    <row r="612" spans="1:12" x14ac:dyDescent="0.2">
      <c r="A612" s="175">
        <v>39041</v>
      </c>
      <c r="B612" s="176">
        <v>2.25</v>
      </c>
      <c r="K612" s="170">
        <v>42426</v>
      </c>
      <c r="L612" s="171">
        <v>0.78</v>
      </c>
    </row>
    <row r="613" spans="1:12" x14ac:dyDescent="0.2">
      <c r="A613" s="175">
        <v>39042</v>
      </c>
      <c r="B613" s="176">
        <v>2.2400000000000002</v>
      </c>
      <c r="K613" s="170">
        <v>42433</v>
      </c>
      <c r="L613" s="171">
        <v>0.73</v>
      </c>
    </row>
    <row r="614" spans="1:12" x14ac:dyDescent="0.2">
      <c r="A614" s="175">
        <v>39043</v>
      </c>
      <c r="B614" s="176">
        <v>2.2400000000000002</v>
      </c>
      <c r="K614" s="170">
        <v>42440</v>
      </c>
      <c r="L614" s="171">
        <v>0.8</v>
      </c>
    </row>
    <row r="615" spans="1:12" x14ac:dyDescent="0.2">
      <c r="A615" s="175">
        <v>39044</v>
      </c>
      <c r="B615" s="176" t="e">
        <f>NA()</f>
        <v>#N/A</v>
      </c>
      <c r="K615" s="170">
        <v>42447</v>
      </c>
      <c r="L615" s="171">
        <v>0.78</v>
      </c>
    </row>
    <row r="616" spans="1:12" x14ac:dyDescent="0.2">
      <c r="A616" s="175">
        <v>39045</v>
      </c>
      <c r="B616" s="176">
        <v>2.21</v>
      </c>
      <c r="K616" s="170">
        <v>42454</v>
      </c>
      <c r="L616" s="171">
        <v>0.69</v>
      </c>
    </row>
    <row r="617" spans="1:12" x14ac:dyDescent="0.2">
      <c r="A617" s="175">
        <v>39048</v>
      </c>
      <c r="B617" s="176">
        <v>2.19</v>
      </c>
      <c r="K617" s="170">
        <v>42461</v>
      </c>
      <c r="L617" s="171">
        <v>0.61</v>
      </c>
    </row>
    <row r="618" spans="1:12" x14ac:dyDescent="0.2">
      <c r="A618" s="175">
        <v>39049</v>
      </c>
      <c r="B618" s="176">
        <v>2.17</v>
      </c>
      <c r="K618" s="170">
        <v>42468</v>
      </c>
      <c r="L618" s="171">
        <v>0.55000000000000004</v>
      </c>
    </row>
    <row r="619" spans="1:12" x14ac:dyDescent="0.2">
      <c r="A619" s="175">
        <v>39050</v>
      </c>
      <c r="B619" s="177">
        <v>2.19</v>
      </c>
      <c r="K619" s="170">
        <v>42475</v>
      </c>
      <c r="L619" s="171">
        <v>0.62</v>
      </c>
    </row>
    <row r="620" spans="1:12" x14ac:dyDescent="0.2">
      <c r="A620" s="175">
        <v>39051</v>
      </c>
      <c r="B620" s="176">
        <v>2.13</v>
      </c>
      <c r="K620" s="170">
        <v>42482</v>
      </c>
      <c r="L620" s="171">
        <v>0.63</v>
      </c>
    </row>
    <row r="621" spans="1:12" x14ac:dyDescent="0.2">
      <c r="A621" s="175">
        <v>39052</v>
      </c>
      <c r="B621" s="176">
        <v>2.09</v>
      </c>
      <c r="K621" s="170">
        <v>42489</v>
      </c>
      <c r="L621" s="171">
        <v>0.63</v>
      </c>
    </row>
    <row r="622" spans="1:12" x14ac:dyDescent="0.2">
      <c r="A622" s="175">
        <v>39055</v>
      </c>
      <c r="B622" s="176">
        <v>2.1</v>
      </c>
      <c r="K622" s="170">
        <v>42496</v>
      </c>
      <c r="L622" s="171">
        <v>0.61</v>
      </c>
    </row>
    <row r="623" spans="1:12" x14ac:dyDescent="0.2">
      <c r="A623" s="175">
        <v>39056</v>
      </c>
      <c r="B623" s="176">
        <v>2.12</v>
      </c>
      <c r="K623" s="170">
        <v>42503</v>
      </c>
      <c r="L623" s="171">
        <v>0.57999999999999996</v>
      </c>
    </row>
    <row r="624" spans="1:12" x14ac:dyDescent="0.2">
      <c r="A624" s="175">
        <v>39057</v>
      </c>
      <c r="B624" s="176">
        <v>2.15</v>
      </c>
      <c r="K624" s="170">
        <v>42510</v>
      </c>
      <c r="L624" s="171">
        <v>0.65</v>
      </c>
    </row>
    <row r="625" spans="1:12" x14ac:dyDescent="0.2">
      <c r="A625" s="175">
        <v>39058</v>
      </c>
      <c r="B625" s="176">
        <v>2.17</v>
      </c>
      <c r="K625" s="170">
        <v>42517</v>
      </c>
      <c r="L625" s="171">
        <v>0.71</v>
      </c>
    </row>
    <row r="626" spans="1:12" x14ac:dyDescent="0.2">
      <c r="A626" s="175">
        <v>39059</v>
      </c>
      <c r="B626" s="176">
        <v>2.2200000000000002</v>
      </c>
      <c r="K626" s="170">
        <v>42524</v>
      </c>
      <c r="L626" s="171">
        <v>0.72</v>
      </c>
    </row>
    <row r="627" spans="1:12" x14ac:dyDescent="0.2">
      <c r="A627" s="175">
        <v>39062</v>
      </c>
      <c r="B627" s="176">
        <v>2.1800000000000002</v>
      </c>
      <c r="K627" s="170">
        <v>42531</v>
      </c>
      <c r="L627" s="171">
        <v>0.6</v>
      </c>
    </row>
    <row r="628" spans="1:12" x14ac:dyDescent="0.2">
      <c r="A628" s="175">
        <v>39063</v>
      </c>
      <c r="B628" s="176">
        <v>2.16</v>
      </c>
      <c r="K628" s="170">
        <v>42538</v>
      </c>
      <c r="L628" s="171">
        <v>0.62</v>
      </c>
    </row>
    <row r="629" spans="1:12" x14ac:dyDescent="0.2">
      <c r="A629" s="175">
        <v>39064</v>
      </c>
      <c r="B629" s="176">
        <v>2.23</v>
      </c>
      <c r="K629" s="170">
        <v>42545</v>
      </c>
      <c r="L629" s="171">
        <v>0.68</v>
      </c>
    </row>
    <row r="630" spans="1:12" x14ac:dyDescent="0.2">
      <c r="A630" s="175">
        <v>39065</v>
      </c>
      <c r="B630" s="176">
        <v>2.2400000000000002</v>
      </c>
      <c r="K630" s="170">
        <v>42552</v>
      </c>
      <c r="L630" s="171">
        <v>0.5</v>
      </c>
    </row>
    <row r="631" spans="1:12" x14ac:dyDescent="0.2">
      <c r="A631" s="175">
        <v>39066</v>
      </c>
      <c r="B631" s="176">
        <v>2.2799999999999998</v>
      </c>
      <c r="K631" s="170">
        <v>42559</v>
      </c>
      <c r="L631" s="171">
        <v>0.36</v>
      </c>
    </row>
    <row r="632" spans="1:12" x14ac:dyDescent="0.2">
      <c r="A632" s="175">
        <v>39069</v>
      </c>
      <c r="B632" s="176">
        <v>2.31</v>
      </c>
      <c r="K632" s="170">
        <v>42566</v>
      </c>
      <c r="L632" s="171">
        <v>0.44</v>
      </c>
    </row>
    <row r="633" spans="1:12" x14ac:dyDescent="0.2">
      <c r="A633" s="175">
        <v>39070</v>
      </c>
      <c r="B633" s="176">
        <v>2.3199999999999998</v>
      </c>
      <c r="K633" s="170">
        <v>42573</v>
      </c>
      <c r="L633" s="171">
        <v>0.49</v>
      </c>
    </row>
    <row r="634" spans="1:12" x14ac:dyDescent="0.2">
      <c r="A634" s="175">
        <v>39071</v>
      </c>
      <c r="B634" s="176">
        <v>2.33</v>
      </c>
      <c r="K634" s="170">
        <v>42580</v>
      </c>
      <c r="L634" s="171">
        <v>0.4</v>
      </c>
    </row>
    <row r="635" spans="1:12" x14ac:dyDescent="0.2">
      <c r="A635" s="175">
        <v>39072</v>
      </c>
      <c r="B635" s="176">
        <v>2.31</v>
      </c>
      <c r="K635" s="170">
        <v>42587</v>
      </c>
      <c r="L635" s="171">
        <v>0.45</v>
      </c>
    </row>
    <row r="636" spans="1:12" x14ac:dyDescent="0.2">
      <c r="A636" s="175">
        <v>39073</v>
      </c>
      <c r="B636" s="176">
        <v>2.37</v>
      </c>
      <c r="K636" s="170">
        <v>42594</v>
      </c>
      <c r="L636" s="171">
        <v>0.42</v>
      </c>
    </row>
    <row r="637" spans="1:12" x14ac:dyDescent="0.2">
      <c r="A637" s="175">
        <v>39076</v>
      </c>
      <c r="B637" s="176" t="e">
        <f>NA()</f>
        <v>#N/A</v>
      </c>
      <c r="K637" s="170">
        <v>42601</v>
      </c>
      <c r="L637" s="171">
        <v>0.44</v>
      </c>
    </row>
    <row r="638" spans="1:12" x14ac:dyDescent="0.2">
      <c r="A638" s="175">
        <v>39077</v>
      </c>
      <c r="B638" s="176">
        <v>2.34</v>
      </c>
      <c r="K638" s="170">
        <v>42608</v>
      </c>
      <c r="L638" s="171">
        <v>0.42</v>
      </c>
    </row>
    <row r="639" spans="1:12" x14ac:dyDescent="0.2">
      <c r="A639" s="175">
        <v>39078</v>
      </c>
      <c r="B639" s="176">
        <v>2.39</v>
      </c>
      <c r="K639" s="170">
        <v>42615</v>
      </c>
      <c r="L639" s="171">
        <v>0.41</v>
      </c>
    </row>
    <row r="640" spans="1:12" x14ac:dyDescent="0.2">
      <c r="A640" s="175">
        <v>39079</v>
      </c>
      <c r="B640" s="176">
        <v>2.4</v>
      </c>
      <c r="K640" s="170">
        <v>42622</v>
      </c>
      <c r="L640" s="171">
        <v>0.41</v>
      </c>
    </row>
    <row r="641" spans="1:12" x14ac:dyDescent="0.2">
      <c r="A641" s="175">
        <v>39080</v>
      </c>
      <c r="B641" s="177">
        <v>2.4</v>
      </c>
      <c r="K641" s="170">
        <v>42629</v>
      </c>
      <c r="L641" s="171">
        <v>0.56999999999999995</v>
      </c>
    </row>
    <row r="642" spans="1:12" x14ac:dyDescent="0.2">
      <c r="A642" s="175">
        <v>39083</v>
      </c>
      <c r="B642" s="176" t="e">
        <f>NA()</f>
        <v>#N/A</v>
      </c>
      <c r="K642" s="170">
        <v>42636</v>
      </c>
      <c r="L642" s="171">
        <v>0.5</v>
      </c>
    </row>
    <row r="643" spans="1:12" x14ac:dyDescent="0.2">
      <c r="A643" s="175">
        <v>39084</v>
      </c>
      <c r="B643" s="176">
        <v>2.36</v>
      </c>
      <c r="K643" s="170">
        <v>42643</v>
      </c>
      <c r="L643" s="171">
        <v>0.41</v>
      </c>
    </row>
    <row r="644" spans="1:12" x14ac:dyDescent="0.2">
      <c r="A644" s="175">
        <v>39085</v>
      </c>
      <c r="B644" s="176">
        <v>2.35</v>
      </c>
      <c r="K644" s="170">
        <v>42650</v>
      </c>
      <c r="L644" s="171">
        <v>0.45</v>
      </c>
    </row>
    <row r="645" spans="1:12" x14ac:dyDescent="0.2">
      <c r="A645" s="175">
        <v>39086</v>
      </c>
      <c r="B645" s="176">
        <v>2.34</v>
      </c>
      <c r="K645" s="170">
        <v>42657</v>
      </c>
      <c r="L645" s="171">
        <v>0.52</v>
      </c>
    </row>
    <row r="646" spans="1:12" x14ac:dyDescent="0.2">
      <c r="A646" s="175">
        <v>39087</v>
      </c>
      <c r="B646" s="177">
        <v>2.36</v>
      </c>
      <c r="K646" s="170">
        <v>42664</v>
      </c>
      <c r="L646" s="171">
        <v>0.48</v>
      </c>
    </row>
    <row r="647" spans="1:12" x14ac:dyDescent="0.2">
      <c r="A647" s="175">
        <v>39090</v>
      </c>
      <c r="B647" s="176">
        <v>2.37</v>
      </c>
      <c r="K647" s="170">
        <v>42671</v>
      </c>
      <c r="L647" s="171">
        <v>0.5</v>
      </c>
    </row>
    <row r="648" spans="1:12" x14ac:dyDescent="0.2">
      <c r="A648" s="175">
        <v>39091</v>
      </c>
      <c r="B648" s="176">
        <v>2.38</v>
      </c>
      <c r="K648" s="170">
        <v>42678</v>
      </c>
      <c r="L648" s="171">
        <v>0.53</v>
      </c>
    </row>
    <row r="649" spans="1:12" x14ac:dyDescent="0.2">
      <c r="A649" s="175">
        <v>39092</v>
      </c>
      <c r="B649" s="176">
        <v>2.41</v>
      </c>
      <c r="K649" s="170">
        <v>42685</v>
      </c>
      <c r="L649" s="171">
        <v>0.61</v>
      </c>
    </row>
    <row r="650" spans="1:12" x14ac:dyDescent="0.2">
      <c r="A650" s="175">
        <v>39093</v>
      </c>
      <c r="B650" s="176">
        <v>2.46</v>
      </c>
      <c r="K650" s="170">
        <v>42692</v>
      </c>
      <c r="L650" s="171">
        <v>0.78</v>
      </c>
    </row>
    <row r="651" spans="1:12" x14ac:dyDescent="0.2">
      <c r="A651" s="175">
        <v>39094</v>
      </c>
      <c r="B651" s="176">
        <v>2.5</v>
      </c>
      <c r="K651" s="170">
        <v>42699</v>
      </c>
      <c r="L651" s="171">
        <v>0.77</v>
      </c>
    </row>
    <row r="652" spans="1:12" x14ac:dyDescent="0.2">
      <c r="A652" s="175">
        <v>39097</v>
      </c>
      <c r="B652" s="176" t="e">
        <f>NA()</f>
        <v>#N/A</v>
      </c>
      <c r="K652" s="170">
        <v>42706</v>
      </c>
      <c r="L652" s="171">
        <v>0.79</v>
      </c>
    </row>
    <row r="653" spans="1:12" x14ac:dyDescent="0.2">
      <c r="A653" s="175">
        <v>39098</v>
      </c>
      <c r="B653" s="176">
        <v>2.4700000000000002</v>
      </c>
      <c r="K653" s="170">
        <v>42713</v>
      </c>
      <c r="L653" s="171">
        <v>0.81</v>
      </c>
    </row>
    <row r="654" spans="1:12" x14ac:dyDescent="0.2">
      <c r="A654" s="175">
        <v>39099</v>
      </c>
      <c r="B654" s="176">
        <v>2.5</v>
      </c>
      <c r="K654" s="170">
        <v>42720</v>
      </c>
      <c r="L654" s="171">
        <v>0.97</v>
      </c>
    </row>
    <row r="655" spans="1:12" x14ac:dyDescent="0.2">
      <c r="A655" s="175">
        <v>39100</v>
      </c>
      <c r="B655" s="176">
        <v>2.4500000000000002</v>
      </c>
      <c r="K655" s="170">
        <v>42727</v>
      </c>
      <c r="L655" s="171">
        <v>0.93</v>
      </c>
    </row>
    <row r="656" spans="1:12" x14ac:dyDescent="0.2">
      <c r="A656" s="175">
        <v>39101</v>
      </c>
      <c r="B656" s="177">
        <v>2.4500000000000002</v>
      </c>
      <c r="K656" s="170">
        <v>42734</v>
      </c>
      <c r="L656" s="171">
        <v>0.86</v>
      </c>
    </row>
    <row r="657" spans="1:12" x14ac:dyDescent="0.2">
      <c r="A657" s="175">
        <v>39104</v>
      </c>
      <c r="B657" s="176">
        <v>2.42</v>
      </c>
      <c r="K657" s="170">
        <v>42741</v>
      </c>
      <c r="L657" s="171">
        <v>0.76</v>
      </c>
    </row>
    <row r="658" spans="1:12" x14ac:dyDescent="0.2">
      <c r="A658" s="175">
        <v>39105</v>
      </c>
      <c r="B658" s="176">
        <v>2.41</v>
      </c>
      <c r="K658" s="170">
        <v>42748</v>
      </c>
      <c r="L658" s="171">
        <v>0.72</v>
      </c>
    </row>
    <row r="659" spans="1:12" x14ac:dyDescent="0.2">
      <c r="A659" s="175">
        <v>39106</v>
      </c>
      <c r="B659" s="176">
        <v>2.4</v>
      </c>
      <c r="K659" s="170">
        <v>42755</v>
      </c>
      <c r="L659" s="171">
        <v>0.73</v>
      </c>
    </row>
    <row r="660" spans="1:12" x14ac:dyDescent="0.2">
      <c r="A660" s="175">
        <v>39107</v>
      </c>
      <c r="B660" s="176">
        <v>2.46</v>
      </c>
      <c r="K660" s="170">
        <v>42762</v>
      </c>
      <c r="L660" s="171">
        <v>0.75</v>
      </c>
    </row>
    <row r="661" spans="1:12" x14ac:dyDescent="0.2">
      <c r="A661" s="175">
        <v>39108</v>
      </c>
      <c r="B661" s="176">
        <v>2.4700000000000002</v>
      </c>
      <c r="K661" s="170">
        <v>42769</v>
      </c>
      <c r="L661" s="171">
        <v>0.77</v>
      </c>
    </row>
    <row r="662" spans="1:12" x14ac:dyDescent="0.2">
      <c r="A662" s="175">
        <v>39111</v>
      </c>
      <c r="B662" s="176">
        <v>2.4900000000000002</v>
      </c>
      <c r="K662" s="170">
        <v>42776</v>
      </c>
      <c r="L662" s="171">
        <v>0.75</v>
      </c>
    </row>
    <row r="663" spans="1:12" x14ac:dyDescent="0.2">
      <c r="A663" s="175">
        <v>39112</v>
      </c>
      <c r="B663" s="176">
        <v>2.4500000000000002</v>
      </c>
      <c r="K663" s="170">
        <v>42783</v>
      </c>
      <c r="L663" s="171">
        <v>0.75</v>
      </c>
    </row>
    <row r="664" spans="1:12" x14ac:dyDescent="0.2">
      <c r="A664" s="175">
        <v>39113</v>
      </c>
      <c r="B664" s="176">
        <v>2.4</v>
      </c>
      <c r="K664" s="170">
        <v>42790</v>
      </c>
      <c r="L664" s="171">
        <v>0.69</v>
      </c>
    </row>
    <row r="665" spans="1:12" x14ac:dyDescent="0.2">
      <c r="A665" s="175">
        <v>39114</v>
      </c>
      <c r="B665" s="176">
        <v>2.42</v>
      </c>
      <c r="K665" s="170">
        <v>42797</v>
      </c>
      <c r="L665" s="171">
        <v>0.73</v>
      </c>
    </row>
    <row r="666" spans="1:12" x14ac:dyDescent="0.2">
      <c r="A666" s="175">
        <v>39115</v>
      </c>
      <c r="B666" s="176">
        <v>2.42</v>
      </c>
      <c r="K666" s="170">
        <v>42804</v>
      </c>
      <c r="L666" s="171">
        <v>0.85</v>
      </c>
    </row>
    <row r="667" spans="1:12" x14ac:dyDescent="0.2">
      <c r="A667" s="175">
        <v>39118</v>
      </c>
      <c r="B667" s="176">
        <v>2.41</v>
      </c>
      <c r="K667" s="170">
        <v>42811</v>
      </c>
      <c r="L667" s="171">
        <v>0.85</v>
      </c>
    </row>
    <row r="668" spans="1:12" x14ac:dyDescent="0.2">
      <c r="A668" s="175">
        <v>39119</v>
      </c>
      <c r="B668" s="176">
        <v>2.41</v>
      </c>
      <c r="K668" s="170">
        <v>42818</v>
      </c>
      <c r="L668" s="171">
        <v>0.75</v>
      </c>
    </row>
    <row r="669" spans="1:12" x14ac:dyDescent="0.2">
      <c r="A669" s="175">
        <v>39120</v>
      </c>
      <c r="B669" s="176">
        <v>2.4</v>
      </c>
      <c r="K669" s="170">
        <v>42825</v>
      </c>
      <c r="L669" s="171">
        <v>0.72</v>
      </c>
    </row>
    <row r="670" spans="1:12" x14ac:dyDescent="0.2">
      <c r="A670" s="175">
        <v>39121</v>
      </c>
      <c r="B670" s="176">
        <v>2.39</v>
      </c>
      <c r="K670" s="170">
        <v>42832</v>
      </c>
      <c r="L670" s="171">
        <v>0.69</v>
      </c>
    </row>
    <row r="671" spans="1:12" x14ac:dyDescent="0.2">
      <c r="A671" s="175">
        <v>39122</v>
      </c>
      <c r="B671" s="176">
        <v>2.4300000000000002</v>
      </c>
      <c r="K671" s="170">
        <v>42839</v>
      </c>
      <c r="L671" s="171">
        <v>0.69</v>
      </c>
    </row>
    <row r="672" spans="1:12" x14ac:dyDescent="0.2">
      <c r="A672" s="175">
        <v>39125</v>
      </c>
      <c r="B672" s="176">
        <v>2.4700000000000002</v>
      </c>
      <c r="K672" s="170">
        <v>42846</v>
      </c>
      <c r="L672" s="171">
        <v>0.72</v>
      </c>
    </row>
    <row r="673" spans="1:12" x14ac:dyDescent="0.2">
      <c r="A673" s="175">
        <v>39126</v>
      </c>
      <c r="B673" s="176">
        <v>2.4700000000000002</v>
      </c>
      <c r="K673" s="170">
        <v>42853</v>
      </c>
      <c r="L673" s="171">
        <v>0.76</v>
      </c>
    </row>
    <row r="674" spans="1:12" x14ac:dyDescent="0.2">
      <c r="A674" s="175">
        <v>39127</v>
      </c>
      <c r="B674" s="176">
        <v>2.4</v>
      </c>
      <c r="K674" s="170">
        <v>42860</v>
      </c>
      <c r="L674" s="171">
        <v>0.79</v>
      </c>
    </row>
    <row r="675" spans="1:12" x14ac:dyDescent="0.2">
      <c r="A675" s="175">
        <v>39128</v>
      </c>
      <c r="B675" s="176">
        <v>2.39</v>
      </c>
      <c r="K675" s="170">
        <v>42867</v>
      </c>
      <c r="L675" s="171">
        <v>0.85</v>
      </c>
    </row>
    <row r="676" spans="1:12" x14ac:dyDescent="0.2">
      <c r="A676" s="175">
        <v>39129</v>
      </c>
      <c r="B676" s="176">
        <v>2.38</v>
      </c>
      <c r="K676" s="170">
        <v>42874</v>
      </c>
      <c r="L676" s="171">
        <v>0.79</v>
      </c>
    </row>
    <row r="677" spans="1:12" x14ac:dyDescent="0.2">
      <c r="A677" s="175">
        <v>39132</v>
      </c>
      <c r="B677" s="176" t="e">
        <f>NA()</f>
        <v>#N/A</v>
      </c>
      <c r="K677" s="170">
        <v>42881</v>
      </c>
      <c r="L677" s="171">
        <v>0.77</v>
      </c>
    </row>
    <row r="678" spans="1:12" x14ac:dyDescent="0.2">
      <c r="A678" s="175">
        <v>39133</v>
      </c>
      <c r="B678" s="176">
        <v>2.37</v>
      </c>
      <c r="K678" s="170">
        <v>42888</v>
      </c>
      <c r="L678" s="171">
        <v>0.72</v>
      </c>
    </row>
    <row r="679" spans="1:12" x14ac:dyDescent="0.2">
      <c r="A679" s="175">
        <v>39134</v>
      </c>
      <c r="B679" s="176">
        <v>2.36</v>
      </c>
      <c r="K679" s="170">
        <v>42895</v>
      </c>
      <c r="L679" s="171">
        <v>0.73</v>
      </c>
    </row>
    <row r="680" spans="1:12" x14ac:dyDescent="0.2">
      <c r="A680" s="175">
        <v>39135</v>
      </c>
      <c r="B680" s="176">
        <v>2.38</v>
      </c>
      <c r="K680" s="170">
        <v>42902</v>
      </c>
      <c r="L680" s="171">
        <v>0.77</v>
      </c>
    </row>
    <row r="681" spans="1:12" x14ac:dyDescent="0.2">
      <c r="A681" s="175">
        <v>39136</v>
      </c>
      <c r="B681" s="177">
        <v>2.34</v>
      </c>
      <c r="K681" s="170">
        <v>42909</v>
      </c>
      <c r="L681" s="171">
        <v>0.75</v>
      </c>
    </row>
    <row r="682" spans="1:12" x14ac:dyDescent="0.2">
      <c r="A682" s="175">
        <v>39139</v>
      </c>
      <c r="B682" s="176">
        <v>2.29</v>
      </c>
      <c r="K682" s="170">
        <v>42916</v>
      </c>
      <c r="L682" s="171">
        <v>0.77</v>
      </c>
    </row>
    <row r="683" spans="1:12" x14ac:dyDescent="0.2">
      <c r="A683" s="175">
        <v>39140</v>
      </c>
      <c r="B683" s="176">
        <v>2.19</v>
      </c>
      <c r="K683" s="170">
        <v>42923</v>
      </c>
      <c r="L683" s="171">
        <v>0.87</v>
      </c>
    </row>
    <row r="684" spans="1:12" x14ac:dyDescent="0.2">
      <c r="A684" s="175">
        <v>39141</v>
      </c>
      <c r="B684" s="176">
        <v>2.2400000000000002</v>
      </c>
      <c r="K684" s="170">
        <v>42930</v>
      </c>
      <c r="L684" s="171">
        <v>0.88</v>
      </c>
    </row>
    <row r="685" spans="1:12" x14ac:dyDescent="0.2">
      <c r="A685" s="175">
        <v>39142</v>
      </c>
      <c r="B685" s="176">
        <v>2.23</v>
      </c>
      <c r="K685" s="170">
        <v>42937</v>
      </c>
      <c r="L685" s="171">
        <v>0.8</v>
      </c>
    </row>
    <row r="686" spans="1:12" x14ac:dyDescent="0.2">
      <c r="A686" s="175">
        <v>39143</v>
      </c>
      <c r="B686" s="176">
        <v>2.21</v>
      </c>
      <c r="K686" s="170">
        <v>42944</v>
      </c>
      <c r="L686" s="171">
        <v>0.8</v>
      </c>
    </row>
    <row r="687" spans="1:12" x14ac:dyDescent="0.2">
      <c r="A687" s="175">
        <v>39146</v>
      </c>
      <c r="B687" s="176">
        <v>2.2200000000000002</v>
      </c>
      <c r="K687" s="170">
        <v>42951</v>
      </c>
      <c r="L687" s="171">
        <v>0.78</v>
      </c>
    </row>
    <row r="688" spans="1:12" x14ac:dyDescent="0.2">
      <c r="A688" s="175">
        <v>39147</v>
      </c>
      <c r="B688" s="176">
        <v>2.2400000000000002</v>
      </c>
      <c r="K688" s="170">
        <v>42958</v>
      </c>
      <c r="L688" s="171">
        <v>0.73</v>
      </c>
    </row>
    <row r="689" spans="1:12" x14ac:dyDescent="0.2">
      <c r="A689" s="175">
        <v>39148</v>
      </c>
      <c r="B689" s="176">
        <v>2.2200000000000002</v>
      </c>
      <c r="K689" s="170">
        <v>42965</v>
      </c>
      <c r="L689" s="171">
        <v>0.75</v>
      </c>
    </row>
    <row r="690" spans="1:12" x14ac:dyDescent="0.2">
      <c r="A690" s="175">
        <v>39149</v>
      </c>
      <c r="B690" s="176">
        <v>2.2400000000000002</v>
      </c>
      <c r="K690" s="170">
        <v>42972</v>
      </c>
      <c r="L690" s="171">
        <v>0.73</v>
      </c>
    </row>
    <row r="691" spans="1:12" x14ac:dyDescent="0.2">
      <c r="A691" s="175">
        <v>39150</v>
      </c>
      <c r="B691" s="176">
        <v>2.31</v>
      </c>
      <c r="K691" s="170">
        <v>42979</v>
      </c>
      <c r="L691" s="171">
        <v>0.69</v>
      </c>
    </row>
    <row r="692" spans="1:12" x14ac:dyDescent="0.2">
      <c r="A692" s="175">
        <v>39153</v>
      </c>
      <c r="B692" s="176">
        <v>2.2999999999999998</v>
      </c>
      <c r="K692" s="170">
        <v>42986</v>
      </c>
      <c r="L692" s="171">
        <v>0.6</v>
      </c>
    </row>
    <row r="693" spans="1:12" x14ac:dyDescent="0.2">
      <c r="A693" s="175">
        <v>39154</v>
      </c>
      <c r="B693" s="176">
        <v>2.2599999999999998</v>
      </c>
      <c r="K693" s="170">
        <v>42993</v>
      </c>
      <c r="L693" s="171">
        <v>0.65</v>
      </c>
    </row>
    <row r="694" spans="1:12" x14ac:dyDescent="0.2">
      <c r="A694" s="175">
        <v>39155</v>
      </c>
      <c r="B694" s="176">
        <v>2.29</v>
      </c>
      <c r="K694" s="170">
        <v>43000</v>
      </c>
      <c r="L694" s="171">
        <v>0.7</v>
      </c>
    </row>
    <row r="695" spans="1:12" x14ac:dyDescent="0.2">
      <c r="A695" s="175">
        <v>39156</v>
      </c>
      <c r="B695" s="176">
        <v>2.2599999999999998</v>
      </c>
      <c r="K695" s="170">
        <v>43007</v>
      </c>
      <c r="L695" s="171">
        <v>0.72</v>
      </c>
    </row>
    <row r="696" spans="1:12" x14ac:dyDescent="0.2">
      <c r="A696" s="175">
        <v>39157</v>
      </c>
      <c r="B696" s="176">
        <v>2.2599999999999998</v>
      </c>
      <c r="K696" s="170">
        <v>43014</v>
      </c>
      <c r="L696" s="171">
        <v>0.78</v>
      </c>
    </row>
    <row r="697" spans="1:12" x14ac:dyDescent="0.2">
      <c r="A697" s="175">
        <v>39160</v>
      </c>
      <c r="B697" s="176">
        <v>2.2799999999999998</v>
      </c>
      <c r="K697" s="170">
        <v>43021</v>
      </c>
      <c r="L697" s="171">
        <v>0.74</v>
      </c>
    </row>
    <row r="698" spans="1:12" x14ac:dyDescent="0.2">
      <c r="A698" s="175">
        <v>39161</v>
      </c>
      <c r="B698" s="176">
        <v>2.29</v>
      </c>
      <c r="K698" s="170">
        <v>43028</v>
      </c>
      <c r="L698" s="171">
        <v>0.74</v>
      </c>
    </row>
    <row r="699" spans="1:12" x14ac:dyDescent="0.2">
      <c r="A699" s="175">
        <v>39162</v>
      </c>
      <c r="B699" s="176">
        <v>2.25</v>
      </c>
      <c r="K699" s="170">
        <v>43035</v>
      </c>
      <c r="L699" s="171">
        <v>0.81</v>
      </c>
    </row>
    <row r="700" spans="1:12" x14ac:dyDescent="0.2">
      <c r="A700" s="175">
        <v>39163</v>
      </c>
      <c r="B700" s="176">
        <v>2.2799999999999998</v>
      </c>
      <c r="K700" s="170">
        <v>43042</v>
      </c>
      <c r="L700" s="171">
        <v>0.75</v>
      </c>
    </row>
    <row r="701" spans="1:12" x14ac:dyDescent="0.2">
      <c r="A701" s="175">
        <v>39164</v>
      </c>
      <c r="B701" s="176">
        <v>2.29</v>
      </c>
      <c r="K701" s="170">
        <v>43049</v>
      </c>
      <c r="L701" s="171">
        <v>0.71</v>
      </c>
    </row>
    <row r="702" spans="1:12" x14ac:dyDescent="0.2">
      <c r="A702" s="175">
        <v>39167</v>
      </c>
      <c r="B702" s="176">
        <v>2.2599999999999998</v>
      </c>
      <c r="K702" s="170">
        <v>43056</v>
      </c>
      <c r="L702" s="171">
        <v>0.73</v>
      </c>
    </row>
    <row r="703" spans="1:12" x14ac:dyDescent="0.2">
      <c r="A703" s="175">
        <v>39168</v>
      </c>
      <c r="B703" s="176">
        <v>2.27</v>
      </c>
      <c r="K703" s="170">
        <v>43063</v>
      </c>
      <c r="L703" s="171">
        <v>0.71</v>
      </c>
    </row>
    <row r="704" spans="1:12" x14ac:dyDescent="0.2">
      <c r="A704" s="175">
        <v>39169</v>
      </c>
      <c r="B704" s="176">
        <v>2.2999999999999998</v>
      </c>
      <c r="K704" s="170">
        <v>43070</v>
      </c>
      <c r="L704" s="171">
        <v>0.72</v>
      </c>
    </row>
    <row r="705" spans="1:12" x14ac:dyDescent="0.2">
      <c r="A705" s="175">
        <v>39170</v>
      </c>
      <c r="B705" s="176">
        <v>2.2999999999999998</v>
      </c>
      <c r="K705" s="170">
        <v>43077</v>
      </c>
      <c r="L705" s="171">
        <v>0.67</v>
      </c>
    </row>
    <row r="706" spans="1:12" x14ac:dyDescent="0.2">
      <c r="A706" s="175">
        <v>39171</v>
      </c>
      <c r="B706" s="176">
        <v>2.3199999999999998</v>
      </c>
      <c r="K706" s="170">
        <v>43084</v>
      </c>
      <c r="L706" s="171">
        <v>0.67</v>
      </c>
    </row>
    <row r="707" spans="1:12" x14ac:dyDescent="0.2">
      <c r="A707" s="175">
        <v>39174</v>
      </c>
      <c r="B707" s="176">
        <v>2.31</v>
      </c>
      <c r="K707" s="170">
        <v>43091</v>
      </c>
      <c r="L707" s="171">
        <v>0.71</v>
      </c>
    </row>
    <row r="708" spans="1:12" x14ac:dyDescent="0.2">
      <c r="A708" s="175">
        <v>39175</v>
      </c>
      <c r="B708" s="176">
        <v>2.34</v>
      </c>
      <c r="K708" s="170">
        <v>43098</v>
      </c>
      <c r="L708" s="171">
        <v>0.65</v>
      </c>
    </row>
    <row r="709" spans="1:12" x14ac:dyDescent="0.2">
      <c r="A709" s="175">
        <v>39176</v>
      </c>
      <c r="B709" s="176">
        <v>2.33</v>
      </c>
      <c r="K709" s="170">
        <v>43105</v>
      </c>
      <c r="L709" s="171">
        <v>0.63</v>
      </c>
    </row>
    <row r="710" spans="1:12" x14ac:dyDescent="0.2">
      <c r="A710" s="175">
        <v>39177</v>
      </c>
      <c r="B710" s="176">
        <v>2.34</v>
      </c>
      <c r="K710" s="170">
        <v>43112</v>
      </c>
      <c r="L710" s="171">
        <v>0.69</v>
      </c>
    </row>
    <row r="711" spans="1:12" x14ac:dyDescent="0.2">
      <c r="A711" s="175">
        <v>39178</v>
      </c>
      <c r="B711" s="176">
        <v>2.37</v>
      </c>
      <c r="K711" s="170">
        <v>43119</v>
      </c>
      <c r="L711" s="171">
        <v>0.7</v>
      </c>
    </row>
    <row r="712" spans="1:12" x14ac:dyDescent="0.2">
      <c r="A712" s="175">
        <v>39181</v>
      </c>
      <c r="B712" s="176">
        <v>2.38</v>
      </c>
      <c r="K712" s="170">
        <v>43126</v>
      </c>
      <c r="L712" s="171">
        <v>0.71</v>
      </c>
    </row>
    <row r="713" spans="1:12" x14ac:dyDescent="0.2">
      <c r="A713" s="175">
        <v>39182</v>
      </c>
      <c r="B713" s="176">
        <v>2.37</v>
      </c>
      <c r="K713" s="170">
        <v>43133</v>
      </c>
      <c r="L713" s="171">
        <v>0.76</v>
      </c>
    </row>
    <row r="714" spans="1:12" x14ac:dyDescent="0.2">
      <c r="A714" s="175">
        <v>39183</v>
      </c>
      <c r="B714" s="176">
        <v>2.38</v>
      </c>
      <c r="K714" s="170">
        <v>43140</v>
      </c>
      <c r="L714" s="171">
        <v>0.86</v>
      </c>
    </row>
    <row r="715" spans="1:12" x14ac:dyDescent="0.2">
      <c r="A715" s="175">
        <v>39184</v>
      </c>
      <c r="B715" s="176">
        <v>2.39</v>
      </c>
      <c r="K715" s="170">
        <v>43147</v>
      </c>
      <c r="L715" s="171">
        <v>0.92</v>
      </c>
    </row>
    <row r="716" spans="1:12" x14ac:dyDescent="0.2">
      <c r="A716" s="175">
        <v>39185</v>
      </c>
      <c r="B716" s="176">
        <v>2.41</v>
      </c>
      <c r="K716" s="170">
        <v>43154</v>
      </c>
      <c r="L716" s="171">
        <v>0.94</v>
      </c>
    </row>
    <row r="717" spans="1:12" x14ac:dyDescent="0.2">
      <c r="A717" s="175">
        <v>39188</v>
      </c>
      <c r="B717" s="176">
        <v>2.39</v>
      </c>
      <c r="K717" s="170">
        <v>43161</v>
      </c>
      <c r="L717" s="171">
        <v>0.89</v>
      </c>
    </row>
    <row r="718" spans="1:12" x14ac:dyDescent="0.2">
      <c r="A718" s="175">
        <v>39189</v>
      </c>
      <c r="B718" s="176">
        <v>2.35</v>
      </c>
      <c r="K718" s="170">
        <v>43168</v>
      </c>
      <c r="L718" s="171">
        <v>0.91</v>
      </c>
    </row>
    <row r="719" spans="1:12" x14ac:dyDescent="0.2">
      <c r="A719" s="175">
        <v>39190</v>
      </c>
      <c r="B719" s="176">
        <v>2.34</v>
      </c>
      <c r="K719" s="170">
        <v>43175</v>
      </c>
      <c r="L719" s="171">
        <v>0.9</v>
      </c>
    </row>
    <row r="720" spans="1:12" x14ac:dyDescent="0.2">
      <c r="A720" s="175">
        <v>39191</v>
      </c>
      <c r="B720" s="176">
        <v>2.35</v>
      </c>
      <c r="K720" s="170">
        <v>43182</v>
      </c>
      <c r="L720" s="171">
        <v>0.91</v>
      </c>
    </row>
    <row r="721" spans="1:12" x14ac:dyDescent="0.2">
      <c r="A721" s="175">
        <v>39192</v>
      </c>
      <c r="B721" s="176">
        <v>2.35</v>
      </c>
      <c r="K721" s="170">
        <v>43189</v>
      </c>
      <c r="L721" s="171">
        <v>0.85</v>
      </c>
    </row>
    <row r="722" spans="1:12" x14ac:dyDescent="0.2">
      <c r="A722" s="175">
        <v>39195</v>
      </c>
      <c r="B722" s="176">
        <v>2.33</v>
      </c>
      <c r="K722" s="170">
        <v>43196</v>
      </c>
      <c r="L722" s="171">
        <v>0.84</v>
      </c>
    </row>
    <row r="723" spans="1:12" x14ac:dyDescent="0.2">
      <c r="A723" s="175">
        <v>39196</v>
      </c>
      <c r="B723" s="176">
        <v>2.3199999999999998</v>
      </c>
      <c r="K723" s="170">
        <v>43203</v>
      </c>
      <c r="L723" s="171">
        <v>0.82</v>
      </c>
    </row>
    <row r="724" spans="1:12" x14ac:dyDescent="0.2">
      <c r="A724" s="175">
        <v>39197</v>
      </c>
      <c r="B724" s="176">
        <v>2.34</v>
      </c>
      <c r="K724" s="170">
        <v>43210</v>
      </c>
      <c r="L724" s="171">
        <v>0.82</v>
      </c>
    </row>
    <row r="725" spans="1:12" x14ac:dyDescent="0.2">
      <c r="A725" s="175">
        <v>39198</v>
      </c>
      <c r="B725" s="176">
        <v>2.37</v>
      </c>
      <c r="K725" s="170">
        <v>43217</v>
      </c>
      <c r="L725" s="171">
        <v>0.91</v>
      </c>
    </row>
    <row r="726" spans="1:12" x14ac:dyDescent="0.2">
      <c r="A726" s="175">
        <v>39199</v>
      </c>
      <c r="B726" s="176">
        <v>2.37</v>
      </c>
      <c r="K726" s="170">
        <v>43224</v>
      </c>
      <c r="L726" s="171">
        <v>0.88</v>
      </c>
    </row>
    <row r="727" spans="1:12" x14ac:dyDescent="0.2">
      <c r="A727" s="175">
        <v>39202</v>
      </c>
      <c r="B727" s="176">
        <v>2.31</v>
      </c>
      <c r="K727" s="170">
        <v>43231</v>
      </c>
      <c r="L727" s="171">
        <v>0.89</v>
      </c>
    </row>
    <row r="728" spans="1:12" x14ac:dyDescent="0.2">
      <c r="A728" s="175">
        <v>39203</v>
      </c>
      <c r="B728" s="176">
        <v>2.3199999999999998</v>
      </c>
      <c r="K728" s="170">
        <v>43238</v>
      </c>
      <c r="L728" s="171">
        <v>0.98</v>
      </c>
    </row>
    <row r="729" spans="1:12" x14ac:dyDescent="0.2">
      <c r="A729" s="175">
        <v>39204</v>
      </c>
      <c r="B729" s="176">
        <v>2.33</v>
      </c>
      <c r="K729" s="170">
        <v>43245</v>
      </c>
      <c r="L729" s="171">
        <v>0.96</v>
      </c>
    </row>
    <row r="730" spans="1:12" x14ac:dyDescent="0.2">
      <c r="A730" s="175">
        <v>39205</v>
      </c>
      <c r="B730" s="176">
        <v>2.34</v>
      </c>
      <c r="K730" s="170">
        <v>43252</v>
      </c>
      <c r="L730" s="171">
        <v>0.86</v>
      </c>
    </row>
    <row r="731" spans="1:12" x14ac:dyDescent="0.2">
      <c r="A731" s="175">
        <v>39206</v>
      </c>
      <c r="B731" s="176">
        <v>2.35</v>
      </c>
      <c r="K731" s="170">
        <v>43259</v>
      </c>
      <c r="L731" s="171">
        <v>0.89</v>
      </c>
    </row>
    <row r="732" spans="1:12" x14ac:dyDescent="0.2">
      <c r="A732" s="175">
        <v>39209</v>
      </c>
      <c r="B732" s="176">
        <v>2.36</v>
      </c>
      <c r="K732" s="170">
        <v>43266</v>
      </c>
      <c r="L732" s="171">
        <v>0.91</v>
      </c>
    </row>
    <row r="733" spans="1:12" x14ac:dyDescent="0.2">
      <c r="A733" s="175">
        <v>39210</v>
      </c>
      <c r="B733" s="176">
        <v>2.37</v>
      </c>
      <c r="K733" s="170">
        <v>43273</v>
      </c>
      <c r="L733" s="171">
        <v>0.87</v>
      </c>
    </row>
    <row r="734" spans="1:12" x14ac:dyDescent="0.2">
      <c r="A734" s="175">
        <v>39211</v>
      </c>
      <c r="B734" s="176">
        <v>2.39</v>
      </c>
      <c r="K734" s="170">
        <v>43280</v>
      </c>
      <c r="L734" s="171">
        <v>0.82</v>
      </c>
    </row>
    <row r="735" spans="1:12" x14ac:dyDescent="0.2">
      <c r="A735" s="175">
        <v>39212</v>
      </c>
      <c r="B735" s="176">
        <v>2.38</v>
      </c>
      <c r="K735" s="170">
        <v>43287</v>
      </c>
      <c r="L735" s="171">
        <v>0.78</v>
      </c>
    </row>
    <row r="736" spans="1:12" x14ac:dyDescent="0.2">
      <c r="A736" s="175">
        <v>39213</v>
      </c>
      <c r="B736" s="176">
        <v>2.41</v>
      </c>
      <c r="K736" s="170">
        <v>43294</v>
      </c>
      <c r="L736" s="171">
        <v>0.8</v>
      </c>
    </row>
    <row r="737" spans="1:12" x14ac:dyDescent="0.2">
      <c r="A737" s="175">
        <v>39216</v>
      </c>
      <c r="B737" s="176">
        <v>2.42</v>
      </c>
      <c r="K737" s="170">
        <v>43301</v>
      </c>
      <c r="L737" s="171">
        <v>0.83</v>
      </c>
    </row>
    <row r="738" spans="1:12" x14ac:dyDescent="0.2">
      <c r="A738" s="175">
        <v>39217</v>
      </c>
      <c r="B738" s="176">
        <v>2.4700000000000002</v>
      </c>
      <c r="K738" s="170">
        <v>43308</v>
      </c>
      <c r="L738" s="171">
        <v>0.9</v>
      </c>
    </row>
    <row r="739" spans="1:12" x14ac:dyDescent="0.2">
      <c r="A739" s="175">
        <v>39218</v>
      </c>
      <c r="B739" s="176">
        <v>2.46</v>
      </c>
      <c r="K739" s="170">
        <v>43315</v>
      </c>
      <c r="L739" s="171">
        <v>0.91</v>
      </c>
    </row>
    <row r="740" spans="1:12" x14ac:dyDescent="0.2">
      <c r="A740" s="175">
        <v>39219</v>
      </c>
      <c r="B740" s="176">
        <v>2.4900000000000002</v>
      </c>
      <c r="K740" s="170">
        <v>43322</v>
      </c>
      <c r="L740" s="171">
        <v>0.89</v>
      </c>
    </row>
    <row r="741" spans="1:12" x14ac:dyDescent="0.2">
      <c r="A741" s="175">
        <v>39220</v>
      </c>
      <c r="B741" s="176">
        <v>2.52</v>
      </c>
      <c r="K741" s="170">
        <v>43329</v>
      </c>
      <c r="L741" s="171">
        <v>0.86</v>
      </c>
    </row>
    <row r="742" spans="1:12" x14ac:dyDescent="0.2">
      <c r="A742" s="175">
        <v>39223</v>
      </c>
      <c r="B742" s="176">
        <v>2.4900000000000002</v>
      </c>
      <c r="K742" s="170">
        <v>43336</v>
      </c>
      <c r="L742" s="171">
        <v>0.82</v>
      </c>
    </row>
    <row r="743" spans="1:12" x14ac:dyDescent="0.2">
      <c r="A743" s="175">
        <v>39224</v>
      </c>
      <c r="B743" s="176">
        <v>2.54</v>
      </c>
      <c r="K743" s="170">
        <v>43343</v>
      </c>
      <c r="L743" s="171">
        <v>0.83</v>
      </c>
    </row>
    <row r="744" spans="1:12" x14ac:dyDescent="0.2">
      <c r="A744" s="175">
        <v>39225</v>
      </c>
      <c r="B744" s="176">
        <v>2.5499999999999998</v>
      </c>
      <c r="K744" s="170">
        <v>43350</v>
      </c>
      <c r="L744" s="171">
        <v>0.89</v>
      </c>
    </row>
    <row r="745" spans="1:12" x14ac:dyDescent="0.2">
      <c r="A745" s="175">
        <v>39226</v>
      </c>
      <c r="B745" s="176">
        <v>2.52</v>
      </c>
      <c r="K745" s="170">
        <v>43357</v>
      </c>
      <c r="L745" s="171">
        <v>0.92</v>
      </c>
    </row>
    <row r="746" spans="1:12" x14ac:dyDescent="0.2">
      <c r="A746" s="175">
        <v>39227</v>
      </c>
      <c r="B746" s="176">
        <v>2.52</v>
      </c>
      <c r="K746" s="170">
        <v>43364</v>
      </c>
      <c r="L746" s="171">
        <v>0.98</v>
      </c>
    </row>
    <row r="747" spans="1:12" x14ac:dyDescent="0.2">
      <c r="A747" s="175">
        <v>39230</v>
      </c>
      <c r="B747" s="176" t="e">
        <f>NA()</f>
        <v>#N/A</v>
      </c>
      <c r="K747" s="170">
        <v>43371</v>
      </c>
      <c r="L747" s="171">
        <v>0.98</v>
      </c>
    </row>
    <row r="748" spans="1:12" x14ac:dyDescent="0.2">
      <c r="A748" s="175">
        <v>39231</v>
      </c>
      <c r="B748" s="176">
        <v>2.56</v>
      </c>
      <c r="K748" s="170">
        <v>43378</v>
      </c>
      <c r="L748" s="171">
        <v>1.07</v>
      </c>
    </row>
    <row r="749" spans="1:12" x14ac:dyDescent="0.2">
      <c r="A749" s="175">
        <v>39232</v>
      </c>
      <c r="B749" s="176">
        <v>2.54</v>
      </c>
      <c r="K749" s="170">
        <v>43385</v>
      </c>
      <c r="L749" s="171">
        <v>1.1299999999999999</v>
      </c>
    </row>
    <row r="750" spans="1:12" x14ac:dyDescent="0.2">
      <c r="A750" s="175">
        <v>39233</v>
      </c>
      <c r="B750" s="176">
        <v>2.5299999999999998</v>
      </c>
      <c r="K750" s="170">
        <v>43392</v>
      </c>
      <c r="L750" s="171">
        <v>1.1499999999999999</v>
      </c>
    </row>
    <row r="751" spans="1:12" x14ac:dyDescent="0.2">
      <c r="A751" s="175">
        <v>39234</v>
      </c>
      <c r="B751" s="177">
        <v>2.57</v>
      </c>
      <c r="K751" s="170">
        <v>43399</v>
      </c>
      <c r="L751" s="171">
        <v>1.17</v>
      </c>
    </row>
    <row r="752" spans="1:12" x14ac:dyDescent="0.2">
      <c r="A752" s="175">
        <v>39237</v>
      </c>
      <c r="B752" s="176">
        <v>2.5299999999999998</v>
      </c>
      <c r="K752" s="170">
        <v>43406</v>
      </c>
      <c r="L752" s="171">
        <v>1.21</v>
      </c>
    </row>
    <row r="753" spans="1:12" x14ac:dyDescent="0.2">
      <c r="A753" s="175">
        <v>39238</v>
      </c>
      <c r="B753" s="176">
        <v>2.58</v>
      </c>
      <c r="K753" s="170">
        <v>43413</v>
      </c>
      <c r="L753" s="171">
        <v>1.25</v>
      </c>
    </row>
    <row r="754" spans="1:12" x14ac:dyDescent="0.2">
      <c r="A754" s="175">
        <v>39239</v>
      </c>
      <c r="B754" s="176">
        <v>2.57</v>
      </c>
      <c r="K754" s="170">
        <v>43420</v>
      </c>
      <c r="L754" s="171">
        <v>1.21</v>
      </c>
    </row>
    <row r="755" spans="1:12" x14ac:dyDescent="0.2">
      <c r="A755" s="175">
        <v>39240</v>
      </c>
      <c r="B755" s="176">
        <v>2.68</v>
      </c>
      <c r="K755" s="170">
        <v>43427</v>
      </c>
      <c r="L755" s="171">
        <v>1.19</v>
      </c>
    </row>
    <row r="756" spans="1:12" x14ac:dyDescent="0.2">
      <c r="A756" s="175">
        <v>39241</v>
      </c>
      <c r="B756" s="176">
        <v>2.67</v>
      </c>
      <c r="K756" s="170">
        <v>43434</v>
      </c>
      <c r="L756" s="171">
        <v>1.2</v>
      </c>
    </row>
    <row r="757" spans="1:12" x14ac:dyDescent="0.2">
      <c r="A757" s="175">
        <v>39244</v>
      </c>
      <c r="B757" s="176">
        <v>2.69</v>
      </c>
      <c r="K757" s="170">
        <v>43441</v>
      </c>
      <c r="L757" s="171">
        <v>1.08</v>
      </c>
    </row>
    <row r="758" spans="1:12" x14ac:dyDescent="0.2">
      <c r="A758" s="175">
        <v>39245</v>
      </c>
      <c r="B758" s="176">
        <v>2.79</v>
      </c>
      <c r="K758" s="170">
        <v>43448</v>
      </c>
      <c r="L758" s="171">
        <v>1.1499999999999999</v>
      </c>
    </row>
    <row r="759" spans="1:12" x14ac:dyDescent="0.2">
      <c r="A759" s="175">
        <v>39246</v>
      </c>
      <c r="B759" s="176">
        <v>2.71</v>
      </c>
    </row>
    <row r="760" spans="1:12" x14ac:dyDescent="0.2">
      <c r="A760" s="175">
        <v>39247</v>
      </c>
      <c r="B760" s="176">
        <v>2.74</v>
      </c>
    </row>
    <row r="761" spans="1:12" x14ac:dyDescent="0.2">
      <c r="A761" s="175">
        <v>39248</v>
      </c>
      <c r="B761" s="176">
        <v>2.72</v>
      </c>
    </row>
    <row r="762" spans="1:12" x14ac:dyDescent="0.2">
      <c r="A762" s="175">
        <v>39251</v>
      </c>
      <c r="B762" s="176">
        <v>2.72</v>
      </c>
    </row>
    <row r="763" spans="1:12" x14ac:dyDescent="0.2">
      <c r="A763" s="175">
        <v>39252</v>
      </c>
      <c r="B763" s="176">
        <v>2.67</v>
      </c>
    </row>
    <row r="764" spans="1:12" x14ac:dyDescent="0.2">
      <c r="A764" s="175">
        <v>39253</v>
      </c>
      <c r="B764" s="176">
        <v>2.72</v>
      </c>
    </row>
    <row r="765" spans="1:12" x14ac:dyDescent="0.2">
      <c r="A765" s="175">
        <v>39254</v>
      </c>
      <c r="B765" s="176">
        <v>2.72</v>
      </c>
    </row>
    <row r="766" spans="1:12" x14ac:dyDescent="0.2">
      <c r="A766" s="175">
        <v>39255</v>
      </c>
      <c r="B766" s="176">
        <v>2.68</v>
      </c>
    </row>
    <row r="767" spans="1:12" x14ac:dyDescent="0.2">
      <c r="A767" s="175">
        <v>39258</v>
      </c>
      <c r="B767" s="176">
        <v>2.65</v>
      </c>
    </row>
    <row r="768" spans="1:12" x14ac:dyDescent="0.2">
      <c r="A768" s="175">
        <v>39259</v>
      </c>
      <c r="B768" s="176">
        <v>2.69</v>
      </c>
    </row>
    <row r="769" spans="1:2" x14ac:dyDescent="0.2">
      <c r="A769" s="175">
        <v>39260</v>
      </c>
      <c r="B769" s="176">
        <v>2.67</v>
      </c>
    </row>
    <row r="770" spans="1:2" x14ac:dyDescent="0.2">
      <c r="A770" s="175">
        <v>39261</v>
      </c>
      <c r="B770" s="176">
        <v>2.69</v>
      </c>
    </row>
    <row r="771" spans="1:2" x14ac:dyDescent="0.2">
      <c r="A771" s="175">
        <v>39262</v>
      </c>
      <c r="B771" s="176">
        <v>2.64</v>
      </c>
    </row>
    <row r="772" spans="1:2" x14ac:dyDescent="0.2">
      <c r="A772" s="175">
        <v>39265</v>
      </c>
      <c r="B772" s="176">
        <v>2.6</v>
      </c>
    </row>
    <row r="773" spans="1:2" x14ac:dyDescent="0.2">
      <c r="A773" s="175">
        <v>39266</v>
      </c>
      <c r="B773" s="176">
        <v>2.65</v>
      </c>
    </row>
    <row r="774" spans="1:2" x14ac:dyDescent="0.2">
      <c r="A774" s="175">
        <v>39267</v>
      </c>
      <c r="B774" s="176" t="e">
        <f>NA()</f>
        <v>#N/A</v>
      </c>
    </row>
    <row r="775" spans="1:2" x14ac:dyDescent="0.2">
      <c r="A775" s="175">
        <v>39268</v>
      </c>
      <c r="B775" s="176">
        <v>2.73</v>
      </c>
    </row>
    <row r="776" spans="1:2" x14ac:dyDescent="0.2">
      <c r="A776" s="175">
        <v>39269</v>
      </c>
      <c r="B776" s="176">
        <v>2.76</v>
      </c>
    </row>
    <row r="777" spans="1:2" x14ac:dyDescent="0.2">
      <c r="A777" s="175">
        <v>39272</v>
      </c>
      <c r="B777" s="176">
        <v>2.72</v>
      </c>
    </row>
    <row r="778" spans="1:2" x14ac:dyDescent="0.2">
      <c r="A778" s="175">
        <v>39273</v>
      </c>
      <c r="B778" s="177">
        <v>2.61</v>
      </c>
    </row>
    <row r="779" spans="1:2" x14ac:dyDescent="0.2">
      <c r="A779" s="175">
        <v>39274</v>
      </c>
      <c r="B779" s="176">
        <v>2.68</v>
      </c>
    </row>
    <row r="780" spans="1:2" x14ac:dyDescent="0.2">
      <c r="A780" s="175">
        <v>39275</v>
      </c>
      <c r="B780" s="176">
        <v>2.71</v>
      </c>
    </row>
    <row r="781" spans="1:2" x14ac:dyDescent="0.2">
      <c r="A781" s="175">
        <v>39276</v>
      </c>
      <c r="B781" s="176">
        <v>2.69</v>
      </c>
    </row>
    <row r="782" spans="1:2" x14ac:dyDescent="0.2">
      <c r="A782" s="175">
        <v>39279</v>
      </c>
      <c r="B782" s="176">
        <v>2.66</v>
      </c>
    </row>
    <row r="783" spans="1:2" x14ac:dyDescent="0.2">
      <c r="A783" s="175">
        <v>39280</v>
      </c>
      <c r="B783" s="176">
        <v>2.69</v>
      </c>
    </row>
    <row r="784" spans="1:2" x14ac:dyDescent="0.2">
      <c r="A784" s="175">
        <v>39281</v>
      </c>
      <c r="B784" s="176">
        <v>2.63</v>
      </c>
    </row>
    <row r="785" spans="1:2" x14ac:dyDescent="0.2">
      <c r="A785" s="175">
        <v>39282</v>
      </c>
      <c r="B785" s="176">
        <v>2.63</v>
      </c>
    </row>
    <row r="786" spans="1:2" x14ac:dyDescent="0.2">
      <c r="A786" s="175">
        <v>39283</v>
      </c>
      <c r="B786" s="176">
        <v>2.59</v>
      </c>
    </row>
    <row r="787" spans="1:2" x14ac:dyDescent="0.2">
      <c r="A787" s="175">
        <v>39286</v>
      </c>
      <c r="B787" s="176">
        <v>2.62</v>
      </c>
    </row>
    <row r="788" spans="1:2" x14ac:dyDescent="0.2">
      <c r="A788" s="175">
        <v>39287</v>
      </c>
      <c r="B788" s="176">
        <v>2.5499999999999998</v>
      </c>
    </row>
    <row r="789" spans="1:2" x14ac:dyDescent="0.2">
      <c r="A789" s="175">
        <v>39288</v>
      </c>
      <c r="B789" s="176">
        <v>2.54</v>
      </c>
    </row>
    <row r="790" spans="1:2" x14ac:dyDescent="0.2">
      <c r="A790" s="175">
        <v>39289</v>
      </c>
      <c r="B790" s="176">
        <v>2.48</v>
      </c>
    </row>
    <row r="791" spans="1:2" x14ac:dyDescent="0.2">
      <c r="A791" s="175">
        <v>39290</v>
      </c>
      <c r="B791" s="176">
        <v>2.4900000000000002</v>
      </c>
    </row>
    <row r="792" spans="1:2" x14ac:dyDescent="0.2">
      <c r="A792" s="175">
        <v>39293</v>
      </c>
      <c r="B792" s="176">
        <v>2.4900000000000002</v>
      </c>
    </row>
    <row r="793" spans="1:2" x14ac:dyDescent="0.2">
      <c r="A793" s="175">
        <v>39294</v>
      </c>
      <c r="B793" s="176">
        <v>2.4300000000000002</v>
      </c>
    </row>
    <row r="794" spans="1:2" x14ac:dyDescent="0.2">
      <c r="A794" s="175">
        <v>39295</v>
      </c>
      <c r="B794" s="176">
        <v>2.42</v>
      </c>
    </row>
    <row r="795" spans="1:2" x14ac:dyDescent="0.2">
      <c r="A795" s="175">
        <v>39296</v>
      </c>
      <c r="B795" s="176">
        <v>2.4500000000000002</v>
      </c>
    </row>
    <row r="796" spans="1:2" x14ac:dyDescent="0.2">
      <c r="A796" s="175">
        <v>39297</v>
      </c>
      <c r="B796" s="176">
        <v>2.4500000000000002</v>
      </c>
    </row>
    <row r="797" spans="1:2" x14ac:dyDescent="0.2">
      <c r="A797" s="175">
        <v>39300</v>
      </c>
      <c r="B797" s="176">
        <v>2.4700000000000002</v>
      </c>
    </row>
    <row r="798" spans="1:2" x14ac:dyDescent="0.2">
      <c r="A798" s="175">
        <v>39301</v>
      </c>
      <c r="B798" s="176">
        <v>2.5</v>
      </c>
    </row>
    <row r="799" spans="1:2" x14ac:dyDescent="0.2">
      <c r="A799" s="175">
        <v>39302</v>
      </c>
      <c r="B799" s="176">
        <v>2.56</v>
      </c>
    </row>
    <row r="800" spans="1:2" x14ac:dyDescent="0.2">
      <c r="A800" s="175">
        <v>39303</v>
      </c>
      <c r="B800" s="176">
        <v>2.54</v>
      </c>
    </row>
    <row r="801" spans="1:2" x14ac:dyDescent="0.2">
      <c r="A801" s="175">
        <v>39304</v>
      </c>
      <c r="B801" s="176">
        <v>2.5499999999999998</v>
      </c>
    </row>
    <row r="802" spans="1:2" x14ac:dyDescent="0.2">
      <c r="A802" s="175">
        <v>39307</v>
      </c>
      <c r="B802" s="176">
        <v>2.5299999999999998</v>
      </c>
    </row>
    <row r="803" spans="1:2" x14ac:dyDescent="0.2">
      <c r="A803" s="175">
        <v>39308</v>
      </c>
      <c r="B803" s="176">
        <v>2.52</v>
      </c>
    </row>
    <row r="804" spans="1:2" x14ac:dyDescent="0.2">
      <c r="A804" s="175">
        <v>39309</v>
      </c>
      <c r="B804" s="176">
        <v>2.54</v>
      </c>
    </row>
    <row r="805" spans="1:2" x14ac:dyDescent="0.2">
      <c r="A805" s="175">
        <v>39310</v>
      </c>
      <c r="B805" s="176">
        <v>2.48</v>
      </c>
    </row>
    <row r="806" spans="1:2" x14ac:dyDescent="0.2">
      <c r="A806" s="175">
        <v>39311</v>
      </c>
      <c r="B806" s="176">
        <v>2.5099999999999998</v>
      </c>
    </row>
    <row r="807" spans="1:2" x14ac:dyDescent="0.2">
      <c r="A807" s="175">
        <v>39314</v>
      </c>
      <c r="B807" s="176">
        <v>2.5099999999999998</v>
      </c>
    </row>
    <row r="808" spans="1:2" x14ac:dyDescent="0.2">
      <c r="A808" s="175">
        <v>39315</v>
      </c>
      <c r="B808" s="176">
        <v>2.46</v>
      </c>
    </row>
    <row r="809" spans="1:2" x14ac:dyDescent="0.2">
      <c r="A809" s="175">
        <v>39316</v>
      </c>
      <c r="B809" s="176">
        <v>2.46</v>
      </c>
    </row>
    <row r="810" spans="1:2" x14ac:dyDescent="0.2">
      <c r="A810" s="175">
        <v>39317</v>
      </c>
      <c r="B810" s="176">
        <v>2.4300000000000002</v>
      </c>
    </row>
    <row r="811" spans="1:2" x14ac:dyDescent="0.2">
      <c r="A811" s="175">
        <v>39318</v>
      </c>
      <c r="B811" s="176">
        <v>2.42</v>
      </c>
    </row>
    <row r="812" spans="1:2" x14ac:dyDescent="0.2">
      <c r="A812" s="175">
        <v>39321</v>
      </c>
      <c r="B812" s="176">
        <v>2.4300000000000002</v>
      </c>
    </row>
    <row r="813" spans="1:2" x14ac:dyDescent="0.2">
      <c r="A813" s="175">
        <v>39322</v>
      </c>
      <c r="B813" s="176">
        <v>2.42</v>
      </c>
    </row>
    <row r="814" spans="1:2" x14ac:dyDescent="0.2">
      <c r="A814" s="175">
        <v>39323</v>
      </c>
      <c r="B814" s="176">
        <v>2.4500000000000002</v>
      </c>
    </row>
    <row r="815" spans="1:2" x14ac:dyDescent="0.2">
      <c r="A815" s="175">
        <v>39324</v>
      </c>
      <c r="B815" s="176">
        <v>2.4</v>
      </c>
    </row>
    <row r="816" spans="1:2" x14ac:dyDescent="0.2">
      <c r="A816" s="175">
        <v>39325</v>
      </c>
      <c r="B816" s="176">
        <v>2.41</v>
      </c>
    </row>
    <row r="817" spans="1:2" x14ac:dyDescent="0.2">
      <c r="A817" s="175">
        <v>39328</v>
      </c>
      <c r="B817" s="176" t="e">
        <f>NA()</f>
        <v>#N/A</v>
      </c>
    </row>
    <row r="818" spans="1:2" x14ac:dyDescent="0.2">
      <c r="A818" s="175">
        <v>39329</v>
      </c>
      <c r="B818" s="176">
        <v>2.41</v>
      </c>
    </row>
    <row r="819" spans="1:2" x14ac:dyDescent="0.2">
      <c r="A819" s="175">
        <v>39330</v>
      </c>
      <c r="B819" s="176">
        <v>2.36</v>
      </c>
    </row>
    <row r="820" spans="1:2" x14ac:dyDescent="0.2">
      <c r="A820" s="175">
        <v>39331</v>
      </c>
      <c r="B820" s="176">
        <v>2.38</v>
      </c>
    </row>
    <row r="821" spans="1:2" x14ac:dyDescent="0.2">
      <c r="A821" s="175">
        <v>39332</v>
      </c>
      <c r="B821" s="177">
        <v>2.27</v>
      </c>
    </row>
    <row r="822" spans="1:2" x14ac:dyDescent="0.2">
      <c r="A822" s="175">
        <v>39335</v>
      </c>
      <c r="B822" s="176">
        <v>2.2200000000000002</v>
      </c>
    </row>
    <row r="823" spans="1:2" x14ac:dyDescent="0.2">
      <c r="A823" s="175">
        <v>39336</v>
      </c>
      <c r="B823" s="176">
        <v>2.21</v>
      </c>
    </row>
    <row r="824" spans="1:2" x14ac:dyDescent="0.2">
      <c r="A824" s="175">
        <v>39337</v>
      </c>
      <c r="B824" s="176">
        <v>2.23</v>
      </c>
    </row>
    <row r="825" spans="1:2" x14ac:dyDescent="0.2">
      <c r="A825" s="175">
        <v>39338</v>
      </c>
      <c r="B825" s="176">
        <v>2.27</v>
      </c>
    </row>
    <row r="826" spans="1:2" x14ac:dyDescent="0.2">
      <c r="A826" s="175">
        <v>39339</v>
      </c>
      <c r="B826" s="176">
        <v>2.23</v>
      </c>
    </row>
    <row r="827" spans="1:2" x14ac:dyDescent="0.2">
      <c r="A827" s="175">
        <v>39342</v>
      </c>
      <c r="B827" s="176">
        <v>2.2200000000000002</v>
      </c>
    </row>
    <row r="828" spans="1:2" x14ac:dyDescent="0.2">
      <c r="A828" s="175">
        <v>39343</v>
      </c>
      <c r="B828" s="176">
        <v>2.2000000000000002</v>
      </c>
    </row>
    <row r="829" spans="1:2" x14ac:dyDescent="0.2">
      <c r="A829" s="175">
        <v>39344</v>
      </c>
      <c r="B829" s="176">
        <v>2.25</v>
      </c>
    </row>
    <row r="830" spans="1:2" x14ac:dyDescent="0.2">
      <c r="A830" s="175">
        <v>39345</v>
      </c>
      <c r="B830" s="176">
        <v>2.37</v>
      </c>
    </row>
    <row r="831" spans="1:2" x14ac:dyDescent="0.2">
      <c r="A831" s="175">
        <v>39346</v>
      </c>
      <c r="B831" s="176">
        <v>2.34</v>
      </c>
    </row>
    <row r="832" spans="1:2" x14ac:dyDescent="0.2">
      <c r="A832" s="175">
        <v>39349</v>
      </c>
      <c r="B832" s="176">
        <v>2.35</v>
      </c>
    </row>
    <row r="833" spans="1:2" x14ac:dyDescent="0.2">
      <c r="A833" s="175">
        <v>39350</v>
      </c>
      <c r="B833" s="176">
        <v>2.39</v>
      </c>
    </row>
    <row r="834" spans="1:2" x14ac:dyDescent="0.2">
      <c r="A834" s="175">
        <v>39351</v>
      </c>
      <c r="B834" s="176">
        <v>2.37</v>
      </c>
    </row>
    <row r="835" spans="1:2" x14ac:dyDescent="0.2">
      <c r="A835" s="175">
        <v>39352</v>
      </c>
      <c r="B835" s="176">
        <v>2.2999999999999998</v>
      </c>
    </row>
    <row r="836" spans="1:2" x14ac:dyDescent="0.2">
      <c r="A836" s="175">
        <v>39353</v>
      </c>
      <c r="B836" s="176">
        <v>2.29</v>
      </c>
    </row>
    <row r="837" spans="1:2" x14ac:dyDescent="0.2">
      <c r="A837" s="175">
        <v>39356</v>
      </c>
      <c r="B837" s="176">
        <v>2.27</v>
      </c>
    </row>
    <row r="838" spans="1:2" x14ac:dyDescent="0.2">
      <c r="A838" s="175">
        <v>39357</v>
      </c>
      <c r="B838" s="176">
        <v>2.2400000000000002</v>
      </c>
    </row>
    <row r="839" spans="1:2" x14ac:dyDescent="0.2">
      <c r="A839" s="175">
        <v>39358</v>
      </c>
      <c r="B839" s="176">
        <v>2.2799999999999998</v>
      </c>
    </row>
    <row r="840" spans="1:2" x14ac:dyDescent="0.2">
      <c r="A840" s="175">
        <v>39359</v>
      </c>
      <c r="B840" s="176">
        <v>2.2599999999999998</v>
      </c>
    </row>
    <row r="841" spans="1:2" x14ac:dyDescent="0.2">
      <c r="A841" s="175">
        <v>39360</v>
      </c>
      <c r="B841" s="176">
        <v>2.37</v>
      </c>
    </row>
    <row r="842" spans="1:2" x14ac:dyDescent="0.2">
      <c r="A842" s="175">
        <v>39363</v>
      </c>
      <c r="B842" s="176" t="e">
        <f>NA()</f>
        <v>#N/A</v>
      </c>
    </row>
    <row r="843" spans="1:2" x14ac:dyDescent="0.2">
      <c r="A843" s="175">
        <v>39364</v>
      </c>
      <c r="B843" s="176">
        <v>2.36</v>
      </c>
    </row>
    <row r="844" spans="1:2" x14ac:dyDescent="0.2">
      <c r="A844" s="175">
        <v>39365</v>
      </c>
      <c r="B844" s="176">
        <v>2.35</v>
      </c>
    </row>
    <row r="845" spans="1:2" x14ac:dyDescent="0.2">
      <c r="A845" s="175">
        <v>39366</v>
      </c>
      <c r="B845" s="176">
        <v>2.36</v>
      </c>
    </row>
    <row r="846" spans="1:2" x14ac:dyDescent="0.2">
      <c r="A846" s="175">
        <v>39367</v>
      </c>
      <c r="B846" s="177">
        <v>2.4</v>
      </c>
    </row>
    <row r="847" spans="1:2" x14ac:dyDescent="0.2">
      <c r="A847" s="175">
        <v>39370</v>
      </c>
      <c r="B847" s="176">
        <v>2.4</v>
      </c>
    </row>
    <row r="848" spans="1:2" x14ac:dyDescent="0.2">
      <c r="A848" s="175">
        <v>39371</v>
      </c>
      <c r="B848" s="176">
        <v>2.39</v>
      </c>
    </row>
    <row r="849" spans="1:2" x14ac:dyDescent="0.2">
      <c r="A849" s="175">
        <v>39372</v>
      </c>
      <c r="B849" s="176">
        <v>2.2999999999999998</v>
      </c>
    </row>
    <row r="850" spans="1:2" x14ac:dyDescent="0.2">
      <c r="A850" s="175">
        <v>39373</v>
      </c>
      <c r="B850" s="176">
        <v>2.29</v>
      </c>
    </row>
    <row r="851" spans="1:2" x14ac:dyDescent="0.2">
      <c r="A851" s="175">
        <v>39374</v>
      </c>
      <c r="B851" s="176">
        <v>2.1800000000000002</v>
      </c>
    </row>
    <row r="852" spans="1:2" x14ac:dyDescent="0.2">
      <c r="A852" s="175">
        <v>39377</v>
      </c>
      <c r="B852" s="176">
        <v>2.1800000000000002</v>
      </c>
    </row>
    <row r="853" spans="1:2" x14ac:dyDescent="0.2">
      <c r="A853" s="175">
        <v>39378</v>
      </c>
      <c r="B853" s="176">
        <v>2.2000000000000002</v>
      </c>
    </row>
    <row r="854" spans="1:2" x14ac:dyDescent="0.2">
      <c r="A854" s="175">
        <v>39379</v>
      </c>
      <c r="B854" s="176">
        <v>2.16</v>
      </c>
    </row>
    <row r="855" spans="1:2" x14ac:dyDescent="0.2">
      <c r="A855" s="175">
        <v>39380</v>
      </c>
      <c r="B855" s="176">
        <v>2.14</v>
      </c>
    </row>
    <row r="856" spans="1:2" x14ac:dyDescent="0.2">
      <c r="A856" s="175">
        <v>39381</v>
      </c>
      <c r="B856" s="176">
        <v>2.16</v>
      </c>
    </row>
    <row r="857" spans="1:2" x14ac:dyDescent="0.2">
      <c r="A857" s="175">
        <v>39384</v>
      </c>
      <c r="B857" s="176">
        <v>2.14</v>
      </c>
    </row>
    <row r="858" spans="1:2" x14ac:dyDescent="0.2">
      <c r="A858" s="175">
        <v>39385</v>
      </c>
      <c r="B858" s="176">
        <v>2.17</v>
      </c>
    </row>
    <row r="859" spans="1:2" x14ac:dyDescent="0.2">
      <c r="A859" s="175">
        <v>39386</v>
      </c>
      <c r="B859" s="176">
        <v>2.21</v>
      </c>
    </row>
    <row r="860" spans="1:2" x14ac:dyDescent="0.2">
      <c r="A860" s="175">
        <v>39387</v>
      </c>
      <c r="B860" s="176">
        <v>2.13</v>
      </c>
    </row>
    <row r="861" spans="1:2" x14ac:dyDescent="0.2">
      <c r="A861" s="175">
        <v>39388</v>
      </c>
      <c r="B861" s="176">
        <v>2.06</v>
      </c>
    </row>
    <row r="862" spans="1:2" x14ac:dyDescent="0.2">
      <c r="A862" s="175">
        <v>39391</v>
      </c>
      <c r="B862" s="176">
        <v>2.0699999999999998</v>
      </c>
    </row>
    <row r="863" spans="1:2" x14ac:dyDescent="0.2">
      <c r="A863" s="175">
        <v>39392</v>
      </c>
      <c r="B863" s="176">
        <v>2.08</v>
      </c>
    </row>
    <row r="864" spans="1:2" x14ac:dyDescent="0.2">
      <c r="A864" s="175">
        <v>39393</v>
      </c>
      <c r="B864" s="176">
        <v>2.09</v>
      </c>
    </row>
    <row r="865" spans="1:2" x14ac:dyDescent="0.2">
      <c r="A865" s="175">
        <v>39394</v>
      </c>
      <c r="B865" s="176">
        <v>2.08</v>
      </c>
    </row>
    <row r="866" spans="1:2" x14ac:dyDescent="0.2">
      <c r="A866" s="175">
        <v>39395</v>
      </c>
      <c r="B866" s="176">
        <v>2.02</v>
      </c>
    </row>
    <row r="867" spans="1:2" x14ac:dyDescent="0.2">
      <c r="A867" s="175">
        <v>39398</v>
      </c>
      <c r="B867" s="176" t="e">
        <f>NA()</f>
        <v>#N/A</v>
      </c>
    </row>
    <row r="868" spans="1:2" x14ac:dyDescent="0.2">
      <c r="A868" s="175">
        <v>39399</v>
      </c>
      <c r="B868" s="176">
        <v>2.0299999999999998</v>
      </c>
    </row>
    <row r="869" spans="1:2" x14ac:dyDescent="0.2">
      <c r="A869" s="175">
        <v>39400</v>
      </c>
      <c r="B869" s="176">
        <v>2.06</v>
      </c>
    </row>
    <row r="870" spans="1:2" x14ac:dyDescent="0.2">
      <c r="A870" s="175">
        <v>39401</v>
      </c>
      <c r="B870" s="176">
        <v>2.04</v>
      </c>
    </row>
    <row r="871" spans="1:2" x14ac:dyDescent="0.2">
      <c r="A871" s="175">
        <v>39402</v>
      </c>
      <c r="B871" s="177">
        <v>2.0499999999999998</v>
      </c>
    </row>
    <row r="872" spans="1:2" x14ac:dyDescent="0.2">
      <c r="A872" s="175">
        <v>39405</v>
      </c>
      <c r="B872" s="176">
        <v>1.97</v>
      </c>
    </row>
    <row r="873" spans="1:2" x14ac:dyDescent="0.2">
      <c r="A873" s="175">
        <v>39406</v>
      </c>
      <c r="B873" s="176">
        <v>1.98</v>
      </c>
    </row>
    <row r="874" spans="1:2" x14ac:dyDescent="0.2">
      <c r="A874" s="175">
        <v>39407</v>
      </c>
      <c r="B874" s="176">
        <v>1.93</v>
      </c>
    </row>
    <row r="875" spans="1:2" x14ac:dyDescent="0.2">
      <c r="A875" s="175">
        <v>39408</v>
      </c>
      <c r="B875" s="176" t="e">
        <f>NA()</f>
        <v>#N/A</v>
      </c>
    </row>
    <row r="876" spans="1:2" x14ac:dyDescent="0.2">
      <c r="A876" s="175">
        <v>39409</v>
      </c>
      <c r="B876" s="176">
        <v>1.9</v>
      </c>
    </row>
    <row r="877" spans="1:2" x14ac:dyDescent="0.2">
      <c r="A877" s="175">
        <v>39412</v>
      </c>
      <c r="B877" s="176">
        <v>1.75</v>
      </c>
    </row>
    <row r="878" spans="1:2" x14ac:dyDescent="0.2">
      <c r="A878" s="175">
        <v>39413</v>
      </c>
      <c r="B878" s="176">
        <v>1.87</v>
      </c>
    </row>
    <row r="879" spans="1:2" x14ac:dyDescent="0.2">
      <c r="A879" s="175">
        <v>39414</v>
      </c>
      <c r="B879" s="177">
        <v>1.94</v>
      </c>
    </row>
    <row r="880" spans="1:2" x14ac:dyDescent="0.2">
      <c r="A880" s="175">
        <v>39415</v>
      </c>
      <c r="B880" s="176">
        <v>1.88</v>
      </c>
    </row>
    <row r="881" spans="1:2" x14ac:dyDescent="0.2">
      <c r="A881" s="175">
        <v>39416</v>
      </c>
      <c r="B881" s="176">
        <v>1.93</v>
      </c>
    </row>
    <row r="882" spans="1:2" x14ac:dyDescent="0.2">
      <c r="A882" s="175">
        <v>39419</v>
      </c>
      <c r="B882" s="176">
        <v>1.89</v>
      </c>
    </row>
    <row r="883" spans="1:2" x14ac:dyDescent="0.2">
      <c r="A883" s="175">
        <v>39420</v>
      </c>
      <c r="B883" s="176">
        <v>1.93</v>
      </c>
    </row>
    <row r="884" spans="1:2" x14ac:dyDescent="0.2">
      <c r="A884" s="175">
        <v>39421</v>
      </c>
      <c r="B884" s="176">
        <v>2.0099999999999998</v>
      </c>
    </row>
    <row r="885" spans="1:2" x14ac:dyDescent="0.2">
      <c r="A885" s="175">
        <v>39422</v>
      </c>
      <c r="B885" s="176">
        <v>2.0699999999999998</v>
      </c>
    </row>
    <row r="886" spans="1:2" x14ac:dyDescent="0.2">
      <c r="A886" s="175">
        <v>39423</v>
      </c>
      <c r="B886" s="176">
        <v>2.14</v>
      </c>
    </row>
    <row r="887" spans="1:2" x14ac:dyDescent="0.2">
      <c r="A887" s="175">
        <v>39426</v>
      </c>
      <c r="B887" s="176">
        <v>2.17</v>
      </c>
    </row>
    <row r="888" spans="1:2" x14ac:dyDescent="0.2">
      <c r="A888" s="175">
        <v>39427</v>
      </c>
      <c r="B888" s="176">
        <v>2.06</v>
      </c>
    </row>
    <row r="889" spans="1:2" x14ac:dyDescent="0.2">
      <c r="A889" s="175">
        <v>39428</v>
      </c>
      <c r="B889" s="176">
        <v>2.06</v>
      </c>
    </row>
    <row r="890" spans="1:2" x14ac:dyDescent="0.2">
      <c r="A890" s="175">
        <v>39429</v>
      </c>
      <c r="B890" s="176">
        <v>2.16</v>
      </c>
    </row>
    <row r="891" spans="1:2" x14ac:dyDescent="0.2">
      <c r="A891" s="175">
        <v>39430</v>
      </c>
      <c r="B891" s="176">
        <v>2.1800000000000002</v>
      </c>
    </row>
    <row r="892" spans="1:2" x14ac:dyDescent="0.2">
      <c r="A892" s="175">
        <v>39433</v>
      </c>
      <c r="B892" s="176">
        <v>2.14</v>
      </c>
    </row>
    <row r="893" spans="1:2" x14ac:dyDescent="0.2">
      <c r="A893" s="175">
        <v>39434</v>
      </c>
      <c r="B893" s="176">
        <v>2.08</v>
      </c>
    </row>
    <row r="894" spans="1:2" x14ac:dyDescent="0.2">
      <c r="A894" s="175">
        <v>39435</v>
      </c>
      <c r="B894" s="176">
        <v>2</v>
      </c>
    </row>
    <row r="895" spans="1:2" x14ac:dyDescent="0.2">
      <c r="A895" s="175">
        <v>39436</v>
      </c>
      <c r="B895" s="176">
        <v>2.0099999999999998</v>
      </c>
    </row>
    <row r="896" spans="1:2" x14ac:dyDescent="0.2">
      <c r="A896" s="175">
        <v>39437</v>
      </c>
      <c r="B896" s="176">
        <v>2.09</v>
      </c>
    </row>
    <row r="897" spans="1:2" x14ac:dyDescent="0.2">
      <c r="A897" s="175">
        <v>39440</v>
      </c>
      <c r="B897" s="176">
        <v>2.14</v>
      </c>
    </row>
    <row r="898" spans="1:2" x14ac:dyDescent="0.2">
      <c r="A898" s="175">
        <v>39441</v>
      </c>
      <c r="B898" s="176" t="e">
        <f>NA()</f>
        <v>#N/A</v>
      </c>
    </row>
    <row r="899" spans="1:2" x14ac:dyDescent="0.2">
      <c r="A899" s="175">
        <v>39442</v>
      </c>
      <c r="B899" s="176">
        <v>2.2000000000000002</v>
      </c>
    </row>
    <row r="900" spans="1:2" x14ac:dyDescent="0.2">
      <c r="A900" s="175">
        <v>39443</v>
      </c>
      <c r="B900" s="176">
        <v>2.12</v>
      </c>
    </row>
    <row r="901" spans="1:2" x14ac:dyDescent="0.2">
      <c r="A901" s="175">
        <v>39444</v>
      </c>
      <c r="B901" s="176">
        <v>2.0499999999999998</v>
      </c>
    </row>
    <row r="902" spans="1:2" x14ac:dyDescent="0.2">
      <c r="A902" s="175">
        <v>39447</v>
      </c>
      <c r="B902" s="177">
        <v>2</v>
      </c>
    </row>
    <row r="903" spans="1:2" x14ac:dyDescent="0.2">
      <c r="A903" s="175">
        <v>39448</v>
      </c>
      <c r="B903" s="176" t="e">
        <f>NA()</f>
        <v>#N/A</v>
      </c>
    </row>
    <row r="904" spans="1:2" x14ac:dyDescent="0.2">
      <c r="A904" s="175">
        <v>39449</v>
      </c>
      <c r="B904" s="176">
        <v>1.89</v>
      </c>
    </row>
    <row r="905" spans="1:2" x14ac:dyDescent="0.2">
      <c r="A905" s="175">
        <v>39450</v>
      </c>
      <c r="B905" s="176">
        <v>1.88</v>
      </c>
    </row>
    <row r="906" spans="1:2" x14ac:dyDescent="0.2">
      <c r="A906" s="175">
        <v>39451</v>
      </c>
      <c r="B906" s="176">
        <v>1.88</v>
      </c>
    </row>
    <row r="907" spans="1:2" x14ac:dyDescent="0.2">
      <c r="A907" s="175">
        <v>39454</v>
      </c>
      <c r="B907" s="177">
        <v>1.87</v>
      </c>
    </row>
    <row r="908" spans="1:2" x14ac:dyDescent="0.2">
      <c r="A908" s="175">
        <v>39455</v>
      </c>
      <c r="B908" s="176">
        <v>1.89</v>
      </c>
    </row>
    <row r="909" spans="1:2" x14ac:dyDescent="0.2">
      <c r="A909" s="175">
        <v>39456</v>
      </c>
      <c r="B909" s="176">
        <v>1.87</v>
      </c>
    </row>
    <row r="910" spans="1:2" x14ac:dyDescent="0.2">
      <c r="A910" s="175">
        <v>39457</v>
      </c>
      <c r="B910" s="176">
        <v>1.97</v>
      </c>
    </row>
    <row r="911" spans="1:2" x14ac:dyDescent="0.2">
      <c r="A911" s="175">
        <v>39458</v>
      </c>
      <c r="B911" s="176">
        <v>1.87</v>
      </c>
    </row>
    <row r="912" spans="1:2" x14ac:dyDescent="0.2">
      <c r="A912" s="175">
        <v>39461</v>
      </c>
      <c r="B912" s="176">
        <v>1.84</v>
      </c>
    </row>
    <row r="913" spans="1:2" x14ac:dyDescent="0.2">
      <c r="A913" s="175">
        <v>39462</v>
      </c>
      <c r="B913" s="176">
        <v>1.77</v>
      </c>
    </row>
    <row r="914" spans="1:2" x14ac:dyDescent="0.2">
      <c r="A914" s="175">
        <v>39463</v>
      </c>
      <c r="B914" s="176">
        <v>1.83</v>
      </c>
    </row>
    <row r="915" spans="1:2" x14ac:dyDescent="0.2">
      <c r="A915" s="175">
        <v>39464</v>
      </c>
      <c r="B915" s="176">
        <v>1.76</v>
      </c>
    </row>
    <row r="916" spans="1:2" x14ac:dyDescent="0.2">
      <c r="A916" s="175">
        <v>39465</v>
      </c>
      <c r="B916" s="176">
        <v>1.78</v>
      </c>
    </row>
    <row r="917" spans="1:2" x14ac:dyDescent="0.2">
      <c r="A917" s="175">
        <v>39468</v>
      </c>
      <c r="B917" s="176" t="e">
        <f>NA()</f>
        <v>#N/A</v>
      </c>
    </row>
    <row r="918" spans="1:2" x14ac:dyDescent="0.2">
      <c r="A918" s="175">
        <v>39469</v>
      </c>
      <c r="B918" s="176">
        <v>1.72</v>
      </c>
    </row>
    <row r="919" spans="1:2" x14ac:dyDescent="0.2">
      <c r="A919" s="175">
        <v>39470</v>
      </c>
      <c r="B919" s="176">
        <v>1.69</v>
      </c>
    </row>
    <row r="920" spans="1:2" x14ac:dyDescent="0.2">
      <c r="A920" s="175">
        <v>39471</v>
      </c>
      <c r="B920" s="176">
        <v>1.81</v>
      </c>
    </row>
    <row r="921" spans="1:2" x14ac:dyDescent="0.2">
      <c r="A921" s="175">
        <v>39472</v>
      </c>
      <c r="B921" s="177">
        <v>1.71</v>
      </c>
    </row>
    <row r="922" spans="1:2" x14ac:dyDescent="0.2">
      <c r="A922" s="175">
        <v>39475</v>
      </c>
      <c r="B922" s="176">
        <v>1.71</v>
      </c>
    </row>
    <row r="923" spans="1:2" x14ac:dyDescent="0.2">
      <c r="A923" s="175">
        <v>39476</v>
      </c>
      <c r="B923" s="176">
        <v>1.76</v>
      </c>
    </row>
    <row r="924" spans="1:2" x14ac:dyDescent="0.2">
      <c r="A924" s="175">
        <v>39477</v>
      </c>
      <c r="B924" s="176">
        <v>1.82</v>
      </c>
    </row>
    <row r="925" spans="1:2" x14ac:dyDescent="0.2">
      <c r="A925" s="175">
        <v>39478</v>
      </c>
      <c r="B925" s="176">
        <v>1.71</v>
      </c>
    </row>
    <row r="926" spans="1:2" x14ac:dyDescent="0.2">
      <c r="A926" s="175">
        <v>39479</v>
      </c>
      <c r="B926" s="176">
        <v>1.69</v>
      </c>
    </row>
    <row r="927" spans="1:2" x14ac:dyDescent="0.2">
      <c r="A927" s="175">
        <v>39482</v>
      </c>
      <c r="B927" s="176">
        <v>1.76</v>
      </c>
    </row>
    <row r="928" spans="1:2" x14ac:dyDescent="0.2">
      <c r="A928" s="175">
        <v>39483</v>
      </c>
      <c r="B928" s="176">
        <v>1.72</v>
      </c>
    </row>
    <row r="929" spans="1:2" x14ac:dyDescent="0.2">
      <c r="A929" s="175">
        <v>39484</v>
      </c>
      <c r="B929" s="176">
        <v>1.75</v>
      </c>
    </row>
    <row r="930" spans="1:2" x14ac:dyDescent="0.2">
      <c r="A930" s="175">
        <v>39485</v>
      </c>
      <c r="B930" s="176">
        <v>1.86</v>
      </c>
    </row>
    <row r="931" spans="1:2" x14ac:dyDescent="0.2">
      <c r="A931" s="175">
        <v>39486</v>
      </c>
      <c r="B931" s="176">
        <v>1.78</v>
      </c>
    </row>
    <row r="932" spans="1:2" x14ac:dyDescent="0.2">
      <c r="A932" s="175">
        <v>39489</v>
      </c>
      <c r="B932" s="176">
        <v>1.75</v>
      </c>
    </row>
    <row r="933" spans="1:2" x14ac:dyDescent="0.2">
      <c r="A933" s="175">
        <v>39490</v>
      </c>
      <c r="B933" s="176">
        <v>1.79</v>
      </c>
    </row>
    <row r="934" spans="1:2" x14ac:dyDescent="0.2">
      <c r="A934" s="175">
        <v>39491</v>
      </c>
      <c r="B934" s="176">
        <v>1.89</v>
      </c>
    </row>
    <row r="935" spans="1:2" x14ac:dyDescent="0.2">
      <c r="A935" s="175">
        <v>39492</v>
      </c>
      <c r="B935" s="176">
        <v>2.0499999999999998</v>
      </c>
    </row>
    <row r="936" spans="1:2" x14ac:dyDescent="0.2">
      <c r="A936" s="175">
        <v>39493</v>
      </c>
      <c r="B936" s="176">
        <v>1.96</v>
      </c>
    </row>
    <row r="937" spans="1:2" x14ac:dyDescent="0.2">
      <c r="A937" s="175">
        <v>39496</v>
      </c>
      <c r="B937" s="176" t="e">
        <f>NA()</f>
        <v>#N/A</v>
      </c>
    </row>
    <row r="938" spans="1:2" x14ac:dyDescent="0.2">
      <c r="A938" s="175">
        <v>39497</v>
      </c>
      <c r="B938" s="176">
        <v>2.02</v>
      </c>
    </row>
    <row r="939" spans="1:2" x14ac:dyDescent="0.2">
      <c r="A939" s="175">
        <v>39498</v>
      </c>
      <c r="B939" s="176">
        <v>2</v>
      </c>
    </row>
    <row r="940" spans="1:2" x14ac:dyDescent="0.2">
      <c r="A940" s="175">
        <v>39499</v>
      </c>
      <c r="B940" s="176">
        <v>1.92</v>
      </c>
    </row>
    <row r="941" spans="1:2" x14ac:dyDescent="0.2">
      <c r="A941" s="175">
        <v>39500</v>
      </c>
      <c r="B941" s="177">
        <v>1.95</v>
      </c>
    </row>
    <row r="942" spans="1:2" x14ac:dyDescent="0.2">
      <c r="A942" s="175">
        <v>39503</v>
      </c>
      <c r="B942" s="176">
        <v>2.0099999999999998</v>
      </c>
    </row>
    <row r="943" spans="1:2" x14ac:dyDescent="0.2">
      <c r="A943" s="175">
        <v>39504</v>
      </c>
      <c r="B943" s="176">
        <v>1.98</v>
      </c>
    </row>
    <row r="944" spans="1:2" x14ac:dyDescent="0.2">
      <c r="A944" s="175">
        <v>39505</v>
      </c>
      <c r="B944" s="176">
        <v>1.96</v>
      </c>
    </row>
    <row r="945" spans="1:2" x14ac:dyDescent="0.2">
      <c r="A945" s="175">
        <v>39506</v>
      </c>
      <c r="B945" s="176">
        <v>1.84</v>
      </c>
    </row>
    <row r="946" spans="1:2" x14ac:dyDescent="0.2">
      <c r="A946" s="175">
        <v>39507</v>
      </c>
      <c r="B946" s="176">
        <v>1.71</v>
      </c>
    </row>
    <row r="947" spans="1:2" x14ac:dyDescent="0.2">
      <c r="A947" s="175">
        <v>39510</v>
      </c>
      <c r="B947" s="176">
        <v>1.71</v>
      </c>
    </row>
    <row r="948" spans="1:2" x14ac:dyDescent="0.2">
      <c r="A948" s="175">
        <v>39511</v>
      </c>
      <c r="B948" s="176">
        <v>1.79</v>
      </c>
    </row>
    <row r="949" spans="1:2" x14ac:dyDescent="0.2">
      <c r="A949" s="175">
        <v>39512</v>
      </c>
      <c r="B949" s="176">
        <v>1.8</v>
      </c>
    </row>
    <row r="950" spans="1:2" x14ac:dyDescent="0.2">
      <c r="A950" s="175">
        <v>39513</v>
      </c>
      <c r="B950" s="176">
        <v>1.72</v>
      </c>
    </row>
    <row r="951" spans="1:2" x14ac:dyDescent="0.2">
      <c r="A951" s="175">
        <v>39514</v>
      </c>
      <c r="B951" s="176">
        <v>1.68</v>
      </c>
    </row>
    <row r="952" spans="1:2" x14ac:dyDescent="0.2">
      <c r="A952" s="175">
        <v>39517</v>
      </c>
      <c r="B952" s="176">
        <v>1.6</v>
      </c>
    </row>
    <row r="953" spans="1:2" x14ac:dyDescent="0.2">
      <c r="A953" s="175">
        <v>39518</v>
      </c>
      <c r="B953" s="176">
        <v>1.69</v>
      </c>
    </row>
    <row r="954" spans="1:2" x14ac:dyDescent="0.2">
      <c r="A954" s="175">
        <v>39519</v>
      </c>
      <c r="B954" s="176">
        <v>1.58</v>
      </c>
    </row>
    <row r="955" spans="1:2" x14ac:dyDescent="0.2">
      <c r="A955" s="175">
        <v>39520</v>
      </c>
      <c r="B955" s="176">
        <v>1.7</v>
      </c>
    </row>
    <row r="956" spans="1:2" x14ac:dyDescent="0.2">
      <c r="A956" s="175">
        <v>39521</v>
      </c>
      <c r="B956" s="176">
        <v>1.63</v>
      </c>
    </row>
    <row r="957" spans="1:2" x14ac:dyDescent="0.2">
      <c r="A957" s="175">
        <v>39524</v>
      </c>
      <c r="B957" s="176">
        <v>1.75</v>
      </c>
    </row>
    <row r="958" spans="1:2" x14ac:dyDescent="0.2">
      <c r="A958" s="175">
        <v>39525</v>
      </c>
      <c r="B958" s="176">
        <v>1.82</v>
      </c>
    </row>
    <row r="959" spans="1:2" x14ac:dyDescent="0.2">
      <c r="A959" s="175">
        <v>39526</v>
      </c>
      <c r="B959" s="176">
        <v>1.76</v>
      </c>
    </row>
    <row r="960" spans="1:2" x14ac:dyDescent="0.2">
      <c r="A960" s="175">
        <v>39527</v>
      </c>
      <c r="B960" s="176">
        <v>1.7</v>
      </c>
    </row>
    <row r="961" spans="1:2" x14ac:dyDescent="0.2">
      <c r="A961" s="175">
        <v>39528</v>
      </c>
      <c r="B961" s="176" t="e">
        <f>NA()</f>
        <v>#N/A</v>
      </c>
    </row>
    <row r="962" spans="1:2" x14ac:dyDescent="0.2">
      <c r="A962" s="175">
        <v>39531</v>
      </c>
      <c r="B962" s="176">
        <v>1.88</v>
      </c>
    </row>
    <row r="963" spans="1:2" x14ac:dyDescent="0.2">
      <c r="A963" s="175">
        <v>39532</v>
      </c>
      <c r="B963" s="176">
        <v>1.91</v>
      </c>
    </row>
    <row r="964" spans="1:2" x14ac:dyDescent="0.2">
      <c r="A964" s="175">
        <v>39533</v>
      </c>
      <c r="B964" s="176">
        <v>1.93</v>
      </c>
    </row>
    <row r="965" spans="1:2" x14ac:dyDescent="0.2">
      <c r="A965" s="175">
        <v>39534</v>
      </c>
      <c r="B965" s="177">
        <v>1.92</v>
      </c>
    </row>
    <row r="966" spans="1:2" x14ac:dyDescent="0.2">
      <c r="A966" s="175">
        <v>39535</v>
      </c>
      <c r="B966" s="176">
        <v>1.85</v>
      </c>
    </row>
    <row r="967" spans="1:2" x14ac:dyDescent="0.2">
      <c r="A967" s="175">
        <v>39538</v>
      </c>
      <c r="B967" s="176">
        <v>1.81</v>
      </c>
    </row>
    <row r="968" spans="1:2" x14ac:dyDescent="0.2">
      <c r="A968" s="175">
        <v>39539</v>
      </c>
      <c r="B968" s="176">
        <v>1.89</v>
      </c>
    </row>
    <row r="969" spans="1:2" x14ac:dyDescent="0.2">
      <c r="A969" s="175">
        <v>39540</v>
      </c>
      <c r="B969" s="176">
        <v>1.87</v>
      </c>
    </row>
    <row r="970" spans="1:2" x14ac:dyDescent="0.2">
      <c r="A970" s="175">
        <v>39541</v>
      </c>
      <c r="B970" s="176">
        <v>1.89</v>
      </c>
    </row>
    <row r="971" spans="1:2" x14ac:dyDescent="0.2">
      <c r="A971" s="175">
        <v>39542</v>
      </c>
      <c r="B971" s="176">
        <v>1.79</v>
      </c>
    </row>
    <row r="972" spans="1:2" x14ac:dyDescent="0.2">
      <c r="A972" s="175">
        <v>39545</v>
      </c>
      <c r="B972" s="176">
        <v>1.84</v>
      </c>
    </row>
    <row r="973" spans="1:2" x14ac:dyDescent="0.2">
      <c r="A973" s="175">
        <v>39546</v>
      </c>
      <c r="B973" s="176">
        <v>1.82</v>
      </c>
    </row>
    <row r="974" spans="1:2" x14ac:dyDescent="0.2">
      <c r="A974" s="175">
        <v>39547</v>
      </c>
      <c r="B974" s="176">
        <v>1.76</v>
      </c>
    </row>
    <row r="975" spans="1:2" x14ac:dyDescent="0.2">
      <c r="A975" s="175">
        <v>39548</v>
      </c>
      <c r="B975" s="176">
        <v>1.8</v>
      </c>
    </row>
    <row r="976" spans="1:2" x14ac:dyDescent="0.2">
      <c r="A976" s="175">
        <v>39549</v>
      </c>
      <c r="B976" s="176">
        <v>1.75</v>
      </c>
    </row>
    <row r="977" spans="1:2" x14ac:dyDescent="0.2">
      <c r="A977" s="175">
        <v>39552</v>
      </c>
      <c r="B977" s="176">
        <v>1.78</v>
      </c>
    </row>
    <row r="978" spans="1:2" x14ac:dyDescent="0.2">
      <c r="A978" s="175">
        <v>39553</v>
      </c>
      <c r="B978" s="176">
        <v>1.84</v>
      </c>
    </row>
    <row r="979" spans="1:2" x14ac:dyDescent="0.2">
      <c r="A979" s="175">
        <v>39554</v>
      </c>
      <c r="B979" s="176">
        <v>1.95</v>
      </c>
    </row>
    <row r="980" spans="1:2" x14ac:dyDescent="0.2">
      <c r="A980" s="175">
        <v>39555</v>
      </c>
      <c r="B980" s="176">
        <v>1.95</v>
      </c>
    </row>
    <row r="981" spans="1:2" x14ac:dyDescent="0.2">
      <c r="A981" s="175">
        <v>39556</v>
      </c>
      <c r="B981" s="176">
        <v>1.95</v>
      </c>
    </row>
    <row r="982" spans="1:2" x14ac:dyDescent="0.2">
      <c r="A982" s="175">
        <v>39559</v>
      </c>
      <c r="B982" s="176">
        <v>1.95</v>
      </c>
    </row>
    <row r="983" spans="1:2" x14ac:dyDescent="0.2">
      <c r="A983" s="175">
        <v>39560</v>
      </c>
      <c r="B983" s="176">
        <v>1.93</v>
      </c>
    </row>
    <row r="984" spans="1:2" x14ac:dyDescent="0.2">
      <c r="A984" s="175">
        <v>39561</v>
      </c>
      <c r="B984" s="176">
        <v>1.95</v>
      </c>
    </row>
    <row r="985" spans="1:2" x14ac:dyDescent="0.2">
      <c r="A985" s="175">
        <v>39562</v>
      </c>
      <c r="B985" s="176">
        <v>2.0499999999999998</v>
      </c>
    </row>
    <row r="986" spans="1:2" x14ac:dyDescent="0.2">
      <c r="A986" s="175">
        <v>39563</v>
      </c>
      <c r="B986" s="176">
        <v>2.09</v>
      </c>
    </row>
    <row r="987" spans="1:2" x14ac:dyDescent="0.2">
      <c r="A987" s="175">
        <v>39566</v>
      </c>
      <c r="B987" s="176">
        <v>2.06</v>
      </c>
    </row>
    <row r="988" spans="1:2" x14ac:dyDescent="0.2">
      <c r="A988" s="175">
        <v>39567</v>
      </c>
      <c r="B988" s="176">
        <v>2.04</v>
      </c>
    </row>
    <row r="989" spans="1:2" x14ac:dyDescent="0.2">
      <c r="A989" s="175">
        <v>39568</v>
      </c>
      <c r="B989" s="176">
        <v>1.98</v>
      </c>
    </row>
    <row r="990" spans="1:2" x14ac:dyDescent="0.2">
      <c r="A990" s="175">
        <v>39569</v>
      </c>
      <c r="B990" s="176">
        <v>2.02</v>
      </c>
    </row>
    <row r="991" spans="1:2" x14ac:dyDescent="0.2">
      <c r="A991" s="175">
        <v>39570</v>
      </c>
      <c r="B991" s="176">
        <v>2.04</v>
      </c>
    </row>
    <row r="992" spans="1:2" x14ac:dyDescent="0.2">
      <c r="A992" s="175">
        <v>39573</v>
      </c>
      <c r="B992" s="176">
        <v>2.04</v>
      </c>
    </row>
    <row r="993" spans="1:2" x14ac:dyDescent="0.2">
      <c r="A993" s="175">
        <v>39574</v>
      </c>
      <c r="B993" s="176">
        <v>2.0699999999999998</v>
      </c>
    </row>
    <row r="994" spans="1:2" x14ac:dyDescent="0.2">
      <c r="A994" s="175">
        <v>39575</v>
      </c>
      <c r="B994" s="176">
        <v>2.0499999999999998</v>
      </c>
    </row>
    <row r="995" spans="1:2" x14ac:dyDescent="0.2">
      <c r="A995" s="175">
        <v>39576</v>
      </c>
      <c r="B995" s="176">
        <v>1.98</v>
      </c>
    </row>
    <row r="996" spans="1:2" x14ac:dyDescent="0.2">
      <c r="A996" s="175">
        <v>39577</v>
      </c>
      <c r="B996" s="176">
        <v>1.95</v>
      </c>
    </row>
    <row r="997" spans="1:2" x14ac:dyDescent="0.2">
      <c r="A997" s="175">
        <v>39580</v>
      </c>
      <c r="B997" s="176">
        <v>1.95</v>
      </c>
    </row>
    <row r="998" spans="1:2" x14ac:dyDescent="0.2">
      <c r="A998" s="175">
        <v>39581</v>
      </c>
      <c r="B998" s="176">
        <v>2.04</v>
      </c>
    </row>
    <row r="999" spans="1:2" x14ac:dyDescent="0.2">
      <c r="A999" s="175">
        <v>39582</v>
      </c>
      <c r="B999" s="176">
        <v>2.04</v>
      </c>
    </row>
    <row r="1000" spans="1:2" x14ac:dyDescent="0.2">
      <c r="A1000" s="175">
        <v>39583</v>
      </c>
      <c r="B1000" s="176">
        <v>1.97</v>
      </c>
    </row>
    <row r="1001" spans="1:2" x14ac:dyDescent="0.2">
      <c r="A1001" s="175">
        <v>39584</v>
      </c>
      <c r="B1001" s="176">
        <v>1.97</v>
      </c>
    </row>
    <row r="1002" spans="1:2" x14ac:dyDescent="0.2">
      <c r="A1002" s="175">
        <v>39587</v>
      </c>
      <c r="B1002" s="176">
        <v>1.93</v>
      </c>
    </row>
    <row r="1003" spans="1:2" x14ac:dyDescent="0.2">
      <c r="A1003" s="175">
        <v>39588</v>
      </c>
      <c r="B1003" s="176">
        <v>1.88</v>
      </c>
    </row>
    <row r="1004" spans="1:2" x14ac:dyDescent="0.2">
      <c r="A1004" s="175">
        <v>39589</v>
      </c>
      <c r="B1004" s="176">
        <v>1.86</v>
      </c>
    </row>
    <row r="1005" spans="1:2" x14ac:dyDescent="0.2">
      <c r="A1005" s="175">
        <v>39590</v>
      </c>
      <c r="B1005" s="176">
        <v>1.94</v>
      </c>
    </row>
    <row r="1006" spans="1:2" x14ac:dyDescent="0.2">
      <c r="A1006" s="175">
        <v>39591</v>
      </c>
      <c r="B1006" s="176">
        <v>1.91</v>
      </c>
    </row>
    <row r="1007" spans="1:2" x14ac:dyDescent="0.2">
      <c r="A1007" s="175">
        <v>39594</v>
      </c>
      <c r="B1007" s="176" t="e">
        <f>NA()</f>
        <v>#N/A</v>
      </c>
    </row>
    <row r="1008" spans="1:2" x14ac:dyDescent="0.2">
      <c r="A1008" s="175">
        <v>39595</v>
      </c>
      <c r="B1008" s="176">
        <v>2.0099999999999998</v>
      </c>
    </row>
    <row r="1009" spans="1:2" x14ac:dyDescent="0.2">
      <c r="A1009" s="175">
        <v>39596</v>
      </c>
      <c r="B1009" s="176">
        <v>2.11</v>
      </c>
    </row>
    <row r="1010" spans="1:2" x14ac:dyDescent="0.2">
      <c r="A1010" s="175">
        <v>39597</v>
      </c>
      <c r="B1010" s="176">
        <v>2.16</v>
      </c>
    </row>
    <row r="1011" spans="1:2" x14ac:dyDescent="0.2">
      <c r="A1011" s="175">
        <v>39598</v>
      </c>
      <c r="B1011" s="177">
        <v>2.13</v>
      </c>
    </row>
    <row r="1012" spans="1:2" x14ac:dyDescent="0.2">
      <c r="A1012" s="175">
        <v>39601</v>
      </c>
      <c r="B1012" s="176">
        <v>2.11</v>
      </c>
    </row>
    <row r="1013" spans="1:2" x14ac:dyDescent="0.2">
      <c r="A1013" s="175">
        <v>39602</v>
      </c>
      <c r="B1013" s="176">
        <v>2.12</v>
      </c>
    </row>
    <row r="1014" spans="1:2" x14ac:dyDescent="0.2">
      <c r="A1014" s="175">
        <v>39603</v>
      </c>
      <c r="B1014" s="176">
        <v>2.21</v>
      </c>
    </row>
    <row r="1015" spans="1:2" x14ac:dyDescent="0.2">
      <c r="A1015" s="175">
        <v>39604</v>
      </c>
      <c r="B1015" s="176">
        <v>2.2599999999999998</v>
      </c>
    </row>
    <row r="1016" spans="1:2" x14ac:dyDescent="0.2">
      <c r="A1016" s="175">
        <v>39605</v>
      </c>
      <c r="B1016" s="176">
        <v>2.14</v>
      </c>
    </row>
    <row r="1017" spans="1:2" x14ac:dyDescent="0.2">
      <c r="A1017" s="175">
        <v>39608</v>
      </c>
      <c r="B1017" s="176">
        <v>2.15</v>
      </c>
    </row>
    <row r="1018" spans="1:2" x14ac:dyDescent="0.2">
      <c r="A1018" s="175">
        <v>39609</v>
      </c>
      <c r="B1018" s="176">
        <v>2.2200000000000002</v>
      </c>
    </row>
    <row r="1019" spans="1:2" x14ac:dyDescent="0.2">
      <c r="A1019" s="175">
        <v>39610</v>
      </c>
      <c r="B1019" s="176">
        <v>2.2400000000000002</v>
      </c>
    </row>
    <row r="1020" spans="1:2" x14ac:dyDescent="0.2">
      <c r="A1020" s="175">
        <v>39611</v>
      </c>
      <c r="B1020" s="176">
        <v>2.2999999999999998</v>
      </c>
    </row>
    <row r="1021" spans="1:2" x14ac:dyDescent="0.2">
      <c r="A1021" s="175">
        <v>39612</v>
      </c>
      <c r="B1021" s="176">
        <v>2.31</v>
      </c>
    </row>
    <row r="1022" spans="1:2" x14ac:dyDescent="0.2">
      <c r="A1022" s="175">
        <v>39615</v>
      </c>
      <c r="B1022" s="176">
        <v>2.2599999999999998</v>
      </c>
    </row>
    <row r="1023" spans="1:2" x14ac:dyDescent="0.2">
      <c r="A1023" s="175">
        <v>39616</v>
      </c>
      <c r="B1023" s="176">
        <v>2.2599999999999998</v>
      </c>
    </row>
    <row r="1024" spans="1:2" x14ac:dyDescent="0.2">
      <c r="A1024" s="175">
        <v>39617</v>
      </c>
      <c r="B1024" s="176">
        <v>2.2000000000000002</v>
      </c>
    </row>
    <row r="1025" spans="1:2" x14ac:dyDescent="0.2">
      <c r="A1025" s="175">
        <v>39618</v>
      </c>
      <c r="B1025" s="176">
        <v>2.2599999999999998</v>
      </c>
    </row>
    <row r="1026" spans="1:2" x14ac:dyDescent="0.2">
      <c r="A1026" s="175">
        <v>39619</v>
      </c>
      <c r="B1026" s="176">
        <v>2.2200000000000002</v>
      </c>
    </row>
    <row r="1027" spans="1:2" x14ac:dyDescent="0.2">
      <c r="A1027" s="175">
        <v>39622</v>
      </c>
      <c r="B1027" s="176">
        <v>2.2400000000000002</v>
      </c>
    </row>
    <row r="1028" spans="1:2" x14ac:dyDescent="0.2">
      <c r="A1028" s="175">
        <v>39623</v>
      </c>
      <c r="B1028" s="176">
        <v>2.17</v>
      </c>
    </row>
    <row r="1029" spans="1:2" x14ac:dyDescent="0.2">
      <c r="A1029" s="175">
        <v>39624</v>
      </c>
      <c r="B1029" s="176">
        <v>2.1800000000000002</v>
      </c>
    </row>
    <row r="1030" spans="1:2" x14ac:dyDescent="0.2">
      <c r="A1030" s="175">
        <v>39625</v>
      </c>
      <c r="B1030" s="176">
        <v>2.1</v>
      </c>
    </row>
    <row r="1031" spans="1:2" x14ac:dyDescent="0.2">
      <c r="A1031" s="175">
        <v>39626</v>
      </c>
      <c r="B1031" s="176">
        <v>2.0499999999999998</v>
      </c>
    </row>
    <row r="1032" spans="1:2" x14ac:dyDescent="0.2">
      <c r="A1032" s="175">
        <v>39629</v>
      </c>
      <c r="B1032" s="176">
        <v>2.06</v>
      </c>
    </row>
    <row r="1033" spans="1:2" x14ac:dyDescent="0.2">
      <c r="A1033" s="175">
        <v>39630</v>
      </c>
      <c r="B1033" s="176">
        <v>2.0499999999999998</v>
      </c>
    </row>
    <row r="1034" spans="1:2" x14ac:dyDescent="0.2">
      <c r="A1034" s="175">
        <v>39631</v>
      </c>
      <c r="B1034" s="176">
        <v>1.98</v>
      </c>
    </row>
    <row r="1035" spans="1:2" x14ac:dyDescent="0.2">
      <c r="A1035" s="175">
        <v>39632</v>
      </c>
      <c r="B1035" s="176">
        <v>1.98</v>
      </c>
    </row>
    <row r="1036" spans="1:2" x14ac:dyDescent="0.2">
      <c r="A1036" s="175">
        <v>39633</v>
      </c>
      <c r="B1036" s="176" t="e">
        <f>NA()</f>
        <v>#N/A</v>
      </c>
    </row>
    <row r="1037" spans="1:2" x14ac:dyDescent="0.2">
      <c r="A1037" s="175">
        <v>39636</v>
      </c>
      <c r="B1037" s="176">
        <v>1.99</v>
      </c>
    </row>
    <row r="1038" spans="1:2" x14ac:dyDescent="0.2">
      <c r="A1038" s="175">
        <v>39637</v>
      </c>
      <c r="B1038" s="176">
        <v>1.98</v>
      </c>
    </row>
    <row r="1039" spans="1:2" x14ac:dyDescent="0.2">
      <c r="A1039" s="175">
        <v>39638</v>
      </c>
      <c r="B1039" s="176">
        <v>1.92</v>
      </c>
    </row>
    <row r="1040" spans="1:2" x14ac:dyDescent="0.2">
      <c r="A1040" s="175">
        <v>39639</v>
      </c>
      <c r="B1040" s="177">
        <v>1.94</v>
      </c>
    </row>
    <row r="1041" spans="1:2" x14ac:dyDescent="0.2">
      <c r="A1041" s="175">
        <v>39640</v>
      </c>
      <c r="B1041" s="176">
        <v>2.0299999999999998</v>
      </c>
    </row>
    <row r="1042" spans="1:2" x14ac:dyDescent="0.2">
      <c r="A1042" s="175">
        <v>39643</v>
      </c>
      <c r="B1042" s="176">
        <v>1.98</v>
      </c>
    </row>
    <row r="1043" spans="1:2" x14ac:dyDescent="0.2">
      <c r="A1043" s="175">
        <v>39644</v>
      </c>
      <c r="B1043" s="176">
        <v>1.98</v>
      </c>
    </row>
    <row r="1044" spans="1:2" x14ac:dyDescent="0.2">
      <c r="A1044" s="175">
        <v>39645</v>
      </c>
      <c r="B1044" s="176">
        <v>2.06</v>
      </c>
    </row>
    <row r="1045" spans="1:2" x14ac:dyDescent="0.2">
      <c r="A1045" s="175">
        <v>39646</v>
      </c>
      <c r="B1045" s="176">
        <v>2.13</v>
      </c>
    </row>
    <row r="1046" spans="1:2" x14ac:dyDescent="0.2">
      <c r="A1046" s="175">
        <v>39647</v>
      </c>
      <c r="B1046" s="176">
        <v>2.15</v>
      </c>
    </row>
    <row r="1047" spans="1:2" x14ac:dyDescent="0.2">
      <c r="A1047" s="175">
        <v>39650</v>
      </c>
      <c r="B1047" s="176">
        <v>2.17</v>
      </c>
    </row>
    <row r="1048" spans="1:2" x14ac:dyDescent="0.2">
      <c r="A1048" s="175">
        <v>39651</v>
      </c>
      <c r="B1048" s="176">
        <v>2.2200000000000002</v>
      </c>
    </row>
    <row r="1049" spans="1:2" x14ac:dyDescent="0.2">
      <c r="A1049" s="175">
        <v>39652</v>
      </c>
      <c r="B1049" s="176">
        <v>2.2599999999999998</v>
      </c>
    </row>
    <row r="1050" spans="1:2" x14ac:dyDescent="0.2">
      <c r="A1050" s="175">
        <v>39653</v>
      </c>
      <c r="B1050" s="176">
        <v>2.17</v>
      </c>
    </row>
    <row r="1051" spans="1:2" x14ac:dyDescent="0.2">
      <c r="A1051" s="175">
        <v>39654</v>
      </c>
      <c r="B1051" s="176">
        <v>2.2599999999999998</v>
      </c>
    </row>
    <row r="1052" spans="1:2" x14ac:dyDescent="0.2">
      <c r="A1052" s="175">
        <v>39657</v>
      </c>
      <c r="B1052" s="176">
        <v>2.19</v>
      </c>
    </row>
    <row r="1053" spans="1:2" x14ac:dyDescent="0.2">
      <c r="A1053" s="175">
        <v>39658</v>
      </c>
      <c r="B1053" s="176">
        <v>2.23</v>
      </c>
    </row>
    <row r="1054" spans="1:2" x14ac:dyDescent="0.2">
      <c r="A1054" s="175">
        <v>39659</v>
      </c>
      <c r="B1054" s="176">
        <v>2.21</v>
      </c>
    </row>
    <row r="1055" spans="1:2" x14ac:dyDescent="0.2">
      <c r="A1055" s="175">
        <v>39660</v>
      </c>
      <c r="B1055" s="176">
        <v>2.16</v>
      </c>
    </row>
    <row r="1056" spans="1:2" x14ac:dyDescent="0.2">
      <c r="A1056" s="175">
        <v>39661</v>
      </c>
      <c r="B1056" s="176">
        <v>2.13</v>
      </c>
    </row>
    <row r="1057" spans="1:2" x14ac:dyDescent="0.2">
      <c r="A1057" s="175">
        <v>39664</v>
      </c>
      <c r="B1057" s="176">
        <v>2.14</v>
      </c>
    </row>
    <row r="1058" spans="1:2" x14ac:dyDescent="0.2">
      <c r="A1058" s="175">
        <v>39665</v>
      </c>
      <c r="B1058" s="176">
        <v>2.2000000000000002</v>
      </c>
    </row>
    <row r="1059" spans="1:2" x14ac:dyDescent="0.2">
      <c r="A1059" s="175">
        <v>39666</v>
      </c>
      <c r="B1059" s="176">
        <v>2.25</v>
      </c>
    </row>
    <row r="1060" spans="1:2" x14ac:dyDescent="0.2">
      <c r="A1060" s="175">
        <v>39667</v>
      </c>
      <c r="B1060" s="176">
        <v>2.13</v>
      </c>
    </row>
    <row r="1061" spans="1:2" x14ac:dyDescent="0.2">
      <c r="A1061" s="175">
        <v>39668</v>
      </c>
      <c r="B1061" s="176">
        <v>2.15</v>
      </c>
    </row>
    <row r="1062" spans="1:2" x14ac:dyDescent="0.2">
      <c r="A1062" s="175">
        <v>39671</v>
      </c>
      <c r="B1062" s="176">
        <v>2.2400000000000002</v>
      </c>
    </row>
    <row r="1063" spans="1:2" x14ac:dyDescent="0.2">
      <c r="A1063" s="175">
        <v>39672</v>
      </c>
      <c r="B1063" s="176">
        <v>2.2000000000000002</v>
      </c>
    </row>
    <row r="1064" spans="1:2" x14ac:dyDescent="0.2">
      <c r="A1064" s="175">
        <v>39673</v>
      </c>
      <c r="B1064" s="176">
        <v>2.23</v>
      </c>
    </row>
    <row r="1065" spans="1:2" x14ac:dyDescent="0.2">
      <c r="A1065" s="175">
        <v>39674</v>
      </c>
      <c r="B1065" s="176">
        <v>2.16</v>
      </c>
    </row>
    <row r="1066" spans="1:2" x14ac:dyDescent="0.2">
      <c r="A1066" s="175">
        <v>39675</v>
      </c>
      <c r="B1066" s="176">
        <v>2.13</v>
      </c>
    </row>
    <row r="1067" spans="1:2" x14ac:dyDescent="0.2">
      <c r="A1067" s="175">
        <v>39678</v>
      </c>
      <c r="B1067" s="176">
        <v>2.12</v>
      </c>
    </row>
    <row r="1068" spans="1:2" x14ac:dyDescent="0.2">
      <c r="A1068" s="175">
        <v>39679</v>
      </c>
      <c r="B1068" s="176">
        <v>2.15</v>
      </c>
    </row>
    <row r="1069" spans="1:2" x14ac:dyDescent="0.2">
      <c r="A1069" s="175">
        <v>39680</v>
      </c>
      <c r="B1069" s="176">
        <v>2.11</v>
      </c>
    </row>
    <row r="1070" spans="1:2" x14ac:dyDescent="0.2">
      <c r="A1070" s="175">
        <v>39681</v>
      </c>
      <c r="B1070" s="176">
        <v>2.1</v>
      </c>
    </row>
    <row r="1071" spans="1:2" x14ac:dyDescent="0.2">
      <c r="A1071" s="175">
        <v>39682</v>
      </c>
      <c r="B1071" s="176">
        <v>2.12</v>
      </c>
    </row>
    <row r="1072" spans="1:2" x14ac:dyDescent="0.2">
      <c r="A1072" s="175">
        <v>39685</v>
      </c>
      <c r="B1072" s="176">
        <v>2.0699999999999998</v>
      </c>
    </row>
    <row r="1073" spans="1:2" x14ac:dyDescent="0.2">
      <c r="A1073" s="175">
        <v>39686</v>
      </c>
      <c r="B1073" s="176">
        <v>2.09</v>
      </c>
    </row>
    <row r="1074" spans="1:2" x14ac:dyDescent="0.2">
      <c r="A1074" s="175">
        <v>39687</v>
      </c>
      <c r="B1074" s="176">
        <v>2.0699999999999998</v>
      </c>
    </row>
    <row r="1075" spans="1:2" x14ac:dyDescent="0.2">
      <c r="A1075" s="175">
        <v>39688</v>
      </c>
      <c r="B1075" s="176">
        <v>2.1</v>
      </c>
    </row>
    <row r="1076" spans="1:2" x14ac:dyDescent="0.2">
      <c r="A1076" s="175">
        <v>39689</v>
      </c>
      <c r="B1076" s="176">
        <v>2.17</v>
      </c>
    </row>
    <row r="1077" spans="1:2" x14ac:dyDescent="0.2">
      <c r="A1077" s="175">
        <v>39692</v>
      </c>
      <c r="B1077" s="176" t="e">
        <f>NA()</f>
        <v>#N/A</v>
      </c>
    </row>
    <row r="1078" spans="1:2" x14ac:dyDescent="0.2">
      <c r="A1078" s="175">
        <v>39693</v>
      </c>
      <c r="B1078" s="176">
        <v>2.15</v>
      </c>
    </row>
    <row r="1079" spans="1:2" x14ac:dyDescent="0.2">
      <c r="A1079" s="175">
        <v>39694</v>
      </c>
      <c r="B1079" s="176">
        <v>2.19</v>
      </c>
    </row>
    <row r="1080" spans="1:2" x14ac:dyDescent="0.2">
      <c r="A1080" s="175">
        <v>39695</v>
      </c>
      <c r="B1080" s="176">
        <v>2.2200000000000002</v>
      </c>
    </row>
    <row r="1081" spans="1:2" x14ac:dyDescent="0.2">
      <c r="A1081" s="175">
        <v>39696</v>
      </c>
      <c r="B1081" s="177">
        <v>2.21</v>
      </c>
    </row>
    <row r="1082" spans="1:2" x14ac:dyDescent="0.2">
      <c r="A1082" s="175">
        <v>39699</v>
      </c>
      <c r="B1082" s="176">
        <v>2.14</v>
      </c>
    </row>
    <row r="1083" spans="1:2" x14ac:dyDescent="0.2">
      <c r="A1083" s="175">
        <v>39700</v>
      </c>
      <c r="B1083" s="176">
        <v>2.11</v>
      </c>
    </row>
    <row r="1084" spans="1:2" x14ac:dyDescent="0.2">
      <c r="A1084" s="175">
        <v>39701</v>
      </c>
      <c r="B1084" s="176">
        <v>2.1</v>
      </c>
    </row>
    <row r="1085" spans="1:2" x14ac:dyDescent="0.2">
      <c r="A1085" s="175">
        <v>39702</v>
      </c>
      <c r="B1085" s="176">
        <v>2.0499999999999998</v>
      </c>
    </row>
    <row r="1086" spans="1:2" x14ac:dyDescent="0.2">
      <c r="A1086" s="175">
        <v>39703</v>
      </c>
      <c r="B1086" s="176">
        <v>2.19</v>
      </c>
    </row>
    <row r="1087" spans="1:2" x14ac:dyDescent="0.2">
      <c r="A1087" s="175">
        <v>39706</v>
      </c>
      <c r="B1087" s="176">
        <v>2.09</v>
      </c>
    </row>
    <row r="1088" spans="1:2" x14ac:dyDescent="0.2">
      <c r="A1088" s="175">
        <v>39707</v>
      </c>
      <c r="B1088" s="176">
        <v>2.16</v>
      </c>
    </row>
    <row r="1089" spans="1:2" x14ac:dyDescent="0.2">
      <c r="A1089" s="175">
        <v>39708</v>
      </c>
      <c r="B1089" s="176">
        <v>2.19</v>
      </c>
    </row>
    <row r="1090" spans="1:2" x14ac:dyDescent="0.2">
      <c r="A1090" s="175">
        <v>39709</v>
      </c>
      <c r="B1090" s="176">
        <v>2.2799999999999998</v>
      </c>
    </row>
    <row r="1091" spans="1:2" x14ac:dyDescent="0.2">
      <c r="A1091" s="175">
        <v>39710</v>
      </c>
      <c r="B1091" s="176">
        <v>2.2599999999999998</v>
      </c>
    </row>
    <row r="1092" spans="1:2" x14ac:dyDescent="0.2">
      <c r="A1092" s="175">
        <v>39713</v>
      </c>
      <c r="B1092" s="176">
        <v>2.27</v>
      </c>
    </row>
    <row r="1093" spans="1:2" x14ac:dyDescent="0.2">
      <c r="A1093" s="175">
        <v>39714</v>
      </c>
      <c r="B1093" s="176">
        <v>2.38</v>
      </c>
    </row>
    <row r="1094" spans="1:2" x14ac:dyDescent="0.2">
      <c r="A1094" s="175">
        <v>39715</v>
      </c>
      <c r="B1094" s="176">
        <v>2.4300000000000002</v>
      </c>
    </row>
    <row r="1095" spans="1:2" x14ac:dyDescent="0.2">
      <c r="A1095" s="175">
        <v>39716</v>
      </c>
      <c r="B1095" s="176">
        <v>2.4500000000000002</v>
      </c>
    </row>
    <row r="1096" spans="1:2" x14ac:dyDescent="0.2">
      <c r="A1096" s="175">
        <v>39717</v>
      </c>
      <c r="B1096" s="176">
        <v>2.46</v>
      </c>
    </row>
    <row r="1097" spans="1:2" x14ac:dyDescent="0.2">
      <c r="A1097" s="175">
        <v>39720</v>
      </c>
      <c r="B1097" s="176">
        <v>2.35</v>
      </c>
    </row>
    <row r="1098" spans="1:2" x14ac:dyDescent="0.2">
      <c r="A1098" s="175">
        <v>39721</v>
      </c>
      <c r="B1098" s="176">
        <v>2.62</v>
      </c>
    </row>
    <row r="1099" spans="1:2" x14ac:dyDescent="0.2">
      <c r="A1099" s="175">
        <v>39722</v>
      </c>
      <c r="B1099" s="176">
        <v>2.57</v>
      </c>
    </row>
    <row r="1100" spans="1:2" x14ac:dyDescent="0.2">
      <c r="A1100" s="175">
        <v>39723</v>
      </c>
      <c r="B1100" s="176">
        <v>2.5</v>
      </c>
    </row>
    <row r="1101" spans="1:2" x14ac:dyDescent="0.2">
      <c r="A1101" s="175">
        <v>39724</v>
      </c>
      <c r="B1101" s="176">
        <v>2.4700000000000002</v>
      </c>
    </row>
    <row r="1102" spans="1:2" x14ac:dyDescent="0.2">
      <c r="A1102" s="175">
        <v>39727</v>
      </c>
      <c r="B1102" s="176">
        <v>2.46</v>
      </c>
    </row>
    <row r="1103" spans="1:2" x14ac:dyDescent="0.2">
      <c r="A1103" s="175">
        <v>39728</v>
      </c>
      <c r="B1103" s="176">
        <v>2.59</v>
      </c>
    </row>
    <row r="1104" spans="1:2" x14ac:dyDescent="0.2">
      <c r="A1104" s="175">
        <v>39729</v>
      </c>
      <c r="B1104" s="176">
        <v>2.85</v>
      </c>
    </row>
    <row r="1105" spans="1:2" x14ac:dyDescent="0.2">
      <c r="A1105" s="175">
        <v>39730</v>
      </c>
      <c r="B1105" s="176">
        <v>2.9</v>
      </c>
    </row>
    <row r="1106" spans="1:2" x14ac:dyDescent="0.2">
      <c r="A1106" s="175">
        <v>39731</v>
      </c>
      <c r="B1106" s="176">
        <v>2.97</v>
      </c>
    </row>
    <row r="1107" spans="1:2" x14ac:dyDescent="0.2">
      <c r="A1107" s="175">
        <v>39734</v>
      </c>
      <c r="B1107" s="176" t="e">
        <f>NA()</f>
        <v>#N/A</v>
      </c>
    </row>
    <row r="1108" spans="1:2" x14ac:dyDescent="0.2">
      <c r="A1108" s="175">
        <v>39735</v>
      </c>
      <c r="B1108" s="176">
        <v>2.96</v>
      </c>
    </row>
    <row r="1109" spans="1:2" x14ac:dyDescent="0.2">
      <c r="A1109" s="175">
        <v>39736</v>
      </c>
      <c r="B1109" s="176">
        <v>2.95</v>
      </c>
    </row>
    <row r="1110" spans="1:2" x14ac:dyDescent="0.2">
      <c r="A1110" s="175">
        <v>39737</v>
      </c>
      <c r="B1110" s="176">
        <v>2.95</v>
      </c>
    </row>
    <row r="1111" spans="1:2" x14ac:dyDescent="0.2">
      <c r="A1111" s="175">
        <v>39738</v>
      </c>
      <c r="B1111" s="177">
        <v>2.88</v>
      </c>
    </row>
    <row r="1112" spans="1:2" x14ac:dyDescent="0.2">
      <c r="A1112" s="175">
        <v>39741</v>
      </c>
      <c r="B1112" s="176">
        <v>2.81</v>
      </c>
    </row>
    <row r="1113" spans="1:2" x14ac:dyDescent="0.2">
      <c r="A1113" s="175">
        <v>39742</v>
      </c>
      <c r="B1113" s="176">
        <v>2.77</v>
      </c>
    </row>
    <row r="1114" spans="1:2" x14ac:dyDescent="0.2">
      <c r="A1114" s="175">
        <v>39743</v>
      </c>
      <c r="B1114" s="176">
        <v>2.7</v>
      </c>
    </row>
    <row r="1115" spans="1:2" x14ac:dyDescent="0.2">
      <c r="A1115" s="175">
        <v>39744</v>
      </c>
      <c r="B1115" s="176">
        <v>2.77</v>
      </c>
    </row>
    <row r="1116" spans="1:2" x14ac:dyDescent="0.2">
      <c r="A1116" s="175">
        <v>39745</v>
      </c>
      <c r="B1116" s="176">
        <v>3.05</v>
      </c>
    </row>
    <row r="1117" spans="1:2" x14ac:dyDescent="0.2">
      <c r="A1117" s="175">
        <v>39748</v>
      </c>
      <c r="B1117" s="176">
        <v>3.13</v>
      </c>
    </row>
    <row r="1118" spans="1:2" x14ac:dyDescent="0.2">
      <c r="A1118" s="175">
        <v>39749</v>
      </c>
      <c r="B1118" s="176">
        <v>3.15</v>
      </c>
    </row>
    <row r="1119" spans="1:2" x14ac:dyDescent="0.2">
      <c r="A1119" s="175">
        <v>39750</v>
      </c>
      <c r="B1119" s="176">
        <v>3.19</v>
      </c>
    </row>
    <row r="1120" spans="1:2" x14ac:dyDescent="0.2">
      <c r="A1120" s="175">
        <v>39751</v>
      </c>
      <c r="B1120" s="176">
        <v>3.17</v>
      </c>
    </row>
    <row r="1121" spans="1:2" x14ac:dyDescent="0.2">
      <c r="A1121" s="175">
        <v>39752</v>
      </c>
      <c r="B1121" s="176">
        <v>3.35</v>
      </c>
    </row>
    <row r="1122" spans="1:2" x14ac:dyDescent="0.2">
      <c r="A1122" s="175">
        <v>39755</v>
      </c>
      <c r="B1122" s="176">
        <v>3.29</v>
      </c>
    </row>
    <row r="1123" spans="1:2" x14ac:dyDescent="0.2">
      <c r="A1123" s="175">
        <v>39756</v>
      </c>
      <c r="B1123" s="176">
        <v>3.11</v>
      </c>
    </row>
    <row r="1124" spans="1:2" x14ac:dyDescent="0.2">
      <c r="A1124" s="175">
        <v>39757</v>
      </c>
      <c r="B1124" s="176">
        <v>2.99</v>
      </c>
    </row>
    <row r="1125" spans="1:2" x14ac:dyDescent="0.2">
      <c r="A1125" s="175">
        <v>39758</v>
      </c>
      <c r="B1125" s="176">
        <v>2.96</v>
      </c>
    </row>
    <row r="1126" spans="1:2" x14ac:dyDescent="0.2">
      <c r="A1126" s="175">
        <v>39759</v>
      </c>
      <c r="B1126" s="176">
        <v>2.98</v>
      </c>
    </row>
    <row r="1127" spans="1:2" x14ac:dyDescent="0.2">
      <c r="A1127" s="175">
        <v>39762</v>
      </c>
      <c r="B1127" s="176">
        <v>2.9</v>
      </c>
    </row>
    <row r="1128" spans="1:2" x14ac:dyDescent="0.2">
      <c r="A1128" s="175">
        <v>39763</v>
      </c>
      <c r="B1128" s="176" t="e">
        <f>NA()</f>
        <v>#N/A</v>
      </c>
    </row>
    <row r="1129" spans="1:2" x14ac:dyDescent="0.2">
      <c r="A1129" s="175">
        <v>39764</v>
      </c>
      <c r="B1129" s="176">
        <v>2.86</v>
      </c>
    </row>
    <row r="1130" spans="1:2" x14ac:dyDescent="0.2">
      <c r="A1130" s="175">
        <v>39765</v>
      </c>
      <c r="B1130" s="176">
        <v>2.98</v>
      </c>
    </row>
    <row r="1131" spans="1:2" x14ac:dyDescent="0.2">
      <c r="A1131" s="175">
        <v>39766</v>
      </c>
      <c r="B1131" s="176">
        <v>2.82</v>
      </c>
    </row>
    <row r="1132" spans="1:2" x14ac:dyDescent="0.2">
      <c r="A1132" s="175">
        <v>39769</v>
      </c>
      <c r="B1132" s="177">
        <v>2.79</v>
      </c>
    </row>
    <row r="1133" spans="1:2" x14ac:dyDescent="0.2">
      <c r="A1133" s="175">
        <v>39770</v>
      </c>
      <c r="B1133" s="176">
        <v>2.78</v>
      </c>
    </row>
    <row r="1134" spans="1:2" x14ac:dyDescent="0.2">
      <c r="A1134" s="175">
        <v>39771</v>
      </c>
      <c r="B1134" s="176">
        <v>2.96</v>
      </c>
    </row>
    <row r="1135" spans="1:2" x14ac:dyDescent="0.2">
      <c r="A1135" s="175">
        <v>39772</v>
      </c>
      <c r="B1135" s="176">
        <v>2.93</v>
      </c>
    </row>
    <row r="1136" spans="1:2" x14ac:dyDescent="0.2">
      <c r="A1136" s="175">
        <v>39773</v>
      </c>
      <c r="B1136" s="176">
        <v>3.1</v>
      </c>
    </row>
    <row r="1137" spans="1:2" x14ac:dyDescent="0.2">
      <c r="A1137" s="175">
        <v>39776</v>
      </c>
      <c r="B1137" s="176">
        <v>3.32</v>
      </c>
    </row>
    <row r="1138" spans="1:2" x14ac:dyDescent="0.2">
      <c r="A1138" s="175">
        <v>39777</v>
      </c>
      <c r="B1138" s="176">
        <v>3.14</v>
      </c>
    </row>
    <row r="1139" spans="1:2" x14ac:dyDescent="0.2">
      <c r="A1139" s="175">
        <v>39778</v>
      </c>
      <c r="B1139" s="176">
        <v>3.1</v>
      </c>
    </row>
    <row r="1140" spans="1:2" x14ac:dyDescent="0.2">
      <c r="A1140" s="175">
        <v>39779</v>
      </c>
      <c r="B1140" s="176" t="e">
        <f>NA()</f>
        <v>#N/A</v>
      </c>
    </row>
    <row r="1141" spans="1:2" x14ac:dyDescent="0.2">
      <c r="A1141" s="175">
        <v>39780</v>
      </c>
      <c r="B1141" s="176">
        <v>2.98</v>
      </c>
    </row>
    <row r="1142" spans="1:2" x14ac:dyDescent="0.2">
      <c r="A1142" s="175">
        <v>39783</v>
      </c>
      <c r="B1142" s="176">
        <v>2.76</v>
      </c>
    </row>
    <row r="1143" spans="1:2" x14ac:dyDescent="0.2">
      <c r="A1143" s="175">
        <v>39784</v>
      </c>
      <c r="B1143" s="176">
        <v>2.6</v>
      </c>
    </row>
    <row r="1144" spans="1:2" x14ac:dyDescent="0.2">
      <c r="A1144" s="175">
        <v>39785</v>
      </c>
      <c r="B1144" s="177">
        <v>2.4700000000000002</v>
      </c>
    </row>
    <row r="1145" spans="1:2" x14ac:dyDescent="0.2">
      <c r="A1145" s="175">
        <v>39786</v>
      </c>
      <c r="B1145" s="176">
        <v>2.3199999999999998</v>
      </c>
    </row>
    <row r="1146" spans="1:2" x14ac:dyDescent="0.2">
      <c r="A1146" s="175">
        <v>39787</v>
      </c>
      <c r="B1146" s="176">
        <v>2.4</v>
      </c>
    </row>
    <row r="1147" spans="1:2" x14ac:dyDescent="0.2">
      <c r="A1147" s="175">
        <v>39790</v>
      </c>
      <c r="B1147" s="176">
        <v>2.48</v>
      </c>
    </row>
    <row r="1148" spans="1:2" x14ac:dyDescent="0.2">
      <c r="A1148" s="175">
        <v>39791</v>
      </c>
      <c r="B1148" s="176">
        <v>2.4500000000000002</v>
      </c>
    </row>
    <row r="1149" spans="1:2" x14ac:dyDescent="0.2">
      <c r="A1149" s="175">
        <v>39792</v>
      </c>
      <c r="B1149" s="176">
        <v>2.4300000000000002</v>
      </c>
    </row>
    <row r="1150" spans="1:2" x14ac:dyDescent="0.2">
      <c r="A1150" s="175">
        <v>39793</v>
      </c>
      <c r="B1150" s="176">
        <v>2.4</v>
      </c>
    </row>
    <row r="1151" spans="1:2" x14ac:dyDescent="0.2">
      <c r="A1151" s="175">
        <v>39794</v>
      </c>
      <c r="B1151" s="176">
        <v>2.44</v>
      </c>
    </row>
    <row r="1152" spans="1:2" x14ac:dyDescent="0.2">
      <c r="A1152" s="175">
        <v>39797</v>
      </c>
      <c r="B1152" s="176">
        <v>2.4900000000000002</v>
      </c>
    </row>
    <row r="1153" spans="1:2" x14ac:dyDescent="0.2">
      <c r="A1153" s="175">
        <v>39798</v>
      </c>
      <c r="B1153" s="176">
        <v>2.2599999999999998</v>
      </c>
    </row>
    <row r="1154" spans="1:2" x14ac:dyDescent="0.2">
      <c r="A1154" s="175">
        <v>39799</v>
      </c>
      <c r="B1154" s="176">
        <v>2.04</v>
      </c>
    </row>
    <row r="1155" spans="1:2" x14ac:dyDescent="0.2">
      <c r="A1155" s="175">
        <v>39800</v>
      </c>
      <c r="B1155" s="176">
        <v>1.99</v>
      </c>
    </row>
    <row r="1156" spans="1:2" x14ac:dyDescent="0.2">
      <c r="A1156" s="175">
        <v>39801</v>
      </c>
      <c r="B1156" s="176">
        <v>2.0499999999999998</v>
      </c>
    </row>
    <row r="1157" spans="1:2" x14ac:dyDescent="0.2">
      <c r="A1157" s="175">
        <v>39804</v>
      </c>
      <c r="B1157" s="176">
        <v>2.12</v>
      </c>
    </row>
    <row r="1158" spans="1:2" x14ac:dyDescent="0.2">
      <c r="A1158" s="175">
        <v>39805</v>
      </c>
      <c r="B1158" s="176">
        <v>2.17</v>
      </c>
    </row>
    <row r="1159" spans="1:2" x14ac:dyDescent="0.2">
      <c r="A1159" s="175">
        <v>39806</v>
      </c>
      <c r="B1159" s="176">
        <v>2.19</v>
      </c>
    </row>
    <row r="1160" spans="1:2" x14ac:dyDescent="0.2">
      <c r="A1160" s="175">
        <v>39807</v>
      </c>
      <c r="B1160" s="176" t="e">
        <f>NA()</f>
        <v>#N/A</v>
      </c>
    </row>
    <row r="1161" spans="1:2" x14ac:dyDescent="0.2">
      <c r="A1161" s="175">
        <v>39808</v>
      </c>
      <c r="B1161" s="176">
        <v>2.17</v>
      </c>
    </row>
    <row r="1162" spans="1:2" x14ac:dyDescent="0.2">
      <c r="A1162" s="175">
        <v>39811</v>
      </c>
      <c r="B1162" s="176">
        <v>2.21</v>
      </c>
    </row>
    <row r="1163" spans="1:2" x14ac:dyDescent="0.2">
      <c r="A1163" s="175">
        <v>39812</v>
      </c>
      <c r="B1163" s="176">
        <v>2.2000000000000002</v>
      </c>
    </row>
    <row r="1164" spans="1:2" x14ac:dyDescent="0.2">
      <c r="A1164" s="175">
        <v>39813</v>
      </c>
      <c r="B1164" s="177">
        <v>2.36</v>
      </c>
    </row>
    <row r="1165" spans="1:2" x14ac:dyDescent="0.2">
      <c r="A1165" s="175">
        <v>39814</v>
      </c>
      <c r="B1165" s="176" t="e">
        <f>NA()</f>
        <v>#N/A</v>
      </c>
    </row>
    <row r="1166" spans="1:2" x14ac:dyDescent="0.2">
      <c r="A1166" s="175">
        <v>39815</v>
      </c>
      <c r="B1166" s="176">
        <v>2.5099999999999998</v>
      </c>
    </row>
    <row r="1167" spans="1:2" x14ac:dyDescent="0.2">
      <c r="A1167" s="175">
        <v>39818</v>
      </c>
      <c r="B1167" s="176">
        <v>2.64</v>
      </c>
    </row>
    <row r="1168" spans="1:2" x14ac:dyDescent="0.2">
      <c r="A1168" s="175">
        <v>39819</v>
      </c>
      <c r="B1168" s="176">
        <v>2.65</v>
      </c>
    </row>
    <row r="1169" spans="1:2" x14ac:dyDescent="0.2">
      <c r="A1169" s="175">
        <v>39820</v>
      </c>
      <c r="B1169" s="177">
        <v>2.64</v>
      </c>
    </row>
    <row r="1170" spans="1:2" x14ac:dyDescent="0.2">
      <c r="A1170" s="175">
        <v>39821</v>
      </c>
      <c r="B1170" s="176">
        <v>2.52</v>
      </c>
    </row>
    <row r="1171" spans="1:2" x14ac:dyDescent="0.2">
      <c r="A1171" s="175">
        <v>39822</v>
      </c>
      <c r="B1171" s="176">
        <v>2.4</v>
      </c>
    </row>
    <row r="1172" spans="1:2" x14ac:dyDescent="0.2">
      <c r="A1172" s="175">
        <v>39825</v>
      </c>
      <c r="B1172" s="176">
        <v>2.29</v>
      </c>
    </row>
    <row r="1173" spans="1:2" x14ac:dyDescent="0.2">
      <c r="A1173" s="175">
        <v>39826</v>
      </c>
      <c r="B1173" s="176">
        <v>2.25</v>
      </c>
    </row>
    <row r="1174" spans="1:2" x14ac:dyDescent="0.2">
      <c r="A1174" s="175">
        <v>39827</v>
      </c>
      <c r="B1174" s="176">
        <v>2.2599999999999998</v>
      </c>
    </row>
    <row r="1175" spans="1:2" x14ac:dyDescent="0.2">
      <c r="A1175" s="175">
        <v>39828</v>
      </c>
      <c r="B1175" s="176">
        <v>2.33</v>
      </c>
    </row>
    <row r="1176" spans="1:2" x14ac:dyDescent="0.2">
      <c r="A1176" s="175">
        <v>39829</v>
      </c>
      <c r="B1176" s="176">
        <v>2.3199999999999998</v>
      </c>
    </row>
    <row r="1177" spans="1:2" x14ac:dyDescent="0.2">
      <c r="A1177" s="175">
        <v>39832</v>
      </c>
      <c r="B1177" s="176" t="e">
        <f>NA()</f>
        <v>#N/A</v>
      </c>
    </row>
    <row r="1178" spans="1:2" x14ac:dyDescent="0.2">
      <c r="A1178" s="175">
        <v>39833</v>
      </c>
      <c r="B1178" s="176">
        <v>2.35</v>
      </c>
    </row>
    <row r="1179" spans="1:2" x14ac:dyDescent="0.2">
      <c r="A1179" s="175">
        <v>39834</v>
      </c>
      <c r="B1179" s="176">
        <v>2.65</v>
      </c>
    </row>
    <row r="1180" spans="1:2" x14ac:dyDescent="0.2">
      <c r="A1180" s="175">
        <v>39835</v>
      </c>
      <c r="B1180" s="176">
        <v>2.6</v>
      </c>
    </row>
    <row r="1181" spans="1:2" x14ac:dyDescent="0.2">
      <c r="A1181" s="175">
        <v>39836</v>
      </c>
      <c r="B1181" s="177">
        <v>2.57</v>
      </c>
    </row>
    <row r="1182" spans="1:2" x14ac:dyDescent="0.2">
      <c r="A1182" s="175">
        <v>39839</v>
      </c>
      <c r="B1182" s="176">
        <v>2.4700000000000002</v>
      </c>
    </row>
    <row r="1183" spans="1:2" x14ac:dyDescent="0.2">
      <c r="A1183" s="175">
        <v>39840</v>
      </c>
      <c r="B1183" s="176">
        <v>2.33</v>
      </c>
    </row>
    <row r="1184" spans="1:2" x14ac:dyDescent="0.2">
      <c r="A1184" s="175">
        <v>39841</v>
      </c>
      <c r="B1184" s="176">
        <v>2.46</v>
      </c>
    </row>
    <row r="1185" spans="1:2" x14ac:dyDescent="0.2">
      <c r="A1185" s="175">
        <v>39842</v>
      </c>
      <c r="B1185" s="176">
        <v>2.48</v>
      </c>
    </row>
    <row r="1186" spans="1:2" x14ac:dyDescent="0.2">
      <c r="A1186" s="175">
        <v>39843</v>
      </c>
      <c r="B1186" s="176">
        <v>2.4300000000000002</v>
      </c>
    </row>
    <row r="1187" spans="1:2" x14ac:dyDescent="0.2">
      <c r="A1187" s="175">
        <v>39846</v>
      </c>
      <c r="B1187" s="176">
        <v>2.34</v>
      </c>
    </row>
    <row r="1188" spans="1:2" x14ac:dyDescent="0.2">
      <c r="A1188" s="175">
        <v>39847</v>
      </c>
      <c r="B1188" s="176">
        <v>2.42</v>
      </c>
    </row>
    <row r="1189" spans="1:2" x14ac:dyDescent="0.2">
      <c r="A1189" s="175">
        <v>39848</v>
      </c>
      <c r="B1189" s="176">
        <v>2.4</v>
      </c>
    </row>
    <row r="1190" spans="1:2" x14ac:dyDescent="0.2">
      <c r="A1190" s="175">
        <v>39849</v>
      </c>
      <c r="B1190" s="176">
        <v>2.41</v>
      </c>
    </row>
    <row r="1191" spans="1:2" x14ac:dyDescent="0.2">
      <c r="A1191" s="175">
        <v>39850</v>
      </c>
      <c r="B1191" s="176">
        <v>2.41</v>
      </c>
    </row>
    <row r="1192" spans="1:2" x14ac:dyDescent="0.2">
      <c r="A1192" s="175">
        <v>39853</v>
      </c>
      <c r="B1192" s="176">
        <v>2.27</v>
      </c>
    </row>
    <row r="1193" spans="1:2" x14ac:dyDescent="0.2">
      <c r="A1193" s="175">
        <v>39854</v>
      </c>
      <c r="B1193" s="176">
        <v>2.2200000000000002</v>
      </c>
    </row>
    <row r="1194" spans="1:2" x14ac:dyDescent="0.2">
      <c r="A1194" s="175">
        <v>39855</v>
      </c>
      <c r="B1194" s="176">
        <v>2.21</v>
      </c>
    </row>
    <row r="1195" spans="1:2" x14ac:dyDescent="0.2">
      <c r="A1195" s="175">
        <v>39856</v>
      </c>
      <c r="B1195" s="176">
        <v>2.21</v>
      </c>
    </row>
    <row r="1196" spans="1:2" x14ac:dyDescent="0.2">
      <c r="A1196" s="175">
        <v>39857</v>
      </c>
      <c r="B1196" s="176">
        <v>2.33</v>
      </c>
    </row>
    <row r="1197" spans="1:2" x14ac:dyDescent="0.2">
      <c r="A1197" s="175">
        <v>39860</v>
      </c>
      <c r="B1197" s="176" t="e">
        <f>NA()</f>
        <v>#N/A</v>
      </c>
    </row>
    <row r="1198" spans="1:2" x14ac:dyDescent="0.2">
      <c r="A1198" s="175">
        <v>39861</v>
      </c>
      <c r="B1198" s="176">
        <v>2.19</v>
      </c>
    </row>
    <row r="1199" spans="1:2" x14ac:dyDescent="0.2">
      <c r="A1199" s="175">
        <v>39862</v>
      </c>
      <c r="B1199" s="176">
        <v>2.2400000000000002</v>
      </c>
    </row>
    <row r="1200" spans="1:2" x14ac:dyDescent="0.2">
      <c r="A1200" s="175">
        <v>39863</v>
      </c>
      <c r="B1200" s="176">
        <v>2.29</v>
      </c>
    </row>
    <row r="1201" spans="1:2" x14ac:dyDescent="0.2">
      <c r="A1201" s="175">
        <v>39864</v>
      </c>
      <c r="B1201" s="177">
        <v>2.23</v>
      </c>
    </row>
    <row r="1202" spans="1:2" x14ac:dyDescent="0.2">
      <c r="A1202" s="175">
        <v>39867</v>
      </c>
      <c r="B1202" s="176">
        <v>2.2200000000000002</v>
      </c>
    </row>
    <row r="1203" spans="1:2" x14ac:dyDescent="0.2">
      <c r="A1203" s="175">
        <v>39868</v>
      </c>
      <c r="B1203" s="176">
        <v>2.21</v>
      </c>
    </row>
    <row r="1204" spans="1:2" x14ac:dyDescent="0.2">
      <c r="A1204" s="175">
        <v>39869</v>
      </c>
      <c r="B1204" s="176">
        <v>2.34</v>
      </c>
    </row>
    <row r="1205" spans="1:2" x14ac:dyDescent="0.2">
      <c r="A1205" s="175">
        <v>39870</v>
      </c>
      <c r="B1205" s="176">
        <v>2.4500000000000002</v>
      </c>
    </row>
    <row r="1206" spans="1:2" x14ac:dyDescent="0.2">
      <c r="A1206" s="175">
        <v>39871</v>
      </c>
      <c r="B1206" s="176">
        <v>2.5299999999999998</v>
      </c>
    </row>
    <row r="1207" spans="1:2" x14ac:dyDescent="0.2">
      <c r="A1207" s="175">
        <v>39874</v>
      </c>
      <c r="B1207" s="176">
        <v>2.48</v>
      </c>
    </row>
    <row r="1208" spans="1:2" x14ac:dyDescent="0.2">
      <c r="A1208" s="175">
        <v>39875</v>
      </c>
      <c r="B1208" s="176">
        <v>2.4900000000000002</v>
      </c>
    </row>
    <row r="1209" spans="1:2" x14ac:dyDescent="0.2">
      <c r="A1209" s="175">
        <v>39876</v>
      </c>
      <c r="B1209" s="176">
        <v>2.52</v>
      </c>
    </row>
    <row r="1210" spans="1:2" x14ac:dyDescent="0.2">
      <c r="A1210" s="175">
        <v>39877</v>
      </c>
      <c r="B1210" s="176">
        <v>2.42</v>
      </c>
    </row>
    <row r="1211" spans="1:2" x14ac:dyDescent="0.2">
      <c r="A1211" s="175">
        <v>39878</v>
      </c>
      <c r="B1211" s="176">
        <v>2.4500000000000002</v>
      </c>
    </row>
    <row r="1212" spans="1:2" x14ac:dyDescent="0.2">
      <c r="A1212" s="175">
        <v>39881</v>
      </c>
      <c r="B1212" s="176">
        <v>2.5299999999999998</v>
      </c>
    </row>
    <row r="1213" spans="1:2" x14ac:dyDescent="0.2">
      <c r="A1213" s="175">
        <v>39882</v>
      </c>
      <c r="B1213" s="176">
        <v>2.59</v>
      </c>
    </row>
    <row r="1214" spans="1:2" x14ac:dyDescent="0.2">
      <c r="A1214" s="175">
        <v>39883</v>
      </c>
      <c r="B1214" s="176">
        <v>2.54</v>
      </c>
    </row>
    <row r="1215" spans="1:2" x14ac:dyDescent="0.2">
      <c r="A1215" s="175">
        <v>39884</v>
      </c>
      <c r="B1215" s="176">
        <v>2.39</v>
      </c>
    </row>
    <row r="1216" spans="1:2" x14ac:dyDescent="0.2">
      <c r="A1216" s="175">
        <v>39885</v>
      </c>
      <c r="B1216" s="176">
        <v>2.42</v>
      </c>
    </row>
    <row r="1217" spans="1:2" x14ac:dyDescent="0.2">
      <c r="A1217" s="175">
        <v>39888</v>
      </c>
      <c r="B1217" s="176">
        <v>2.44</v>
      </c>
    </row>
    <row r="1218" spans="1:2" x14ac:dyDescent="0.2">
      <c r="A1218" s="175">
        <v>39889</v>
      </c>
      <c r="B1218" s="176">
        <v>2.4700000000000002</v>
      </c>
    </row>
    <row r="1219" spans="1:2" x14ac:dyDescent="0.2">
      <c r="A1219" s="175">
        <v>39890</v>
      </c>
      <c r="B1219" s="176">
        <v>2.0299999999999998</v>
      </c>
    </row>
    <row r="1220" spans="1:2" x14ac:dyDescent="0.2">
      <c r="A1220" s="175">
        <v>39891</v>
      </c>
      <c r="B1220" s="176">
        <v>2.02</v>
      </c>
    </row>
    <row r="1221" spans="1:2" x14ac:dyDescent="0.2">
      <c r="A1221" s="175">
        <v>39892</v>
      </c>
      <c r="B1221" s="176">
        <v>2.08</v>
      </c>
    </row>
    <row r="1222" spans="1:2" x14ac:dyDescent="0.2">
      <c r="A1222" s="175">
        <v>39895</v>
      </c>
      <c r="B1222" s="176">
        <v>2.0699999999999998</v>
      </c>
    </row>
    <row r="1223" spans="1:2" x14ac:dyDescent="0.2">
      <c r="A1223" s="175">
        <v>39896</v>
      </c>
      <c r="B1223" s="176">
        <v>1.99</v>
      </c>
    </row>
    <row r="1224" spans="1:2" x14ac:dyDescent="0.2">
      <c r="A1224" s="175">
        <v>39897</v>
      </c>
      <c r="B1224" s="176">
        <v>2.0699999999999998</v>
      </c>
    </row>
    <row r="1225" spans="1:2" x14ac:dyDescent="0.2">
      <c r="A1225" s="175">
        <v>39898</v>
      </c>
      <c r="B1225" s="176">
        <v>1.95</v>
      </c>
    </row>
    <row r="1226" spans="1:2" x14ac:dyDescent="0.2">
      <c r="A1226" s="175">
        <v>39899</v>
      </c>
      <c r="B1226" s="176">
        <v>1.94</v>
      </c>
    </row>
    <row r="1227" spans="1:2" x14ac:dyDescent="0.2">
      <c r="A1227" s="175">
        <v>39902</v>
      </c>
      <c r="B1227" s="176">
        <v>1.92</v>
      </c>
    </row>
    <row r="1228" spans="1:2" x14ac:dyDescent="0.2">
      <c r="A1228" s="175">
        <v>39903</v>
      </c>
      <c r="B1228" s="176">
        <v>2.0099999999999998</v>
      </c>
    </row>
    <row r="1229" spans="1:2" x14ac:dyDescent="0.2">
      <c r="A1229" s="175">
        <v>39904</v>
      </c>
      <c r="B1229" s="176">
        <v>1.94</v>
      </c>
    </row>
    <row r="1230" spans="1:2" x14ac:dyDescent="0.2">
      <c r="A1230" s="175">
        <v>39905</v>
      </c>
      <c r="B1230" s="176">
        <v>2.0699999999999998</v>
      </c>
    </row>
    <row r="1231" spans="1:2" x14ac:dyDescent="0.2">
      <c r="A1231" s="175">
        <v>39906</v>
      </c>
      <c r="B1231" s="176">
        <v>2.19</v>
      </c>
    </row>
    <row r="1232" spans="1:2" x14ac:dyDescent="0.2">
      <c r="A1232" s="175">
        <v>39909</v>
      </c>
      <c r="B1232" s="176">
        <v>2.2200000000000002</v>
      </c>
    </row>
    <row r="1233" spans="1:2" x14ac:dyDescent="0.2">
      <c r="A1233" s="175">
        <v>39910</v>
      </c>
      <c r="B1233" s="176">
        <v>2.2200000000000002</v>
      </c>
    </row>
    <row r="1234" spans="1:2" x14ac:dyDescent="0.2">
      <c r="A1234" s="175">
        <v>39911</v>
      </c>
      <c r="B1234" s="176">
        <v>2.15</v>
      </c>
    </row>
    <row r="1235" spans="1:2" x14ac:dyDescent="0.2">
      <c r="A1235" s="175">
        <v>39912</v>
      </c>
      <c r="B1235" s="176">
        <v>2.21</v>
      </c>
    </row>
    <row r="1236" spans="1:2" x14ac:dyDescent="0.2">
      <c r="A1236" s="175">
        <v>39913</v>
      </c>
      <c r="B1236" s="176" t="e">
        <f>NA()</f>
        <v>#N/A</v>
      </c>
    </row>
    <row r="1237" spans="1:2" x14ac:dyDescent="0.2">
      <c r="A1237" s="175">
        <v>39916</v>
      </c>
      <c r="B1237" s="176">
        <v>2.16</v>
      </c>
    </row>
    <row r="1238" spans="1:2" x14ac:dyDescent="0.2">
      <c r="A1238" s="175">
        <v>39917</v>
      </c>
      <c r="B1238" s="176">
        <v>2.16</v>
      </c>
    </row>
    <row r="1239" spans="1:2" x14ac:dyDescent="0.2">
      <c r="A1239" s="175">
        <v>39918</v>
      </c>
      <c r="B1239" s="176">
        <v>2.17</v>
      </c>
    </row>
    <row r="1240" spans="1:2" x14ac:dyDescent="0.2">
      <c r="A1240" s="175">
        <v>39919</v>
      </c>
      <c r="B1240" s="177">
        <v>2.23</v>
      </c>
    </row>
    <row r="1241" spans="1:2" x14ac:dyDescent="0.2">
      <c r="A1241" s="175">
        <v>39920</v>
      </c>
      <c r="B1241" s="176">
        <v>2.33</v>
      </c>
    </row>
    <row r="1242" spans="1:2" x14ac:dyDescent="0.2">
      <c r="A1242" s="175">
        <v>39923</v>
      </c>
      <c r="B1242" s="176">
        <v>2.2999999999999998</v>
      </c>
    </row>
    <row r="1243" spans="1:2" x14ac:dyDescent="0.2">
      <c r="A1243" s="175">
        <v>39924</v>
      </c>
      <c r="B1243" s="176">
        <v>2.36</v>
      </c>
    </row>
    <row r="1244" spans="1:2" x14ac:dyDescent="0.2">
      <c r="A1244" s="175">
        <v>39925</v>
      </c>
      <c r="B1244" s="176">
        <v>2.36</v>
      </c>
    </row>
    <row r="1245" spans="1:2" x14ac:dyDescent="0.2">
      <c r="A1245" s="175">
        <v>39926</v>
      </c>
      <c r="B1245" s="176">
        <v>2.23</v>
      </c>
    </row>
    <row r="1246" spans="1:2" x14ac:dyDescent="0.2">
      <c r="A1246" s="175">
        <v>39927</v>
      </c>
      <c r="B1246" s="176">
        <v>2.2400000000000002</v>
      </c>
    </row>
    <row r="1247" spans="1:2" x14ac:dyDescent="0.2">
      <c r="A1247" s="175">
        <v>39930</v>
      </c>
      <c r="B1247" s="176">
        <v>2.1800000000000002</v>
      </c>
    </row>
    <row r="1248" spans="1:2" x14ac:dyDescent="0.2">
      <c r="A1248" s="175">
        <v>39931</v>
      </c>
      <c r="B1248" s="176">
        <v>2.2599999999999998</v>
      </c>
    </row>
    <row r="1249" spans="1:2" x14ac:dyDescent="0.2">
      <c r="A1249" s="175">
        <v>39932</v>
      </c>
      <c r="B1249" s="176">
        <v>2.2999999999999998</v>
      </c>
    </row>
    <row r="1250" spans="1:2" x14ac:dyDescent="0.2">
      <c r="A1250" s="175">
        <v>39933</v>
      </c>
      <c r="B1250" s="176">
        <v>2.41</v>
      </c>
    </row>
    <row r="1251" spans="1:2" x14ac:dyDescent="0.2">
      <c r="A1251" s="175">
        <v>39934</v>
      </c>
      <c r="B1251" s="176">
        <v>2.4900000000000002</v>
      </c>
    </row>
    <row r="1252" spans="1:2" x14ac:dyDescent="0.2">
      <c r="A1252" s="175">
        <v>39937</v>
      </c>
      <c r="B1252" s="176">
        <v>2.4900000000000002</v>
      </c>
    </row>
    <row r="1253" spans="1:2" x14ac:dyDescent="0.2">
      <c r="A1253" s="175">
        <v>39938</v>
      </c>
      <c r="B1253" s="176">
        <v>2.48</v>
      </c>
    </row>
    <row r="1254" spans="1:2" x14ac:dyDescent="0.2">
      <c r="A1254" s="175">
        <v>39939</v>
      </c>
      <c r="B1254" s="176">
        <v>2.4300000000000002</v>
      </c>
    </row>
    <row r="1255" spans="1:2" x14ac:dyDescent="0.2">
      <c r="A1255" s="175">
        <v>39940</v>
      </c>
      <c r="B1255" s="176">
        <v>2.4500000000000002</v>
      </c>
    </row>
    <row r="1256" spans="1:2" x14ac:dyDescent="0.2">
      <c r="A1256" s="175">
        <v>39941</v>
      </c>
      <c r="B1256" s="176">
        <v>2.46</v>
      </c>
    </row>
    <row r="1257" spans="1:2" x14ac:dyDescent="0.2">
      <c r="A1257" s="175">
        <v>39944</v>
      </c>
      <c r="B1257" s="176">
        <v>2.38</v>
      </c>
    </row>
    <row r="1258" spans="1:2" x14ac:dyDescent="0.2">
      <c r="A1258" s="175">
        <v>39945</v>
      </c>
      <c r="B1258" s="176">
        <v>2.36</v>
      </c>
    </row>
    <row r="1259" spans="1:2" x14ac:dyDescent="0.2">
      <c r="A1259" s="175">
        <v>39946</v>
      </c>
      <c r="B1259" s="176">
        <v>2.2999999999999998</v>
      </c>
    </row>
    <row r="1260" spans="1:2" x14ac:dyDescent="0.2">
      <c r="A1260" s="175">
        <v>39947</v>
      </c>
      <c r="B1260" s="176">
        <v>2.27</v>
      </c>
    </row>
    <row r="1261" spans="1:2" x14ac:dyDescent="0.2">
      <c r="A1261" s="175">
        <v>39948</v>
      </c>
      <c r="B1261" s="176">
        <v>2.2200000000000002</v>
      </c>
    </row>
    <row r="1262" spans="1:2" x14ac:dyDescent="0.2">
      <c r="A1262" s="175">
        <v>39951</v>
      </c>
      <c r="B1262" s="176">
        <v>2.2400000000000002</v>
      </c>
    </row>
    <row r="1263" spans="1:2" x14ac:dyDescent="0.2">
      <c r="A1263" s="175">
        <v>39952</v>
      </c>
      <c r="B1263" s="176">
        <v>2.2400000000000002</v>
      </c>
    </row>
    <row r="1264" spans="1:2" x14ac:dyDescent="0.2">
      <c r="A1264" s="175">
        <v>39953</v>
      </c>
      <c r="B1264" s="176">
        <v>2.19</v>
      </c>
    </row>
    <row r="1265" spans="1:2" x14ac:dyDescent="0.2">
      <c r="A1265" s="175">
        <v>39954</v>
      </c>
      <c r="B1265" s="176">
        <v>2.3199999999999998</v>
      </c>
    </row>
    <row r="1266" spans="1:2" x14ac:dyDescent="0.2">
      <c r="A1266" s="175">
        <v>39955</v>
      </c>
      <c r="B1266" s="176">
        <v>2.33</v>
      </c>
    </row>
    <row r="1267" spans="1:2" x14ac:dyDescent="0.2">
      <c r="A1267" s="175">
        <v>39958</v>
      </c>
      <c r="B1267" s="176" t="e">
        <f>NA()</f>
        <v>#N/A</v>
      </c>
    </row>
    <row r="1268" spans="1:2" x14ac:dyDescent="0.2">
      <c r="A1268" s="175">
        <v>39959</v>
      </c>
      <c r="B1268" s="176">
        <v>2.35</v>
      </c>
    </row>
    <row r="1269" spans="1:2" x14ac:dyDescent="0.2">
      <c r="A1269" s="175">
        <v>39960</v>
      </c>
      <c r="B1269" s="176">
        <v>2.42</v>
      </c>
    </row>
    <row r="1270" spans="1:2" x14ac:dyDescent="0.2">
      <c r="A1270" s="175">
        <v>39961</v>
      </c>
      <c r="B1270" s="176">
        <v>2.42</v>
      </c>
    </row>
    <row r="1271" spans="1:2" x14ac:dyDescent="0.2">
      <c r="A1271" s="175">
        <v>39962</v>
      </c>
      <c r="B1271" s="177">
        <v>2.2599999999999998</v>
      </c>
    </row>
    <row r="1272" spans="1:2" x14ac:dyDescent="0.2">
      <c r="A1272" s="175">
        <v>39965</v>
      </c>
      <c r="B1272" s="176">
        <v>2.39</v>
      </c>
    </row>
    <row r="1273" spans="1:2" x14ac:dyDescent="0.2">
      <c r="A1273" s="175">
        <v>39966</v>
      </c>
      <c r="B1273" s="176">
        <v>2.2799999999999998</v>
      </c>
    </row>
    <row r="1274" spans="1:2" x14ac:dyDescent="0.2">
      <c r="A1274" s="175">
        <v>39967</v>
      </c>
      <c r="B1274" s="176">
        <v>2.3199999999999998</v>
      </c>
    </row>
    <row r="1275" spans="1:2" x14ac:dyDescent="0.2">
      <c r="A1275" s="175">
        <v>39968</v>
      </c>
      <c r="B1275" s="176">
        <v>2.44</v>
      </c>
    </row>
    <row r="1276" spans="1:2" x14ac:dyDescent="0.2">
      <c r="A1276" s="175">
        <v>39969</v>
      </c>
      <c r="B1276" s="176">
        <v>2.4500000000000002</v>
      </c>
    </row>
    <row r="1277" spans="1:2" x14ac:dyDescent="0.2">
      <c r="A1277" s="175">
        <v>39972</v>
      </c>
      <c r="B1277" s="176">
        <v>2.4700000000000002</v>
      </c>
    </row>
    <row r="1278" spans="1:2" x14ac:dyDescent="0.2">
      <c r="A1278" s="175">
        <v>39973</v>
      </c>
      <c r="B1278" s="176">
        <v>2.44</v>
      </c>
    </row>
    <row r="1279" spans="1:2" x14ac:dyDescent="0.2">
      <c r="A1279" s="175">
        <v>39974</v>
      </c>
      <c r="B1279" s="176">
        <v>2.44</v>
      </c>
    </row>
    <row r="1280" spans="1:2" x14ac:dyDescent="0.2">
      <c r="A1280" s="175">
        <v>39975</v>
      </c>
      <c r="B1280" s="176">
        <v>2.42</v>
      </c>
    </row>
    <row r="1281" spans="1:2" x14ac:dyDescent="0.2">
      <c r="A1281" s="175">
        <v>39976</v>
      </c>
      <c r="B1281" s="176">
        <v>2.44</v>
      </c>
    </row>
    <row r="1282" spans="1:2" x14ac:dyDescent="0.2">
      <c r="A1282" s="175">
        <v>39979</v>
      </c>
      <c r="B1282" s="176">
        <v>2.44</v>
      </c>
    </row>
    <row r="1283" spans="1:2" x14ac:dyDescent="0.2">
      <c r="A1283" s="175">
        <v>39980</v>
      </c>
      <c r="B1283" s="176">
        <v>2.4</v>
      </c>
    </row>
    <row r="1284" spans="1:2" x14ac:dyDescent="0.2">
      <c r="A1284" s="175">
        <v>39981</v>
      </c>
      <c r="B1284" s="176">
        <v>2.46</v>
      </c>
    </row>
    <row r="1285" spans="1:2" x14ac:dyDescent="0.2">
      <c r="A1285" s="175">
        <v>39982</v>
      </c>
      <c r="B1285" s="176">
        <v>2.5</v>
      </c>
    </row>
    <row r="1286" spans="1:2" x14ac:dyDescent="0.2">
      <c r="A1286" s="175">
        <v>39983</v>
      </c>
      <c r="B1286" s="176">
        <v>2.41</v>
      </c>
    </row>
    <row r="1287" spans="1:2" x14ac:dyDescent="0.2">
      <c r="A1287" s="175">
        <v>39986</v>
      </c>
      <c r="B1287" s="176">
        <v>2.34</v>
      </c>
    </row>
    <row r="1288" spans="1:2" x14ac:dyDescent="0.2">
      <c r="A1288" s="175">
        <v>39987</v>
      </c>
      <c r="B1288" s="176">
        <v>2.25</v>
      </c>
    </row>
    <row r="1289" spans="1:2" x14ac:dyDescent="0.2">
      <c r="A1289" s="175">
        <v>39988</v>
      </c>
      <c r="B1289" s="176">
        <v>2.2799999999999998</v>
      </c>
    </row>
    <row r="1290" spans="1:2" x14ac:dyDescent="0.2">
      <c r="A1290" s="175">
        <v>39989</v>
      </c>
      <c r="B1290" s="176">
        <v>2.23</v>
      </c>
    </row>
    <row r="1291" spans="1:2" x14ac:dyDescent="0.2">
      <c r="A1291" s="175">
        <v>39990</v>
      </c>
      <c r="B1291" s="176">
        <v>2.21</v>
      </c>
    </row>
    <row r="1292" spans="1:2" x14ac:dyDescent="0.2">
      <c r="A1292" s="175">
        <v>39993</v>
      </c>
      <c r="B1292" s="176">
        <v>2.19</v>
      </c>
    </row>
    <row r="1293" spans="1:2" x14ac:dyDescent="0.2">
      <c r="A1293" s="175">
        <v>39994</v>
      </c>
      <c r="B1293" s="176">
        <v>2.12</v>
      </c>
    </row>
    <row r="1294" spans="1:2" x14ac:dyDescent="0.2">
      <c r="A1294" s="175">
        <v>39995</v>
      </c>
      <c r="B1294" s="176">
        <v>2.16</v>
      </c>
    </row>
    <row r="1295" spans="1:2" x14ac:dyDescent="0.2">
      <c r="A1295" s="175">
        <v>39996</v>
      </c>
      <c r="B1295" s="176">
        <v>2.21</v>
      </c>
    </row>
    <row r="1296" spans="1:2" x14ac:dyDescent="0.2">
      <c r="A1296" s="175">
        <v>39997</v>
      </c>
      <c r="B1296" s="176" t="e">
        <f>NA()</f>
        <v>#N/A</v>
      </c>
    </row>
    <row r="1297" spans="1:2" x14ac:dyDescent="0.2">
      <c r="A1297" s="175">
        <v>40000</v>
      </c>
      <c r="B1297" s="176">
        <v>2.25</v>
      </c>
    </row>
    <row r="1298" spans="1:2" x14ac:dyDescent="0.2">
      <c r="A1298" s="175">
        <v>40001</v>
      </c>
      <c r="B1298" s="176">
        <v>2.23</v>
      </c>
    </row>
    <row r="1299" spans="1:2" x14ac:dyDescent="0.2">
      <c r="A1299" s="175">
        <v>40002</v>
      </c>
      <c r="B1299" s="176">
        <v>2.21</v>
      </c>
    </row>
    <row r="1300" spans="1:2" x14ac:dyDescent="0.2">
      <c r="A1300" s="175">
        <v>40003</v>
      </c>
      <c r="B1300" s="177">
        <v>2.35</v>
      </c>
    </row>
    <row r="1301" spans="1:2" x14ac:dyDescent="0.2">
      <c r="A1301" s="175">
        <v>40004</v>
      </c>
      <c r="B1301" s="176">
        <v>2.2999999999999998</v>
      </c>
    </row>
    <row r="1302" spans="1:2" x14ac:dyDescent="0.2">
      <c r="A1302" s="175">
        <v>40007</v>
      </c>
      <c r="B1302" s="176">
        <v>2.36</v>
      </c>
    </row>
    <row r="1303" spans="1:2" x14ac:dyDescent="0.2">
      <c r="A1303" s="175">
        <v>40008</v>
      </c>
      <c r="B1303" s="176">
        <v>2.39</v>
      </c>
    </row>
    <row r="1304" spans="1:2" x14ac:dyDescent="0.2">
      <c r="A1304" s="175">
        <v>40009</v>
      </c>
      <c r="B1304" s="176">
        <v>2.39</v>
      </c>
    </row>
    <row r="1305" spans="1:2" x14ac:dyDescent="0.2">
      <c r="A1305" s="175">
        <v>40010</v>
      </c>
      <c r="B1305" s="176">
        <v>2.34</v>
      </c>
    </row>
    <row r="1306" spans="1:2" x14ac:dyDescent="0.2">
      <c r="A1306" s="175">
        <v>40011</v>
      </c>
      <c r="B1306" s="176">
        <v>2.35</v>
      </c>
    </row>
    <row r="1307" spans="1:2" x14ac:dyDescent="0.2">
      <c r="A1307" s="175">
        <v>40014</v>
      </c>
      <c r="B1307" s="176">
        <v>2.27</v>
      </c>
    </row>
    <row r="1308" spans="1:2" x14ac:dyDescent="0.2">
      <c r="A1308" s="175">
        <v>40015</v>
      </c>
      <c r="B1308" s="176">
        <v>2.2599999999999998</v>
      </c>
    </row>
    <row r="1309" spans="1:2" x14ac:dyDescent="0.2">
      <c r="A1309" s="175">
        <v>40016</v>
      </c>
      <c r="B1309" s="176">
        <v>2.3199999999999998</v>
      </c>
    </row>
    <row r="1310" spans="1:2" x14ac:dyDescent="0.2">
      <c r="A1310" s="175">
        <v>40017</v>
      </c>
      <c r="B1310" s="176">
        <v>2.36</v>
      </c>
    </row>
    <row r="1311" spans="1:2" x14ac:dyDescent="0.2">
      <c r="A1311" s="175">
        <v>40018</v>
      </c>
      <c r="B1311" s="176">
        <v>2.36</v>
      </c>
    </row>
    <row r="1312" spans="1:2" x14ac:dyDescent="0.2">
      <c r="A1312" s="175">
        <v>40021</v>
      </c>
      <c r="B1312" s="176">
        <v>2.38</v>
      </c>
    </row>
    <row r="1313" spans="1:2" x14ac:dyDescent="0.2">
      <c r="A1313" s="175">
        <v>40022</v>
      </c>
      <c r="B1313" s="176">
        <v>2.37</v>
      </c>
    </row>
    <row r="1314" spans="1:2" x14ac:dyDescent="0.2">
      <c r="A1314" s="175">
        <v>40023</v>
      </c>
      <c r="B1314" s="176">
        <v>2.34</v>
      </c>
    </row>
    <row r="1315" spans="1:2" x14ac:dyDescent="0.2">
      <c r="A1315" s="175">
        <v>40024</v>
      </c>
      <c r="B1315" s="176">
        <v>2.2799999999999998</v>
      </c>
    </row>
    <row r="1316" spans="1:2" x14ac:dyDescent="0.2">
      <c r="A1316" s="175">
        <v>40025</v>
      </c>
      <c r="B1316" s="176">
        <v>2.23</v>
      </c>
    </row>
    <row r="1317" spans="1:2" x14ac:dyDescent="0.2">
      <c r="A1317" s="175">
        <v>40028</v>
      </c>
      <c r="B1317" s="176">
        <v>2.31</v>
      </c>
    </row>
    <row r="1318" spans="1:2" x14ac:dyDescent="0.2">
      <c r="A1318" s="175">
        <v>40029</v>
      </c>
      <c r="B1318" s="176">
        <v>2.36</v>
      </c>
    </row>
    <row r="1319" spans="1:2" x14ac:dyDescent="0.2">
      <c r="A1319" s="175">
        <v>40030</v>
      </c>
      <c r="B1319" s="176">
        <v>2.35</v>
      </c>
    </row>
    <row r="1320" spans="1:2" x14ac:dyDescent="0.2">
      <c r="A1320" s="175">
        <v>40031</v>
      </c>
      <c r="B1320" s="176">
        <v>2.36</v>
      </c>
    </row>
    <row r="1321" spans="1:2" x14ac:dyDescent="0.2">
      <c r="A1321" s="175">
        <v>40032</v>
      </c>
      <c r="B1321" s="176">
        <v>2.34</v>
      </c>
    </row>
    <row r="1322" spans="1:2" x14ac:dyDescent="0.2">
      <c r="A1322" s="175">
        <v>40035</v>
      </c>
      <c r="B1322" s="176">
        <v>2.29</v>
      </c>
    </row>
    <row r="1323" spans="1:2" x14ac:dyDescent="0.2">
      <c r="A1323" s="175">
        <v>40036</v>
      </c>
      <c r="B1323" s="176">
        <v>2.2400000000000002</v>
      </c>
    </row>
    <row r="1324" spans="1:2" x14ac:dyDescent="0.2">
      <c r="A1324" s="175">
        <v>40037</v>
      </c>
      <c r="B1324" s="176">
        <v>2.3199999999999998</v>
      </c>
    </row>
    <row r="1325" spans="1:2" x14ac:dyDescent="0.2">
      <c r="A1325" s="175">
        <v>40038</v>
      </c>
      <c r="B1325" s="176">
        <v>2.2400000000000002</v>
      </c>
    </row>
    <row r="1326" spans="1:2" x14ac:dyDescent="0.2">
      <c r="A1326" s="175">
        <v>40039</v>
      </c>
      <c r="B1326" s="176">
        <v>2.2599999999999998</v>
      </c>
    </row>
    <row r="1327" spans="1:2" x14ac:dyDescent="0.2">
      <c r="A1327" s="175">
        <v>40042</v>
      </c>
      <c r="B1327" s="176">
        <v>2.2000000000000002</v>
      </c>
    </row>
    <row r="1328" spans="1:2" x14ac:dyDescent="0.2">
      <c r="A1328" s="175">
        <v>40043</v>
      </c>
      <c r="B1328" s="176">
        <v>2.17</v>
      </c>
    </row>
    <row r="1329" spans="1:2" x14ac:dyDescent="0.2">
      <c r="A1329" s="175">
        <v>40044</v>
      </c>
      <c r="B1329" s="176">
        <v>2.12</v>
      </c>
    </row>
    <row r="1330" spans="1:2" x14ac:dyDescent="0.2">
      <c r="A1330" s="175">
        <v>40045</v>
      </c>
      <c r="B1330" s="176">
        <v>2.0699999999999998</v>
      </c>
    </row>
    <row r="1331" spans="1:2" x14ac:dyDescent="0.2">
      <c r="A1331" s="175">
        <v>40046</v>
      </c>
      <c r="B1331" s="176">
        <v>2.17</v>
      </c>
    </row>
    <row r="1332" spans="1:2" x14ac:dyDescent="0.2">
      <c r="A1332" s="175">
        <v>40049</v>
      </c>
      <c r="B1332" s="176">
        <v>2.12</v>
      </c>
    </row>
    <row r="1333" spans="1:2" x14ac:dyDescent="0.2">
      <c r="A1333" s="175">
        <v>40050</v>
      </c>
      <c r="B1333" s="176">
        <v>2.12</v>
      </c>
    </row>
    <row r="1334" spans="1:2" x14ac:dyDescent="0.2">
      <c r="A1334" s="175">
        <v>40051</v>
      </c>
      <c r="B1334" s="176">
        <v>2.1</v>
      </c>
    </row>
    <row r="1335" spans="1:2" x14ac:dyDescent="0.2">
      <c r="A1335" s="175">
        <v>40052</v>
      </c>
      <c r="B1335" s="176">
        <v>2.14</v>
      </c>
    </row>
    <row r="1336" spans="1:2" x14ac:dyDescent="0.2">
      <c r="A1336" s="175">
        <v>40053</v>
      </c>
      <c r="B1336" s="176">
        <v>2.17</v>
      </c>
    </row>
    <row r="1337" spans="1:2" x14ac:dyDescent="0.2">
      <c r="A1337" s="175">
        <v>40056</v>
      </c>
      <c r="B1337" s="176">
        <v>2.21</v>
      </c>
    </row>
    <row r="1338" spans="1:2" x14ac:dyDescent="0.2">
      <c r="A1338" s="175">
        <v>40057</v>
      </c>
      <c r="B1338" s="176">
        <v>2.21</v>
      </c>
    </row>
    <row r="1339" spans="1:2" x14ac:dyDescent="0.2">
      <c r="A1339" s="175">
        <v>40058</v>
      </c>
      <c r="B1339" s="176">
        <v>2.17</v>
      </c>
    </row>
    <row r="1340" spans="1:2" x14ac:dyDescent="0.2">
      <c r="A1340" s="175">
        <v>40059</v>
      </c>
      <c r="B1340" s="176">
        <v>2.17</v>
      </c>
    </row>
    <row r="1341" spans="1:2" x14ac:dyDescent="0.2">
      <c r="A1341" s="175">
        <v>40060</v>
      </c>
      <c r="B1341" s="176">
        <v>2.2000000000000002</v>
      </c>
    </row>
    <row r="1342" spans="1:2" x14ac:dyDescent="0.2">
      <c r="A1342" s="175">
        <v>40063</v>
      </c>
      <c r="B1342" s="176" t="e">
        <f>NA()</f>
        <v>#N/A</v>
      </c>
    </row>
    <row r="1343" spans="1:2" x14ac:dyDescent="0.2">
      <c r="A1343" s="175">
        <v>40064</v>
      </c>
      <c r="B1343" s="176">
        <v>2.19</v>
      </c>
    </row>
    <row r="1344" spans="1:2" x14ac:dyDescent="0.2">
      <c r="A1344" s="175">
        <v>40065</v>
      </c>
      <c r="B1344" s="176">
        <v>2.19</v>
      </c>
    </row>
    <row r="1345" spans="1:2" x14ac:dyDescent="0.2">
      <c r="A1345" s="175">
        <v>40066</v>
      </c>
      <c r="B1345" s="176">
        <v>2.12</v>
      </c>
    </row>
    <row r="1346" spans="1:2" x14ac:dyDescent="0.2">
      <c r="A1346" s="175">
        <v>40067</v>
      </c>
      <c r="B1346" s="177">
        <v>2.11</v>
      </c>
    </row>
    <row r="1347" spans="1:2" x14ac:dyDescent="0.2">
      <c r="A1347" s="175">
        <v>40070</v>
      </c>
      <c r="B1347" s="176">
        <v>2.14</v>
      </c>
    </row>
    <row r="1348" spans="1:2" x14ac:dyDescent="0.2">
      <c r="A1348" s="175">
        <v>40071</v>
      </c>
      <c r="B1348" s="176">
        <v>2.16</v>
      </c>
    </row>
    <row r="1349" spans="1:2" x14ac:dyDescent="0.2">
      <c r="A1349" s="175">
        <v>40072</v>
      </c>
      <c r="B1349" s="176">
        <v>2.13</v>
      </c>
    </row>
    <row r="1350" spans="1:2" x14ac:dyDescent="0.2">
      <c r="A1350" s="175">
        <v>40073</v>
      </c>
      <c r="B1350" s="176">
        <v>2.13</v>
      </c>
    </row>
    <row r="1351" spans="1:2" x14ac:dyDescent="0.2">
      <c r="A1351" s="175">
        <v>40074</v>
      </c>
      <c r="B1351" s="176">
        <v>2.16</v>
      </c>
    </row>
    <row r="1352" spans="1:2" x14ac:dyDescent="0.2">
      <c r="A1352" s="175">
        <v>40077</v>
      </c>
      <c r="B1352" s="176">
        <v>2.14</v>
      </c>
    </row>
    <row r="1353" spans="1:2" x14ac:dyDescent="0.2">
      <c r="A1353" s="175">
        <v>40078</v>
      </c>
      <c r="B1353" s="176">
        <v>2.11</v>
      </c>
    </row>
    <row r="1354" spans="1:2" x14ac:dyDescent="0.2">
      <c r="A1354" s="175">
        <v>40079</v>
      </c>
      <c r="B1354" s="176">
        <v>2.11</v>
      </c>
    </row>
    <row r="1355" spans="1:2" x14ac:dyDescent="0.2">
      <c r="A1355" s="175">
        <v>40080</v>
      </c>
      <c r="B1355" s="176">
        <v>2.1</v>
      </c>
    </row>
    <row r="1356" spans="1:2" x14ac:dyDescent="0.2">
      <c r="A1356" s="175">
        <v>40081</v>
      </c>
      <c r="B1356" s="176">
        <v>2.0699999999999998</v>
      </c>
    </row>
    <row r="1357" spans="1:2" x14ac:dyDescent="0.2">
      <c r="A1357" s="175">
        <v>40084</v>
      </c>
      <c r="B1357" s="176">
        <v>2.0499999999999998</v>
      </c>
    </row>
    <row r="1358" spans="1:2" x14ac:dyDescent="0.2">
      <c r="A1358" s="175">
        <v>40085</v>
      </c>
      <c r="B1358" s="176">
        <v>2.06</v>
      </c>
    </row>
    <row r="1359" spans="1:2" x14ac:dyDescent="0.2">
      <c r="A1359" s="175">
        <v>40086</v>
      </c>
      <c r="B1359" s="176">
        <v>2.0299999999999998</v>
      </c>
    </row>
    <row r="1360" spans="1:2" x14ac:dyDescent="0.2">
      <c r="A1360" s="175">
        <v>40087</v>
      </c>
      <c r="B1360" s="176">
        <v>1.98</v>
      </c>
    </row>
    <row r="1361" spans="1:2" x14ac:dyDescent="0.2">
      <c r="A1361" s="175">
        <v>40088</v>
      </c>
      <c r="B1361" s="176">
        <v>2.02</v>
      </c>
    </row>
    <row r="1362" spans="1:2" x14ac:dyDescent="0.2">
      <c r="A1362" s="175">
        <v>40091</v>
      </c>
      <c r="B1362" s="176">
        <v>2.0299999999999998</v>
      </c>
    </row>
    <row r="1363" spans="1:2" x14ac:dyDescent="0.2">
      <c r="A1363" s="175">
        <v>40092</v>
      </c>
      <c r="B1363" s="176">
        <v>2.06</v>
      </c>
    </row>
    <row r="1364" spans="1:2" x14ac:dyDescent="0.2">
      <c r="A1364" s="175">
        <v>40093</v>
      </c>
      <c r="B1364" s="176">
        <v>1.99</v>
      </c>
    </row>
    <row r="1365" spans="1:2" x14ac:dyDescent="0.2">
      <c r="A1365" s="175">
        <v>40094</v>
      </c>
      <c r="B1365" s="176">
        <v>2.0299999999999998</v>
      </c>
    </row>
    <row r="1366" spans="1:2" x14ac:dyDescent="0.2">
      <c r="A1366" s="175">
        <v>40095</v>
      </c>
      <c r="B1366" s="176">
        <v>2.1</v>
      </c>
    </row>
    <row r="1367" spans="1:2" x14ac:dyDescent="0.2">
      <c r="A1367" s="175">
        <v>40098</v>
      </c>
      <c r="B1367" s="176" t="e">
        <f>NA()</f>
        <v>#N/A</v>
      </c>
    </row>
    <row r="1368" spans="1:2" x14ac:dyDescent="0.2">
      <c r="A1368" s="175">
        <v>40099</v>
      </c>
      <c r="B1368" s="176">
        <v>1.99</v>
      </c>
    </row>
    <row r="1369" spans="1:2" x14ac:dyDescent="0.2">
      <c r="A1369" s="175">
        <v>40100</v>
      </c>
      <c r="B1369" s="176">
        <v>2.0699999999999998</v>
      </c>
    </row>
    <row r="1370" spans="1:2" x14ac:dyDescent="0.2">
      <c r="A1370" s="175">
        <v>40101</v>
      </c>
      <c r="B1370" s="176">
        <v>2.08</v>
      </c>
    </row>
    <row r="1371" spans="1:2" x14ac:dyDescent="0.2">
      <c r="A1371" s="175">
        <v>40102</v>
      </c>
      <c r="B1371" s="177">
        <v>2.02</v>
      </c>
    </row>
    <row r="1372" spans="1:2" x14ac:dyDescent="0.2">
      <c r="A1372" s="175">
        <v>40105</v>
      </c>
      <c r="B1372" s="176">
        <v>1.94</v>
      </c>
    </row>
    <row r="1373" spans="1:2" x14ac:dyDescent="0.2">
      <c r="A1373" s="175">
        <v>40106</v>
      </c>
      <c r="B1373" s="176">
        <v>1.94</v>
      </c>
    </row>
    <row r="1374" spans="1:2" x14ac:dyDescent="0.2">
      <c r="A1374" s="175">
        <v>40107</v>
      </c>
      <c r="B1374" s="176">
        <v>2</v>
      </c>
    </row>
    <row r="1375" spans="1:2" x14ac:dyDescent="0.2">
      <c r="A1375" s="175">
        <v>40108</v>
      </c>
      <c r="B1375" s="176">
        <v>2.0699999999999998</v>
      </c>
    </row>
    <row r="1376" spans="1:2" x14ac:dyDescent="0.2">
      <c r="A1376" s="175">
        <v>40109</v>
      </c>
      <c r="B1376" s="176">
        <v>2.1</v>
      </c>
    </row>
    <row r="1377" spans="1:2" x14ac:dyDescent="0.2">
      <c r="A1377" s="175">
        <v>40112</v>
      </c>
      <c r="B1377" s="176">
        <v>2.17</v>
      </c>
    </row>
    <row r="1378" spans="1:2" x14ac:dyDescent="0.2">
      <c r="A1378" s="175">
        <v>40113</v>
      </c>
      <c r="B1378" s="176">
        <v>2.08</v>
      </c>
    </row>
    <row r="1379" spans="1:2" x14ac:dyDescent="0.2">
      <c r="A1379" s="175">
        <v>40114</v>
      </c>
      <c r="B1379" s="176">
        <v>2.0699999999999998</v>
      </c>
    </row>
    <row r="1380" spans="1:2" x14ac:dyDescent="0.2">
      <c r="A1380" s="175">
        <v>40115</v>
      </c>
      <c r="B1380" s="176">
        <v>2.11</v>
      </c>
    </row>
    <row r="1381" spans="1:2" x14ac:dyDescent="0.2">
      <c r="A1381" s="175">
        <v>40116</v>
      </c>
      <c r="B1381" s="176">
        <v>2.02</v>
      </c>
    </row>
    <row r="1382" spans="1:2" x14ac:dyDescent="0.2">
      <c r="A1382" s="175">
        <v>40119</v>
      </c>
      <c r="B1382" s="176">
        <v>2.0099999999999998</v>
      </c>
    </row>
    <row r="1383" spans="1:2" x14ac:dyDescent="0.2">
      <c r="A1383" s="175">
        <v>40120</v>
      </c>
      <c r="B1383" s="176">
        <v>2.04</v>
      </c>
    </row>
    <row r="1384" spans="1:2" x14ac:dyDescent="0.2">
      <c r="A1384" s="175">
        <v>40121</v>
      </c>
      <c r="B1384" s="176">
        <v>2.02</v>
      </c>
    </row>
    <row r="1385" spans="1:2" x14ac:dyDescent="0.2">
      <c r="A1385" s="175">
        <v>40122</v>
      </c>
      <c r="B1385" s="176">
        <v>2</v>
      </c>
    </row>
    <row r="1386" spans="1:2" x14ac:dyDescent="0.2">
      <c r="A1386" s="175">
        <v>40123</v>
      </c>
      <c r="B1386" s="176">
        <v>1.98</v>
      </c>
    </row>
    <row r="1387" spans="1:2" x14ac:dyDescent="0.2">
      <c r="A1387" s="175">
        <v>40126</v>
      </c>
      <c r="B1387" s="176">
        <v>1.95</v>
      </c>
    </row>
    <row r="1388" spans="1:2" x14ac:dyDescent="0.2">
      <c r="A1388" s="175">
        <v>40127</v>
      </c>
      <c r="B1388" s="176">
        <v>1.98</v>
      </c>
    </row>
    <row r="1389" spans="1:2" x14ac:dyDescent="0.2">
      <c r="A1389" s="175">
        <v>40128</v>
      </c>
      <c r="B1389" s="176" t="e">
        <f>NA()</f>
        <v>#N/A</v>
      </c>
    </row>
    <row r="1390" spans="1:2" x14ac:dyDescent="0.2">
      <c r="A1390" s="175">
        <v>40129</v>
      </c>
      <c r="B1390" s="176">
        <v>1.99</v>
      </c>
    </row>
    <row r="1391" spans="1:2" x14ac:dyDescent="0.2">
      <c r="A1391" s="175">
        <v>40130</v>
      </c>
      <c r="B1391" s="176">
        <v>1.96</v>
      </c>
    </row>
    <row r="1392" spans="1:2" x14ac:dyDescent="0.2">
      <c r="A1392" s="175">
        <v>40133</v>
      </c>
      <c r="B1392" s="176">
        <v>1.84</v>
      </c>
    </row>
    <row r="1393" spans="1:2" x14ac:dyDescent="0.2">
      <c r="A1393" s="175">
        <v>40134</v>
      </c>
      <c r="B1393" s="177">
        <v>1.83</v>
      </c>
    </row>
    <row r="1394" spans="1:2" x14ac:dyDescent="0.2">
      <c r="A1394" s="175">
        <v>40135</v>
      </c>
      <c r="B1394" s="176">
        <v>1.84</v>
      </c>
    </row>
    <row r="1395" spans="1:2" x14ac:dyDescent="0.2">
      <c r="A1395" s="175">
        <v>40136</v>
      </c>
      <c r="B1395" s="176">
        <v>1.84</v>
      </c>
    </row>
    <row r="1396" spans="1:2" x14ac:dyDescent="0.2">
      <c r="A1396" s="175">
        <v>40137</v>
      </c>
      <c r="B1396" s="176">
        <v>1.85</v>
      </c>
    </row>
    <row r="1397" spans="1:2" x14ac:dyDescent="0.2">
      <c r="A1397" s="175">
        <v>40140</v>
      </c>
      <c r="B1397" s="176">
        <v>1.84</v>
      </c>
    </row>
    <row r="1398" spans="1:2" x14ac:dyDescent="0.2">
      <c r="A1398" s="175">
        <v>40141</v>
      </c>
      <c r="B1398" s="176">
        <v>1.82</v>
      </c>
    </row>
    <row r="1399" spans="1:2" x14ac:dyDescent="0.2">
      <c r="A1399" s="175">
        <v>40142</v>
      </c>
      <c r="B1399" s="176">
        <v>1.78</v>
      </c>
    </row>
    <row r="1400" spans="1:2" x14ac:dyDescent="0.2">
      <c r="A1400" s="175">
        <v>40143</v>
      </c>
      <c r="B1400" s="176" t="e">
        <f>NA()</f>
        <v>#N/A</v>
      </c>
    </row>
    <row r="1401" spans="1:2" x14ac:dyDescent="0.2">
      <c r="A1401" s="175">
        <v>40144</v>
      </c>
      <c r="B1401" s="176">
        <v>1.77</v>
      </c>
    </row>
    <row r="1402" spans="1:2" x14ac:dyDescent="0.2">
      <c r="A1402" s="175">
        <v>40147</v>
      </c>
      <c r="B1402" s="176">
        <v>1.76</v>
      </c>
    </row>
    <row r="1403" spans="1:2" x14ac:dyDescent="0.2">
      <c r="A1403" s="175">
        <v>40148</v>
      </c>
      <c r="B1403" s="176">
        <v>1.79</v>
      </c>
    </row>
    <row r="1404" spans="1:2" x14ac:dyDescent="0.2">
      <c r="A1404" s="175">
        <v>40149</v>
      </c>
      <c r="B1404" s="177">
        <v>1.79</v>
      </c>
    </row>
    <row r="1405" spans="1:2" x14ac:dyDescent="0.2">
      <c r="A1405" s="175">
        <v>40150</v>
      </c>
      <c r="B1405" s="176">
        <v>1.85</v>
      </c>
    </row>
    <row r="1406" spans="1:2" x14ac:dyDescent="0.2">
      <c r="A1406" s="175">
        <v>40151</v>
      </c>
      <c r="B1406" s="176">
        <v>1.95</v>
      </c>
    </row>
    <row r="1407" spans="1:2" x14ac:dyDescent="0.2">
      <c r="A1407" s="175">
        <v>40154</v>
      </c>
      <c r="B1407" s="176">
        <v>1.95</v>
      </c>
    </row>
    <row r="1408" spans="1:2" x14ac:dyDescent="0.2">
      <c r="A1408" s="175">
        <v>40155</v>
      </c>
      <c r="B1408" s="176">
        <v>1.96</v>
      </c>
    </row>
    <row r="1409" spans="1:2" x14ac:dyDescent="0.2">
      <c r="A1409" s="175">
        <v>40156</v>
      </c>
      <c r="B1409" s="176">
        <v>2.0099999999999998</v>
      </c>
    </row>
    <row r="1410" spans="1:2" x14ac:dyDescent="0.2">
      <c r="A1410" s="175">
        <v>40157</v>
      </c>
      <c r="B1410" s="176">
        <v>2.06</v>
      </c>
    </row>
    <row r="1411" spans="1:2" x14ac:dyDescent="0.2">
      <c r="A1411" s="175">
        <v>40158</v>
      </c>
      <c r="B1411" s="176">
        <v>2.04</v>
      </c>
    </row>
    <row r="1412" spans="1:2" x14ac:dyDescent="0.2">
      <c r="A1412" s="175">
        <v>40161</v>
      </c>
      <c r="B1412" s="176">
        <v>1.99</v>
      </c>
    </row>
    <row r="1413" spans="1:2" x14ac:dyDescent="0.2">
      <c r="A1413" s="175">
        <v>40162</v>
      </c>
      <c r="B1413" s="176">
        <v>2.0099999999999998</v>
      </c>
    </row>
    <row r="1414" spans="1:2" x14ac:dyDescent="0.2">
      <c r="A1414" s="175">
        <v>40163</v>
      </c>
      <c r="B1414" s="176">
        <v>1.99</v>
      </c>
    </row>
    <row r="1415" spans="1:2" x14ac:dyDescent="0.2">
      <c r="A1415" s="175">
        <v>40164</v>
      </c>
      <c r="B1415" s="176">
        <v>1.94</v>
      </c>
    </row>
    <row r="1416" spans="1:2" x14ac:dyDescent="0.2">
      <c r="A1416" s="175">
        <v>40165</v>
      </c>
      <c r="B1416" s="176">
        <v>1.95</v>
      </c>
    </row>
    <row r="1417" spans="1:2" x14ac:dyDescent="0.2">
      <c r="A1417" s="175">
        <v>40168</v>
      </c>
      <c r="B1417" s="176">
        <v>2.0299999999999998</v>
      </c>
    </row>
    <row r="1418" spans="1:2" x14ac:dyDescent="0.2">
      <c r="A1418" s="175">
        <v>40169</v>
      </c>
      <c r="B1418" s="176">
        <v>2.06</v>
      </c>
    </row>
    <row r="1419" spans="1:2" x14ac:dyDescent="0.2">
      <c r="A1419" s="175">
        <v>40170</v>
      </c>
      <c r="B1419" s="176">
        <v>2.09</v>
      </c>
    </row>
    <row r="1420" spans="1:2" x14ac:dyDescent="0.2">
      <c r="A1420" s="175">
        <v>40171</v>
      </c>
      <c r="B1420" s="176">
        <v>2.14</v>
      </c>
    </row>
    <row r="1421" spans="1:2" x14ac:dyDescent="0.2">
      <c r="A1421" s="175">
        <v>40172</v>
      </c>
      <c r="B1421" s="176" t="e">
        <f>NA()</f>
        <v>#N/A</v>
      </c>
    </row>
    <row r="1422" spans="1:2" x14ac:dyDescent="0.2">
      <c r="A1422" s="175">
        <v>40175</v>
      </c>
      <c r="B1422" s="176">
        <v>2.12</v>
      </c>
    </row>
    <row r="1423" spans="1:2" x14ac:dyDescent="0.2">
      <c r="A1423" s="175">
        <v>40176</v>
      </c>
      <c r="B1423" s="176">
        <v>2.0699999999999998</v>
      </c>
    </row>
    <row r="1424" spans="1:2" x14ac:dyDescent="0.2">
      <c r="A1424" s="175">
        <v>40177</v>
      </c>
      <c r="B1424" s="176">
        <v>2.02</v>
      </c>
    </row>
    <row r="1425" spans="1:2" x14ac:dyDescent="0.2">
      <c r="A1425" s="175">
        <v>40178</v>
      </c>
      <c r="B1425" s="177">
        <v>2.0299999999999998</v>
      </c>
    </row>
    <row r="1426" spans="1:2" x14ac:dyDescent="0.2">
      <c r="A1426" s="175">
        <v>40179</v>
      </c>
      <c r="B1426" s="176" t="e">
        <f>NA()</f>
        <v>#N/A</v>
      </c>
    </row>
    <row r="1427" spans="1:2" x14ac:dyDescent="0.2">
      <c r="A1427" s="175">
        <v>40182</v>
      </c>
      <c r="B1427" s="176">
        <v>2.04</v>
      </c>
    </row>
    <row r="1428" spans="1:2" x14ac:dyDescent="0.2">
      <c r="A1428" s="175">
        <v>40183</v>
      </c>
      <c r="B1428" s="176">
        <v>1.97</v>
      </c>
    </row>
    <row r="1429" spans="1:2" x14ac:dyDescent="0.2">
      <c r="A1429" s="175">
        <v>40184</v>
      </c>
      <c r="B1429" s="176">
        <v>2.0299999999999998</v>
      </c>
    </row>
    <row r="1430" spans="1:2" x14ac:dyDescent="0.2">
      <c r="A1430" s="175">
        <v>40185</v>
      </c>
      <c r="B1430" s="177">
        <v>2.02</v>
      </c>
    </row>
    <row r="1431" spans="1:2" x14ac:dyDescent="0.2">
      <c r="A1431" s="175">
        <v>40186</v>
      </c>
      <c r="B1431" s="176">
        <v>2</v>
      </c>
    </row>
    <row r="1432" spans="1:2" x14ac:dyDescent="0.2">
      <c r="A1432" s="175">
        <v>40189</v>
      </c>
      <c r="B1432" s="176">
        <v>2.04</v>
      </c>
    </row>
    <row r="1433" spans="1:2" x14ac:dyDescent="0.2">
      <c r="A1433" s="175">
        <v>40190</v>
      </c>
      <c r="B1433" s="176">
        <v>1.96</v>
      </c>
    </row>
    <row r="1434" spans="1:2" x14ac:dyDescent="0.2">
      <c r="A1434" s="175">
        <v>40191</v>
      </c>
      <c r="B1434" s="176">
        <v>2.0499999999999998</v>
      </c>
    </row>
    <row r="1435" spans="1:2" x14ac:dyDescent="0.2">
      <c r="A1435" s="175">
        <v>40192</v>
      </c>
      <c r="B1435" s="176">
        <v>2.0099999999999998</v>
      </c>
    </row>
    <row r="1436" spans="1:2" x14ac:dyDescent="0.2">
      <c r="A1436" s="175">
        <v>40193</v>
      </c>
      <c r="B1436" s="176">
        <v>2</v>
      </c>
    </row>
    <row r="1437" spans="1:2" x14ac:dyDescent="0.2">
      <c r="A1437" s="175">
        <v>40196</v>
      </c>
      <c r="B1437" s="176" t="e">
        <f>NA()</f>
        <v>#N/A</v>
      </c>
    </row>
    <row r="1438" spans="1:2" x14ac:dyDescent="0.2">
      <c r="A1438" s="175">
        <v>40197</v>
      </c>
      <c r="B1438" s="176">
        <v>2.0099999999999998</v>
      </c>
    </row>
    <row r="1439" spans="1:2" x14ac:dyDescent="0.2">
      <c r="A1439" s="175">
        <v>40198</v>
      </c>
      <c r="B1439" s="176">
        <v>1.98</v>
      </c>
    </row>
    <row r="1440" spans="1:2" x14ac:dyDescent="0.2">
      <c r="A1440" s="175">
        <v>40199</v>
      </c>
      <c r="B1440" s="176">
        <v>1.95</v>
      </c>
    </row>
    <row r="1441" spans="1:2" x14ac:dyDescent="0.2">
      <c r="A1441" s="175">
        <v>40200</v>
      </c>
      <c r="B1441" s="177">
        <v>1.96</v>
      </c>
    </row>
    <row r="1442" spans="1:2" x14ac:dyDescent="0.2">
      <c r="A1442" s="175">
        <v>40203</v>
      </c>
      <c r="B1442" s="176">
        <v>2</v>
      </c>
    </row>
    <row r="1443" spans="1:2" x14ac:dyDescent="0.2">
      <c r="A1443" s="175">
        <v>40204</v>
      </c>
      <c r="B1443" s="176">
        <v>1.99</v>
      </c>
    </row>
    <row r="1444" spans="1:2" x14ac:dyDescent="0.2">
      <c r="A1444" s="175">
        <v>40205</v>
      </c>
      <c r="B1444" s="176">
        <v>2</v>
      </c>
    </row>
    <row r="1445" spans="1:2" x14ac:dyDescent="0.2">
      <c r="A1445" s="175">
        <v>40206</v>
      </c>
      <c r="B1445" s="176">
        <v>1.97</v>
      </c>
    </row>
    <row r="1446" spans="1:2" x14ac:dyDescent="0.2">
      <c r="A1446" s="175">
        <v>40207</v>
      </c>
      <c r="B1446" s="176">
        <v>1.93</v>
      </c>
    </row>
    <row r="1447" spans="1:2" x14ac:dyDescent="0.2">
      <c r="A1447" s="175">
        <v>40210</v>
      </c>
      <c r="B1447" s="176">
        <v>1.92</v>
      </c>
    </row>
    <row r="1448" spans="1:2" x14ac:dyDescent="0.2">
      <c r="A1448" s="175">
        <v>40211</v>
      </c>
      <c r="B1448" s="176">
        <v>1.91</v>
      </c>
    </row>
    <row r="1449" spans="1:2" x14ac:dyDescent="0.2">
      <c r="A1449" s="175">
        <v>40212</v>
      </c>
      <c r="B1449" s="176">
        <v>1.96</v>
      </c>
    </row>
    <row r="1450" spans="1:2" x14ac:dyDescent="0.2">
      <c r="A1450" s="175">
        <v>40213</v>
      </c>
      <c r="B1450" s="176">
        <v>1.93</v>
      </c>
    </row>
    <row r="1451" spans="1:2" x14ac:dyDescent="0.2">
      <c r="A1451" s="175">
        <v>40214</v>
      </c>
      <c r="B1451" s="176">
        <v>1.97</v>
      </c>
    </row>
    <row r="1452" spans="1:2" x14ac:dyDescent="0.2">
      <c r="A1452" s="175">
        <v>40217</v>
      </c>
      <c r="B1452" s="176">
        <v>1.98</v>
      </c>
    </row>
    <row r="1453" spans="1:2" x14ac:dyDescent="0.2">
      <c r="A1453" s="175">
        <v>40218</v>
      </c>
      <c r="B1453" s="176">
        <v>2.0099999999999998</v>
      </c>
    </row>
    <row r="1454" spans="1:2" x14ac:dyDescent="0.2">
      <c r="A1454" s="175">
        <v>40219</v>
      </c>
      <c r="B1454" s="176">
        <v>2.08</v>
      </c>
    </row>
    <row r="1455" spans="1:2" x14ac:dyDescent="0.2">
      <c r="A1455" s="175">
        <v>40220</v>
      </c>
      <c r="B1455" s="176">
        <v>2.13</v>
      </c>
    </row>
    <row r="1456" spans="1:2" x14ac:dyDescent="0.2">
      <c r="A1456" s="175">
        <v>40221</v>
      </c>
      <c r="B1456" s="176">
        <v>2.12</v>
      </c>
    </row>
    <row r="1457" spans="1:2" x14ac:dyDescent="0.2">
      <c r="A1457" s="175">
        <v>40224</v>
      </c>
      <c r="B1457" s="176" t="e">
        <f>NA()</f>
        <v>#N/A</v>
      </c>
    </row>
    <row r="1458" spans="1:2" x14ac:dyDescent="0.2">
      <c r="A1458" s="175">
        <v>40225</v>
      </c>
      <c r="B1458" s="176">
        <v>2.09</v>
      </c>
    </row>
    <row r="1459" spans="1:2" x14ac:dyDescent="0.2">
      <c r="A1459" s="175">
        <v>40226</v>
      </c>
      <c r="B1459" s="176">
        <v>2.12</v>
      </c>
    </row>
    <row r="1460" spans="1:2" x14ac:dyDescent="0.2">
      <c r="A1460" s="175">
        <v>40227</v>
      </c>
      <c r="B1460" s="176">
        <v>2.13</v>
      </c>
    </row>
    <row r="1461" spans="1:2" x14ac:dyDescent="0.2">
      <c r="A1461" s="175">
        <v>40228</v>
      </c>
      <c r="B1461" s="177">
        <v>2.14</v>
      </c>
    </row>
    <row r="1462" spans="1:2" x14ac:dyDescent="0.2">
      <c r="A1462" s="175">
        <v>40231</v>
      </c>
      <c r="B1462" s="176">
        <v>2.04</v>
      </c>
    </row>
    <row r="1463" spans="1:2" x14ac:dyDescent="0.2">
      <c r="A1463" s="175">
        <v>40232</v>
      </c>
      <c r="B1463" s="176">
        <v>2</v>
      </c>
    </row>
    <row r="1464" spans="1:2" x14ac:dyDescent="0.2">
      <c r="A1464" s="175">
        <v>40233</v>
      </c>
      <c r="B1464" s="176">
        <v>2</v>
      </c>
    </row>
    <row r="1465" spans="1:2" x14ac:dyDescent="0.2">
      <c r="A1465" s="175">
        <v>40234</v>
      </c>
      <c r="B1465" s="176">
        <v>2.0099999999999998</v>
      </c>
    </row>
    <row r="1466" spans="1:2" x14ac:dyDescent="0.2">
      <c r="A1466" s="175">
        <v>40235</v>
      </c>
      <c r="B1466" s="176">
        <v>1.98</v>
      </c>
    </row>
    <row r="1467" spans="1:2" x14ac:dyDescent="0.2">
      <c r="A1467" s="175">
        <v>40238</v>
      </c>
      <c r="B1467" s="176">
        <v>1.98</v>
      </c>
    </row>
    <row r="1468" spans="1:2" x14ac:dyDescent="0.2">
      <c r="A1468" s="175">
        <v>40239</v>
      </c>
      <c r="B1468" s="176">
        <v>1.98</v>
      </c>
    </row>
    <row r="1469" spans="1:2" x14ac:dyDescent="0.2">
      <c r="A1469" s="175">
        <v>40240</v>
      </c>
      <c r="B1469" s="176">
        <v>1.99</v>
      </c>
    </row>
    <row r="1470" spans="1:2" x14ac:dyDescent="0.2">
      <c r="A1470" s="175">
        <v>40241</v>
      </c>
      <c r="B1470" s="176">
        <v>1.96</v>
      </c>
    </row>
    <row r="1471" spans="1:2" x14ac:dyDescent="0.2">
      <c r="A1471" s="175">
        <v>40242</v>
      </c>
      <c r="B1471" s="176">
        <v>1.99</v>
      </c>
    </row>
    <row r="1472" spans="1:2" x14ac:dyDescent="0.2">
      <c r="A1472" s="175">
        <v>40245</v>
      </c>
      <c r="B1472" s="176">
        <v>2</v>
      </c>
    </row>
    <row r="1473" spans="1:2" x14ac:dyDescent="0.2">
      <c r="A1473" s="175">
        <v>40246</v>
      </c>
      <c r="B1473" s="176">
        <v>2.02</v>
      </c>
    </row>
    <row r="1474" spans="1:2" x14ac:dyDescent="0.2">
      <c r="A1474" s="175">
        <v>40247</v>
      </c>
      <c r="B1474" s="176">
        <v>2</v>
      </c>
    </row>
    <row r="1475" spans="1:2" x14ac:dyDescent="0.2">
      <c r="A1475" s="175">
        <v>40248</v>
      </c>
      <c r="B1475" s="176">
        <v>1.97</v>
      </c>
    </row>
    <row r="1476" spans="1:2" x14ac:dyDescent="0.2">
      <c r="A1476" s="175">
        <v>40249</v>
      </c>
      <c r="B1476" s="176">
        <v>1.94</v>
      </c>
    </row>
    <row r="1477" spans="1:2" x14ac:dyDescent="0.2">
      <c r="A1477" s="175">
        <v>40252</v>
      </c>
      <c r="B1477" s="176">
        <v>1.95</v>
      </c>
    </row>
    <row r="1478" spans="1:2" x14ac:dyDescent="0.2">
      <c r="A1478" s="175">
        <v>40253</v>
      </c>
      <c r="B1478" s="176">
        <v>1.92</v>
      </c>
    </row>
    <row r="1479" spans="1:2" x14ac:dyDescent="0.2">
      <c r="A1479" s="175">
        <v>40254</v>
      </c>
      <c r="B1479" s="176">
        <v>1.9</v>
      </c>
    </row>
    <row r="1480" spans="1:2" x14ac:dyDescent="0.2">
      <c r="A1480" s="175">
        <v>40255</v>
      </c>
      <c r="B1480" s="176">
        <v>1.91</v>
      </c>
    </row>
    <row r="1481" spans="1:2" x14ac:dyDescent="0.2">
      <c r="A1481" s="175">
        <v>40256</v>
      </c>
      <c r="B1481" s="176">
        <v>1.92</v>
      </c>
    </row>
    <row r="1482" spans="1:2" x14ac:dyDescent="0.2">
      <c r="A1482" s="175">
        <v>40259</v>
      </c>
      <c r="B1482" s="176">
        <v>1.91</v>
      </c>
    </row>
    <row r="1483" spans="1:2" x14ac:dyDescent="0.2">
      <c r="A1483" s="175">
        <v>40260</v>
      </c>
      <c r="B1483" s="176">
        <v>1.93</v>
      </c>
    </row>
    <row r="1484" spans="1:2" x14ac:dyDescent="0.2">
      <c r="A1484" s="175">
        <v>40261</v>
      </c>
      <c r="B1484" s="176">
        <v>2.0299999999999998</v>
      </c>
    </row>
    <row r="1485" spans="1:2" x14ac:dyDescent="0.2">
      <c r="A1485" s="175">
        <v>40262</v>
      </c>
      <c r="B1485" s="176">
        <v>2.06</v>
      </c>
    </row>
    <row r="1486" spans="1:2" x14ac:dyDescent="0.2">
      <c r="A1486" s="175">
        <v>40263</v>
      </c>
      <c r="B1486" s="176">
        <v>2.0299999999999998</v>
      </c>
    </row>
    <row r="1487" spans="1:2" x14ac:dyDescent="0.2">
      <c r="A1487" s="175">
        <v>40266</v>
      </c>
      <c r="B1487" s="176">
        <v>2.0699999999999998</v>
      </c>
    </row>
    <row r="1488" spans="1:2" x14ac:dyDescent="0.2">
      <c r="A1488" s="175">
        <v>40267</v>
      </c>
      <c r="B1488" s="176">
        <v>2.06</v>
      </c>
    </row>
    <row r="1489" spans="1:2" x14ac:dyDescent="0.2">
      <c r="A1489" s="175">
        <v>40268</v>
      </c>
      <c r="B1489" s="176">
        <v>1.99</v>
      </c>
    </row>
    <row r="1490" spans="1:2" x14ac:dyDescent="0.2">
      <c r="A1490" s="175">
        <v>40269</v>
      </c>
      <c r="B1490" s="176">
        <v>2</v>
      </c>
    </row>
    <row r="1491" spans="1:2" x14ac:dyDescent="0.2">
      <c r="A1491" s="175">
        <v>40270</v>
      </c>
      <c r="B1491" s="176">
        <v>2.0699999999999998</v>
      </c>
    </row>
    <row r="1492" spans="1:2" x14ac:dyDescent="0.2">
      <c r="A1492" s="175">
        <v>40273</v>
      </c>
      <c r="B1492" s="176">
        <v>2.09</v>
      </c>
    </row>
    <row r="1493" spans="1:2" x14ac:dyDescent="0.2">
      <c r="A1493" s="175">
        <v>40274</v>
      </c>
      <c r="B1493" s="176">
        <v>2.2000000000000002</v>
      </c>
    </row>
    <row r="1494" spans="1:2" x14ac:dyDescent="0.2">
      <c r="A1494" s="175">
        <v>40275</v>
      </c>
      <c r="B1494" s="176">
        <v>2.0099999999999998</v>
      </c>
    </row>
    <row r="1495" spans="1:2" x14ac:dyDescent="0.2">
      <c r="A1495" s="175">
        <v>40276</v>
      </c>
      <c r="B1495" s="176">
        <v>1.95</v>
      </c>
    </row>
    <row r="1496" spans="1:2" x14ac:dyDescent="0.2">
      <c r="A1496" s="175">
        <v>40277</v>
      </c>
      <c r="B1496" s="176">
        <v>1.94</v>
      </c>
    </row>
    <row r="1497" spans="1:2" x14ac:dyDescent="0.2">
      <c r="A1497" s="175">
        <v>40280</v>
      </c>
      <c r="B1497" s="176">
        <v>1.9</v>
      </c>
    </row>
    <row r="1498" spans="1:2" x14ac:dyDescent="0.2">
      <c r="A1498" s="175">
        <v>40281</v>
      </c>
      <c r="B1498" s="176">
        <v>1.88</v>
      </c>
    </row>
    <row r="1499" spans="1:2" x14ac:dyDescent="0.2">
      <c r="A1499" s="175">
        <v>40282</v>
      </c>
      <c r="B1499" s="176">
        <v>1.92</v>
      </c>
    </row>
    <row r="1500" spans="1:2" x14ac:dyDescent="0.2">
      <c r="A1500" s="175">
        <v>40283</v>
      </c>
      <c r="B1500" s="176">
        <v>1.88</v>
      </c>
    </row>
    <row r="1501" spans="1:2" x14ac:dyDescent="0.2">
      <c r="A1501" s="175">
        <v>40284</v>
      </c>
      <c r="B1501" s="176">
        <v>1.85</v>
      </c>
    </row>
    <row r="1502" spans="1:2" x14ac:dyDescent="0.2">
      <c r="A1502" s="175">
        <v>40287</v>
      </c>
      <c r="B1502" s="176">
        <v>1.88</v>
      </c>
    </row>
    <row r="1503" spans="1:2" x14ac:dyDescent="0.2">
      <c r="A1503" s="175">
        <v>40288</v>
      </c>
      <c r="B1503" s="176">
        <v>1.86</v>
      </c>
    </row>
    <row r="1504" spans="1:2" x14ac:dyDescent="0.2">
      <c r="A1504" s="175">
        <v>40289</v>
      </c>
      <c r="B1504" s="176">
        <v>1.81</v>
      </c>
    </row>
    <row r="1505" spans="1:2" x14ac:dyDescent="0.2">
      <c r="A1505" s="175">
        <v>40290</v>
      </c>
      <c r="B1505" s="176">
        <v>1.84</v>
      </c>
    </row>
    <row r="1506" spans="1:2" x14ac:dyDescent="0.2">
      <c r="A1506" s="175">
        <v>40291</v>
      </c>
      <c r="B1506" s="176">
        <v>1.84</v>
      </c>
    </row>
    <row r="1507" spans="1:2" x14ac:dyDescent="0.2">
      <c r="A1507" s="175">
        <v>40294</v>
      </c>
      <c r="B1507" s="176">
        <v>1.87</v>
      </c>
    </row>
    <row r="1508" spans="1:2" x14ac:dyDescent="0.2">
      <c r="A1508" s="175">
        <v>40295</v>
      </c>
      <c r="B1508" s="176">
        <v>1.75</v>
      </c>
    </row>
    <row r="1509" spans="1:2" x14ac:dyDescent="0.2">
      <c r="A1509" s="175">
        <v>40296</v>
      </c>
      <c r="B1509" s="176">
        <v>1.78</v>
      </c>
    </row>
    <row r="1510" spans="1:2" x14ac:dyDescent="0.2">
      <c r="A1510" s="175">
        <v>40297</v>
      </c>
      <c r="B1510" s="176">
        <v>1.71</v>
      </c>
    </row>
    <row r="1511" spans="1:2" x14ac:dyDescent="0.2">
      <c r="A1511" s="175">
        <v>40298</v>
      </c>
      <c r="B1511" s="176">
        <v>1.68</v>
      </c>
    </row>
    <row r="1512" spans="1:2" x14ac:dyDescent="0.2">
      <c r="A1512" s="175">
        <v>40301</v>
      </c>
      <c r="B1512" s="176">
        <v>1.72</v>
      </c>
    </row>
    <row r="1513" spans="1:2" x14ac:dyDescent="0.2">
      <c r="A1513" s="175">
        <v>40302</v>
      </c>
      <c r="B1513" s="176">
        <v>1.7</v>
      </c>
    </row>
    <row r="1514" spans="1:2" x14ac:dyDescent="0.2">
      <c r="A1514" s="175">
        <v>40303</v>
      </c>
      <c r="B1514" s="176">
        <v>1.69</v>
      </c>
    </row>
    <row r="1515" spans="1:2" x14ac:dyDescent="0.2">
      <c r="A1515" s="175">
        <v>40304</v>
      </c>
      <c r="B1515" s="176">
        <v>1.61</v>
      </c>
    </row>
    <row r="1516" spans="1:2" x14ac:dyDescent="0.2">
      <c r="A1516" s="175">
        <v>40305</v>
      </c>
      <c r="B1516" s="176">
        <v>1.69</v>
      </c>
    </row>
    <row r="1517" spans="1:2" x14ac:dyDescent="0.2">
      <c r="A1517" s="175">
        <v>40308</v>
      </c>
      <c r="B1517" s="176">
        <v>1.74</v>
      </c>
    </row>
    <row r="1518" spans="1:2" x14ac:dyDescent="0.2">
      <c r="A1518" s="175">
        <v>40309</v>
      </c>
      <c r="B1518" s="176">
        <v>1.73</v>
      </c>
    </row>
    <row r="1519" spans="1:2" x14ac:dyDescent="0.2">
      <c r="A1519" s="175">
        <v>40310</v>
      </c>
      <c r="B1519" s="176">
        <v>1.72</v>
      </c>
    </row>
    <row r="1520" spans="1:2" x14ac:dyDescent="0.2">
      <c r="A1520" s="175">
        <v>40311</v>
      </c>
      <c r="B1520" s="176">
        <v>1.71</v>
      </c>
    </row>
    <row r="1521" spans="1:2" x14ac:dyDescent="0.2">
      <c r="A1521" s="175">
        <v>40312</v>
      </c>
      <c r="B1521" s="176">
        <v>1.68</v>
      </c>
    </row>
    <row r="1522" spans="1:2" x14ac:dyDescent="0.2">
      <c r="A1522" s="175">
        <v>40315</v>
      </c>
      <c r="B1522" s="176">
        <v>1.72</v>
      </c>
    </row>
    <row r="1523" spans="1:2" x14ac:dyDescent="0.2">
      <c r="A1523" s="175">
        <v>40316</v>
      </c>
      <c r="B1523" s="176">
        <v>1.65</v>
      </c>
    </row>
    <row r="1524" spans="1:2" x14ac:dyDescent="0.2">
      <c r="A1524" s="175">
        <v>40317</v>
      </c>
      <c r="B1524" s="176">
        <v>1.73</v>
      </c>
    </row>
    <row r="1525" spans="1:2" x14ac:dyDescent="0.2">
      <c r="A1525" s="175">
        <v>40318</v>
      </c>
      <c r="B1525" s="176">
        <v>1.79</v>
      </c>
    </row>
    <row r="1526" spans="1:2" x14ac:dyDescent="0.2">
      <c r="A1526" s="175">
        <v>40319</v>
      </c>
      <c r="B1526" s="176">
        <v>1.79</v>
      </c>
    </row>
    <row r="1527" spans="1:2" x14ac:dyDescent="0.2">
      <c r="A1527" s="175">
        <v>40322</v>
      </c>
      <c r="B1527" s="176">
        <v>1.82</v>
      </c>
    </row>
    <row r="1528" spans="1:2" x14ac:dyDescent="0.2">
      <c r="A1528" s="175">
        <v>40323</v>
      </c>
      <c r="B1528" s="176">
        <v>1.77</v>
      </c>
    </row>
    <row r="1529" spans="1:2" x14ac:dyDescent="0.2">
      <c r="A1529" s="175">
        <v>40324</v>
      </c>
      <c r="B1529" s="176">
        <v>1.73</v>
      </c>
    </row>
    <row r="1530" spans="1:2" x14ac:dyDescent="0.2">
      <c r="A1530" s="175">
        <v>40325</v>
      </c>
      <c r="B1530" s="176">
        <v>1.75</v>
      </c>
    </row>
    <row r="1531" spans="1:2" x14ac:dyDescent="0.2">
      <c r="A1531" s="175">
        <v>40326</v>
      </c>
      <c r="B1531" s="176">
        <v>1.74</v>
      </c>
    </row>
    <row r="1532" spans="1:2" x14ac:dyDescent="0.2">
      <c r="A1532" s="175">
        <v>40329</v>
      </c>
      <c r="B1532" s="176" t="e">
        <f>NA()</f>
        <v>#N/A</v>
      </c>
    </row>
    <row r="1533" spans="1:2" x14ac:dyDescent="0.2">
      <c r="A1533" s="175">
        <v>40330</v>
      </c>
      <c r="B1533" s="176">
        <v>1.74</v>
      </c>
    </row>
    <row r="1534" spans="1:2" x14ac:dyDescent="0.2">
      <c r="A1534" s="175">
        <v>40331</v>
      </c>
      <c r="B1534" s="176">
        <v>1.76</v>
      </c>
    </row>
    <row r="1535" spans="1:2" x14ac:dyDescent="0.2">
      <c r="A1535" s="175">
        <v>40332</v>
      </c>
      <c r="B1535" s="176">
        <v>1.75</v>
      </c>
    </row>
    <row r="1536" spans="1:2" x14ac:dyDescent="0.2">
      <c r="A1536" s="175">
        <v>40333</v>
      </c>
      <c r="B1536" s="177">
        <v>1.68</v>
      </c>
    </row>
    <row r="1537" spans="1:2" x14ac:dyDescent="0.2">
      <c r="A1537" s="175">
        <v>40336</v>
      </c>
      <c r="B1537" s="176">
        <v>1.65</v>
      </c>
    </row>
    <row r="1538" spans="1:2" x14ac:dyDescent="0.2">
      <c r="A1538" s="175">
        <v>40337</v>
      </c>
      <c r="B1538" s="176">
        <v>1.68</v>
      </c>
    </row>
    <row r="1539" spans="1:2" x14ac:dyDescent="0.2">
      <c r="A1539" s="175">
        <v>40338</v>
      </c>
      <c r="B1539" s="176">
        <v>1.67</v>
      </c>
    </row>
    <row r="1540" spans="1:2" x14ac:dyDescent="0.2">
      <c r="A1540" s="175">
        <v>40339</v>
      </c>
      <c r="B1540" s="176">
        <v>1.77</v>
      </c>
    </row>
    <row r="1541" spans="1:2" x14ac:dyDescent="0.2">
      <c r="A1541" s="175">
        <v>40340</v>
      </c>
      <c r="B1541" s="176">
        <v>1.7</v>
      </c>
    </row>
    <row r="1542" spans="1:2" x14ac:dyDescent="0.2">
      <c r="A1542" s="175">
        <v>40343</v>
      </c>
      <c r="B1542" s="176">
        <v>1.72</v>
      </c>
    </row>
    <row r="1543" spans="1:2" x14ac:dyDescent="0.2">
      <c r="A1543" s="175">
        <v>40344</v>
      </c>
      <c r="B1543" s="176">
        <v>1.74</v>
      </c>
    </row>
    <row r="1544" spans="1:2" x14ac:dyDescent="0.2">
      <c r="A1544" s="175">
        <v>40345</v>
      </c>
      <c r="B1544" s="176">
        <v>1.7</v>
      </c>
    </row>
    <row r="1545" spans="1:2" x14ac:dyDescent="0.2">
      <c r="A1545" s="175">
        <v>40346</v>
      </c>
      <c r="B1545" s="176">
        <v>1.65</v>
      </c>
    </row>
    <row r="1546" spans="1:2" x14ac:dyDescent="0.2">
      <c r="A1546" s="175">
        <v>40347</v>
      </c>
      <c r="B1546" s="176">
        <v>1.68</v>
      </c>
    </row>
    <row r="1547" spans="1:2" x14ac:dyDescent="0.2">
      <c r="A1547" s="175">
        <v>40350</v>
      </c>
      <c r="B1547" s="176">
        <v>1.67</v>
      </c>
    </row>
    <row r="1548" spans="1:2" x14ac:dyDescent="0.2">
      <c r="A1548" s="175">
        <v>40351</v>
      </c>
      <c r="B1548" s="176">
        <v>1.65</v>
      </c>
    </row>
    <row r="1549" spans="1:2" x14ac:dyDescent="0.2">
      <c r="A1549" s="175">
        <v>40352</v>
      </c>
      <c r="B1549" s="176">
        <v>1.64</v>
      </c>
    </row>
    <row r="1550" spans="1:2" x14ac:dyDescent="0.2">
      <c r="A1550" s="175">
        <v>40353</v>
      </c>
      <c r="B1550" s="176">
        <v>1.69</v>
      </c>
    </row>
    <row r="1551" spans="1:2" x14ac:dyDescent="0.2">
      <c r="A1551" s="175">
        <v>40354</v>
      </c>
      <c r="B1551" s="176">
        <v>1.69</v>
      </c>
    </row>
    <row r="1552" spans="1:2" x14ac:dyDescent="0.2">
      <c r="A1552" s="175">
        <v>40357</v>
      </c>
      <c r="B1552" s="176">
        <v>1.65</v>
      </c>
    </row>
    <row r="1553" spans="1:2" x14ac:dyDescent="0.2">
      <c r="A1553" s="175">
        <v>40358</v>
      </c>
      <c r="B1553" s="176">
        <v>1.64</v>
      </c>
    </row>
    <row r="1554" spans="1:2" x14ac:dyDescent="0.2">
      <c r="A1554" s="175">
        <v>40359</v>
      </c>
      <c r="B1554" s="176">
        <v>1.64</v>
      </c>
    </row>
    <row r="1555" spans="1:2" x14ac:dyDescent="0.2">
      <c r="A1555" s="175">
        <v>40360</v>
      </c>
      <c r="B1555" s="176">
        <v>1.7</v>
      </c>
    </row>
    <row r="1556" spans="1:2" x14ac:dyDescent="0.2">
      <c r="A1556" s="175">
        <v>40361</v>
      </c>
      <c r="B1556" s="176">
        <v>1.74</v>
      </c>
    </row>
    <row r="1557" spans="1:2" x14ac:dyDescent="0.2">
      <c r="A1557" s="175">
        <v>40364</v>
      </c>
      <c r="B1557" s="176" t="e">
        <f>NA()</f>
        <v>#N/A</v>
      </c>
    </row>
    <row r="1558" spans="1:2" x14ac:dyDescent="0.2">
      <c r="A1558" s="175">
        <v>40365</v>
      </c>
      <c r="B1558" s="176">
        <v>1.71</v>
      </c>
    </row>
    <row r="1559" spans="1:2" x14ac:dyDescent="0.2">
      <c r="A1559" s="175">
        <v>40366</v>
      </c>
      <c r="B1559" s="176">
        <v>1.78</v>
      </c>
    </row>
    <row r="1560" spans="1:2" x14ac:dyDescent="0.2">
      <c r="A1560" s="175">
        <v>40367</v>
      </c>
      <c r="B1560" s="176">
        <v>1.76</v>
      </c>
    </row>
    <row r="1561" spans="1:2" x14ac:dyDescent="0.2">
      <c r="A1561" s="175">
        <v>40368</v>
      </c>
      <c r="B1561" s="177">
        <v>1.8</v>
      </c>
    </row>
    <row r="1562" spans="1:2" x14ac:dyDescent="0.2">
      <c r="A1562" s="175">
        <v>40371</v>
      </c>
      <c r="B1562" s="176">
        <v>1.78</v>
      </c>
    </row>
    <row r="1563" spans="1:2" x14ac:dyDescent="0.2">
      <c r="A1563" s="175">
        <v>40372</v>
      </c>
      <c r="B1563" s="176">
        <v>1.83</v>
      </c>
    </row>
    <row r="1564" spans="1:2" x14ac:dyDescent="0.2">
      <c r="A1564" s="175">
        <v>40373</v>
      </c>
      <c r="B1564" s="176">
        <v>1.81</v>
      </c>
    </row>
    <row r="1565" spans="1:2" x14ac:dyDescent="0.2">
      <c r="A1565" s="175">
        <v>40374</v>
      </c>
      <c r="B1565" s="176">
        <v>1.77</v>
      </c>
    </row>
    <row r="1566" spans="1:2" x14ac:dyDescent="0.2">
      <c r="A1566" s="175">
        <v>40375</v>
      </c>
      <c r="B1566" s="176">
        <v>1.78</v>
      </c>
    </row>
    <row r="1567" spans="1:2" x14ac:dyDescent="0.2">
      <c r="A1567" s="175">
        <v>40378</v>
      </c>
      <c r="B1567" s="176">
        <v>1.85</v>
      </c>
    </row>
    <row r="1568" spans="1:2" x14ac:dyDescent="0.2">
      <c r="A1568" s="175">
        <v>40379</v>
      </c>
      <c r="B1568" s="176">
        <v>1.86</v>
      </c>
    </row>
    <row r="1569" spans="1:2" x14ac:dyDescent="0.2">
      <c r="A1569" s="175">
        <v>40380</v>
      </c>
      <c r="B1569" s="176">
        <v>1.75</v>
      </c>
    </row>
    <row r="1570" spans="1:2" x14ac:dyDescent="0.2">
      <c r="A1570" s="175">
        <v>40381</v>
      </c>
      <c r="B1570" s="176">
        <v>1.78</v>
      </c>
    </row>
    <row r="1571" spans="1:2" x14ac:dyDescent="0.2">
      <c r="A1571" s="175">
        <v>40382</v>
      </c>
      <c r="B1571" s="176">
        <v>1.85</v>
      </c>
    </row>
    <row r="1572" spans="1:2" x14ac:dyDescent="0.2">
      <c r="A1572" s="175">
        <v>40385</v>
      </c>
      <c r="B1572" s="176">
        <v>1.87</v>
      </c>
    </row>
    <row r="1573" spans="1:2" x14ac:dyDescent="0.2">
      <c r="A1573" s="175">
        <v>40386</v>
      </c>
      <c r="B1573" s="176">
        <v>1.92</v>
      </c>
    </row>
    <row r="1574" spans="1:2" x14ac:dyDescent="0.2">
      <c r="A1574" s="175">
        <v>40387</v>
      </c>
      <c r="B1574" s="176">
        <v>1.85</v>
      </c>
    </row>
    <row r="1575" spans="1:2" x14ac:dyDescent="0.2">
      <c r="A1575" s="175">
        <v>40388</v>
      </c>
      <c r="B1575" s="176">
        <v>1.83</v>
      </c>
    </row>
    <row r="1576" spans="1:2" x14ac:dyDescent="0.2">
      <c r="A1576" s="175">
        <v>40389</v>
      </c>
      <c r="B1576" s="176">
        <v>1.75</v>
      </c>
    </row>
    <row r="1577" spans="1:2" x14ac:dyDescent="0.2">
      <c r="A1577" s="175">
        <v>40392</v>
      </c>
      <c r="B1577" s="176">
        <v>1.76</v>
      </c>
    </row>
    <row r="1578" spans="1:2" x14ac:dyDescent="0.2">
      <c r="A1578" s="175">
        <v>40393</v>
      </c>
      <c r="B1578" s="176">
        <v>1.71</v>
      </c>
    </row>
    <row r="1579" spans="1:2" x14ac:dyDescent="0.2">
      <c r="A1579" s="175">
        <v>40394</v>
      </c>
      <c r="B1579" s="176">
        <v>1.77</v>
      </c>
    </row>
    <row r="1580" spans="1:2" x14ac:dyDescent="0.2">
      <c r="A1580" s="175">
        <v>40395</v>
      </c>
      <c r="B1580" s="176">
        <v>1.73</v>
      </c>
    </row>
    <row r="1581" spans="1:2" x14ac:dyDescent="0.2">
      <c r="A1581" s="175">
        <v>40396</v>
      </c>
      <c r="B1581" s="176">
        <v>1.73</v>
      </c>
    </row>
    <row r="1582" spans="1:2" x14ac:dyDescent="0.2">
      <c r="A1582" s="175">
        <v>40399</v>
      </c>
      <c r="B1582" s="176">
        <v>1.73</v>
      </c>
    </row>
    <row r="1583" spans="1:2" x14ac:dyDescent="0.2">
      <c r="A1583" s="175">
        <v>40400</v>
      </c>
      <c r="B1583" s="176">
        <v>1.63</v>
      </c>
    </row>
    <row r="1584" spans="1:2" x14ac:dyDescent="0.2">
      <c r="A1584" s="175">
        <v>40401</v>
      </c>
      <c r="B1584" s="176">
        <v>1.67</v>
      </c>
    </row>
    <row r="1585" spans="1:2" x14ac:dyDescent="0.2">
      <c r="A1585" s="175">
        <v>40402</v>
      </c>
      <c r="B1585" s="176">
        <v>1.73</v>
      </c>
    </row>
    <row r="1586" spans="1:2" x14ac:dyDescent="0.2">
      <c r="A1586" s="175">
        <v>40403</v>
      </c>
      <c r="B1586" s="176">
        <v>1.68</v>
      </c>
    </row>
    <row r="1587" spans="1:2" x14ac:dyDescent="0.2">
      <c r="A1587" s="175">
        <v>40406</v>
      </c>
      <c r="B1587" s="176">
        <v>1.6</v>
      </c>
    </row>
    <row r="1588" spans="1:2" x14ac:dyDescent="0.2">
      <c r="A1588" s="175">
        <v>40407</v>
      </c>
      <c r="B1588" s="176">
        <v>1.67</v>
      </c>
    </row>
    <row r="1589" spans="1:2" x14ac:dyDescent="0.2">
      <c r="A1589" s="175">
        <v>40408</v>
      </c>
      <c r="B1589" s="176">
        <v>1.67</v>
      </c>
    </row>
    <row r="1590" spans="1:2" x14ac:dyDescent="0.2">
      <c r="A1590" s="175">
        <v>40409</v>
      </c>
      <c r="B1590" s="176">
        <v>1.65</v>
      </c>
    </row>
    <row r="1591" spans="1:2" x14ac:dyDescent="0.2">
      <c r="A1591" s="175">
        <v>40410</v>
      </c>
      <c r="B1591" s="176">
        <v>1.71</v>
      </c>
    </row>
    <row r="1592" spans="1:2" x14ac:dyDescent="0.2">
      <c r="A1592" s="175">
        <v>40413</v>
      </c>
      <c r="B1592" s="176">
        <v>1.64</v>
      </c>
    </row>
    <row r="1593" spans="1:2" x14ac:dyDescent="0.2">
      <c r="A1593" s="175">
        <v>40414</v>
      </c>
      <c r="B1593" s="176">
        <v>1.57</v>
      </c>
    </row>
    <row r="1594" spans="1:2" x14ac:dyDescent="0.2">
      <c r="A1594" s="175">
        <v>40415</v>
      </c>
      <c r="B1594" s="176">
        <v>1.54</v>
      </c>
    </row>
    <row r="1595" spans="1:2" x14ac:dyDescent="0.2">
      <c r="A1595" s="175">
        <v>40416</v>
      </c>
      <c r="B1595" s="176">
        <v>1.48</v>
      </c>
    </row>
    <row r="1596" spans="1:2" x14ac:dyDescent="0.2">
      <c r="A1596" s="175">
        <v>40417</v>
      </c>
      <c r="B1596" s="176">
        <v>1.6</v>
      </c>
    </row>
    <row r="1597" spans="1:2" x14ac:dyDescent="0.2">
      <c r="A1597" s="175">
        <v>40420</v>
      </c>
      <c r="B1597" s="176">
        <v>1.54</v>
      </c>
    </row>
    <row r="1598" spans="1:2" x14ac:dyDescent="0.2">
      <c r="A1598" s="175">
        <v>40421</v>
      </c>
      <c r="B1598" s="176">
        <v>1.51</v>
      </c>
    </row>
    <row r="1599" spans="1:2" x14ac:dyDescent="0.2">
      <c r="A1599" s="175">
        <v>40422</v>
      </c>
      <c r="B1599" s="176">
        <v>1.58</v>
      </c>
    </row>
    <row r="1600" spans="1:2" x14ac:dyDescent="0.2">
      <c r="A1600" s="175">
        <v>40423</v>
      </c>
      <c r="B1600" s="176">
        <v>1.64</v>
      </c>
    </row>
    <row r="1601" spans="1:2" x14ac:dyDescent="0.2">
      <c r="A1601" s="175">
        <v>40424</v>
      </c>
      <c r="B1601" s="176">
        <v>1.67</v>
      </c>
    </row>
    <row r="1602" spans="1:2" x14ac:dyDescent="0.2">
      <c r="A1602" s="175">
        <v>40427</v>
      </c>
      <c r="B1602" s="176" t="e">
        <f>NA()</f>
        <v>#N/A</v>
      </c>
    </row>
    <row r="1603" spans="1:2" x14ac:dyDescent="0.2">
      <c r="A1603" s="175">
        <v>40428</v>
      </c>
      <c r="B1603" s="176">
        <v>1.56</v>
      </c>
    </row>
    <row r="1604" spans="1:2" x14ac:dyDescent="0.2">
      <c r="A1604" s="175">
        <v>40429</v>
      </c>
      <c r="B1604" s="176">
        <v>1.63</v>
      </c>
    </row>
    <row r="1605" spans="1:2" x14ac:dyDescent="0.2">
      <c r="A1605" s="175">
        <v>40430</v>
      </c>
      <c r="B1605" s="176">
        <v>1.71</v>
      </c>
    </row>
    <row r="1606" spans="1:2" x14ac:dyDescent="0.2">
      <c r="A1606" s="175">
        <v>40431</v>
      </c>
      <c r="B1606" s="177">
        <v>1.7</v>
      </c>
    </row>
    <row r="1607" spans="1:2" x14ac:dyDescent="0.2">
      <c r="A1607" s="175">
        <v>40434</v>
      </c>
      <c r="B1607" s="176">
        <v>1.6</v>
      </c>
    </row>
    <row r="1608" spans="1:2" x14ac:dyDescent="0.2">
      <c r="A1608" s="175">
        <v>40435</v>
      </c>
      <c r="B1608" s="176">
        <v>1.64</v>
      </c>
    </row>
    <row r="1609" spans="1:2" x14ac:dyDescent="0.2">
      <c r="A1609" s="175">
        <v>40436</v>
      </c>
      <c r="B1609" s="176">
        <v>1.68</v>
      </c>
    </row>
    <row r="1610" spans="1:2" x14ac:dyDescent="0.2">
      <c r="A1610" s="175">
        <v>40437</v>
      </c>
      <c r="B1610" s="176">
        <v>1.73</v>
      </c>
    </row>
    <row r="1611" spans="1:2" x14ac:dyDescent="0.2">
      <c r="A1611" s="175">
        <v>40438</v>
      </c>
      <c r="B1611" s="176">
        <v>1.71</v>
      </c>
    </row>
    <row r="1612" spans="1:2" x14ac:dyDescent="0.2">
      <c r="A1612" s="175">
        <v>40441</v>
      </c>
      <c r="B1612" s="176">
        <v>1.61</v>
      </c>
    </row>
    <row r="1613" spans="1:2" x14ac:dyDescent="0.2">
      <c r="A1613" s="175">
        <v>40442</v>
      </c>
      <c r="B1613" s="176">
        <v>1.47</v>
      </c>
    </row>
    <row r="1614" spans="1:2" x14ac:dyDescent="0.2">
      <c r="A1614" s="175">
        <v>40443</v>
      </c>
      <c r="B1614" s="176">
        <v>1.44</v>
      </c>
    </row>
    <row r="1615" spans="1:2" x14ac:dyDescent="0.2">
      <c r="A1615" s="175">
        <v>40444</v>
      </c>
      <c r="B1615" s="176">
        <v>1.44</v>
      </c>
    </row>
    <row r="1616" spans="1:2" x14ac:dyDescent="0.2">
      <c r="A1616" s="175">
        <v>40445</v>
      </c>
      <c r="B1616" s="176">
        <v>1.51</v>
      </c>
    </row>
    <row r="1617" spans="1:2" x14ac:dyDescent="0.2">
      <c r="A1617" s="175">
        <v>40448</v>
      </c>
      <c r="B1617" s="176">
        <v>1.53</v>
      </c>
    </row>
    <row r="1618" spans="1:2" x14ac:dyDescent="0.2">
      <c r="A1618" s="175">
        <v>40449</v>
      </c>
      <c r="B1618" s="176">
        <v>1.43</v>
      </c>
    </row>
    <row r="1619" spans="1:2" x14ac:dyDescent="0.2">
      <c r="A1619" s="175">
        <v>40450</v>
      </c>
      <c r="B1619" s="176">
        <v>1.48</v>
      </c>
    </row>
    <row r="1620" spans="1:2" x14ac:dyDescent="0.2">
      <c r="A1620" s="175">
        <v>40451</v>
      </c>
      <c r="B1620" s="176">
        <v>1.51</v>
      </c>
    </row>
    <row r="1621" spans="1:2" x14ac:dyDescent="0.2">
      <c r="A1621" s="175">
        <v>40452</v>
      </c>
      <c r="B1621" s="176">
        <v>1.49</v>
      </c>
    </row>
    <row r="1622" spans="1:2" x14ac:dyDescent="0.2">
      <c r="A1622" s="175">
        <v>40455</v>
      </c>
      <c r="B1622" s="176">
        <v>1.49</v>
      </c>
    </row>
    <row r="1623" spans="1:2" x14ac:dyDescent="0.2">
      <c r="A1623" s="175">
        <v>40456</v>
      </c>
      <c r="B1623" s="176">
        <v>1.4</v>
      </c>
    </row>
    <row r="1624" spans="1:2" x14ac:dyDescent="0.2">
      <c r="A1624" s="175">
        <v>40457</v>
      </c>
      <c r="B1624" s="176">
        <v>1.31</v>
      </c>
    </row>
    <row r="1625" spans="1:2" x14ac:dyDescent="0.2">
      <c r="A1625" s="175">
        <v>40458</v>
      </c>
      <c r="B1625" s="176">
        <v>1.34</v>
      </c>
    </row>
    <row r="1626" spans="1:2" x14ac:dyDescent="0.2">
      <c r="A1626" s="175">
        <v>40459</v>
      </c>
      <c r="B1626" s="176">
        <v>1.27</v>
      </c>
    </row>
    <row r="1627" spans="1:2" x14ac:dyDescent="0.2">
      <c r="A1627" s="175">
        <v>40462</v>
      </c>
      <c r="B1627" s="176" t="e">
        <f>NA()</f>
        <v>#N/A</v>
      </c>
    </row>
    <row r="1628" spans="1:2" x14ac:dyDescent="0.2">
      <c r="A1628" s="175">
        <v>40463</v>
      </c>
      <c r="B1628" s="176">
        <v>1.32</v>
      </c>
    </row>
    <row r="1629" spans="1:2" x14ac:dyDescent="0.2">
      <c r="A1629" s="175">
        <v>40464</v>
      </c>
      <c r="B1629" s="176">
        <v>1.25</v>
      </c>
    </row>
    <row r="1630" spans="1:2" x14ac:dyDescent="0.2">
      <c r="A1630" s="175">
        <v>40465</v>
      </c>
      <c r="B1630" s="176">
        <v>1.23</v>
      </c>
    </row>
    <row r="1631" spans="1:2" x14ac:dyDescent="0.2">
      <c r="A1631" s="175">
        <v>40466</v>
      </c>
      <c r="B1631" s="177">
        <v>1.32</v>
      </c>
    </row>
    <row r="1632" spans="1:2" x14ac:dyDescent="0.2">
      <c r="A1632" s="175">
        <v>40469</v>
      </c>
      <c r="B1632" s="176">
        <v>1.29</v>
      </c>
    </row>
    <row r="1633" spans="1:2" x14ac:dyDescent="0.2">
      <c r="A1633" s="175">
        <v>40470</v>
      </c>
      <c r="B1633" s="176">
        <v>1.22</v>
      </c>
    </row>
    <row r="1634" spans="1:2" x14ac:dyDescent="0.2">
      <c r="A1634" s="175">
        <v>40471</v>
      </c>
      <c r="B1634" s="176">
        <v>1.26</v>
      </c>
    </row>
    <row r="1635" spans="1:2" x14ac:dyDescent="0.2">
      <c r="A1635" s="175">
        <v>40472</v>
      </c>
      <c r="B1635" s="176">
        <v>1.32</v>
      </c>
    </row>
    <row r="1636" spans="1:2" x14ac:dyDescent="0.2">
      <c r="A1636" s="175">
        <v>40473</v>
      </c>
      <c r="B1636" s="176">
        <v>1.3</v>
      </c>
    </row>
    <row r="1637" spans="1:2" x14ac:dyDescent="0.2">
      <c r="A1637" s="175">
        <v>40476</v>
      </c>
      <c r="B1637" s="176">
        <v>1.27</v>
      </c>
    </row>
    <row r="1638" spans="1:2" x14ac:dyDescent="0.2">
      <c r="A1638" s="175">
        <v>40477</v>
      </c>
      <c r="B1638" s="176">
        <v>1.34</v>
      </c>
    </row>
    <row r="1639" spans="1:2" x14ac:dyDescent="0.2">
      <c r="A1639" s="175">
        <v>40478</v>
      </c>
      <c r="B1639" s="176">
        <v>1.4</v>
      </c>
    </row>
    <row r="1640" spans="1:2" x14ac:dyDescent="0.2">
      <c r="A1640" s="175">
        <v>40479</v>
      </c>
      <c r="B1640" s="176">
        <v>1.37</v>
      </c>
    </row>
    <row r="1641" spans="1:2" x14ac:dyDescent="0.2">
      <c r="A1641" s="175">
        <v>40480</v>
      </c>
      <c r="B1641" s="176">
        <v>1.27</v>
      </c>
    </row>
    <row r="1642" spans="1:2" x14ac:dyDescent="0.2">
      <c r="A1642" s="175">
        <v>40483</v>
      </c>
      <c r="B1642" s="176">
        <v>1.23</v>
      </c>
    </row>
    <row r="1643" spans="1:2" x14ac:dyDescent="0.2">
      <c r="A1643" s="175">
        <v>40484</v>
      </c>
      <c r="B1643" s="176">
        <v>1.18</v>
      </c>
    </row>
    <row r="1644" spans="1:2" x14ac:dyDescent="0.2">
      <c r="A1644" s="175">
        <v>40485</v>
      </c>
      <c r="B1644" s="176">
        <v>1.22</v>
      </c>
    </row>
    <row r="1645" spans="1:2" x14ac:dyDescent="0.2">
      <c r="A1645" s="175">
        <v>40486</v>
      </c>
      <c r="B1645" s="176">
        <v>1.2</v>
      </c>
    </row>
    <row r="1646" spans="1:2" x14ac:dyDescent="0.2">
      <c r="A1646" s="175">
        <v>40487</v>
      </c>
      <c r="B1646" s="176">
        <v>1.26</v>
      </c>
    </row>
    <row r="1647" spans="1:2" x14ac:dyDescent="0.2">
      <c r="A1647" s="175">
        <v>40490</v>
      </c>
      <c r="B1647" s="176">
        <v>1.26</v>
      </c>
    </row>
    <row r="1648" spans="1:2" x14ac:dyDescent="0.2">
      <c r="A1648" s="175">
        <v>40491</v>
      </c>
      <c r="B1648" s="176">
        <v>1.4</v>
      </c>
    </row>
    <row r="1649" spans="1:2" x14ac:dyDescent="0.2">
      <c r="A1649" s="175">
        <v>40492</v>
      </c>
      <c r="B1649" s="176">
        <v>1.35</v>
      </c>
    </row>
    <row r="1650" spans="1:2" x14ac:dyDescent="0.2">
      <c r="A1650" s="175">
        <v>40493</v>
      </c>
      <c r="B1650" s="176" t="e">
        <f>NA()</f>
        <v>#N/A</v>
      </c>
    </row>
    <row r="1651" spans="1:2" x14ac:dyDescent="0.2">
      <c r="A1651" s="175">
        <v>40494</v>
      </c>
      <c r="B1651" s="176">
        <v>1.47</v>
      </c>
    </row>
    <row r="1652" spans="1:2" x14ac:dyDescent="0.2">
      <c r="A1652" s="175">
        <v>40497</v>
      </c>
      <c r="B1652" s="176">
        <v>1.68</v>
      </c>
    </row>
    <row r="1653" spans="1:2" x14ac:dyDescent="0.2">
      <c r="A1653" s="175">
        <v>40498</v>
      </c>
      <c r="B1653" s="176">
        <v>1.66</v>
      </c>
    </row>
    <row r="1654" spans="1:2" x14ac:dyDescent="0.2">
      <c r="A1654" s="175">
        <v>40499</v>
      </c>
      <c r="B1654" s="177">
        <v>1.67</v>
      </c>
    </row>
    <row r="1655" spans="1:2" x14ac:dyDescent="0.2">
      <c r="A1655" s="175">
        <v>40500</v>
      </c>
      <c r="B1655" s="176">
        <v>1.64</v>
      </c>
    </row>
    <row r="1656" spans="1:2" x14ac:dyDescent="0.2">
      <c r="A1656" s="175">
        <v>40501</v>
      </c>
      <c r="B1656" s="176">
        <v>1.54</v>
      </c>
    </row>
    <row r="1657" spans="1:2" x14ac:dyDescent="0.2">
      <c r="A1657" s="175">
        <v>40504</v>
      </c>
      <c r="B1657" s="176">
        <v>1.48</v>
      </c>
    </row>
    <row r="1658" spans="1:2" x14ac:dyDescent="0.2">
      <c r="A1658" s="175">
        <v>40505</v>
      </c>
      <c r="B1658" s="176">
        <v>1.46</v>
      </c>
    </row>
    <row r="1659" spans="1:2" x14ac:dyDescent="0.2">
      <c r="A1659" s="175">
        <v>40506</v>
      </c>
      <c r="B1659" s="176">
        <v>1.56</v>
      </c>
    </row>
    <row r="1660" spans="1:2" x14ac:dyDescent="0.2">
      <c r="A1660" s="175">
        <v>40507</v>
      </c>
      <c r="B1660" s="176" t="e">
        <f>NA()</f>
        <v>#N/A</v>
      </c>
    </row>
    <row r="1661" spans="1:2" x14ac:dyDescent="0.2">
      <c r="A1661" s="175">
        <v>40508</v>
      </c>
      <c r="B1661" s="176">
        <v>1.5</v>
      </c>
    </row>
    <row r="1662" spans="1:2" x14ac:dyDescent="0.2">
      <c r="A1662" s="175">
        <v>40511</v>
      </c>
      <c r="B1662" s="176">
        <v>1.45</v>
      </c>
    </row>
    <row r="1663" spans="1:2" x14ac:dyDescent="0.2">
      <c r="A1663" s="175">
        <v>40512</v>
      </c>
      <c r="B1663" s="176">
        <v>1.49</v>
      </c>
    </row>
    <row r="1664" spans="1:2" x14ac:dyDescent="0.2">
      <c r="A1664" s="175">
        <v>40513</v>
      </c>
      <c r="B1664" s="177">
        <v>1.54</v>
      </c>
    </row>
    <row r="1665" spans="1:2" x14ac:dyDescent="0.2">
      <c r="A1665" s="175">
        <v>40514</v>
      </c>
      <c r="B1665" s="176">
        <v>1.55</v>
      </c>
    </row>
    <row r="1666" spans="1:2" x14ac:dyDescent="0.2">
      <c r="A1666" s="175">
        <v>40515</v>
      </c>
      <c r="B1666" s="176">
        <v>1.6</v>
      </c>
    </row>
    <row r="1667" spans="1:2" x14ac:dyDescent="0.2">
      <c r="A1667" s="175">
        <v>40518</v>
      </c>
      <c r="B1667" s="176">
        <v>1.56</v>
      </c>
    </row>
    <row r="1668" spans="1:2" x14ac:dyDescent="0.2">
      <c r="A1668" s="175">
        <v>40519</v>
      </c>
      <c r="B1668" s="176">
        <v>1.63</v>
      </c>
    </row>
    <row r="1669" spans="1:2" x14ac:dyDescent="0.2">
      <c r="A1669" s="175">
        <v>40520</v>
      </c>
      <c r="B1669" s="176">
        <v>1.74</v>
      </c>
    </row>
    <row r="1670" spans="1:2" x14ac:dyDescent="0.2">
      <c r="A1670" s="175">
        <v>40521</v>
      </c>
      <c r="B1670" s="176">
        <v>1.72</v>
      </c>
    </row>
    <row r="1671" spans="1:2" x14ac:dyDescent="0.2">
      <c r="A1671" s="175">
        <v>40522</v>
      </c>
      <c r="B1671" s="176">
        <v>1.76</v>
      </c>
    </row>
    <row r="1672" spans="1:2" x14ac:dyDescent="0.2">
      <c r="A1672" s="175">
        <v>40525</v>
      </c>
      <c r="B1672" s="176">
        <v>1.71</v>
      </c>
    </row>
    <row r="1673" spans="1:2" x14ac:dyDescent="0.2">
      <c r="A1673" s="175">
        <v>40526</v>
      </c>
      <c r="B1673" s="176">
        <v>1.85</v>
      </c>
    </row>
    <row r="1674" spans="1:2" x14ac:dyDescent="0.2">
      <c r="A1674" s="175">
        <v>40527</v>
      </c>
      <c r="B1674" s="176">
        <v>1.8</v>
      </c>
    </row>
    <row r="1675" spans="1:2" x14ac:dyDescent="0.2">
      <c r="A1675" s="175">
        <v>40528</v>
      </c>
      <c r="B1675" s="176">
        <v>1.73</v>
      </c>
    </row>
    <row r="1676" spans="1:2" x14ac:dyDescent="0.2">
      <c r="A1676" s="175">
        <v>40529</v>
      </c>
      <c r="B1676" s="176">
        <v>1.63</v>
      </c>
    </row>
    <row r="1677" spans="1:2" x14ac:dyDescent="0.2">
      <c r="A1677" s="175">
        <v>40532</v>
      </c>
      <c r="B1677" s="176">
        <v>1.66</v>
      </c>
    </row>
    <row r="1678" spans="1:2" x14ac:dyDescent="0.2">
      <c r="A1678" s="175">
        <v>40533</v>
      </c>
      <c r="B1678" s="176">
        <v>1.65</v>
      </c>
    </row>
    <row r="1679" spans="1:2" x14ac:dyDescent="0.2">
      <c r="A1679" s="175">
        <v>40534</v>
      </c>
      <c r="B1679" s="176">
        <v>1.63</v>
      </c>
    </row>
    <row r="1680" spans="1:2" x14ac:dyDescent="0.2">
      <c r="A1680" s="175">
        <v>40535</v>
      </c>
      <c r="B1680" s="176">
        <v>1.67</v>
      </c>
    </row>
    <row r="1681" spans="1:2" x14ac:dyDescent="0.2">
      <c r="A1681" s="175">
        <v>40536</v>
      </c>
      <c r="B1681" s="176" t="e">
        <f>NA()</f>
        <v>#N/A</v>
      </c>
    </row>
    <row r="1682" spans="1:2" x14ac:dyDescent="0.2">
      <c r="A1682" s="175">
        <v>40539</v>
      </c>
      <c r="B1682" s="176">
        <v>1.64</v>
      </c>
    </row>
    <row r="1683" spans="1:2" x14ac:dyDescent="0.2">
      <c r="A1683" s="175">
        <v>40540</v>
      </c>
      <c r="B1683" s="176">
        <v>1.76</v>
      </c>
    </row>
    <row r="1684" spans="1:2" x14ac:dyDescent="0.2">
      <c r="A1684" s="175">
        <v>40541</v>
      </c>
      <c r="B1684" s="176">
        <v>1.65</v>
      </c>
    </row>
    <row r="1685" spans="1:2" x14ac:dyDescent="0.2">
      <c r="A1685" s="175">
        <v>40542</v>
      </c>
      <c r="B1685" s="177">
        <v>1.67</v>
      </c>
    </row>
    <row r="1686" spans="1:2" x14ac:dyDescent="0.2">
      <c r="A1686" s="175">
        <v>40543</v>
      </c>
      <c r="B1686" s="176">
        <v>1.59</v>
      </c>
    </row>
    <row r="1687" spans="1:2" x14ac:dyDescent="0.2">
      <c r="A1687" s="175">
        <v>40546</v>
      </c>
      <c r="B1687" s="176">
        <v>1.64</v>
      </c>
    </row>
    <row r="1688" spans="1:2" x14ac:dyDescent="0.2">
      <c r="A1688" s="175">
        <v>40547</v>
      </c>
      <c r="B1688" s="176">
        <v>1.63</v>
      </c>
    </row>
    <row r="1689" spans="1:2" x14ac:dyDescent="0.2">
      <c r="A1689" s="175">
        <v>40548</v>
      </c>
      <c r="B1689" s="176">
        <v>1.69</v>
      </c>
    </row>
    <row r="1690" spans="1:2" x14ac:dyDescent="0.2">
      <c r="A1690" s="175">
        <v>40549</v>
      </c>
      <c r="B1690" s="176">
        <v>1.66</v>
      </c>
    </row>
    <row r="1691" spans="1:2" x14ac:dyDescent="0.2">
      <c r="A1691" s="175">
        <v>40550</v>
      </c>
      <c r="B1691" s="176">
        <v>1.63</v>
      </c>
    </row>
    <row r="1692" spans="1:2" x14ac:dyDescent="0.2">
      <c r="A1692" s="175">
        <v>40553</v>
      </c>
      <c r="B1692" s="176">
        <v>1.62</v>
      </c>
    </row>
    <row r="1693" spans="1:2" x14ac:dyDescent="0.2">
      <c r="A1693" s="175">
        <v>40554</v>
      </c>
      <c r="B1693" s="176">
        <v>1.62</v>
      </c>
    </row>
    <row r="1694" spans="1:2" x14ac:dyDescent="0.2">
      <c r="A1694" s="175">
        <v>40555</v>
      </c>
      <c r="B1694" s="176">
        <v>1.64</v>
      </c>
    </row>
    <row r="1695" spans="1:2" x14ac:dyDescent="0.2">
      <c r="A1695" s="175">
        <v>40556</v>
      </c>
      <c r="B1695" s="176">
        <v>1.62</v>
      </c>
    </row>
    <row r="1696" spans="1:2" x14ac:dyDescent="0.2">
      <c r="A1696" s="175">
        <v>40557</v>
      </c>
      <c r="B1696" s="176">
        <v>1.65</v>
      </c>
    </row>
    <row r="1697" spans="1:2" x14ac:dyDescent="0.2">
      <c r="A1697" s="175">
        <v>40560</v>
      </c>
      <c r="B1697" s="176" t="e">
        <f>NA()</f>
        <v>#N/A</v>
      </c>
    </row>
    <row r="1698" spans="1:2" x14ac:dyDescent="0.2">
      <c r="A1698" s="175">
        <v>40561</v>
      </c>
      <c r="B1698" s="176">
        <v>1.65</v>
      </c>
    </row>
    <row r="1699" spans="1:2" x14ac:dyDescent="0.2">
      <c r="A1699" s="175">
        <v>40562</v>
      </c>
      <c r="B1699" s="176">
        <v>1.64</v>
      </c>
    </row>
    <row r="1700" spans="1:2" x14ac:dyDescent="0.2">
      <c r="A1700" s="175">
        <v>40563</v>
      </c>
      <c r="B1700" s="176">
        <v>1.8</v>
      </c>
    </row>
    <row r="1701" spans="1:2" x14ac:dyDescent="0.2">
      <c r="A1701" s="175">
        <v>40564</v>
      </c>
      <c r="B1701" s="177">
        <v>1.79</v>
      </c>
    </row>
    <row r="1702" spans="1:2" x14ac:dyDescent="0.2">
      <c r="A1702" s="175">
        <v>40567</v>
      </c>
      <c r="B1702" s="176">
        <v>1.79</v>
      </c>
    </row>
    <row r="1703" spans="1:2" x14ac:dyDescent="0.2">
      <c r="A1703" s="175">
        <v>40568</v>
      </c>
      <c r="B1703" s="176">
        <v>1.75</v>
      </c>
    </row>
    <row r="1704" spans="1:2" x14ac:dyDescent="0.2">
      <c r="A1704" s="175">
        <v>40569</v>
      </c>
      <c r="B1704" s="176">
        <v>1.82</v>
      </c>
    </row>
    <row r="1705" spans="1:2" x14ac:dyDescent="0.2">
      <c r="A1705" s="175">
        <v>40570</v>
      </c>
      <c r="B1705" s="176">
        <v>1.82</v>
      </c>
    </row>
    <row r="1706" spans="1:2" x14ac:dyDescent="0.2">
      <c r="A1706" s="175">
        <v>40571</v>
      </c>
      <c r="B1706" s="176">
        <v>1.78</v>
      </c>
    </row>
    <row r="1707" spans="1:2" x14ac:dyDescent="0.2">
      <c r="A1707" s="175">
        <v>40574</v>
      </c>
      <c r="B1707" s="176">
        <v>1.79</v>
      </c>
    </row>
    <row r="1708" spans="1:2" x14ac:dyDescent="0.2">
      <c r="A1708" s="175">
        <v>40575</v>
      </c>
      <c r="B1708" s="176">
        <v>1.81</v>
      </c>
    </row>
    <row r="1709" spans="1:2" x14ac:dyDescent="0.2">
      <c r="A1709" s="175">
        <v>40576</v>
      </c>
      <c r="B1709" s="176">
        <v>1.82</v>
      </c>
    </row>
    <row r="1710" spans="1:2" x14ac:dyDescent="0.2">
      <c r="A1710" s="175">
        <v>40577</v>
      </c>
      <c r="B1710" s="176">
        <v>1.87</v>
      </c>
    </row>
    <row r="1711" spans="1:2" x14ac:dyDescent="0.2">
      <c r="A1711" s="175">
        <v>40578</v>
      </c>
      <c r="B1711" s="176">
        <v>1.92</v>
      </c>
    </row>
    <row r="1712" spans="1:2" x14ac:dyDescent="0.2">
      <c r="A1712" s="175">
        <v>40581</v>
      </c>
      <c r="B1712" s="176">
        <v>1.91</v>
      </c>
    </row>
    <row r="1713" spans="1:2" x14ac:dyDescent="0.2">
      <c r="A1713" s="175">
        <v>40582</v>
      </c>
      <c r="B1713" s="176">
        <v>1.96</v>
      </c>
    </row>
    <row r="1714" spans="1:2" x14ac:dyDescent="0.2">
      <c r="A1714" s="175">
        <v>40583</v>
      </c>
      <c r="B1714" s="176">
        <v>1.92</v>
      </c>
    </row>
    <row r="1715" spans="1:2" x14ac:dyDescent="0.2">
      <c r="A1715" s="175">
        <v>40584</v>
      </c>
      <c r="B1715" s="176">
        <v>1.98</v>
      </c>
    </row>
    <row r="1716" spans="1:2" x14ac:dyDescent="0.2">
      <c r="A1716" s="175">
        <v>40585</v>
      </c>
      <c r="B1716" s="176">
        <v>1.94</v>
      </c>
    </row>
    <row r="1717" spans="1:2" x14ac:dyDescent="0.2">
      <c r="A1717" s="175">
        <v>40588</v>
      </c>
      <c r="B1717" s="176">
        <v>1.91</v>
      </c>
    </row>
    <row r="1718" spans="1:2" x14ac:dyDescent="0.2">
      <c r="A1718" s="175">
        <v>40589</v>
      </c>
      <c r="B1718" s="176">
        <v>1.91</v>
      </c>
    </row>
    <row r="1719" spans="1:2" x14ac:dyDescent="0.2">
      <c r="A1719" s="175">
        <v>40590</v>
      </c>
      <c r="B1719" s="176">
        <v>1.95</v>
      </c>
    </row>
    <row r="1720" spans="1:2" x14ac:dyDescent="0.2">
      <c r="A1720" s="175">
        <v>40591</v>
      </c>
      <c r="B1720" s="176">
        <v>1.9</v>
      </c>
    </row>
    <row r="1721" spans="1:2" x14ac:dyDescent="0.2">
      <c r="A1721" s="175">
        <v>40592</v>
      </c>
      <c r="B1721" s="176">
        <v>1.86</v>
      </c>
    </row>
    <row r="1722" spans="1:2" x14ac:dyDescent="0.2">
      <c r="A1722" s="175">
        <v>40595</v>
      </c>
      <c r="B1722" s="176" t="e">
        <f>NA()</f>
        <v>#N/A</v>
      </c>
    </row>
    <row r="1723" spans="1:2" x14ac:dyDescent="0.2">
      <c r="A1723" s="175">
        <v>40596</v>
      </c>
      <c r="B1723" s="176">
        <v>1.76</v>
      </c>
    </row>
    <row r="1724" spans="1:2" x14ac:dyDescent="0.2">
      <c r="A1724" s="175">
        <v>40597</v>
      </c>
      <c r="B1724" s="176">
        <v>1.75</v>
      </c>
    </row>
    <row r="1725" spans="1:2" x14ac:dyDescent="0.2">
      <c r="A1725" s="175">
        <v>40598</v>
      </c>
      <c r="B1725" s="176">
        <v>1.69</v>
      </c>
    </row>
    <row r="1726" spans="1:2" x14ac:dyDescent="0.2">
      <c r="A1726" s="175">
        <v>40599</v>
      </c>
      <c r="B1726" s="177">
        <v>1.66</v>
      </c>
    </row>
    <row r="1727" spans="1:2" x14ac:dyDescent="0.2">
      <c r="A1727" s="175">
        <v>40602</v>
      </c>
      <c r="B1727" s="176">
        <v>1.66</v>
      </c>
    </row>
    <row r="1728" spans="1:2" x14ac:dyDescent="0.2">
      <c r="A1728" s="175">
        <v>40603</v>
      </c>
      <c r="B1728" s="176">
        <v>1.63</v>
      </c>
    </row>
    <row r="1729" spans="1:2" x14ac:dyDescent="0.2">
      <c r="A1729" s="175">
        <v>40604</v>
      </c>
      <c r="B1729" s="176">
        <v>1.64</v>
      </c>
    </row>
    <row r="1730" spans="1:2" x14ac:dyDescent="0.2">
      <c r="A1730" s="175">
        <v>40605</v>
      </c>
      <c r="B1730" s="176">
        <v>1.69</v>
      </c>
    </row>
    <row r="1731" spans="1:2" x14ac:dyDescent="0.2">
      <c r="A1731" s="175">
        <v>40606</v>
      </c>
      <c r="B1731" s="176">
        <v>1.62</v>
      </c>
    </row>
    <row r="1732" spans="1:2" x14ac:dyDescent="0.2">
      <c r="A1732" s="175">
        <v>40609</v>
      </c>
      <c r="B1732" s="176">
        <v>1.62</v>
      </c>
    </row>
    <row r="1733" spans="1:2" x14ac:dyDescent="0.2">
      <c r="A1733" s="175">
        <v>40610</v>
      </c>
      <c r="B1733" s="176">
        <v>1.64</v>
      </c>
    </row>
    <row r="1734" spans="1:2" x14ac:dyDescent="0.2">
      <c r="A1734" s="175">
        <v>40611</v>
      </c>
      <c r="B1734" s="176">
        <v>1.61</v>
      </c>
    </row>
    <row r="1735" spans="1:2" x14ac:dyDescent="0.2">
      <c r="A1735" s="175">
        <v>40612</v>
      </c>
      <c r="B1735" s="176">
        <v>1.53</v>
      </c>
    </row>
    <row r="1736" spans="1:2" x14ac:dyDescent="0.2">
      <c r="A1736" s="175">
        <v>40613</v>
      </c>
      <c r="B1736" s="176">
        <v>1.58</v>
      </c>
    </row>
    <row r="1737" spans="1:2" x14ac:dyDescent="0.2">
      <c r="A1737" s="175">
        <v>40616</v>
      </c>
      <c r="B1737" s="176">
        <v>1.57</v>
      </c>
    </row>
    <row r="1738" spans="1:2" x14ac:dyDescent="0.2">
      <c r="A1738" s="175">
        <v>40617</v>
      </c>
      <c r="B1738" s="176">
        <v>1.56</v>
      </c>
    </row>
    <row r="1739" spans="1:2" x14ac:dyDescent="0.2">
      <c r="A1739" s="175">
        <v>40618</v>
      </c>
      <c r="B1739" s="176">
        <v>1.49</v>
      </c>
    </row>
    <row r="1740" spans="1:2" x14ac:dyDescent="0.2">
      <c r="A1740" s="175">
        <v>40619</v>
      </c>
      <c r="B1740" s="176">
        <v>1.47</v>
      </c>
    </row>
    <row r="1741" spans="1:2" x14ac:dyDescent="0.2">
      <c r="A1741" s="175">
        <v>40620</v>
      </c>
      <c r="B1741" s="176">
        <v>1.49</v>
      </c>
    </row>
    <row r="1742" spans="1:2" x14ac:dyDescent="0.2">
      <c r="A1742" s="175">
        <v>40623</v>
      </c>
      <c r="B1742" s="176">
        <v>1.52</v>
      </c>
    </row>
    <row r="1743" spans="1:2" x14ac:dyDescent="0.2">
      <c r="A1743" s="175">
        <v>40624</v>
      </c>
      <c r="B1743" s="176">
        <v>1.55</v>
      </c>
    </row>
    <row r="1744" spans="1:2" x14ac:dyDescent="0.2">
      <c r="A1744" s="175">
        <v>40625</v>
      </c>
      <c r="B1744" s="176">
        <v>1.58</v>
      </c>
    </row>
    <row r="1745" spans="1:2" x14ac:dyDescent="0.2">
      <c r="A1745" s="175">
        <v>40626</v>
      </c>
      <c r="B1745" s="176">
        <v>1.56</v>
      </c>
    </row>
    <row r="1746" spans="1:2" x14ac:dyDescent="0.2">
      <c r="A1746" s="175">
        <v>40627</v>
      </c>
      <c r="B1746" s="176">
        <v>1.6</v>
      </c>
    </row>
    <row r="1747" spans="1:2" x14ac:dyDescent="0.2">
      <c r="A1747" s="175">
        <v>40630</v>
      </c>
      <c r="B1747" s="176">
        <v>1.6</v>
      </c>
    </row>
    <row r="1748" spans="1:2" x14ac:dyDescent="0.2">
      <c r="A1748" s="175">
        <v>40631</v>
      </c>
      <c r="B1748" s="176">
        <v>1.61</v>
      </c>
    </row>
    <row r="1749" spans="1:2" x14ac:dyDescent="0.2">
      <c r="A1749" s="175">
        <v>40632</v>
      </c>
      <c r="B1749" s="176">
        <v>1.59</v>
      </c>
    </row>
    <row r="1750" spans="1:2" x14ac:dyDescent="0.2">
      <c r="A1750" s="175">
        <v>40633</v>
      </c>
      <c r="B1750" s="176">
        <v>1.58</v>
      </c>
    </row>
    <row r="1751" spans="1:2" x14ac:dyDescent="0.2">
      <c r="A1751" s="175">
        <v>40634</v>
      </c>
      <c r="B1751" s="176">
        <v>1.53</v>
      </c>
    </row>
    <row r="1752" spans="1:2" x14ac:dyDescent="0.2">
      <c r="A1752" s="175">
        <v>40637</v>
      </c>
      <c r="B1752" s="176">
        <v>1.51</v>
      </c>
    </row>
    <row r="1753" spans="1:2" x14ac:dyDescent="0.2">
      <c r="A1753" s="175">
        <v>40638</v>
      </c>
      <c r="B1753" s="176">
        <v>1.52</v>
      </c>
    </row>
    <row r="1754" spans="1:2" x14ac:dyDescent="0.2">
      <c r="A1754" s="175">
        <v>40639</v>
      </c>
      <c r="B1754" s="176">
        <v>1.59</v>
      </c>
    </row>
    <row r="1755" spans="1:2" x14ac:dyDescent="0.2">
      <c r="A1755" s="175">
        <v>40640</v>
      </c>
      <c r="B1755" s="176">
        <v>1.6</v>
      </c>
    </row>
    <row r="1756" spans="1:2" x14ac:dyDescent="0.2">
      <c r="A1756" s="175">
        <v>40641</v>
      </c>
      <c r="B1756" s="176">
        <v>1.56</v>
      </c>
    </row>
    <row r="1757" spans="1:2" x14ac:dyDescent="0.2">
      <c r="A1757" s="175">
        <v>40644</v>
      </c>
      <c r="B1757" s="176">
        <v>1.56</v>
      </c>
    </row>
    <row r="1758" spans="1:2" x14ac:dyDescent="0.2">
      <c r="A1758" s="175">
        <v>40645</v>
      </c>
      <c r="B1758" s="176">
        <v>1.5</v>
      </c>
    </row>
    <row r="1759" spans="1:2" x14ac:dyDescent="0.2">
      <c r="A1759" s="175">
        <v>40646</v>
      </c>
      <c r="B1759" s="176">
        <v>1.48</v>
      </c>
    </row>
    <row r="1760" spans="1:2" x14ac:dyDescent="0.2">
      <c r="A1760" s="175">
        <v>40647</v>
      </c>
      <c r="B1760" s="176">
        <v>1.47</v>
      </c>
    </row>
    <row r="1761" spans="1:2" x14ac:dyDescent="0.2">
      <c r="A1761" s="175">
        <v>40648</v>
      </c>
      <c r="B1761" s="176">
        <v>1.4</v>
      </c>
    </row>
    <row r="1762" spans="1:2" x14ac:dyDescent="0.2">
      <c r="A1762" s="175">
        <v>40651</v>
      </c>
      <c r="B1762" s="176">
        <v>1.4</v>
      </c>
    </row>
    <row r="1763" spans="1:2" x14ac:dyDescent="0.2">
      <c r="A1763" s="175">
        <v>40652</v>
      </c>
      <c r="B1763" s="176">
        <v>1.36</v>
      </c>
    </row>
    <row r="1764" spans="1:2" x14ac:dyDescent="0.2">
      <c r="A1764" s="175">
        <v>40653</v>
      </c>
      <c r="B1764" s="176">
        <v>1.43</v>
      </c>
    </row>
    <row r="1765" spans="1:2" x14ac:dyDescent="0.2">
      <c r="A1765" s="175">
        <v>40654</v>
      </c>
      <c r="B1765" s="176">
        <v>1.43</v>
      </c>
    </row>
    <row r="1766" spans="1:2" x14ac:dyDescent="0.2">
      <c r="A1766" s="175">
        <v>40655</v>
      </c>
      <c r="B1766" s="176" t="e">
        <f>NA()</f>
        <v>#N/A</v>
      </c>
    </row>
    <row r="1767" spans="1:2" x14ac:dyDescent="0.2">
      <c r="A1767" s="175">
        <v>40658</v>
      </c>
      <c r="B1767" s="176">
        <v>1.41</v>
      </c>
    </row>
    <row r="1768" spans="1:2" x14ac:dyDescent="0.2">
      <c r="A1768" s="175">
        <v>40659</v>
      </c>
      <c r="B1768" s="176">
        <v>1.4</v>
      </c>
    </row>
    <row r="1769" spans="1:2" x14ac:dyDescent="0.2">
      <c r="A1769" s="175">
        <v>40660</v>
      </c>
      <c r="B1769" s="176">
        <v>1.47</v>
      </c>
    </row>
    <row r="1770" spans="1:2" x14ac:dyDescent="0.2">
      <c r="A1770" s="175">
        <v>40661</v>
      </c>
      <c r="B1770" s="177">
        <v>1.46</v>
      </c>
    </row>
    <row r="1771" spans="1:2" x14ac:dyDescent="0.2">
      <c r="A1771" s="175">
        <v>40662</v>
      </c>
      <c r="B1771" s="176">
        <v>1.45</v>
      </c>
    </row>
    <row r="1772" spans="1:2" x14ac:dyDescent="0.2">
      <c r="A1772" s="175">
        <v>40665</v>
      </c>
      <c r="B1772" s="176">
        <v>1.46</v>
      </c>
    </row>
    <row r="1773" spans="1:2" x14ac:dyDescent="0.2">
      <c r="A1773" s="175">
        <v>40666</v>
      </c>
      <c r="B1773" s="176">
        <v>1.42</v>
      </c>
    </row>
    <row r="1774" spans="1:2" x14ac:dyDescent="0.2">
      <c r="A1774" s="175">
        <v>40667</v>
      </c>
      <c r="B1774" s="176">
        <v>1.39</v>
      </c>
    </row>
    <row r="1775" spans="1:2" x14ac:dyDescent="0.2">
      <c r="A1775" s="175">
        <v>40668</v>
      </c>
      <c r="B1775" s="176">
        <v>1.36</v>
      </c>
    </row>
    <row r="1776" spans="1:2" x14ac:dyDescent="0.2">
      <c r="A1776" s="175">
        <v>40669</v>
      </c>
      <c r="B1776" s="176">
        <v>1.38</v>
      </c>
    </row>
    <row r="1777" spans="1:2" x14ac:dyDescent="0.2">
      <c r="A1777" s="175">
        <v>40672</v>
      </c>
      <c r="B1777" s="176">
        <v>1.4</v>
      </c>
    </row>
    <row r="1778" spans="1:2" x14ac:dyDescent="0.2">
      <c r="A1778" s="175">
        <v>40673</v>
      </c>
      <c r="B1778" s="176">
        <v>1.44</v>
      </c>
    </row>
    <row r="1779" spans="1:2" x14ac:dyDescent="0.2">
      <c r="A1779" s="175">
        <v>40674</v>
      </c>
      <c r="B1779" s="176">
        <v>1.43</v>
      </c>
    </row>
    <row r="1780" spans="1:2" x14ac:dyDescent="0.2">
      <c r="A1780" s="175">
        <v>40675</v>
      </c>
      <c r="B1780" s="176">
        <v>1.48</v>
      </c>
    </row>
    <row r="1781" spans="1:2" x14ac:dyDescent="0.2">
      <c r="A1781" s="175">
        <v>40676</v>
      </c>
      <c r="B1781" s="176">
        <v>1.47</v>
      </c>
    </row>
    <row r="1782" spans="1:2" x14ac:dyDescent="0.2">
      <c r="A1782" s="175">
        <v>40679</v>
      </c>
      <c r="B1782" s="176">
        <v>1.5</v>
      </c>
    </row>
    <row r="1783" spans="1:2" x14ac:dyDescent="0.2">
      <c r="A1783" s="175">
        <v>40680</v>
      </c>
      <c r="B1783" s="176">
        <v>1.52</v>
      </c>
    </row>
    <row r="1784" spans="1:2" x14ac:dyDescent="0.2">
      <c r="A1784" s="175">
        <v>40681</v>
      </c>
      <c r="B1784" s="176">
        <v>1.5</v>
      </c>
    </row>
    <row r="1785" spans="1:2" x14ac:dyDescent="0.2">
      <c r="A1785" s="175">
        <v>40682</v>
      </c>
      <c r="B1785" s="176">
        <v>1.58</v>
      </c>
    </row>
    <row r="1786" spans="1:2" x14ac:dyDescent="0.2">
      <c r="A1786" s="175">
        <v>40683</v>
      </c>
      <c r="B1786" s="176">
        <v>1.56</v>
      </c>
    </row>
    <row r="1787" spans="1:2" x14ac:dyDescent="0.2">
      <c r="A1787" s="175">
        <v>40686</v>
      </c>
      <c r="B1787" s="176">
        <v>1.53</v>
      </c>
    </row>
    <row r="1788" spans="1:2" x14ac:dyDescent="0.2">
      <c r="A1788" s="175">
        <v>40687</v>
      </c>
      <c r="B1788" s="176">
        <v>1.49</v>
      </c>
    </row>
    <row r="1789" spans="1:2" x14ac:dyDescent="0.2">
      <c r="A1789" s="175">
        <v>40688</v>
      </c>
      <c r="B1789" s="176">
        <v>1.5</v>
      </c>
    </row>
    <row r="1790" spans="1:2" x14ac:dyDescent="0.2">
      <c r="A1790" s="175">
        <v>40689</v>
      </c>
      <c r="B1790" s="176">
        <v>1.5</v>
      </c>
    </row>
    <row r="1791" spans="1:2" x14ac:dyDescent="0.2">
      <c r="A1791" s="175">
        <v>40690</v>
      </c>
      <c r="B1791" s="176">
        <v>1.51</v>
      </c>
    </row>
    <row r="1792" spans="1:2" x14ac:dyDescent="0.2">
      <c r="A1792" s="175">
        <v>40693</v>
      </c>
      <c r="B1792" s="176" t="e">
        <f>NA()</f>
        <v>#N/A</v>
      </c>
    </row>
    <row r="1793" spans="1:2" x14ac:dyDescent="0.2">
      <c r="A1793" s="175">
        <v>40694</v>
      </c>
      <c r="B1793" s="176">
        <v>1.51</v>
      </c>
    </row>
    <row r="1794" spans="1:2" x14ac:dyDescent="0.2">
      <c r="A1794" s="175">
        <v>40695</v>
      </c>
      <c r="B1794" s="176">
        <v>1.47</v>
      </c>
    </row>
    <row r="1795" spans="1:2" x14ac:dyDescent="0.2">
      <c r="A1795" s="175">
        <v>40696</v>
      </c>
      <c r="B1795" s="176">
        <v>1.55</v>
      </c>
    </row>
    <row r="1796" spans="1:2" x14ac:dyDescent="0.2">
      <c r="A1796" s="175">
        <v>40697</v>
      </c>
      <c r="B1796" s="177">
        <v>1.55</v>
      </c>
    </row>
    <row r="1797" spans="1:2" x14ac:dyDescent="0.2">
      <c r="A1797" s="175">
        <v>40700</v>
      </c>
      <c r="B1797" s="176">
        <v>1.6</v>
      </c>
    </row>
    <row r="1798" spans="1:2" x14ac:dyDescent="0.2">
      <c r="A1798" s="175">
        <v>40701</v>
      </c>
      <c r="B1798" s="176">
        <v>1.58</v>
      </c>
    </row>
    <row r="1799" spans="1:2" x14ac:dyDescent="0.2">
      <c r="A1799" s="175">
        <v>40702</v>
      </c>
      <c r="B1799" s="176">
        <v>1.61</v>
      </c>
    </row>
    <row r="1800" spans="1:2" x14ac:dyDescent="0.2">
      <c r="A1800" s="175">
        <v>40703</v>
      </c>
      <c r="B1800" s="176">
        <v>1.67</v>
      </c>
    </row>
    <row r="1801" spans="1:2" x14ac:dyDescent="0.2">
      <c r="A1801" s="175">
        <v>40704</v>
      </c>
      <c r="B1801" s="176">
        <v>1.57</v>
      </c>
    </row>
    <row r="1802" spans="1:2" x14ac:dyDescent="0.2">
      <c r="A1802" s="175">
        <v>40707</v>
      </c>
      <c r="B1802" s="176">
        <v>1.62</v>
      </c>
    </row>
    <row r="1803" spans="1:2" x14ac:dyDescent="0.2">
      <c r="A1803" s="175">
        <v>40708</v>
      </c>
      <c r="B1803" s="176">
        <v>1.61</v>
      </c>
    </row>
    <row r="1804" spans="1:2" x14ac:dyDescent="0.2">
      <c r="A1804" s="175">
        <v>40709</v>
      </c>
      <c r="B1804" s="176">
        <v>1.51</v>
      </c>
    </row>
    <row r="1805" spans="1:2" x14ac:dyDescent="0.2">
      <c r="A1805" s="175">
        <v>40710</v>
      </c>
      <c r="B1805" s="176">
        <v>1.52</v>
      </c>
    </row>
    <row r="1806" spans="1:2" x14ac:dyDescent="0.2">
      <c r="A1806" s="175">
        <v>40711</v>
      </c>
      <c r="B1806" s="176">
        <v>1.51</v>
      </c>
    </row>
    <row r="1807" spans="1:2" x14ac:dyDescent="0.2">
      <c r="A1807" s="175">
        <v>40714</v>
      </c>
      <c r="B1807" s="176">
        <v>1.54</v>
      </c>
    </row>
    <row r="1808" spans="1:2" x14ac:dyDescent="0.2">
      <c r="A1808" s="175">
        <v>40715</v>
      </c>
      <c r="B1808" s="176">
        <v>1.54</v>
      </c>
    </row>
    <row r="1809" spans="1:2" x14ac:dyDescent="0.2">
      <c r="A1809" s="175">
        <v>40716</v>
      </c>
      <c r="B1809" s="176">
        <v>1.58</v>
      </c>
    </row>
    <row r="1810" spans="1:2" x14ac:dyDescent="0.2">
      <c r="A1810" s="175">
        <v>40717</v>
      </c>
      <c r="B1810" s="176">
        <v>1.41</v>
      </c>
    </row>
    <row r="1811" spans="1:2" x14ac:dyDescent="0.2">
      <c r="A1811" s="175">
        <v>40718</v>
      </c>
      <c r="B1811" s="176">
        <v>1.36</v>
      </c>
    </row>
    <row r="1812" spans="1:2" x14ac:dyDescent="0.2">
      <c r="A1812" s="175">
        <v>40721</v>
      </c>
      <c r="B1812" s="176">
        <v>1.41</v>
      </c>
    </row>
    <row r="1813" spans="1:2" x14ac:dyDescent="0.2">
      <c r="A1813" s="175">
        <v>40722</v>
      </c>
      <c r="B1813" s="176">
        <v>1.47</v>
      </c>
    </row>
    <row r="1814" spans="1:2" x14ac:dyDescent="0.2">
      <c r="A1814" s="175">
        <v>40723</v>
      </c>
      <c r="B1814" s="176">
        <v>1.49</v>
      </c>
    </row>
    <row r="1815" spans="1:2" x14ac:dyDescent="0.2">
      <c r="A1815" s="175">
        <v>40724</v>
      </c>
      <c r="B1815" s="176">
        <v>1.47</v>
      </c>
    </row>
    <row r="1816" spans="1:2" x14ac:dyDescent="0.2">
      <c r="A1816" s="175">
        <v>40725</v>
      </c>
      <c r="B1816" s="176">
        <v>1.47</v>
      </c>
    </row>
    <row r="1817" spans="1:2" x14ac:dyDescent="0.2">
      <c r="A1817" s="175">
        <v>40728</v>
      </c>
      <c r="B1817" s="176" t="e">
        <f>NA()</f>
        <v>#N/A</v>
      </c>
    </row>
    <row r="1818" spans="1:2" x14ac:dyDescent="0.2">
      <c r="A1818" s="175">
        <v>40729</v>
      </c>
      <c r="B1818" s="176">
        <v>1.52</v>
      </c>
    </row>
    <row r="1819" spans="1:2" x14ac:dyDescent="0.2">
      <c r="A1819" s="175">
        <v>40730</v>
      </c>
      <c r="B1819" s="176">
        <v>1.47</v>
      </c>
    </row>
    <row r="1820" spans="1:2" x14ac:dyDescent="0.2">
      <c r="A1820" s="175">
        <v>40731</v>
      </c>
      <c r="B1820" s="176">
        <v>1.49</v>
      </c>
    </row>
    <row r="1821" spans="1:2" x14ac:dyDescent="0.2">
      <c r="A1821" s="175">
        <v>40732</v>
      </c>
      <c r="B1821" s="177">
        <v>1.43</v>
      </c>
    </row>
    <row r="1822" spans="1:2" x14ac:dyDescent="0.2">
      <c r="A1822" s="175">
        <v>40735</v>
      </c>
      <c r="B1822" s="176">
        <v>1.38</v>
      </c>
    </row>
    <row r="1823" spans="1:2" x14ac:dyDescent="0.2">
      <c r="A1823" s="175">
        <v>40736</v>
      </c>
      <c r="B1823" s="176">
        <v>1.34</v>
      </c>
    </row>
    <row r="1824" spans="1:2" x14ac:dyDescent="0.2">
      <c r="A1824" s="175">
        <v>40737</v>
      </c>
      <c r="B1824" s="176">
        <v>1.31</v>
      </c>
    </row>
    <row r="1825" spans="1:2" x14ac:dyDescent="0.2">
      <c r="A1825" s="175">
        <v>40738</v>
      </c>
      <c r="B1825" s="176">
        <v>1.39</v>
      </c>
    </row>
    <row r="1826" spans="1:2" x14ac:dyDescent="0.2">
      <c r="A1826" s="175">
        <v>40739</v>
      </c>
      <c r="B1826" s="176">
        <v>1.35</v>
      </c>
    </row>
    <row r="1827" spans="1:2" x14ac:dyDescent="0.2">
      <c r="A1827" s="175">
        <v>40742</v>
      </c>
      <c r="B1827" s="176">
        <v>1.37</v>
      </c>
    </row>
    <row r="1828" spans="1:2" x14ac:dyDescent="0.2">
      <c r="A1828" s="175">
        <v>40743</v>
      </c>
      <c r="B1828" s="176">
        <v>1.28</v>
      </c>
    </row>
    <row r="1829" spans="1:2" x14ac:dyDescent="0.2">
      <c r="A1829" s="175">
        <v>40744</v>
      </c>
      <c r="B1829" s="176">
        <v>1.38</v>
      </c>
    </row>
    <row r="1830" spans="1:2" x14ac:dyDescent="0.2">
      <c r="A1830" s="175">
        <v>40745</v>
      </c>
      <c r="B1830" s="176">
        <v>1.39</v>
      </c>
    </row>
    <row r="1831" spans="1:2" x14ac:dyDescent="0.2">
      <c r="A1831" s="175">
        <v>40746</v>
      </c>
      <c r="B1831" s="176">
        <v>1.33</v>
      </c>
    </row>
    <row r="1832" spans="1:2" x14ac:dyDescent="0.2">
      <c r="A1832" s="175">
        <v>40749</v>
      </c>
      <c r="B1832" s="176">
        <v>1.32</v>
      </c>
    </row>
    <row r="1833" spans="1:2" x14ac:dyDescent="0.2">
      <c r="A1833" s="175">
        <v>40750</v>
      </c>
      <c r="B1833" s="176">
        <v>1.29</v>
      </c>
    </row>
    <row r="1834" spans="1:2" x14ac:dyDescent="0.2">
      <c r="A1834" s="175">
        <v>40751</v>
      </c>
      <c r="B1834" s="176">
        <v>1.33</v>
      </c>
    </row>
    <row r="1835" spans="1:2" x14ac:dyDescent="0.2">
      <c r="A1835" s="175">
        <v>40752</v>
      </c>
      <c r="B1835" s="176">
        <v>1.28</v>
      </c>
    </row>
    <row r="1836" spans="1:2" x14ac:dyDescent="0.2">
      <c r="A1836" s="175">
        <v>40753</v>
      </c>
      <c r="B1836" s="176">
        <v>1.1399999999999999</v>
      </c>
    </row>
    <row r="1837" spans="1:2" x14ac:dyDescent="0.2">
      <c r="A1837" s="175">
        <v>40756</v>
      </c>
      <c r="B1837" s="176">
        <v>1.0900000000000001</v>
      </c>
    </row>
    <row r="1838" spans="1:2" x14ac:dyDescent="0.2">
      <c r="A1838" s="175">
        <v>40757</v>
      </c>
      <c r="B1838" s="176">
        <v>1.03</v>
      </c>
    </row>
    <row r="1839" spans="1:2" x14ac:dyDescent="0.2">
      <c r="A1839" s="175">
        <v>40758</v>
      </c>
      <c r="B1839" s="176">
        <v>1.03</v>
      </c>
    </row>
    <row r="1840" spans="1:2" x14ac:dyDescent="0.2">
      <c r="A1840" s="175">
        <v>40759</v>
      </c>
      <c r="B1840" s="176">
        <v>0.88</v>
      </c>
    </row>
    <row r="1841" spans="1:2" x14ac:dyDescent="0.2">
      <c r="A1841" s="175">
        <v>40760</v>
      </c>
      <c r="B1841" s="176">
        <v>0.99</v>
      </c>
    </row>
    <row r="1842" spans="1:2" x14ac:dyDescent="0.2">
      <c r="A1842" s="175">
        <v>40763</v>
      </c>
      <c r="B1842" s="176">
        <v>0.88</v>
      </c>
    </row>
    <row r="1843" spans="1:2" x14ac:dyDescent="0.2">
      <c r="A1843" s="175">
        <v>40764</v>
      </c>
      <c r="B1843" s="176">
        <v>0.73</v>
      </c>
    </row>
    <row r="1844" spans="1:2" x14ac:dyDescent="0.2">
      <c r="A1844" s="175">
        <v>40765</v>
      </c>
      <c r="B1844" s="176">
        <v>0.72</v>
      </c>
    </row>
    <row r="1845" spans="1:2" x14ac:dyDescent="0.2">
      <c r="A1845" s="175">
        <v>40766</v>
      </c>
      <c r="B1845" s="176">
        <v>0.96</v>
      </c>
    </row>
    <row r="1846" spans="1:2" x14ac:dyDescent="0.2">
      <c r="A1846" s="175">
        <v>40767</v>
      </c>
      <c r="B1846" s="176">
        <v>0.73</v>
      </c>
    </row>
    <row r="1847" spans="1:2" x14ac:dyDescent="0.2">
      <c r="A1847" s="175">
        <v>40770</v>
      </c>
      <c r="B1847" s="176">
        <v>0.77</v>
      </c>
    </row>
    <row r="1848" spans="1:2" x14ac:dyDescent="0.2">
      <c r="A1848" s="175">
        <v>40771</v>
      </c>
      <c r="B1848" s="176">
        <v>0.72</v>
      </c>
    </row>
    <row r="1849" spans="1:2" x14ac:dyDescent="0.2">
      <c r="A1849" s="175">
        <v>40772</v>
      </c>
      <c r="B1849" s="176">
        <v>0.64</v>
      </c>
    </row>
    <row r="1850" spans="1:2" x14ac:dyDescent="0.2">
      <c r="A1850" s="175">
        <v>40773</v>
      </c>
      <c r="B1850" s="176">
        <v>0.69</v>
      </c>
    </row>
    <row r="1851" spans="1:2" x14ac:dyDescent="0.2">
      <c r="A1851" s="175">
        <v>40774</v>
      </c>
      <c r="B1851" s="176">
        <v>0.62</v>
      </c>
    </row>
    <row r="1852" spans="1:2" x14ac:dyDescent="0.2">
      <c r="A1852" s="175">
        <v>40777</v>
      </c>
      <c r="B1852" s="176">
        <v>0.63</v>
      </c>
    </row>
    <row r="1853" spans="1:2" x14ac:dyDescent="0.2">
      <c r="A1853" s="175">
        <v>40778</v>
      </c>
      <c r="B1853" s="176">
        <v>0.72</v>
      </c>
    </row>
    <row r="1854" spans="1:2" x14ac:dyDescent="0.2">
      <c r="A1854" s="175">
        <v>40779</v>
      </c>
      <c r="B1854" s="176">
        <v>0.86</v>
      </c>
    </row>
    <row r="1855" spans="1:2" x14ac:dyDescent="0.2">
      <c r="A1855" s="175">
        <v>40780</v>
      </c>
      <c r="B1855" s="176">
        <v>0.77</v>
      </c>
    </row>
    <row r="1856" spans="1:2" x14ac:dyDescent="0.2">
      <c r="A1856" s="175">
        <v>40781</v>
      </c>
      <c r="B1856" s="176">
        <v>0.77</v>
      </c>
    </row>
    <row r="1857" spans="1:2" x14ac:dyDescent="0.2">
      <c r="A1857" s="175">
        <v>40784</v>
      </c>
      <c r="B1857" s="176">
        <v>0.84</v>
      </c>
    </row>
    <row r="1858" spans="1:2" x14ac:dyDescent="0.2">
      <c r="A1858" s="175">
        <v>40785</v>
      </c>
      <c r="B1858" s="176">
        <v>0.76</v>
      </c>
    </row>
    <row r="1859" spans="1:2" x14ac:dyDescent="0.2">
      <c r="A1859" s="175">
        <v>40786</v>
      </c>
      <c r="B1859" s="176">
        <v>0.83</v>
      </c>
    </row>
    <row r="1860" spans="1:2" x14ac:dyDescent="0.2">
      <c r="A1860" s="175">
        <v>40787</v>
      </c>
      <c r="B1860" s="176">
        <v>0.72</v>
      </c>
    </row>
    <row r="1861" spans="1:2" x14ac:dyDescent="0.2">
      <c r="A1861" s="175">
        <v>40788</v>
      </c>
      <c r="B1861" s="176">
        <v>0.61</v>
      </c>
    </row>
    <row r="1862" spans="1:2" x14ac:dyDescent="0.2">
      <c r="A1862" s="175">
        <v>40791</v>
      </c>
      <c r="B1862" s="176" t="e">
        <f>NA()</f>
        <v>#N/A</v>
      </c>
    </row>
    <row r="1863" spans="1:2" x14ac:dyDescent="0.2">
      <c r="A1863" s="175">
        <v>40792</v>
      </c>
      <c r="B1863" s="176">
        <v>0.65</v>
      </c>
    </row>
    <row r="1864" spans="1:2" x14ac:dyDescent="0.2">
      <c r="A1864" s="175">
        <v>40793</v>
      </c>
      <c r="B1864" s="176">
        <v>0.72</v>
      </c>
    </row>
    <row r="1865" spans="1:2" x14ac:dyDescent="0.2">
      <c r="A1865" s="175">
        <v>40794</v>
      </c>
      <c r="B1865" s="176">
        <v>0.64</v>
      </c>
    </row>
    <row r="1866" spans="1:2" x14ac:dyDescent="0.2">
      <c r="A1866" s="175">
        <v>40795</v>
      </c>
      <c r="B1866" s="177">
        <v>0.62</v>
      </c>
    </row>
    <row r="1867" spans="1:2" x14ac:dyDescent="0.2">
      <c r="A1867" s="175">
        <v>40798</v>
      </c>
      <c r="B1867" s="176">
        <v>0.63</v>
      </c>
    </row>
    <row r="1868" spans="1:2" x14ac:dyDescent="0.2">
      <c r="A1868" s="175">
        <v>40799</v>
      </c>
      <c r="B1868" s="176">
        <v>0.71</v>
      </c>
    </row>
    <row r="1869" spans="1:2" x14ac:dyDescent="0.2">
      <c r="A1869" s="175">
        <v>40800</v>
      </c>
      <c r="B1869" s="176">
        <v>0.74</v>
      </c>
    </row>
    <row r="1870" spans="1:2" x14ac:dyDescent="0.2">
      <c r="A1870" s="175">
        <v>40801</v>
      </c>
      <c r="B1870" s="176">
        <v>0.76</v>
      </c>
    </row>
    <row r="1871" spans="1:2" x14ac:dyDescent="0.2">
      <c r="A1871" s="175">
        <v>40802</v>
      </c>
      <c r="B1871" s="176">
        <v>0.78</v>
      </c>
    </row>
    <row r="1872" spans="1:2" x14ac:dyDescent="0.2">
      <c r="A1872" s="175">
        <v>40805</v>
      </c>
      <c r="B1872" s="176">
        <v>0.74</v>
      </c>
    </row>
    <row r="1873" spans="1:2" x14ac:dyDescent="0.2">
      <c r="A1873" s="175">
        <v>40806</v>
      </c>
      <c r="B1873" s="176">
        <v>0.68</v>
      </c>
    </row>
    <row r="1874" spans="1:2" x14ac:dyDescent="0.2">
      <c r="A1874" s="175">
        <v>40807</v>
      </c>
      <c r="B1874" s="176">
        <v>0.66</v>
      </c>
    </row>
    <row r="1875" spans="1:2" x14ac:dyDescent="0.2">
      <c r="A1875" s="175">
        <v>40808</v>
      </c>
      <c r="B1875" s="176">
        <v>0.56000000000000005</v>
      </c>
    </row>
    <row r="1876" spans="1:2" x14ac:dyDescent="0.2">
      <c r="A1876" s="175">
        <v>40809</v>
      </c>
      <c r="B1876" s="176">
        <v>0.65</v>
      </c>
    </row>
    <row r="1877" spans="1:2" x14ac:dyDescent="0.2">
      <c r="A1877" s="175">
        <v>40812</v>
      </c>
      <c r="B1877" s="176">
        <v>0.72</v>
      </c>
    </row>
    <row r="1878" spans="1:2" x14ac:dyDescent="0.2">
      <c r="A1878" s="175">
        <v>40813</v>
      </c>
      <c r="B1878" s="176">
        <v>0.72</v>
      </c>
    </row>
    <row r="1879" spans="1:2" x14ac:dyDescent="0.2">
      <c r="A1879" s="175">
        <v>40814</v>
      </c>
      <c r="B1879" s="176">
        <v>0.74</v>
      </c>
    </row>
    <row r="1880" spans="1:2" x14ac:dyDescent="0.2">
      <c r="A1880" s="175">
        <v>40815</v>
      </c>
      <c r="B1880" s="176">
        <v>0.73</v>
      </c>
    </row>
    <row r="1881" spans="1:2" x14ac:dyDescent="0.2">
      <c r="A1881" s="175">
        <v>40816</v>
      </c>
      <c r="B1881" s="176">
        <v>0.72</v>
      </c>
    </row>
    <row r="1882" spans="1:2" x14ac:dyDescent="0.2">
      <c r="A1882" s="175">
        <v>40819</v>
      </c>
      <c r="B1882" s="176">
        <v>0.57999999999999996</v>
      </c>
    </row>
    <row r="1883" spans="1:2" x14ac:dyDescent="0.2">
      <c r="A1883" s="175">
        <v>40820</v>
      </c>
      <c r="B1883" s="176">
        <v>0.55000000000000004</v>
      </c>
    </row>
    <row r="1884" spans="1:2" x14ac:dyDescent="0.2">
      <c r="A1884" s="175">
        <v>40821</v>
      </c>
      <c r="B1884" s="176">
        <v>0.62</v>
      </c>
    </row>
    <row r="1885" spans="1:2" x14ac:dyDescent="0.2">
      <c r="A1885" s="175">
        <v>40822</v>
      </c>
      <c r="B1885" s="176">
        <v>0.65</v>
      </c>
    </row>
    <row r="1886" spans="1:2" x14ac:dyDescent="0.2">
      <c r="A1886" s="175">
        <v>40823</v>
      </c>
      <c r="B1886" s="176">
        <v>0.68</v>
      </c>
    </row>
    <row r="1887" spans="1:2" x14ac:dyDescent="0.2">
      <c r="A1887" s="175">
        <v>40826</v>
      </c>
      <c r="B1887" s="176" t="e">
        <f>NA()</f>
        <v>#N/A</v>
      </c>
    </row>
    <row r="1888" spans="1:2" x14ac:dyDescent="0.2">
      <c r="A1888" s="175">
        <v>40827</v>
      </c>
      <c r="B1888" s="176">
        <v>0.75</v>
      </c>
    </row>
    <row r="1889" spans="1:2" x14ac:dyDescent="0.2">
      <c r="A1889" s="175">
        <v>40828</v>
      </c>
      <c r="B1889" s="176">
        <v>0.8</v>
      </c>
    </row>
    <row r="1890" spans="1:2" x14ac:dyDescent="0.2">
      <c r="A1890" s="175">
        <v>40829</v>
      </c>
      <c r="B1890" s="176">
        <v>0.8</v>
      </c>
    </row>
    <row r="1891" spans="1:2" x14ac:dyDescent="0.2">
      <c r="A1891" s="175">
        <v>40830</v>
      </c>
      <c r="B1891" s="177">
        <v>0.84</v>
      </c>
    </row>
    <row r="1892" spans="1:2" x14ac:dyDescent="0.2">
      <c r="A1892" s="175">
        <v>40833</v>
      </c>
      <c r="B1892" s="176">
        <v>0.79</v>
      </c>
    </row>
    <row r="1893" spans="1:2" x14ac:dyDescent="0.2">
      <c r="A1893" s="175">
        <v>40834</v>
      </c>
      <c r="B1893" s="176">
        <v>0.77</v>
      </c>
    </row>
    <row r="1894" spans="1:2" x14ac:dyDescent="0.2">
      <c r="A1894" s="175">
        <v>40835</v>
      </c>
      <c r="B1894" s="176">
        <v>0.77</v>
      </c>
    </row>
    <row r="1895" spans="1:2" x14ac:dyDescent="0.2">
      <c r="A1895" s="175">
        <v>40836</v>
      </c>
      <c r="B1895" s="176">
        <v>0.74</v>
      </c>
    </row>
    <row r="1896" spans="1:2" x14ac:dyDescent="0.2">
      <c r="A1896" s="175">
        <v>40837</v>
      </c>
      <c r="B1896" s="176">
        <v>0.79</v>
      </c>
    </row>
    <row r="1897" spans="1:2" x14ac:dyDescent="0.2">
      <c r="A1897" s="175">
        <v>40840</v>
      </c>
      <c r="B1897" s="176">
        <v>0.77</v>
      </c>
    </row>
    <row r="1898" spans="1:2" x14ac:dyDescent="0.2">
      <c r="A1898" s="175">
        <v>40841</v>
      </c>
      <c r="B1898" s="176">
        <v>0.65</v>
      </c>
    </row>
    <row r="1899" spans="1:2" x14ac:dyDescent="0.2">
      <c r="A1899" s="175">
        <v>40842</v>
      </c>
      <c r="B1899" s="176">
        <v>0.68</v>
      </c>
    </row>
    <row r="1900" spans="1:2" x14ac:dyDescent="0.2">
      <c r="A1900" s="175">
        <v>40843</v>
      </c>
      <c r="B1900" s="176">
        <v>0.82</v>
      </c>
    </row>
    <row r="1901" spans="1:2" x14ac:dyDescent="0.2">
      <c r="A1901" s="175">
        <v>40844</v>
      </c>
      <c r="B1901" s="176">
        <v>0.76</v>
      </c>
    </row>
    <row r="1902" spans="1:2" x14ac:dyDescent="0.2">
      <c r="A1902" s="175">
        <v>40847</v>
      </c>
      <c r="B1902" s="176">
        <v>0.61</v>
      </c>
    </row>
    <row r="1903" spans="1:2" x14ac:dyDescent="0.2">
      <c r="A1903" s="175">
        <v>40848</v>
      </c>
      <c r="B1903" s="176">
        <v>0.49</v>
      </c>
    </row>
    <row r="1904" spans="1:2" x14ac:dyDescent="0.2">
      <c r="A1904" s="175">
        <v>40849</v>
      </c>
      <c r="B1904" s="176">
        <v>0.48</v>
      </c>
    </row>
    <row r="1905" spans="1:2" x14ac:dyDescent="0.2">
      <c r="A1905" s="175">
        <v>40850</v>
      </c>
      <c r="B1905" s="176">
        <v>0.55000000000000004</v>
      </c>
    </row>
    <row r="1906" spans="1:2" x14ac:dyDescent="0.2">
      <c r="A1906" s="175">
        <v>40851</v>
      </c>
      <c r="B1906" s="176">
        <v>0.49</v>
      </c>
    </row>
    <row r="1907" spans="1:2" x14ac:dyDescent="0.2">
      <c r="A1907" s="175">
        <v>40854</v>
      </c>
      <c r="B1907" s="176">
        <v>0.45</v>
      </c>
    </row>
    <row r="1908" spans="1:2" x14ac:dyDescent="0.2">
      <c r="A1908" s="175">
        <v>40855</v>
      </c>
      <c r="B1908" s="176">
        <v>0.53</v>
      </c>
    </row>
    <row r="1909" spans="1:2" x14ac:dyDescent="0.2">
      <c r="A1909" s="175">
        <v>40856</v>
      </c>
      <c r="B1909" s="176">
        <v>0.52</v>
      </c>
    </row>
    <row r="1910" spans="1:2" x14ac:dyDescent="0.2">
      <c r="A1910" s="175">
        <v>40857</v>
      </c>
      <c r="B1910" s="176">
        <v>0.54</v>
      </c>
    </row>
    <row r="1911" spans="1:2" x14ac:dyDescent="0.2">
      <c r="A1911" s="175">
        <v>40858</v>
      </c>
      <c r="B1911" s="176" t="e">
        <f>NA()</f>
        <v>#N/A</v>
      </c>
    </row>
    <row r="1912" spans="1:2" x14ac:dyDescent="0.2">
      <c r="A1912" s="175">
        <v>40861</v>
      </c>
      <c r="B1912" s="176">
        <v>0.56000000000000005</v>
      </c>
    </row>
    <row r="1913" spans="1:2" x14ac:dyDescent="0.2">
      <c r="A1913" s="175">
        <v>40862</v>
      </c>
      <c r="B1913" s="176">
        <v>0.61</v>
      </c>
    </row>
    <row r="1914" spans="1:2" x14ac:dyDescent="0.2">
      <c r="A1914" s="175">
        <v>40863</v>
      </c>
      <c r="B1914" s="176">
        <v>0.59</v>
      </c>
    </row>
    <row r="1915" spans="1:2" x14ac:dyDescent="0.2">
      <c r="A1915" s="175">
        <v>40864</v>
      </c>
      <c r="B1915" s="177">
        <v>0.6</v>
      </c>
    </row>
    <row r="1916" spans="1:2" x14ac:dyDescent="0.2">
      <c r="A1916" s="175">
        <v>40865</v>
      </c>
      <c r="B1916" s="176">
        <v>0.6</v>
      </c>
    </row>
    <row r="1917" spans="1:2" x14ac:dyDescent="0.2">
      <c r="A1917" s="175">
        <v>40868</v>
      </c>
      <c r="B1917" s="176">
        <v>0.62</v>
      </c>
    </row>
    <row r="1918" spans="1:2" x14ac:dyDescent="0.2">
      <c r="A1918" s="175">
        <v>40869</v>
      </c>
      <c r="B1918" s="176">
        <v>0.59</v>
      </c>
    </row>
    <row r="1919" spans="1:2" x14ac:dyDescent="0.2">
      <c r="A1919" s="175">
        <v>40870</v>
      </c>
      <c r="B1919" s="176">
        <v>0.53</v>
      </c>
    </row>
    <row r="1920" spans="1:2" x14ac:dyDescent="0.2">
      <c r="A1920" s="175">
        <v>40871</v>
      </c>
      <c r="B1920" s="176" t="e">
        <f>NA()</f>
        <v>#N/A</v>
      </c>
    </row>
    <row r="1921" spans="1:2" x14ac:dyDescent="0.2">
      <c r="A1921" s="175">
        <v>40872</v>
      </c>
      <c r="B1921" s="176">
        <v>0.57999999999999996</v>
      </c>
    </row>
    <row r="1922" spans="1:2" x14ac:dyDescent="0.2">
      <c r="A1922" s="175">
        <v>40875</v>
      </c>
      <c r="B1922" s="176">
        <v>0.55000000000000004</v>
      </c>
    </row>
    <row r="1923" spans="1:2" x14ac:dyDescent="0.2">
      <c r="A1923" s="175">
        <v>40876</v>
      </c>
      <c r="B1923" s="176">
        <v>0.54</v>
      </c>
    </row>
    <row r="1924" spans="1:2" x14ac:dyDescent="0.2">
      <c r="A1924" s="175">
        <v>40877</v>
      </c>
      <c r="B1924" s="177">
        <v>0.59</v>
      </c>
    </row>
    <row r="1925" spans="1:2" x14ac:dyDescent="0.2">
      <c r="A1925" s="175">
        <v>40878</v>
      </c>
      <c r="B1925" s="176">
        <v>0.62</v>
      </c>
    </row>
    <row r="1926" spans="1:2" x14ac:dyDescent="0.2">
      <c r="A1926" s="175">
        <v>40879</v>
      </c>
      <c r="B1926" s="176">
        <v>0.56999999999999995</v>
      </c>
    </row>
    <row r="1927" spans="1:2" x14ac:dyDescent="0.2">
      <c r="A1927" s="175">
        <v>40882</v>
      </c>
      <c r="B1927" s="176">
        <v>0.55000000000000004</v>
      </c>
    </row>
    <row r="1928" spans="1:2" x14ac:dyDescent="0.2">
      <c r="A1928" s="175">
        <v>40883</v>
      </c>
      <c r="B1928" s="176">
        <v>0.62</v>
      </c>
    </row>
    <row r="1929" spans="1:2" x14ac:dyDescent="0.2">
      <c r="A1929" s="175">
        <v>40884</v>
      </c>
      <c r="B1929" s="176">
        <v>0.6</v>
      </c>
    </row>
    <row r="1930" spans="1:2" x14ac:dyDescent="0.2">
      <c r="A1930" s="175">
        <v>40885</v>
      </c>
      <c r="B1930" s="176">
        <v>0.63</v>
      </c>
    </row>
    <row r="1931" spans="1:2" x14ac:dyDescent="0.2">
      <c r="A1931" s="175">
        <v>40886</v>
      </c>
      <c r="B1931" s="176">
        <v>0.74</v>
      </c>
    </row>
    <row r="1932" spans="1:2" x14ac:dyDescent="0.2">
      <c r="A1932" s="175">
        <v>40889</v>
      </c>
      <c r="B1932" s="176">
        <v>0.63</v>
      </c>
    </row>
    <row r="1933" spans="1:2" x14ac:dyDescent="0.2">
      <c r="A1933" s="175">
        <v>40890</v>
      </c>
      <c r="B1933" s="176">
        <v>0.53</v>
      </c>
    </row>
    <row r="1934" spans="1:2" x14ac:dyDescent="0.2">
      <c r="A1934" s="175">
        <v>40891</v>
      </c>
      <c r="B1934" s="176">
        <v>0.53</v>
      </c>
    </row>
    <row r="1935" spans="1:2" x14ac:dyDescent="0.2">
      <c r="A1935" s="175">
        <v>40892</v>
      </c>
      <c r="B1935" s="176">
        <v>0.55000000000000004</v>
      </c>
    </row>
    <row r="1936" spans="1:2" x14ac:dyDescent="0.2">
      <c r="A1936" s="175">
        <v>40893</v>
      </c>
      <c r="B1936" s="176">
        <v>0.53</v>
      </c>
    </row>
    <row r="1937" spans="1:2" x14ac:dyDescent="0.2">
      <c r="A1937" s="175">
        <v>40896</v>
      </c>
      <c r="B1937" s="176">
        <v>0.43</v>
      </c>
    </row>
    <row r="1938" spans="1:2" x14ac:dyDescent="0.2">
      <c r="A1938" s="175">
        <v>40897</v>
      </c>
      <c r="B1938" s="176">
        <v>0.47</v>
      </c>
    </row>
    <row r="1939" spans="1:2" x14ac:dyDescent="0.2">
      <c r="A1939" s="175">
        <v>40898</v>
      </c>
      <c r="B1939" s="176">
        <v>0.53</v>
      </c>
    </row>
    <row r="1940" spans="1:2" x14ac:dyDescent="0.2">
      <c r="A1940" s="175">
        <v>40899</v>
      </c>
      <c r="B1940" s="176">
        <v>0.52</v>
      </c>
    </row>
    <row r="1941" spans="1:2" x14ac:dyDescent="0.2">
      <c r="A1941" s="175">
        <v>40900</v>
      </c>
      <c r="B1941" s="176">
        <v>0.59</v>
      </c>
    </row>
    <row r="1942" spans="1:2" x14ac:dyDescent="0.2">
      <c r="A1942" s="175">
        <v>40903</v>
      </c>
      <c r="B1942" s="176" t="e">
        <f>NA()</f>
        <v>#N/A</v>
      </c>
    </row>
    <row r="1943" spans="1:2" x14ac:dyDescent="0.2">
      <c r="A1943" s="175">
        <v>40904</v>
      </c>
      <c r="B1943" s="176">
        <v>0.57999999999999996</v>
      </c>
    </row>
    <row r="1944" spans="1:2" x14ac:dyDescent="0.2">
      <c r="A1944" s="175">
        <v>40905</v>
      </c>
      <c r="B1944" s="176">
        <v>0.5</v>
      </c>
    </row>
    <row r="1945" spans="1:2" x14ac:dyDescent="0.2">
      <c r="A1945" s="175">
        <v>40906</v>
      </c>
      <c r="B1945" s="176">
        <v>0.54</v>
      </c>
    </row>
    <row r="1946" spans="1:2" x14ac:dyDescent="0.2">
      <c r="A1946" s="175">
        <v>40907</v>
      </c>
      <c r="B1946" s="177">
        <v>0.53</v>
      </c>
    </row>
    <row r="1947" spans="1:2" x14ac:dyDescent="0.2">
      <c r="A1947" s="175">
        <v>40910</v>
      </c>
      <c r="B1947" s="176" t="e">
        <f>NA()</f>
        <v>#N/A</v>
      </c>
    </row>
    <row r="1948" spans="1:2" x14ac:dyDescent="0.2">
      <c r="A1948" s="175">
        <v>40911</v>
      </c>
      <c r="B1948" s="176">
        <v>0.55000000000000004</v>
      </c>
    </row>
    <row r="1949" spans="1:2" x14ac:dyDescent="0.2">
      <c r="A1949" s="175">
        <v>40912</v>
      </c>
      <c r="B1949" s="176">
        <v>0.54</v>
      </c>
    </row>
    <row r="1950" spans="1:2" x14ac:dyDescent="0.2">
      <c r="A1950" s="175">
        <v>40913</v>
      </c>
      <c r="B1950" s="176">
        <v>0.51</v>
      </c>
    </row>
    <row r="1951" spans="1:2" x14ac:dyDescent="0.2">
      <c r="A1951" s="175">
        <v>40914</v>
      </c>
      <c r="B1951" s="177">
        <v>0.49</v>
      </c>
    </row>
    <row r="1952" spans="1:2" x14ac:dyDescent="0.2">
      <c r="A1952" s="175">
        <v>40917</v>
      </c>
      <c r="B1952" s="176">
        <v>0.47</v>
      </c>
    </row>
    <row r="1953" spans="1:2" x14ac:dyDescent="0.2">
      <c r="A1953" s="175">
        <v>40918</v>
      </c>
      <c r="B1953" s="176">
        <v>0.51</v>
      </c>
    </row>
    <row r="1954" spans="1:2" x14ac:dyDescent="0.2">
      <c r="A1954" s="175">
        <v>40919</v>
      </c>
      <c r="B1954" s="176">
        <v>0.5</v>
      </c>
    </row>
    <row r="1955" spans="1:2" x14ac:dyDescent="0.2">
      <c r="A1955" s="175">
        <v>40920</v>
      </c>
      <c r="B1955" s="176">
        <v>0.5</v>
      </c>
    </row>
    <row r="1956" spans="1:2" x14ac:dyDescent="0.2">
      <c r="A1956" s="175">
        <v>40921</v>
      </c>
      <c r="B1956" s="176">
        <v>0.46</v>
      </c>
    </row>
    <row r="1957" spans="1:2" x14ac:dyDescent="0.2">
      <c r="A1957" s="175">
        <v>40924</v>
      </c>
      <c r="B1957" s="176" t="e">
        <f>NA()</f>
        <v>#N/A</v>
      </c>
    </row>
    <row r="1958" spans="1:2" x14ac:dyDescent="0.2">
      <c r="A1958" s="175">
        <v>40925</v>
      </c>
      <c r="B1958" s="176">
        <v>0.43</v>
      </c>
    </row>
    <row r="1959" spans="1:2" x14ac:dyDescent="0.2">
      <c r="A1959" s="175">
        <v>40926</v>
      </c>
      <c r="B1959" s="176">
        <v>0.47</v>
      </c>
    </row>
    <row r="1960" spans="1:2" x14ac:dyDescent="0.2">
      <c r="A1960" s="175">
        <v>40927</v>
      </c>
      <c r="B1960" s="176">
        <v>0.56000000000000005</v>
      </c>
    </row>
    <row r="1961" spans="1:2" x14ac:dyDescent="0.2">
      <c r="A1961" s="175">
        <v>40928</v>
      </c>
      <c r="B1961" s="177">
        <v>0.6</v>
      </c>
    </row>
    <row r="1962" spans="1:2" x14ac:dyDescent="0.2">
      <c r="A1962" s="175">
        <v>40931</v>
      </c>
      <c r="B1962" s="176">
        <v>0.66</v>
      </c>
    </row>
    <row r="1963" spans="1:2" x14ac:dyDescent="0.2">
      <c r="A1963" s="175">
        <v>40932</v>
      </c>
      <c r="B1963" s="176">
        <v>0.62</v>
      </c>
    </row>
    <row r="1964" spans="1:2" x14ac:dyDescent="0.2">
      <c r="A1964" s="175">
        <v>40933</v>
      </c>
      <c r="B1964" s="176">
        <v>0.53</v>
      </c>
    </row>
    <row r="1965" spans="1:2" x14ac:dyDescent="0.2">
      <c r="A1965" s="175">
        <v>40934</v>
      </c>
      <c r="B1965" s="176">
        <v>0.51</v>
      </c>
    </row>
    <row r="1966" spans="1:2" x14ac:dyDescent="0.2">
      <c r="A1966" s="175">
        <v>40935</v>
      </c>
      <c r="B1966" s="176">
        <v>0.49</v>
      </c>
    </row>
    <row r="1967" spans="1:2" x14ac:dyDescent="0.2">
      <c r="A1967" s="175">
        <v>40938</v>
      </c>
      <c r="B1967" s="176">
        <v>0.42</v>
      </c>
    </row>
    <row r="1968" spans="1:2" x14ac:dyDescent="0.2">
      <c r="A1968" s="175">
        <v>40939</v>
      </c>
      <c r="B1968" s="176">
        <v>0.37</v>
      </c>
    </row>
    <row r="1969" spans="1:2" x14ac:dyDescent="0.2">
      <c r="A1969" s="175">
        <v>40940</v>
      </c>
      <c r="B1969" s="176">
        <v>0.42</v>
      </c>
    </row>
    <row r="1970" spans="1:2" x14ac:dyDescent="0.2">
      <c r="A1970" s="175">
        <v>40941</v>
      </c>
      <c r="B1970" s="176">
        <v>0.41</v>
      </c>
    </row>
    <row r="1971" spans="1:2" x14ac:dyDescent="0.2">
      <c r="A1971" s="175">
        <v>40942</v>
      </c>
      <c r="B1971" s="176">
        <v>0.59</v>
      </c>
    </row>
    <row r="1972" spans="1:2" x14ac:dyDescent="0.2">
      <c r="A1972" s="175">
        <v>40945</v>
      </c>
      <c r="B1972" s="176">
        <v>0.48</v>
      </c>
    </row>
    <row r="1973" spans="1:2" x14ac:dyDescent="0.2">
      <c r="A1973" s="175">
        <v>40946</v>
      </c>
      <c r="B1973" s="176">
        <v>0.54</v>
      </c>
    </row>
    <row r="1974" spans="1:2" x14ac:dyDescent="0.2">
      <c r="A1974" s="175">
        <v>40947</v>
      </c>
      <c r="B1974" s="176">
        <v>0.51</v>
      </c>
    </row>
    <row r="1975" spans="1:2" x14ac:dyDescent="0.2">
      <c r="A1975" s="175">
        <v>40948</v>
      </c>
      <c r="B1975" s="176">
        <v>0.55000000000000004</v>
      </c>
    </row>
    <row r="1976" spans="1:2" x14ac:dyDescent="0.2">
      <c r="A1976" s="175">
        <v>40949</v>
      </c>
      <c r="B1976" s="176">
        <v>0.45</v>
      </c>
    </row>
    <row r="1977" spans="1:2" x14ac:dyDescent="0.2">
      <c r="A1977" s="175">
        <v>40952</v>
      </c>
      <c r="B1977" s="176">
        <v>0.55000000000000004</v>
      </c>
    </row>
    <row r="1978" spans="1:2" x14ac:dyDescent="0.2">
      <c r="A1978" s="175">
        <v>40953</v>
      </c>
      <c r="B1978" s="176">
        <v>0.42</v>
      </c>
    </row>
    <row r="1979" spans="1:2" x14ac:dyDescent="0.2">
      <c r="A1979" s="175">
        <v>40954</v>
      </c>
      <c r="B1979" s="176">
        <v>0.41</v>
      </c>
    </row>
    <row r="1980" spans="1:2" x14ac:dyDescent="0.2">
      <c r="A1980" s="175">
        <v>40955</v>
      </c>
      <c r="B1980" s="176">
        <v>0.47</v>
      </c>
    </row>
    <row r="1981" spans="1:2" x14ac:dyDescent="0.2">
      <c r="A1981" s="175">
        <v>40956</v>
      </c>
      <c r="B1981" s="176">
        <v>0.45</v>
      </c>
    </row>
    <row r="1982" spans="1:2" x14ac:dyDescent="0.2">
      <c r="A1982" s="175">
        <v>40959</v>
      </c>
      <c r="B1982" s="176" t="e">
        <f>NA()</f>
        <v>#N/A</v>
      </c>
    </row>
    <row r="1983" spans="1:2" x14ac:dyDescent="0.2">
      <c r="A1983" s="175">
        <v>40960</v>
      </c>
      <c r="B1983" s="176">
        <v>0.45</v>
      </c>
    </row>
    <row r="1984" spans="1:2" x14ac:dyDescent="0.2">
      <c r="A1984" s="175">
        <v>40961</v>
      </c>
      <c r="B1984" s="176">
        <v>0.41</v>
      </c>
    </row>
    <row r="1985" spans="1:2" x14ac:dyDescent="0.2">
      <c r="A1985" s="175">
        <v>40962</v>
      </c>
      <c r="B1985" s="176">
        <v>0.39</v>
      </c>
    </row>
    <row r="1986" spans="1:2" x14ac:dyDescent="0.2">
      <c r="A1986" s="175">
        <v>40963</v>
      </c>
      <c r="B1986" s="177">
        <v>0.39</v>
      </c>
    </row>
    <row r="1987" spans="1:2" x14ac:dyDescent="0.2">
      <c r="A1987" s="175">
        <v>40966</v>
      </c>
      <c r="B1987" s="176">
        <v>0.36</v>
      </c>
    </row>
    <row r="1988" spans="1:2" x14ac:dyDescent="0.2">
      <c r="A1988" s="175">
        <v>40967</v>
      </c>
      <c r="B1988" s="176">
        <v>0.37</v>
      </c>
    </row>
    <row r="1989" spans="1:2" x14ac:dyDescent="0.2">
      <c r="A1989" s="175">
        <v>40968</v>
      </c>
      <c r="B1989" s="176">
        <v>0.39</v>
      </c>
    </row>
    <row r="1990" spans="1:2" x14ac:dyDescent="0.2">
      <c r="A1990" s="175">
        <v>40969</v>
      </c>
      <c r="B1990" s="176">
        <v>0.46</v>
      </c>
    </row>
    <row r="1991" spans="1:2" x14ac:dyDescent="0.2">
      <c r="A1991" s="175">
        <v>40970</v>
      </c>
      <c r="B1991" s="176">
        <v>0.46</v>
      </c>
    </row>
    <row r="1992" spans="1:2" x14ac:dyDescent="0.2">
      <c r="A1992" s="175">
        <v>40973</v>
      </c>
      <c r="B1992" s="176">
        <v>0.52</v>
      </c>
    </row>
    <row r="1993" spans="1:2" x14ac:dyDescent="0.2">
      <c r="A1993" s="175">
        <v>40974</v>
      </c>
      <c r="B1993" s="176">
        <v>0.51</v>
      </c>
    </row>
    <row r="1994" spans="1:2" x14ac:dyDescent="0.2">
      <c r="A1994" s="175">
        <v>40975</v>
      </c>
      <c r="B1994" s="176">
        <v>0.52</v>
      </c>
    </row>
    <row r="1995" spans="1:2" x14ac:dyDescent="0.2">
      <c r="A1995" s="175">
        <v>40976</v>
      </c>
      <c r="B1995" s="176">
        <v>0.53</v>
      </c>
    </row>
    <row r="1996" spans="1:2" x14ac:dyDescent="0.2">
      <c r="A1996" s="175">
        <v>40977</v>
      </c>
      <c r="B1996" s="176">
        <v>0.52</v>
      </c>
    </row>
    <row r="1997" spans="1:2" x14ac:dyDescent="0.2">
      <c r="A1997" s="175">
        <v>40980</v>
      </c>
      <c r="B1997" s="176">
        <v>0.48</v>
      </c>
    </row>
    <row r="1998" spans="1:2" x14ac:dyDescent="0.2">
      <c r="A1998" s="175">
        <v>40981</v>
      </c>
      <c r="B1998" s="176">
        <v>0.54</v>
      </c>
    </row>
    <row r="1999" spans="1:2" x14ac:dyDescent="0.2">
      <c r="A1999" s="175">
        <v>40982</v>
      </c>
      <c r="B1999" s="176">
        <v>0.64</v>
      </c>
    </row>
    <row r="2000" spans="1:2" x14ac:dyDescent="0.2">
      <c r="A2000" s="175">
        <v>40983</v>
      </c>
      <c r="B2000" s="176">
        <v>0.6</v>
      </c>
    </row>
    <row r="2001" spans="1:2" x14ac:dyDescent="0.2">
      <c r="A2001" s="175">
        <v>40984</v>
      </c>
      <c r="B2001" s="176">
        <v>0.57999999999999996</v>
      </c>
    </row>
    <row r="2002" spans="1:2" x14ac:dyDescent="0.2">
      <c r="A2002" s="175">
        <v>40987</v>
      </c>
      <c r="B2002" s="176">
        <v>0.63</v>
      </c>
    </row>
    <row r="2003" spans="1:2" x14ac:dyDescent="0.2">
      <c r="A2003" s="175">
        <v>40988</v>
      </c>
      <c r="B2003" s="176">
        <v>0.63</v>
      </c>
    </row>
    <row r="2004" spans="1:2" x14ac:dyDescent="0.2">
      <c r="A2004" s="175">
        <v>40989</v>
      </c>
      <c r="B2004" s="176">
        <v>0.59</v>
      </c>
    </row>
    <row r="2005" spans="1:2" x14ac:dyDescent="0.2">
      <c r="A2005" s="175">
        <v>40990</v>
      </c>
      <c r="B2005" s="176">
        <v>0.59</v>
      </c>
    </row>
    <row r="2006" spans="1:2" x14ac:dyDescent="0.2">
      <c r="A2006" s="175">
        <v>40991</v>
      </c>
      <c r="B2006" s="176">
        <v>0.54</v>
      </c>
    </row>
    <row r="2007" spans="1:2" x14ac:dyDescent="0.2">
      <c r="A2007" s="175">
        <v>40994</v>
      </c>
      <c r="B2007" s="176">
        <v>0.6</v>
      </c>
    </row>
    <row r="2008" spans="1:2" x14ac:dyDescent="0.2">
      <c r="A2008" s="175">
        <v>40995</v>
      </c>
      <c r="B2008" s="176">
        <v>0.56000000000000005</v>
      </c>
    </row>
    <row r="2009" spans="1:2" x14ac:dyDescent="0.2">
      <c r="A2009" s="175">
        <v>40996</v>
      </c>
      <c r="B2009" s="176">
        <v>0.56999999999999995</v>
      </c>
    </row>
    <row r="2010" spans="1:2" x14ac:dyDescent="0.2">
      <c r="A2010" s="175">
        <v>40997</v>
      </c>
      <c r="B2010" s="176">
        <v>0.55000000000000004</v>
      </c>
    </row>
    <row r="2011" spans="1:2" x14ac:dyDescent="0.2">
      <c r="A2011" s="175">
        <v>40998</v>
      </c>
      <c r="B2011" s="176">
        <v>0.61</v>
      </c>
    </row>
    <row r="2012" spans="1:2" x14ac:dyDescent="0.2">
      <c r="A2012" s="175">
        <v>41001</v>
      </c>
      <c r="B2012" s="176">
        <v>0.56000000000000005</v>
      </c>
    </row>
    <row r="2013" spans="1:2" x14ac:dyDescent="0.2">
      <c r="A2013" s="175">
        <v>41002</v>
      </c>
      <c r="B2013" s="176">
        <v>0.62</v>
      </c>
    </row>
    <row r="2014" spans="1:2" x14ac:dyDescent="0.2">
      <c r="A2014" s="175">
        <v>41003</v>
      </c>
      <c r="B2014" s="176">
        <v>0.62</v>
      </c>
    </row>
    <row r="2015" spans="1:2" x14ac:dyDescent="0.2">
      <c r="A2015" s="175">
        <v>41004</v>
      </c>
      <c r="B2015" s="176">
        <v>0.61</v>
      </c>
    </row>
    <row r="2016" spans="1:2" x14ac:dyDescent="0.2">
      <c r="A2016" s="175">
        <v>41005</v>
      </c>
      <c r="B2016" s="176">
        <v>0.51</v>
      </c>
    </row>
    <row r="2017" spans="1:2" x14ac:dyDescent="0.2">
      <c r="A2017" s="175">
        <v>41008</v>
      </c>
      <c r="B2017" s="176">
        <v>0.5</v>
      </c>
    </row>
    <row r="2018" spans="1:2" x14ac:dyDescent="0.2">
      <c r="A2018" s="175">
        <v>41009</v>
      </c>
      <c r="B2018" s="176">
        <v>0.45</v>
      </c>
    </row>
    <row r="2019" spans="1:2" x14ac:dyDescent="0.2">
      <c r="A2019" s="175">
        <v>41010</v>
      </c>
      <c r="B2019" s="176">
        <v>0.46</v>
      </c>
    </row>
    <row r="2020" spans="1:2" x14ac:dyDescent="0.2">
      <c r="A2020" s="175">
        <v>41011</v>
      </c>
      <c r="B2020" s="176">
        <v>0.48</v>
      </c>
    </row>
    <row r="2021" spans="1:2" x14ac:dyDescent="0.2">
      <c r="A2021" s="175">
        <v>41012</v>
      </c>
      <c r="B2021" s="176">
        <v>0.45</v>
      </c>
    </row>
    <row r="2022" spans="1:2" x14ac:dyDescent="0.2">
      <c r="A2022" s="175">
        <v>41015</v>
      </c>
      <c r="B2022" s="176">
        <v>0.43</v>
      </c>
    </row>
    <row r="2023" spans="1:2" x14ac:dyDescent="0.2">
      <c r="A2023" s="175">
        <v>41016</v>
      </c>
      <c r="B2023" s="176">
        <v>0.41</v>
      </c>
    </row>
    <row r="2024" spans="1:2" x14ac:dyDescent="0.2">
      <c r="A2024" s="175">
        <v>41017</v>
      </c>
      <c r="B2024" s="176">
        <v>0.41</v>
      </c>
    </row>
    <row r="2025" spans="1:2" x14ac:dyDescent="0.2">
      <c r="A2025" s="175">
        <v>41018</v>
      </c>
      <c r="B2025" s="176">
        <v>0.59</v>
      </c>
    </row>
    <row r="2026" spans="1:2" x14ac:dyDescent="0.2">
      <c r="A2026" s="175">
        <v>41019</v>
      </c>
      <c r="B2026" s="176">
        <v>0.47</v>
      </c>
    </row>
    <row r="2027" spans="1:2" x14ac:dyDescent="0.2">
      <c r="A2027" s="175">
        <v>41022</v>
      </c>
      <c r="B2027" s="176">
        <v>0.53</v>
      </c>
    </row>
    <row r="2028" spans="1:2" x14ac:dyDescent="0.2">
      <c r="A2028" s="175">
        <v>41023</v>
      </c>
      <c r="B2028" s="176">
        <v>0.5</v>
      </c>
    </row>
    <row r="2029" spans="1:2" x14ac:dyDescent="0.2">
      <c r="A2029" s="175">
        <v>41024</v>
      </c>
      <c r="B2029" s="176">
        <v>0.53</v>
      </c>
    </row>
    <row r="2030" spans="1:2" x14ac:dyDescent="0.2">
      <c r="A2030" s="175">
        <v>41025</v>
      </c>
      <c r="B2030" s="176">
        <v>0.46</v>
      </c>
    </row>
    <row r="2031" spans="1:2" x14ac:dyDescent="0.2">
      <c r="A2031" s="175">
        <v>41026</v>
      </c>
      <c r="B2031" s="176">
        <v>0.44</v>
      </c>
    </row>
    <row r="2032" spans="1:2" x14ac:dyDescent="0.2">
      <c r="A2032" s="175">
        <v>41029</v>
      </c>
      <c r="B2032" s="176">
        <v>0.48</v>
      </c>
    </row>
    <row r="2033" spans="1:2" x14ac:dyDescent="0.2">
      <c r="A2033" s="175">
        <v>41030</v>
      </c>
      <c r="B2033" s="176">
        <v>0.51</v>
      </c>
    </row>
    <row r="2034" spans="1:2" x14ac:dyDescent="0.2">
      <c r="A2034" s="175">
        <v>41031</v>
      </c>
      <c r="B2034" s="176">
        <v>0.51</v>
      </c>
    </row>
    <row r="2035" spans="1:2" x14ac:dyDescent="0.2">
      <c r="A2035" s="175">
        <v>41032</v>
      </c>
      <c r="B2035" s="176">
        <v>0.6</v>
      </c>
    </row>
    <row r="2036" spans="1:2" x14ac:dyDescent="0.2">
      <c r="A2036" s="175">
        <v>41033</v>
      </c>
      <c r="B2036" s="176">
        <v>0.46</v>
      </c>
    </row>
    <row r="2037" spans="1:2" x14ac:dyDescent="0.2">
      <c r="A2037" s="175">
        <v>41036</v>
      </c>
      <c r="B2037" s="176">
        <v>0.56000000000000005</v>
      </c>
    </row>
    <row r="2038" spans="1:2" x14ac:dyDescent="0.2">
      <c r="A2038" s="175">
        <v>41037</v>
      </c>
      <c r="B2038" s="176">
        <v>0.59</v>
      </c>
    </row>
    <row r="2039" spans="1:2" x14ac:dyDescent="0.2">
      <c r="A2039" s="175">
        <v>41038</v>
      </c>
      <c r="B2039" s="176">
        <v>0.63</v>
      </c>
    </row>
    <row r="2040" spans="1:2" x14ac:dyDescent="0.2">
      <c r="A2040" s="175">
        <v>41039</v>
      </c>
      <c r="B2040" s="176">
        <v>0.66</v>
      </c>
    </row>
    <row r="2041" spans="1:2" x14ac:dyDescent="0.2">
      <c r="A2041" s="175">
        <v>41040</v>
      </c>
      <c r="B2041" s="176">
        <v>0.54</v>
      </c>
    </row>
    <row r="2042" spans="1:2" x14ac:dyDescent="0.2">
      <c r="A2042" s="175">
        <v>41043</v>
      </c>
      <c r="B2042" s="176">
        <v>0.52</v>
      </c>
    </row>
    <row r="2043" spans="1:2" x14ac:dyDescent="0.2">
      <c r="A2043" s="175">
        <v>41044</v>
      </c>
      <c r="B2043" s="176">
        <v>0.45</v>
      </c>
    </row>
    <row r="2044" spans="1:2" x14ac:dyDescent="0.2">
      <c r="A2044" s="175">
        <v>41045</v>
      </c>
      <c r="B2044" s="176">
        <v>0.47</v>
      </c>
    </row>
    <row r="2045" spans="1:2" x14ac:dyDescent="0.2">
      <c r="A2045" s="175">
        <v>41046</v>
      </c>
      <c r="B2045" s="176">
        <v>0.44</v>
      </c>
    </row>
    <row r="2046" spans="1:2" x14ac:dyDescent="0.2">
      <c r="A2046" s="175">
        <v>41047</v>
      </c>
      <c r="B2046" s="176">
        <v>0.39</v>
      </c>
    </row>
    <row r="2047" spans="1:2" x14ac:dyDescent="0.2">
      <c r="A2047" s="175">
        <v>41050</v>
      </c>
      <c r="B2047" s="176">
        <v>0.31</v>
      </c>
    </row>
    <row r="2048" spans="1:2" x14ac:dyDescent="0.2">
      <c r="A2048" s="175">
        <v>41051</v>
      </c>
      <c r="B2048" s="176">
        <v>0.37</v>
      </c>
    </row>
    <row r="2049" spans="1:2" x14ac:dyDescent="0.2">
      <c r="A2049" s="175">
        <v>41052</v>
      </c>
      <c r="B2049" s="176">
        <v>0.3</v>
      </c>
    </row>
    <row r="2050" spans="1:2" x14ac:dyDescent="0.2">
      <c r="A2050" s="175">
        <v>41053</v>
      </c>
      <c r="B2050" s="176">
        <v>0.35</v>
      </c>
    </row>
    <row r="2051" spans="1:2" x14ac:dyDescent="0.2">
      <c r="A2051" s="175">
        <v>41054</v>
      </c>
      <c r="B2051" s="176">
        <v>0.31</v>
      </c>
    </row>
    <row r="2052" spans="1:2" x14ac:dyDescent="0.2">
      <c r="A2052" s="175">
        <v>41057</v>
      </c>
      <c r="B2052" s="176" t="e">
        <f>NA()</f>
        <v>#N/A</v>
      </c>
    </row>
    <row r="2053" spans="1:2" x14ac:dyDescent="0.2">
      <c r="A2053" s="175">
        <v>41058</v>
      </c>
      <c r="B2053" s="176">
        <v>0.32</v>
      </c>
    </row>
    <row r="2054" spans="1:2" x14ac:dyDescent="0.2">
      <c r="A2054" s="175">
        <v>41059</v>
      </c>
      <c r="B2054" s="176">
        <v>0.22</v>
      </c>
    </row>
    <row r="2055" spans="1:2" x14ac:dyDescent="0.2">
      <c r="A2055" s="175">
        <v>41060</v>
      </c>
      <c r="B2055" s="176">
        <v>0.14000000000000001</v>
      </c>
    </row>
    <row r="2056" spans="1:2" x14ac:dyDescent="0.2">
      <c r="A2056" s="175">
        <v>41061</v>
      </c>
      <c r="B2056" s="177">
        <v>-0.03</v>
      </c>
    </row>
    <row r="2057" spans="1:2" x14ac:dyDescent="0.2">
      <c r="A2057" s="175">
        <v>41064</v>
      </c>
      <c r="B2057" s="176">
        <v>-0.02</v>
      </c>
    </row>
    <row r="2058" spans="1:2" x14ac:dyDescent="0.2">
      <c r="A2058" s="175">
        <v>41065</v>
      </c>
      <c r="B2058" s="176">
        <v>-0.01</v>
      </c>
    </row>
    <row r="2059" spans="1:2" x14ac:dyDescent="0.2">
      <c r="A2059" s="175">
        <v>41066</v>
      </c>
      <c r="B2059" s="176">
        <v>7.0000000000000007E-2</v>
      </c>
    </row>
    <row r="2060" spans="1:2" x14ac:dyDescent="0.2">
      <c r="A2060" s="175">
        <v>41067</v>
      </c>
      <c r="B2060" s="176">
        <v>0.12</v>
      </c>
    </row>
    <row r="2061" spans="1:2" x14ac:dyDescent="0.2">
      <c r="A2061" s="175">
        <v>41068</v>
      </c>
      <c r="B2061" s="176">
        <v>0.13</v>
      </c>
    </row>
    <row r="2062" spans="1:2" x14ac:dyDescent="0.2">
      <c r="A2062" s="175">
        <v>41071</v>
      </c>
      <c r="B2062" s="176">
        <v>0.1</v>
      </c>
    </row>
    <row r="2063" spans="1:2" x14ac:dyDescent="0.2">
      <c r="A2063" s="175">
        <v>41072</v>
      </c>
      <c r="B2063" s="176">
        <v>0.14000000000000001</v>
      </c>
    </row>
    <row r="2064" spans="1:2" x14ac:dyDescent="0.2">
      <c r="A2064" s="175">
        <v>41073</v>
      </c>
      <c r="B2064" s="176">
        <v>0.1</v>
      </c>
    </row>
    <row r="2065" spans="1:2" x14ac:dyDescent="0.2">
      <c r="A2065" s="175">
        <v>41074</v>
      </c>
      <c r="B2065" s="176">
        <v>0.14000000000000001</v>
      </c>
    </row>
    <row r="2066" spans="1:2" x14ac:dyDescent="0.2">
      <c r="A2066" s="175">
        <v>41075</v>
      </c>
      <c r="B2066" s="176">
        <v>0.09</v>
      </c>
    </row>
    <row r="2067" spans="1:2" x14ac:dyDescent="0.2">
      <c r="A2067" s="175">
        <v>41078</v>
      </c>
      <c r="B2067" s="176">
        <v>0.09</v>
      </c>
    </row>
    <row r="2068" spans="1:2" x14ac:dyDescent="0.2">
      <c r="A2068" s="175">
        <v>41079</v>
      </c>
      <c r="B2068" s="176">
        <v>0.1</v>
      </c>
    </row>
    <row r="2069" spans="1:2" x14ac:dyDescent="0.2">
      <c r="A2069" s="175">
        <v>41080</v>
      </c>
      <c r="B2069" s="176">
        <v>0.11</v>
      </c>
    </row>
    <row r="2070" spans="1:2" x14ac:dyDescent="0.2">
      <c r="A2070" s="175">
        <v>41081</v>
      </c>
      <c r="B2070" s="176">
        <v>0.13</v>
      </c>
    </row>
    <row r="2071" spans="1:2" x14ac:dyDescent="0.2">
      <c r="A2071" s="175">
        <v>41082</v>
      </c>
      <c r="B2071" s="176">
        <v>0.18</v>
      </c>
    </row>
    <row r="2072" spans="1:2" x14ac:dyDescent="0.2">
      <c r="A2072" s="175">
        <v>41085</v>
      </c>
      <c r="B2072" s="176">
        <v>0.12</v>
      </c>
    </row>
    <row r="2073" spans="1:2" x14ac:dyDescent="0.2">
      <c r="A2073" s="175">
        <v>41086</v>
      </c>
      <c r="B2073" s="176">
        <v>0.12</v>
      </c>
    </row>
    <row r="2074" spans="1:2" x14ac:dyDescent="0.2">
      <c r="A2074" s="175">
        <v>41087</v>
      </c>
      <c r="B2074" s="176">
        <v>0.11</v>
      </c>
    </row>
    <row r="2075" spans="1:2" x14ac:dyDescent="0.2">
      <c r="A2075" s="175">
        <v>41088</v>
      </c>
      <c r="B2075" s="176">
        <v>0.09</v>
      </c>
    </row>
    <row r="2076" spans="1:2" x14ac:dyDescent="0.2">
      <c r="A2076" s="175">
        <v>41089</v>
      </c>
      <c r="B2076" s="176">
        <v>0.15</v>
      </c>
    </row>
    <row r="2077" spans="1:2" x14ac:dyDescent="0.2">
      <c r="A2077" s="175">
        <v>41092</v>
      </c>
      <c r="B2077" s="176">
        <v>0.1</v>
      </c>
    </row>
    <row r="2078" spans="1:2" x14ac:dyDescent="0.2">
      <c r="A2078" s="175">
        <v>41093</v>
      </c>
      <c r="B2078" s="176">
        <v>0.14000000000000001</v>
      </c>
    </row>
    <row r="2079" spans="1:2" x14ac:dyDescent="0.2">
      <c r="A2079" s="175">
        <v>41094</v>
      </c>
      <c r="B2079" s="176" t="e">
        <f>NA()</f>
        <v>#N/A</v>
      </c>
    </row>
    <row r="2080" spans="1:2" x14ac:dyDescent="0.2">
      <c r="A2080" s="175">
        <v>41095</v>
      </c>
      <c r="B2080" s="176">
        <v>0.1</v>
      </c>
    </row>
    <row r="2081" spans="1:2" x14ac:dyDescent="0.2">
      <c r="A2081" s="175">
        <v>41096</v>
      </c>
      <c r="B2081" s="176">
        <v>0.08</v>
      </c>
    </row>
    <row r="2082" spans="1:2" x14ac:dyDescent="0.2">
      <c r="A2082" s="175">
        <v>41099</v>
      </c>
      <c r="B2082" s="176">
        <v>0.03</v>
      </c>
    </row>
    <row r="2083" spans="1:2" x14ac:dyDescent="0.2">
      <c r="A2083" s="175">
        <v>41100</v>
      </c>
      <c r="B2083" s="177">
        <v>0.01</v>
      </c>
    </row>
    <row r="2084" spans="1:2" x14ac:dyDescent="0.2">
      <c r="A2084" s="175">
        <v>41101</v>
      </c>
      <c r="B2084" s="176">
        <v>0.03</v>
      </c>
    </row>
    <row r="2085" spans="1:2" x14ac:dyDescent="0.2">
      <c r="A2085" s="175">
        <v>41102</v>
      </c>
      <c r="B2085" s="176">
        <v>0</v>
      </c>
    </row>
    <row r="2086" spans="1:2" x14ac:dyDescent="0.2">
      <c r="A2086" s="175">
        <v>41103</v>
      </c>
      <c r="B2086" s="176">
        <v>-0.01</v>
      </c>
    </row>
    <row r="2087" spans="1:2" x14ac:dyDescent="0.2">
      <c r="A2087" s="175">
        <v>41106</v>
      </c>
      <c r="B2087" s="176">
        <v>-0.02</v>
      </c>
    </row>
    <row r="2088" spans="1:2" x14ac:dyDescent="0.2">
      <c r="A2088" s="175">
        <v>41107</v>
      </c>
      <c r="B2088" s="176">
        <v>0</v>
      </c>
    </row>
    <row r="2089" spans="1:2" x14ac:dyDescent="0.2">
      <c r="A2089" s="175">
        <v>41108</v>
      </c>
      <c r="B2089" s="176">
        <v>0</v>
      </c>
    </row>
    <row r="2090" spans="1:2" x14ac:dyDescent="0.2">
      <c r="A2090" s="175">
        <v>41109</v>
      </c>
      <c r="B2090" s="176">
        <v>-0.01</v>
      </c>
    </row>
    <row r="2091" spans="1:2" x14ac:dyDescent="0.2">
      <c r="A2091" s="175">
        <v>41110</v>
      </c>
      <c r="B2091" s="176">
        <v>-0.08</v>
      </c>
    </row>
    <row r="2092" spans="1:2" x14ac:dyDescent="0.2">
      <c r="A2092" s="175">
        <v>41113</v>
      </c>
      <c r="B2092" s="176">
        <v>-0.09</v>
      </c>
    </row>
    <row r="2093" spans="1:2" x14ac:dyDescent="0.2">
      <c r="A2093" s="175">
        <v>41114</v>
      </c>
      <c r="B2093" s="176">
        <v>-0.11</v>
      </c>
    </row>
    <row r="2094" spans="1:2" x14ac:dyDescent="0.2">
      <c r="A2094" s="175">
        <v>41115</v>
      </c>
      <c r="B2094" s="176">
        <v>-0.1</v>
      </c>
    </row>
    <row r="2095" spans="1:2" x14ac:dyDescent="0.2">
      <c r="A2095" s="175">
        <v>41116</v>
      </c>
      <c r="B2095" s="176">
        <v>-0.09</v>
      </c>
    </row>
    <row r="2096" spans="1:2" x14ac:dyDescent="0.2">
      <c r="A2096" s="175">
        <v>41117</v>
      </c>
      <c r="B2096" s="176">
        <v>-0.01</v>
      </c>
    </row>
    <row r="2097" spans="1:2" x14ac:dyDescent="0.2">
      <c r="A2097" s="175">
        <v>41120</v>
      </c>
      <c r="B2097" s="176">
        <v>-0.05</v>
      </c>
    </row>
    <row r="2098" spans="1:2" x14ac:dyDescent="0.2">
      <c r="A2098" s="175">
        <v>41121</v>
      </c>
      <c r="B2098" s="176">
        <v>-0.09</v>
      </c>
    </row>
    <row r="2099" spans="1:2" x14ac:dyDescent="0.2">
      <c r="A2099" s="175">
        <v>41122</v>
      </c>
      <c r="B2099" s="176">
        <v>-7.0000000000000007E-2</v>
      </c>
    </row>
    <row r="2100" spans="1:2" x14ac:dyDescent="0.2">
      <c r="A2100" s="175">
        <v>41123</v>
      </c>
      <c r="B2100" s="176">
        <v>-0.1</v>
      </c>
    </row>
    <row r="2101" spans="1:2" x14ac:dyDescent="0.2">
      <c r="A2101" s="175">
        <v>41124</v>
      </c>
      <c r="B2101" s="176">
        <v>-0.05</v>
      </c>
    </row>
    <row r="2102" spans="1:2" x14ac:dyDescent="0.2">
      <c r="A2102" s="175">
        <v>41127</v>
      </c>
      <c r="B2102" s="176">
        <v>-0.06</v>
      </c>
    </row>
    <row r="2103" spans="1:2" x14ac:dyDescent="0.2">
      <c r="A2103" s="175">
        <v>41128</v>
      </c>
      <c r="B2103" s="176">
        <v>-0.03</v>
      </c>
    </row>
    <row r="2104" spans="1:2" x14ac:dyDescent="0.2">
      <c r="A2104" s="175">
        <v>41129</v>
      </c>
      <c r="B2104" s="176">
        <v>0.01</v>
      </c>
    </row>
    <row r="2105" spans="1:2" x14ac:dyDescent="0.2">
      <c r="A2105" s="175">
        <v>41130</v>
      </c>
      <c r="B2105" s="176">
        <v>0.04</v>
      </c>
    </row>
    <row r="2106" spans="1:2" x14ac:dyDescent="0.2">
      <c r="A2106" s="175">
        <v>41131</v>
      </c>
      <c r="B2106" s="176">
        <v>0.03</v>
      </c>
    </row>
    <row r="2107" spans="1:2" x14ac:dyDescent="0.2">
      <c r="A2107" s="175">
        <v>41134</v>
      </c>
      <c r="B2107" s="176">
        <v>0.05</v>
      </c>
    </row>
    <row r="2108" spans="1:2" x14ac:dyDescent="0.2">
      <c r="A2108" s="175">
        <v>41135</v>
      </c>
      <c r="B2108" s="176">
        <v>0.11</v>
      </c>
    </row>
    <row r="2109" spans="1:2" x14ac:dyDescent="0.2">
      <c r="A2109" s="175">
        <v>41136</v>
      </c>
      <c r="B2109" s="176">
        <v>0.2</v>
      </c>
    </row>
    <row r="2110" spans="1:2" x14ac:dyDescent="0.2">
      <c r="A2110" s="175">
        <v>41137</v>
      </c>
      <c r="B2110" s="176">
        <v>0.24</v>
      </c>
    </row>
    <row r="2111" spans="1:2" x14ac:dyDescent="0.2">
      <c r="A2111" s="175">
        <v>41138</v>
      </c>
      <c r="B2111" s="176">
        <v>0.23</v>
      </c>
    </row>
    <row r="2112" spans="1:2" x14ac:dyDescent="0.2">
      <c r="A2112" s="175">
        <v>41141</v>
      </c>
      <c r="B2112" s="176">
        <v>0.23</v>
      </c>
    </row>
    <row r="2113" spans="1:2" x14ac:dyDescent="0.2">
      <c r="A2113" s="175">
        <v>41142</v>
      </c>
      <c r="B2113" s="176">
        <v>0.21</v>
      </c>
    </row>
    <row r="2114" spans="1:2" x14ac:dyDescent="0.2">
      <c r="A2114" s="175">
        <v>41143</v>
      </c>
      <c r="B2114" s="176">
        <v>0.12</v>
      </c>
    </row>
    <row r="2115" spans="1:2" x14ac:dyDescent="0.2">
      <c r="A2115" s="175">
        <v>41144</v>
      </c>
      <c r="B2115" s="176">
        <v>0.06</v>
      </c>
    </row>
    <row r="2116" spans="1:2" x14ac:dyDescent="0.2">
      <c r="A2116" s="175">
        <v>41145</v>
      </c>
      <c r="B2116" s="176">
        <v>7.0000000000000007E-2</v>
      </c>
    </row>
    <row r="2117" spans="1:2" x14ac:dyDescent="0.2">
      <c r="A2117" s="175">
        <v>41148</v>
      </c>
      <c r="B2117" s="176">
        <v>0.03</v>
      </c>
    </row>
    <row r="2118" spans="1:2" x14ac:dyDescent="0.2">
      <c r="A2118" s="175">
        <v>41149</v>
      </c>
      <c r="B2118" s="176">
        <v>-0.01</v>
      </c>
    </row>
    <row r="2119" spans="1:2" x14ac:dyDescent="0.2">
      <c r="A2119" s="175">
        <v>41150</v>
      </c>
      <c r="B2119" s="176">
        <v>0.02</v>
      </c>
    </row>
    <row r="2120" spans="1:2" x14ac:dyDescent="0.2">
      <c r="A2120" s="175">
        <v>41151</v>
      </c>
      <c r="B2120" s="176">
        <v>0.05</v>
      </c>
    </row>
    <row r="2121" spans="1:2" x14ac:dyDescent="0.2">
      <c r="A2121" s="175">
        <v>41152</v>
      </c>
      <c r="B2121" s="176">
        <v>0</v>
      </c>
    </row>
    <row r="2122" spans="1:2" x14ac:dyDescent="0.2">
      <c r="A2122" s="175">
        <v>41155</v>
      </c>
      <c r="B2122" s="176" t="e">
        <f>NA()</f>
        <v>#N/A</v>
      </c>
    </row>
    <row r="2123" spans="1:2" x14ac:dyDescent="0.2">
      <c r="A2123" s="175">
        <v>41156</v>
      </c>
      <c r="B2123" s="176">
        <v>0</v>
      </c>
    </row>
    <row r="2124" spans="1:2" x14ac:dyDescent="0.2">
      <c r="A2124" s="175">
        <v>41157</v>
      </c>
      <c r="B2124" s="176">
        <v>-0.01</v>
      </c>
    </row>
    <row r="2125" spans="1:2" x14ac:dyDescent="0.2">
      <c r="A2125" s="175">
        <v>41158</v>
      </c>
      <c r="B2125" s="176">
        <v>0.05</v>
      </c>
    </row>
    <row r="2126" spans="1:2" x14ac:dyDescent="0.2">
      <c r="A2126" s="175">
        <v>41159</v>
      </c>
      <c r="B2126" s="177">
        <v>0.02</v>
      </c>
    </row>
    <row r="2127" spans="1:2" x14ac:dyDescent="0.2">
      <c r="A2127" s="175">
        <v>41162</v>
      </c>
      <c r="B2127" s="176">
        <v>0.01</v>
      </c>
    </row>
    <row r="2128" spans="1:2" x14ac:dyDescent="0.2">
      <c r="A2128" s="175">
        <v>41163</v>
      </c>
      <c r="B2128" s="176">
        <v>0.02</v>
      </c>
    </row>
    <row r="2129" spans="1:2" x14ac:dyDescent="0.2">
      <c r="A2129" s="175">
        <v>41164</v>
      </c>
      <c r="B2129" s="176">
        <v>0.1</v>
      </c>
    </row>
    <row r="2130" spans="1:2" x14ac:dyDescent="0.2">
      <c r="A2130" s="175">
        <v>41165</v>
      </c>
      <c r="B2130" s="176">
        <v>0.03</v>
      </c>
    </row>
    <row r="2131" spans="1:2" x14ac:dyDescent="0.2">
      <c r="A2131" s="175">
        <v>41166</v>
      </c>
      <c r="B2131" s="176">
        <v>0.02</v>
      </c>
    </row>
    <row r="2132" spans="1:2" x14ac:dyDescent="0.2">
      <c r="A2132" s="175">
        <v>41169</v>
      </c>
      <c r="B2132" s="176">
        <v>0.04</v>
      </c>
    </row>
    <row r="2133" spans="1:2" x14ac:dyDescent="0.2">
      <c r="A2133" s="175">
        <v>41170</v>
      </c>
      <c r="B2133" s="176">
        <v>0.04</v>
      </c>
    </row>
    <row r="2134" spans="1:2" x14ac:dyDescent="0.2">
      <c r="A2134" s="175">
        <v>41171</v>
      </c>
      <c r="B2134" s="176">
        <v>0.01</v>
      </c>
    </row>
    <row r="2135" spans="1:2" x14ac:dyDescent="0.2">
      <c r="A2135" s="175">
        <v>41172</v>
      </c>
      <c r="B2135" s="176">
        <v>0.05</v>
      </c>
    </row>
    <row r="2136" spans="1:2" x14ac:dyDescent="0.2">
      <c r="A2136" s="175">
        <v>41173</v>
      </c>
      <c r="B2136" s="176">
        <v>0.05</v>
      </c>
    </row>
    <row r="2137" spans="1:2" x14ac:dyDescent="0.2">
      <c r="A2137" s="175">
        <v>41176</v>
      </c>
      <c r="B2137" s="176">
        <v>0.04</v>
      </c>
    </row>
    <row r="2138" spans="1:2" x14ac:dyDescent="0.2">
      <c r="A2138" s="175">
        <v>41177</v>
      </c>
      <c r="B2138" s="176">
        <v>0.01</v>
      </c>
    </row>
    <row r="2139" spans="1:2" x14ac:dyDescent="0.2">
      <c r="A2139" s="175">
        <v>41178</v>
      </c>
      <c r="B2139" s="176">
        <v>-0.04</v>
      </c>
    </row>
    <row r="2140" spans="1:2" x14ac:dyDescent="0.2">
      <c r="A2140" s="175">
        <v>41179</v>
      </c>
      <c r="B2140" s="176">
        <v>-0.02</v>
      </c>
    </row>
    <row r="2141" spans="1:2" x14ac:dyDescent="0.2">
      <c r="A2141" s="175">
        <v>41180</v>
      </c>
      <c r="B2141" s="176">
        <v>-0.01</v>
      </c>
    </row>
    <row r="2142" spans="1:2" x14ac:dyDescent="0.2">
      <c r="A2142" s="175">
        <v>41183</v>
      </c>
      <c r="B2142" s="176">
        <v>-0.02</v>
      </c>
    </row>
    <row r="2143" spans="1:2" x14ac:dyDescent="0.2">
      <c r="A2143" s="175">
        <v>41184</v>
      </c>
      <c r="B2143" s="176">
        <v>-7.0000000000000007E-2</v>
      </c>
    </row>
    <row r="2144" spans="1:2" x14ac:dyDescent="0.2">
      <c r="A2144" s="175">
        <v>41185</v>
      </c>
      <c r="B2144" s="176">
        <v>-0.08</v>
      </c>
    </row>
    <row r="2145" spans="1:2" x14ac:dyDescent="0.2">
      <c r="A2145" s="175">
        <v>41186</v>
      </c>
      <c r="B2145" s="176">
        <v>-0.09</v>
      </c>
    </row>
    <row r="2146" spans="1:2" x14ac:dyDescent="0.2">
      <c r="A2146" s="175">
        <v>41187</v>
      </c>
      <c r="B2146" s="176">
        <v>-0.05</v>
      </c>
    </row>
    <row r="2147" spans="1:2" x14ac:dyDescent="0.2">
      <c r="A2147" s="175">
        <v>41190</v>
      </c>
      <c r="B2147" s="176" t="e">
        <f>NA()</f>
        <v>#N/A</v>
      </c>
    </row>
    <row r="2148" spans="1:2" x14ac:dyDescent="0.2">
      <c r="A2148" s="175">
        <v>41191</v>
      </c>
      <c r="B2148" s="176">
        <v>-0.05</v>
      </c>
    </row>
    <row r="2149" spans="1:2" x14ac:dyDescent="0.2">
      <c r="A2149" s="175">
        <v>41192</v>
      </c>
      <c r="B2149" s="176">
        <v>-0.04</v>
      </c>
    </row>
    <row r="2150" spans="1:2" x14ac:dyDescent="0.2">
      <c r="A2150" s="175">
        <v>41193</v>
      </c>
      <c r="B2150" s="176">
        <v>-0.02</v>
      </c>
    </row>
    <row r="2151" spans="1:2" x14ac:dyDescent="0.2">
      <c r="A2151" s="175">
        <v>41194</v>
      </c>
      <c r="B2151" s="177">
        <v>-0.02</v>
      </c>
    </row>
    <row r="2152" spans="1:2" x14ac:dyDescent="0.2">
      <c r="A2152" s="175">
        <v>41197</v>
      </c>
      <c r="B2152" s="176">
        <v>-0.03</v>
      </c>
    </row>
    <row r="2153" spans="1:2" x14ac:dyDescent="0.2">
      <c r="A2153" s="175">
        <v>41198</v>
      </c>
      <c r="B2153" s="176">
        <v>0.04</v>
      </c>
    </row>
    <row r="2154" spans="1:2" x14ac:dyDescent="0.2">
      <c r="A2154" s="175">
        <v>41199</v>
      </c>
      <c r="B2154" s="176">
        <v>0.09</v>
      </c>
    </row>
    <row r="2155" spans="1:2" x14ac:dyDescent="0.2">
      <c r="A2155" s="175">
        <v>41200</v>
      </c>
      <c r="B2155" s="176">
        <v>0.08</v>
      </c>
    </row>
    <row r="2156" spans="1:2" x14ac:dyDescent="0.2">
      <c r="A2156" s="175">
        <v>41201</v>
      </c>
      <c r="B2156" s="176">
        <v>0.01</v>
      </c>
    </row>
    <row r="2157" spans="1:2" x14ac:dyDescent="0.2">
      <c r="A2157" s="175">
        <v>41204</v>
      </c>
      <c r="B2157" s="176">
        <v>0.01</v>
      </c>
    </row>
    <row r="2158" spans="1:2" x14ac:dyDescent="0.2">
      <c r="A2158" s="175">
        <v>41205</v>
      </c>
      <c r="B2158" s="176">
        <v>-0.01</v>
      </c>
    </row>
    <row r="2159" spans="1:2" x14ac:dyDescent="0.2">
      <c r="A2159" s="175">
        <v>41206</v>
      </c>
      <c r="B2159" s="176">
        <v>0.01</v>
      </c>
    </row>
    <row r="2160" spans="1:2" x14ac:dyDescent="0.2">
      <c r="A2160" s="175">
        <v>41207</v>
      </c>
      <c r="B2160" s="176">
        <v>0.06</v>
      </c>
    </row>
    <row r="2161" spans="1:2" x14ac:dyDescent="0.2">
      <c r="A2161" s="175">
        <v>41208</v>
      </c>
      <c r="B2161" s="176">
        <v>0.01</v>
      </c>
    </row>
    <row r="2162" spans="1:2" x14ac:dyDescent="0.2">
      <c r="A2162" s="175">
        <v>41211</v>
      </c>
      <c r="B2162" s="176">
        <v>-0.03</v>
      </c>
    </row>
    <row r="2163" spans="1:2" x14ac:dyDescent="0.2">
      <c r="A2163" s="175">
        <v>41212</v>
      </c>
      <c r="B2163" s="176" t="e">
        <f>NA()</f>
        <v>#N/A</v>
      </c>
    </row>
    <row r="2164" spans="1:2" x14ac:dyDescent="0.2">
      <c r="A2164" s="175">
        <v>41213</v>
      </c>
      <c r="B2164" s="176">
        <v>-7.0000000000000007E-2</v>
      </c>
    </row>
    <row r="2165" spans="1:2" x14ac:dyDescent="0.2">
      <c r="A2165" s="175">
        <v>41214</v>
      </c>
      <c r="B2165" s="176">
        <v>-0.06</v>
      </c>
    </row>
    <row r="2166" spans="1:2" x14ac:dyDescent="0.2">
      <c r="A2166" s="175">
        <v>41215</v>
      </c>
      <c r="B2166" s="176">
        <v>-0.02</v>
      </c>
    </row>
    <row r="2167" spans="1:2" x14ac:dyDescent="0.2">
      <c r="A2167" s="175">
        <v>41218</v>
      </c>
      <c r="B2167" s="177">
        <v>-0.05</v>
      </c>
    </row>
    <row r="2168" spans="1:2" x14ac:dyDescent="0.2">
      <c r="A2168" s="175">
        <v>41219</v>
      </c>
      <c r="B2168" s="176">
        <v>-0.01</v>
      </c>
    </row>
    <row r="2169" spans="1:2" x14ac:dyDescent="0.2">
      <c r="A2169" s="175">
        <v>41220</v>
      </c>
      <c r="B2169" s="176">
        <v>-0.1</v>
      </c>
    </row>
    <row r="2170" spans="1:2" x14ac:dyDescent="0.2">
      <c r="A2170" s="175">
        <v>41221</v>
      </c>
      <c r="B2170" s="176">
        <v>-0.17</v>
      </c>
    </row>
    <row r="2171" spans="1:2" x14ac:dyDescent="0.2">
      <c r="A2171" s="175">
        <v>41222</v>
      </c>
      <c r="B2171" s="176">
        <v>-0.14000000000000001</v>
      </c>
    </row>
    <row r="2172" spans="1:2" x14ac:dyDescent="0.2">
      <c r="A2172" s="175">
        <v>41225</v>
      </c>
      <c r="B2172" s="176" t="e">
        <f>NA()</f>
        <v>#N/A</v>
      </c>
    </row>
    <row r="2173" spans="1:2" x14ac:dyDescent="0.2">
      <c r="A2173" s="175">
        <v>41226</v>
      </c>
      <c r="B2173" s="176">
        <v>-0.16</v>
      </c>
    </row>
    <row r="2174" spans="1:2" x14ac:dyDescent="0.2">
      <c r="A2174" s="175">
        <v>41227</v>
      </c>
      <c r="B2174" s="176">
        <v>-0.14000000000000001</v>
      </c>
    </row>
    <row r="2175" spans="1:2" x14ac:dyDescent="0.2">
      <c r="A2175" s="175">
        <v>41228</v>
      </c>
      <c r="B2175" s="176">
        <v>-0.12</v>
      </c>
    </row>
    <row r="2176" spans="1:2" x14ac:dyDescent="0.2">
      <c r="A2176" s="175">
        <v>41229</v>
      </c>
      <c r="B2176" s="177">
        <v>-0.12</v>
      </c>
    </row>
    <row r="2177" spans="1:2" x14ac:dyDescent="0.2">
      <c r="A2177" s="175">
        <v>41232</v>
      </c>
      <c r="B2177" s="176">
        <v>-0.09</v>
      </c>
    </row>
    <row r="2178" spans="1:2" x14ac:dyDescent="0.2">
      <c r="A2178" s="175">
        <v>41233</v>
      </c>
      <c r="B2178" s="176">
        <v>-0.03</v>
      </c>
    </row>
    <row r="2179" spans="1:2" x14ac:dyDescent="0.2">
      <c r="A2179" s="175">
        <v>41234</v>
      </c>
      <c r="B2179" s="176">
        <v>0</v>
      </c>
    </row>
    <row r="2180" spans="1:2" x14ac:dyDescent="0.2">
      <c r="A2180" s="175">
        <v>41235</v>
      </c>
      <c r="B2180" s="176" t="e">
        <f>NA()</f>
        <v>#N/A</v>
      </c>
    </row>
    <row r="2181" spans="1:2" x14ac:dyDescent="0.2">
      <c r="A2181" s="175">
        <v>41236</v>
      </c>
      <c r="B2181" s="176">
        <v>0</v>
      </c>
    </row>
    <row r="2182" spans="1:2" x14ac:dyDescent="0.2">
      <c r="A2182" s="175">
        <v>41239</v>
      </c>
      <c r="B2182" s="176">
        <v>0</v>
      </c>
    </row>
    <row r="2183" spans="1:2" x14ac:dyDescent="0.2">
      <c r="A2183" s="175">
        <v>41240</v>
      </c>
      <c r="B2183" s="176">
        <v>0.02</v>
      </c>
    </row>
    <row r="2184" spans="1:2" x14ac:dyDescent="0.2">
      <c r="A2184" s="175">
        <v>41241</v>
      </c>
      <c r="B2184" s="177">
        <v>0.02</v>
      </c>
    </row>
    <row r="2185" spans="1:2" x14ac:dyDescent="0.2">
      <c r="A2185" s="175">
        <v>41242</v>
      </c>
      <c r="B2185" s="176">
        <v>-0.01</v>
      </c>
    </row>
    <row r="2186" spans="1:2" x14ac:dyDescent="0.2">
      <c r="A2186" s="175">
        <v>41243</v>
      </c>
      <c r="B2186" s="176">
        <v>-0.01</v>
      </c>
    </row>
    <row r="2187" spans="1:2" x14ac:dyDescent="0.2">
      <c r="A2187" s="175">
        <v>41246</v>
      </c>
      <c r="B2187" s="176">
        <v>-0.05</v>
      </c>
    </row>
    <row r="2188" spans="1:2" x14ac:dyDescent="0.2">
      <c r="A2188" s="175">
        <v>41247</v>
      </c>
      <c r="B2188" s="176">
        <v>-0.08</v>
      </c>
    </row>
    <row r="2189" spans="1:2" x14ac:dyDescent="0.2">
      <c r="A2189" s="175">
        <v>41248</v>
      </c>
      <c r="B2189" s="176">
        <v>-0.1</v>
      </c>
    </row>
    <row r="2190" spans="1:2" x14ac:dyDescent="0.2">
      <c r="A2190" s="175">
        <v>41249</v>
      </c>
      <c r="B2190" s="176">
        <v>-0.12</v>
      </c>
    </row>
    <row r="2191" spans="1:2" x14ac:dyDescent="0.2">
      <c r="A2191" s="175">
        <v>41250</v>
      </c>
      <c r="B2191" s="176">
        <v>-0.11</v>
      </c>
    </row>
    <row r="2192" spans="1:2" x14ac:dyDescent="0.2">
      <c r="A2192" s="175">
        <v>41253</v>
      </c>
      <c r="B2192" s="176">
        <v>-0.16</v>
      </c>
    </row>
    <row r="2193" spans="1:2" x14ac:dyDescent="0.2">
      <c r="A2193" s="175">
        <v>41254</v>
      </c>
      <c r="B2193" s="176">
        <v>-7.0000000000000007E-2</v>
      </c>
    </row>
    <row r="2194" spans="1:2" x14ac:dyDescent="0.2">
      <c r="A2194" s="175">
        <v>41255</v>
      </c>
      <c r="B2194" s="176">
        <v>-0.01</v>
      </c>
    </row>
    <row r="2195" spans="1:2" x14ac:dyDescent="0.2">
      <c r="A2195" s="175">
        <v>41256</v>
      </c>
      <c r="B2195" s="176">
        <v>0.03</v>
      </c>
    </row>
    <row r="2196" spans="1:2" x14ac:dyDescent="0.2">
      <c r="A2196" s="175">
        <v>41257</v>
      </c>
      <c r="B2196" s="176">
        <v>0</v>
      </c>
    </row>
    <row r="2197" spans="1:2" x14ac:dyDescent="0.2">
      <c r="A2197" s="175">
        <v>41260</v>
      </c>
      <c r="B2197" s="176">
        <v>0.05</v>
      </c>
    </row>
    <row r="2198" spans="1:2" x14ac:dyDescent="0.2">
      <c r="A2198" s="175">
        <v>41261</v>
      </c>
      <c r="B2198" s="176">
        <v>0.1</v>
      </c>
    </row>
    <row r="2199" spans="1:2" x14ac:dyDescent="0.2">
      <c r="A2199" s="175">
        <v>41262</v>
      </c>
      <c r="B2199" s="176">
        <v>0.14000000000000001</v>
      </c>
    </row>
    <row r="2200" spans="1:2" x14ac:dyDescent="0.2">
      <c r="A2200" s="175">
        <v>41263</v>
      </c>
      <c r="B2200" s="176">
        <v>0.06</v>
      </c>
    </row>
    <row r="2201" spans="1:2" x14ac:dyDescent="0.2">
      <c r="A2201" s="175">
        <v>41264</v>
      </c>
      <c r="B2201" s="176">
        <v>0.02</v>
      </c>
    </row>
    <row r="2202" spans="1:2" x14ac:dyDescent="0.2">
      <c r="A2202" s="175">
        <v>41267</v>
      </c>
      <c r="B2202" s="176">
        <v>0.1</v>
      </c>
    </row>
    <row r="2203" spans="1:2" x14ac:dyDescent="0.2">
      <c r="A2203" s="175">
        <v>41268</v>
      </c>
      <c r="B2203" s="176" t="e">
        <f>NA()</f>
        <v>#N/A</v>
      </c>
    </row>
    <row r="2204" spans="1:2" x14ac:dyDescent="0.2">
      <c r="A2204" s="175">
        <v>41269</v>
      </c>
      <c r="B2204" s="176">
        <v>0.05</v>
      </c>
    </row>
    <row r="2205" spans="1:2" x14ac:dyDescent="0.2">
      <c r="A2205" s="175">
        <v>41270</v>
      </c>
      <c r="B2205" s="176">
        <v>0.05</v>
      </c>
    </row>
    <row r="2206" spans="1:2" x14ac:dyDescent="0.2">
      <c r="A2206" s="175">
        <v>41271</v>
      </c>
      <c r="B2206" s="176">
        <v>0.01</v>
      </c>
    </row>
    <row r="2207" spans="1:2" x14ac:dyDescent="0.2">
      <c r="A2207" s="175">
        <v>41274</v>
      </c>
      <c r="B2207" s="177">
        <v>0.15</v>
      </c>
    </row>
    <row r="2208" spans="1:2" x14ac:dyDescent="0.2">
      <c r="A2208" s="175">
        <v>41275</v>
      </c>
      <c r="B2208" s="176" t="e">
        <f>NA()</f>
        <v>#N/A</v>
      </c>
    </row>
    <row r="2209" spans="1:2" x14ac:dyDescent="0.2">
      <c r="A2209" s="175">
        <v>41276</v>
      </c>
      <c r="B2209" s="176">
        <v>0.22</v>
      </c>
    </row>
    <row r="2210" spans="1:2" x14ac:dyDescent="0.2">
      <c r="A2210" s="175">
        <v>41277</v>
      </c>
      <c r="B2210" s="176">
        <v>0.31</v>
      </c>
    </row>
    <row r="2211" spans="1:2" x14ac:dyDescent="0.2">
      <c r="A2211" s="175">
        <v>41278</v>
      </c>
      <c r="B2211" s="176">
        <v>0.27</v>
      </c>
    </row>
    <row r="2212" spans="1:2" x14ac:dyDescent="0.2">
      <c r="A2212" s="175">
        <v>41281</v>
      </c>
      <c r="B2212" s="177">
        <v>0.18</v>
      </c>
    </row>
    <row r="2213" spans="1:2" x14ac:dyDescent="0.2">
      <c r="A2213" s="175">
        <v>41282</v>
      </c>
      <c r="B2213" s="176">
        <v>0.24</v>
      </c>
    </row>
    <row r="2214" spans="1:2" x14ac:dyDescent="0.2">
      <c r="A2214" s="175">
        <v>41283</v>
      </c>
      <c r="B2214" s="176">
        <v>0.2</v>
      </c>
    </row>
    <row r="2215" spans="1:2" x14ac:dyDescent="0.2">
      <c r="A2215" s="175">
        <v>41284</v>
      </c>
      <c r="B2215" s="176">
        <v>0.14000000000000001</v>
      </c>
    </row>
    <row r="2216" spans="1:2" x14ac:dyDescent="0.2">
      <c r="A2216" s="175">
        <v>41285</v>
      </c>
      <c r="B2216" s="176">
        <v>0.16</v>
      </c>
    </row>
    <row r="2217" spans="1:2" x14ac:dyDescent="0.2">
      <c r="A2217" s="175">
        <v>41288</v>
      </c>
      <c r="B2217" s="176">
        <v>0.1</v>
      </c>
    </row>
    <row r="2218" spans="1:2" x14ac:dyDescent="0.2">
      <c r="A2218" s="175">
        <v>41289</v>
      </c>
      <c r="B2218" s="176">
        <v>0.17</v>
      </c>
    </row>
    <row r="2219" spans="1:2" x14ac:dyDescent="0.2">
      <c r="A2219" s="175">
        <v>41290</v>
      </c>
      <c r="B2219" s="176">
        <v>0.19</v>
      </c>
    </row>
    <row r="2220" spans="1:2" x14ac:dyDescent="0.2">
      <c r="A2220" s="175">
        <v>41291</v>
      </c>
      <c r="B2220" s="176">
        <v>0.17</v>
      </c>
    </row>
    <row r="2221" spans="1:2" x14ac:dyDescent="0.2">
      <c r="A2221" s="175">
        <v>41292</v>
      </c>
      <c r="B2221" s="176">
        <v>0.16</v>
      </c>
    </row>
    <row r="2222" spans="1:2" x14ac:dyDescent="0.2">
      <c r="A2222" s="175">
        <v>41295</v>
      </c>
      <c r="B2222" s="176" t="e">
        <f>NA()</f>
        <v>#N/A</v>
      </c>
    </row>
    <row r="2223" spans="1:2" x14ac:dyDescent="0.2">
      <c r="A2223" s="175">
        <v>41296</v>
      </c>
      <c r="B2223" s="176">
        <v>0.09</v>
      </c>
    </row>
    <row r="2224" spans="1:2" x14ac:dyDescent="0.2">
      <c r="A2224" s="175">
        <v>41297</v>
      </c>
      <c r="B2224" s="176">
        <v>0.2</v>
      </c>
    </row>
    <row r="2225" spans="1:2" x14ac:dyDescent="0.2">
      <c r="A2225" s="175">
        <v>41298</v>
      </c>
      <c r="B2225" s="176">
        <v>0.25</v>
      </c>
    </row>
    <row r="2226" spans="1:2" x14ac:dyDescent="0.2">
      <c r="A2226" s="175">
        <v>41299</v>
      </c>
      <c r="B2226" s="177">
        <v>0.2</v>
      </c>
    </row>
    <row r="2227" spans="1:2" x14ac:dyDescent="0.2">
      <c r="A2227" s="175">
        <v>41302</v>
      </c>
      <c r="B2227" s="176">
        <v>0.21</v>
      </c>
    </row>
    <row r="2228" spans="1:2" x14ac:dyDescent="0.2">
      <c r="A2228" s="175">
        <v>41303</v>
      </c>
      <c r="B2228" s="176">
        <v>0.24</v>
      </c>
    </row>
    <row r="2229" spans="1:2" x14ac:dyDescent="0.2">
      <c r="A2229" s="175">
        <v>41304</v>
      </c>
      <c r="B2229" s="176">
        <v>0.22</v>
      </c>
    </row>
    <row r="2230" spans="1:2" x14ac:dyDescent="0.2">
      <c r="A2230" s="175">
        <v>41305</v>
      </c>
      <c r="B2230" s="176">
        <v>0.22</v>
      </c>
    </row>
    <row r="2231" spans="1:2" x14ac:dyDescent="0.2">
      <c r="A2231" s="175">
        <v>41306</v>
      </c>
      <c r="B2231" s="176">
        <v>0.25</v>
      </c>
    </row>
    <row r="2232" spans="1:2" x14ac:dyDescent="0.2">
      <c r="A2232" s="175">
        <v>41309</v>
      </c>
      <c r="B2232" s="176">
        <v>0.2</v>
      </c>
    </row>
    <row r="2233" spans="1:2" x14ac:dyDescent="0.2">
      <c r="A2233" s="175">
        <v>41310</v>
      </c>
      <c r="B2233" s="176">
        <v>0.23</v>
      </c>
    </row>
    <row r="2234" spans="1:2" x14ac:dyDescent="0.2">
      <c r="A2234" s="175">
        <v>41311</v>
      </c>
      <c r="B2234" s="176">
        <v>0.22</v>
      </c>
    </row>
    <row r="2235" spans="1:2" x14ac:dyDescent="0.2">
      <c r="A2235" s="175">
        <v>41312</v>
      </c>
      <c r="B2235" s="176">
        <v>0.2</v>
      </c>
    </row>
    <row r="2236" spans="1:2" x14ac:dyDescent="0.2">
      <c r="A2236" s="175">
        <v>41313</v>
      </c>
      <c r="B2236" s="176">
        <v>0.17</v>
      </c>
    </row>
    <row r="2237" spans="1:2" x14ac:dyDescent="0.2">
      <c r="A2237" s="175">
        <v>41316</v>
      </c>
      <c r="B2237" s="176">
        <v>0.2</v>
      </c>
    </row>
    <row r="2238" spans="1:2" x14ac:dyDescent="0.2">
      <c r="A2238" s="175">
        <v>41317</v>
      </c>
      <c r="B2238" s="176">
        <v>0.19</v>
      </c>
    </row>
    <row r="2239" spans="1:2" x14ac:dyDescent="0.2">
      <c r="A2239" s="175">
        <v>41318</v>
      </c>
      <c r="B2239" s="176">
        <v>0.22</v>
      </c>
    </row>
    <row r="2240" spans="1:2" x14ac:dyDescent="0.2">
      <c r="A2240" s="175">
        <v>41319</v>
      </c>
      <c r="B2240" s="176">
        <v>0.21</v>
      </c>
    </row>
    <row r="2241" spans="1:2" x14ac:dyDescent="0.2">
      <c r="A2241" s="175">
        <v>41320</v>
      </c>
      <c r="B2241" s="176">
        <v>0.23</v>
      </c>
    </row>
    <row r="2242" spans="1:2" x14ac:dyDescent="0.2">
      <c r="A2242" s="175">
        <v>41323</v>
      </c>
      <c r="B2242" s="176" t="e">
        <f>NA()</f>
        <v>#N/A</v>
      </c>
    </row>
    <row r="2243" spans="1:2" x14ac:dyDescent="0.2">
      <c r="A2243" s="175">
        <v>41324</v>
      </c>
      <c r="B2243" s="176">
        <v>0.23</v>
      </c>
    </row>
    <row r="2244" spans="1:2" x14ac:dyDescent="0.2">
      <c r="A2244" s="175">
        <v>41325</v>
      </c>
      <c r="B2244" s="176">
        <v>0.23</v>
      </c>
    </row>
    <row r="2245" spans="1:2" x14ac:dyDescent="0.2">
      <c r="A2245" s="175">
        <v>41326</v>
      </c>
      <c r="B2245" s="176">
        <v>0.21</v>
      </c>
    </row>
    <row r="2246" spans="1:2" x14ac:dyDescent="0.2">
      <c r="A2246" s="175">
        <v>41327</v>
      </c>
      <c r="B2246" s="177">
        <v>0.18</v>
      </c>
    </row>
    <row r="2247" spans="1:2" x14ac:dyDescent="0.2">
      <c r="A2247" s="175">
        <v>41330</v>
      </c>
      <c r="B2247" s="176">
        <v>0.14000000000000001</v>
      </c>
    </row>
    <row r="2248" spans="1:2" x14ac:dyDescent="0.2">
      <c r="A2248" s="175">
        <v>41331</v>
      </c>
      <c r="B2248" s="176">
        <v>0.13</v>
      </c>
    </row>
    <row r="2249" spans="1:2" x14ac:dyDescent="0.2">
      <c r="A2249" s="175">
        <v>41332</v>
      </c>
      <c r="B2249" s="176">
        <v>0.14000000000000001</v>
      </c>
    </row>
    <row r="2250" spans="1:2" x14ac:dyDescent="0.2">
      <c r="A2250" s="175">
        <v>41333</v>
      </c>
      <c r="B2250" s="176">
        <v>0.12</v>
      </c>
    </row>
    <row r="2251" spans="1:2" x14ac:dyDescent="0.2">
      <c r="A2251" s="175">
        <v>41334</v>
      </c>
      <c r="B2251" s="176">
        <v>7.0000000000000007E-2</v>
      </c>
    </row>
    <row r="2252" spans="1:2" x14ac:dyDescent="0.2">
      <c r="A2252" s="175">
        <v>41337</v>
      </c>
      <c r="B2252" s="176">
        <v>0.12</v>
      </c>
    </row>
    <row r="2253" spans="1:2" x14ac:dyDescent="0.2">
      <c r="A2253" s="175">
        <v>41338</v>
      </c>
      <c r="B2253" s="176">
        <v>0.13</v>
      </c>
    </row>
    <row r="2254" spans="1:2" x14ac:dyDescent="0.2">
      <c r="A2254" s="175">
        <v>41339</v>
      </c>
      <c r="B2254" s="176">
        <v>0.17</v>
      </c>
    </row>
    <row r="2255" spans="1:2" x14ac:dyDescent="0.2">
      <c r="A2255" s="175">
        <v>41340</v>
      </c>
      <c r="B2255" s="176">
        <v>0.2</v>
      </c>
    </row>
    <row r="2256" spans="1:2" x14ac:dyDescent="0.2">
      <c r="A2256" s="175">
        <v>41341</v>
      </c>
      <c r="B2256" s="176">
        <v>0.25</v>
      </c>
    </row>
    <row r="2257" spans="1:2" x14ac:dyDescent="0.2">
      <c r="A2257" s="175">
        <v>41344</v>
      </c>
      <c r="B2257" s="176">
        <v>0.27</v>
      </c>
    </row>
    <row r="2258" spans="1:2" x14ac:dyDescent="0.2">
      <c r="A2258" s="175">
        <v>41345</v>
      </c>
      <c r="B2258" s="176">
        <v>0.25</v>
      </c>
    </row>
    <row r="2259" spans="1:2" x14ac:dyDescent="0.2">
      <c r="A2259" s="175">
        <v>41346</v>
      </c>
      <c r="B2259" s="176">
        <v>0.24</v>
      </c>
    </row>
    <row r="2260" spans="1:2" x14ac:dyDescent="0.2">
      <c r="A2260" s="175">
        <v>41347</v>
      </c>
      <c r="B2260" s="176">
        <v>0.25</v>
      </c>
    </row>
    <row r="2261" spans="1:2" x14ac:dyDescent="0.2">
      <c r="A2261" s="175">
        <v>41348</v>
      </c>
      <c r="B2261" s="176">
        <v>0.25</v>
      </c>
    </row>
    <row r="2262" spans="1:2" x14ac:dyDescent="0.2">
      <c r="A2262" s="175">
        <v>41351</v>
      </c>
      <c r="B2262" s="176">
        <v>0.2</v>
      </c>
    </row>
    <row r="2263" spans="1:2" x14ac:dyDescent="0.2">
      <c r="A2263" s="175">
        <v>41352</v>
      </c>
      <c r="B2263" s="176">
        <v>0.18</v>
      </c>
    </row>
    <row r="2264" spans="1:2" x14ac:dyDescent="0.2">
      <c r="A2264" s="175">
        <v>41353</v>
      </c>
      <c r="B2264" s="176">
        <v>0.23</v>
      </c>
    </row>
    <row r="2265" spans="1:2" x14ac:dyDescent="0.2">
      <c r="A2265" s="175">
        <v>41354</v>
      </c>
      <c r="B2265" s="176">
        <v>0.21</v>
      </c>
    </row>
    <row r="2266" spans="1:2" x14ac:dyDescent="0.2">
      <c r="A2266" s="175">
        <v>41355</v>
      </c>
      <c r="B2266" s="176">
        <v>0.19</v>
      </c>
    </row>
    <row r="2267" spans="1:2" x14ac:dyDescent="0.2">
      <c r="A2267" s="175">
        <v>41358</v>
      </c>
      <c r="B2267" s="176">
        <v>0.19</v>
      </c>
    </row>
    <row r="2268" spans="1:2" x14ac:dyDescent="0.2">
      <c r="A2268" s="175">
        <v>41359</v>
      </c>
      <c r="B2268" s="176">
        <v>0.18</v>
      </c>
    </row>
    <row r="2269" spans="1:2" x14ac:dyDescent="0.2">
      <c r="A2269" s="175">
        <v>41360</v>
      </c>
      <c r="B2269" s="176">
        <v>0.15</v>
      </c>
    </row>
    <row r="2270" spans="1:2" x14ac:dyDescent="0.2">
      <c r="A2270" s="175">
        <v>41361</v>
      </c>
      <c r="B2270" s="176">
        <v>0.16</v>
      </c>
    </row>
    <row r="2271" spans="1:2" x14ac:dyDescent="0.2">
      <c r="A2271" s="175">
        <v>41362</v>
      </c>
      <c r="B2271" s="176" t="e">
        <f>NA()</f>
        <v>#N/A</v>
      </c>
    </row>
    <row r="2272" spans="1:2" x14ac:dyDescent="0.2">
      <c r="A2272" s="175">
        <v>41365</v>
      </c>
      <c r="B2272" s="176">
        <v>0.14000000000000001</v>
      </c>
    </row>
    <row r="2273" spans="1:2" x14ac:dyDescent="0.2">
      <c r="A2273" s="175">
        <v>41366</v>
      </c>
      <c r="B2273" s="176">
        <v>0.16</v>
      </c>
    </row>
    <row r="2274" spans="1:2" x14ac:dyDescent="0.2">
      <c r="A2274" s="175">
        <v>41367</v>
      </c>
      <c r="B2274" s="176">
        <v>0.13</v>
      </c>
    </row>
    <row r="2275" spans="1:2" x14ac:dyDescent="0.2">
      <c r="A2275" s="175">
        <v>41368</v>
      </c>
      <c r="B2275" s="177">
        <v>0.06</v>
      </c>
    </row>
    <row r="2276" spans="1:2" x14ac:dyDescent="0.2">
      <c r="A2276" s="175">
        <v>41369</v>
      </c>
      <c r="B2276" s="176">
        <v>-0.03</v>
      </c>
    </row>
    <row r="2277" spans="1:2" x14ac:dyDescent="0.2">
      <c r="A2277" s="175">
        <v>41372</v>
      </c>
      <c r="B2277" s="176">
        <v>0.04</v>
      </c>
    </row>
    <row r="2278" spans="1:2" x14ac:dyDescent="0.2">
      <c r="A2278" s="175">
        <v>41373</v>
      </c>
      <c r="B2278" s="176">
        <v>0.05</v>
      </c>
    </row>
    <row r="2279" spans="1:2" x14ac:dyDescent="0.2">
      <c r="A2279" s="175">
        <v>41374</v>
      </c>
      <c r="B2279" s="176">
        <v>0.16</v>
      </c>
    </row>
    <row r="2280" spans="1:2" x14ac:dyDescent="0.2">
      <c r="A2280" s="175">
        <v>41375</v>
      </c>
      <c r="B2280" s="176">
        <v>0.11</v>
      </c>
    </row>
    <row r="2281" spans="1:2" x14ac:dyDescent="0.2">
      <c r="A2281" s="175">
        <v>41376</v>
      </c>
      <c r="B2281" s="176">
        <v>0.06</v>
      </c>
    </row>
    <row r="2282" spans="1:2" x14ac:dyDescent="0.2">
      <c r="A2282" s="175">
        <v>41379</v>
      </c>
      <c r="B2282" s="176">
        <v>0.03</v>
      </c>
    </row>
    <row r="2283" spans="1:2" x14ac:dyDescent="0.2">
      <c r="A2283" s="175">
        <v>41380</v>
      </c>
      <c r="B2283" s="176">
        <v>7.0000000000000007E-2</v>
      </c>
    </row>
    <row r="2284" spans="1:2" x14ac:dyDescent="0.2">
      <c r="A2284" s="175">
        <v>41381</v>
      </c>
      <c r="B2284" s="176">
        <v>0.08</v>
      </c>
    </row>
    <row r="2285" spans="1:2" x14ac:dyDescent="0.2">
      <c r="A2285" s="175">
        <v>41382</v>
      </c>
      <c r="B2285" s="176">
        <v>0.13</v>
      </c>
    </row>
    <row r="2286" spans="1:2" x14ac:dyDescent="0.2">
      <c r="A2286" s="175">
        <v>41383</v>
      </c>
      <c r="B2286" s="176">
        <v>7.0000000000000007E-2</v>
      </c>
    </row>
    <row r="2287" spans="1:2" x14ac:dyDescent="0.2">
      <c r="A2287" s="175">
        <v>41386</v>
      </c>
      <c r="B2287" s="176">
        <v>0.05</v>
      </c>
    </row>
    <row r="2288" spans="1:2" x14ac:dyDescent="0.2">
      <c r="A2288" s="175">
        <v>41387</v>
      </c>
      <c r="B2288" s="176">
        <v>0.04</v>
      </c>
    </row>
    <row r="2289" spans="1:2" x14ac:dyDescent="0.2">
      <c r="A2289" s="175">
        <v>41388</v>
      </c>
      <c r="B2289" s="176">
        <v>0.03</v>
      </c>
    </row>
    <row r="2290" spans="1:2" x14ac:dyDescent="0.2">
      <c r="A2290" s="175">
        <v>41389</v>
      </c>
      <c r="B2290" s="176">
        <v>0.03</v>
      </c>
    </row>
    <row r="2291" spans="1:2" x14ac:dyDescent="0.2">
      <c r="A2291" s="175">
        <v>41390</v>
      </c>
      <c r="B2291" s="176">
        <v>0.01</v>
      </c>
    </row>
    <row r="2292" spans="1:2" x14ac:dyDescent="0.2">
      <c r="A2292" s="175">
        <v>41393</v>
      </c>
      <c r="B2292" s="176">
        <v>0.03</v>
      </c>
    </row>
    <row r="2293" spans="1:2" x14ac:dyDescent="0.2">
      <c r="A2293" s="175">
        <v>41394</v>
      </c>
      <c r="B2293" s="176">
        <v>0.05</v>
      </c>
    </row>
    <row r="2294" spans="1:2" x14ac:dyDescent="0.2">
      <c r="A2294" s="175">
        <v>41395</v>
      </c>
      <c r="B2294" s="176">
        <v>0.04</v>
      </c>
    </row>
    <row r="2295" spans="1:2" x14ac:dyDescent="0.2">
      <c r="A2295" s="175">
        <v>41396</v>
      </c>
      <c r="B2295" s="176">
        <v>0.06</v>
      </c>
    </row>
    <row r="2296" spans="1:2" x14ac:dyDescent="0.2">
      <c r="A2296" s="175">
        <v>41397</v>
      </c>
      <c r="B2296" s="176">
        <v>0.18</v>
      </c>
    </row>
    <row r="2297" spans="1:2" x14ac:dyDescent="0.2">
      <c r="A2297" s="175">
        <v>41400</v>
      </c>
      <c r="B2297" s="176">
        <v>0.2</v>
      </c>
    </row>
    <row r="2298" spans="1:2" x14ac:dyDescent="0.2">
      <c r="A2298" s="175">
        <v>41401</v>
      </c>
      <c r="B2298" s="176">
        <v>0.22</v>
      </c>
    </row>
    <row r="2299" spans="1:2" x14ac:dyDescent="0.2">
      <c r="A2299" s="175">
        <v>41402</v>
      </c>
      <c r="B2299" s="176">
        <v>0.23</v>
      </c>
    </row>
    <row r="2300" spans="1:2" x14ac:dyDescent="0.2">
      <c r="A2300" s="175">
        <v>41403</v>
      </c>
      <c r="B2300" s="176">
        <v>0.22</v>
      </c>
    </row>
    <row r="2301" spans="1:2" x14ac:dyDescent="0.2">
      <c r="A2301" s="175">
        <v>41404</v>
      </c>
      <c r="B2301" s="176">
        <v>0.27</v>
      </c>
    </row>
    <row r="2302" spans="1:2" x14ac:dyDescent="0.2">
      <c r="A2302" s="175">
        <v>41407</v>
      </c>
      <c r="B2302" s="176">
        <v>0.3</v>
      </c>
    </row>
    <row r="2303" spans="1:2" x14ac:dyDescent="0.2">
      <c r="A2303" s="175">
        <v>41408</v>
      </c>
      <c r="B2303" s="176">
        <v>0.35</v>
      </c>
    </row>
    <row r="2304" spans="1:2" x14ac:dyDescent="0.2">
      <c r="A2304" s="175">
        <v>41409</v>
      </c>
      <c r="B2304" s="176">
        <v>0.36</v>
      </c>
    </row>
    <row r="2305" spans="1:2" x14ac:dyDescent="0.2">
      <c r="A2305" s="175">
        <v>41410</v>
      </c>
      <c r="B2305" s="176">
        <v>0.31</v>
      </c>
    </row>
    <row r="2306" spans="1:2" x14ac:dyDescent="0.2">
      <c r="A2306" s="175">
        <v>41411</v>
      </c>
      <c r="B2306" s="176">
        <v>0.39</v>
      </c>
    </row>
    <row r="2307" spans="1:2" x14ac:dyDescent="0.2">
      <c r="A2307" s="175">
        <v>41414</v>
      </c>
      <c r="B2307" s="176">
        <v>0.42</v>
      </c>
    </row>
    <row r="2308" spans="1:2" x14ac:dyDescent="0.2">
      <c r="A2308" s="175">
        <v>41415</v>
      </c>
      <c r="B2308" s="176">
        <v>0.38</v>
      </c>
    </row>
    <row r="2309" spans="1:2" x14ac:dyDescent="0.2">
      <c r="A2309" s="175">
        <v>41416</v>
      </c>
      <c r="B2309" s="176">
        <v>0.47</v>
      </c>
    </row>
    <row r="2310" spans="1:2" x14ac:dyDescent="0.2">
      <c r="A2310" s="175">
        <v>41417</v>
      </c>
      <c r="B2310" s="176">
        <v>0.46</v>
      </c>
    </row>
    <row r="2311" spans="1:2" x14ac:dyDescent="0.2">
      <c r="A2311" s="175">
        <v>41418</v>
      </c>
      <c r="B2311" s="176">
        <v>0.44</v>
      </c>
    </row>
    <row r="2312" spans="1:2" x14ac:dyDescent="0.2">
      <c r="A2312" s="175">
        <v>41421</v>
      </c>
      <c r="B2312" s="176" t="e">
        <f>NA()</f>
        <v>#N/A</v>
      </c>
    </row>
    <row r="2313" spans="1:2" x14ac:dyDescent="0.2">
      <c r="A2313" s="175">
        <v>41422</v>
      </c>
      <c r="B2313" s="176">
        <v>0.55000000000000004</v>
      </c>
    </row>
    <row r="2314" spans="1:2" x14ac:dyDescent="0.2">
      <c r="A2314" s="175">
        <v>41423</v>
      </c>
      <c r="B2314" s="176">
        <v>0.56999999999999995</v>
      </c>
    </row>
    <row r="2315" spans="1:2" x14ac:dyDescent="0.2">
      <c r="A2315" s="175">
        <v>41424</v>
      </c>
      <c r="B2315" s="176">
        <v>0.62</v>
      </c>
    </row>
    <row r="2316" spans="1:2" x14ac:dyDescent="0.2">
      <c r="A2316" s="175">
        <v>41425</v>
      </c>
      <c r="B2316" s="177">
        <v>0.63</v>
      </c>
    </row>
    <row r="2317" spans="1:2" x14ac:dyDescent="0.2">
      <c r="A2317" s="175">
        <v>41428</v>
      </c>
      <c r="B2317" s="176">
        <v>0.62</v>
      </c>
    </row>
    <row r="2318" spans="1:2" x14ac:dyDescent="0.2">
      <c r="A2318" s="175">
        <v>41429</v>
      </c>
      <c r="B2318" s="176">
        <v>0.66</v>
      </c>
    </row>
    <row r="2319" spans="1:2" x14ac:dyDescent="0.2">
      <c r="A2319" s="175">
        <v>41430</v>
      </c>
      <c r="B2319" s="176">
        <v>0.66</v>
      </c>
    </row>
    <row r="2320" spans="1:2" x14ac:dyDescent="0.2">
      <c r="A2320" s="175">
        <v>41431</v>
      </c>
      <c r="B2320" s="176">
        <v>0.68</v>
      </c>
    </row>
    <row r="2321" spans="1:2" x14ac:dyDescent="0.2">
      <c r="A2321" s="175">
        <v>41432</v>
      </c>
      <c r="B2321" s="176">
        <v>0.76</v>
      </c>
    </row>
    <row r="2322" spans="1:2" x14ac:dyDescent="0.2">
      <c r="A2322" s="175">
        <v>41435</v>
      </c>
      <c r="B2322" s="176">
        <v>0.86</v>
      </c>
    </row>
    <row r="2323" spans="1:2" x14ac:dyDescent="0.2">
      <c r="A2323" s="175">
        <v>41436</v>
      </c>
      <c r="B2323" s="176">
        <v>0.99</v>
      </c>
    </row>
    <row r="2324" spans="1:2" x14ac:dyDescent="0.2">
      <c r="A2324" s="175">
        <v>41437</v>
      </c>
      <c r="B2324" s="176">
        <v>1.06</v>
      </c>
    </row>
    <row r="2325" spans="1:2" x14ac:dyDescent="0.2">
      <c r="A2325" s="175">
        <v>41438</v>
      </c>
      <c r="B2325" s="176">
        <v>0.9</v>
      </c>
    </row>
    <row r="2326" spans="1:2" x14ac:dyDescent="0.2">
      <c r="A2326" s="175">
        <v>41439</v>
      </c>
      <c r="B2326" s="176">
        <v>0.88</v>
      </c>
    </row>
    <row r="2327" spans="1:2" x14ac:dyDescent="0.2">
      <c r="A2327" s="175">
        <v>41442</v>
      </c>
      <c r="B2327" s="176">
        <v>1.01</v>
      </c>
    </row>
    <row r="2328" spans="1:2" x14ac:dyDescent="0.2">
      <c r="A2328" s="175">
        <v>41443</v>
      </c>
      <c r="B2328" s="176">
        <v>1</v>
      </c>
    </row>
    <row r="2329" spans="1:2" x14ac:dyDescent="0.2">
      <c r="A2329" s="175">
        <v>41444</v>
      </c>
      <c r="B2329" s="176">
        <v>1.05</v>
      </c>
    </row>
    <row r="2330" spans="1:2" x14ac:dyDescent="0.2">
      <c r="A2330" s="175">
        <v>41445</v>
      </c>
      <c r="B2330" s="176">
        <v>1.29</v>
      </c>
    </row>
    <row r="2331" spans="1:2" x14ac:dyDescent="0.2">
      <c r="A2331" s="175">
        <v>41446</v>
      </c>
      <c r="B2331" s="176">
        <v>1.33</v>
      </c>
    </row>
    <row r="2332" spans="1:2" x14ac:dyDescent="0.2">
      <c r="A2332" s="175">
        <v>41449</v>
      </c>
      <c r="B2332" s="176">
        <v>1.22</v>
      </c>
    </row>
    <row r="2333" spans="1:2" x14ac:dyDescent="0.2">
      <c r="A2333" s="175">
        <v>41450</v>
      </c>
      <c r="B2333" s="176">
        <v>1.21</v>
      </c>
    </row>
    <row r="2334" spans="1:2" x14ac:dyDescent="0.2">
      <c r="A2334" s="175">
        <v>41451</v>
      </c>
      <c r="B2334" s="176">
        <v>1.1499999999999999</v>
      </c>
    </row>
    <row r="2335" spans="1:2" x14ac:dyDescent="0.2">
      <c r="A2335" s="175">
        <v>41452</v>
      </c>
      <c r="B2335" s="176">
        <v>1.08</v>
      </c>
    </row>
    <row r="2336" spans="1:2" x14ac:dyDescent="0.2">
      <c r="A2336" s="175">
        <v>41453</v>
      </c>
      <c r="B2336" s="176">
        <v>1.1200000000000001</v>
      </c>
    </row>
    <row r="2337" spans="1:2" x14ac:dyDescent="0.2">
      <c r="A2337" s="175">
        <v>41456</v>
      </c>
      <c r="B2337" s="176">
        <v>1.0900000000000001</v>
      </c>
    </row>
    <row r="2338" spans="1:2" x14ac:dyDescent="0.2">
      <c r="A2338" s="175">
        <v>41457</v>
      </c>
      <c r="B2338" s="176">
        <v>1.07</v>
      </c>
    </row>
    <row r="2339" spans="1:2" x14ac:dyDescent="0.2">
      <c r="A2339" s="175">
        <v>41458</v>
      </c>
      <c r="B2339" s="176">
        <v>1.0900000000000001</v>
      </c>
    </row>
    <row r="2340" spans="1:2" x14ac:dyDescent="0.2">
      <c r="A2340" s="175">
        <v>41459</v>
      </c>
      <c r="B2340" s="176" t="e">
        <f>NA()</f>
        <v>#N/A</v>
      </c>
    </row>
    <row r="2341" spans="1:2" x14ac:dyDescent="0.2">
      <c r="A2341" s="175">
        <v>41460</v>
      </c>
      <c r="B2341" s="176">
        <v>1.22</v>
      </c>
    </row>
    <row r="2342" spans="1:2" x14ac:dyDescent="0.2">
      <c r="A2342" s="175">
        <v>41463</v>
      </c>
      <c r="B2342" s="176">
        <v>1.1599999999999999</v>
      </c>
    </row>
    <row r="2343" spans="1:2" x14ac:dyDescent="0.2">
      <c r="A2343" s="175">
        <v>41464</v>
      </c>
      <c r="B2343" s="176">
        <v>1.18</v>
      </c>
    </row>
    <row r="2344" spans="1:2" x14ac:dyDescent="0.2">
      <c r="A2344" s="175">
        <v>41465</v>
      </c>
      <c r="B2344" s="177">
        <v>1.23</v>
      </c>
    </row>
    <row r="2345" spans="1:2" x14ac:dyDescent="0.2">
      <c r="A2345" s="175">
        <v>41466</v>
      </c>
      <c r="B2345" s="176">
        <v>1.18</v>
      </c>
    </row>
    <row r="2346" spans="1:2" x14ac:dyDescent="0.2">
      <c r="A2346" s="175">
        <v>41467</v>
      </c>
      <c r="B2346" s="176">
        <v>1.1499999999999999</v>
      </c>
    </row>
    <row r="2347" spans="1:2" x14ac:dyDescent="0.2">
      <c r="A2347" s="175">
        <v>41470</v>
      </c>
      <c r="B2347" s="176">
        <v>1.08</v>
      </c>
    </row>
    <row r="2348" spans="1:2" x14ac:dyDescent="0.2">
      <c r="A2348" s="175">
        <v>41471</v>
      </c>
      <c r="B2348" s="176">
        <v>1.03</v>
      </c>
    </row>
    <row r="2349" spans="1:2" x14ac:dyDescent="0.2">
      <c r="A2349" s="175">
        <v>41472</v>
      </c>
      <c r="B2349" s="176">
        <v>1.02</v>
      </c>
    </row>
    <row r="2350" spans="1:2" x14ac:dyDescent="0.2">
      <c r="A2350" s="175">
        <v>41473</v>
      </c>
      <c r="B2350" s="176">
        <v>1.05</v>
      </c>
    </row>
    <row r="2351" spans="1:2" x14ac:dyDescent="0.2">
      <c r="A2351" s="175">
        <v>41474</v>
      </c>
      <c r="B2351" s="176">
        <v>0.96</v>
      </c>
    </row>
    <row r="2352" spans="1:2" x14ac:dyDescent="0.2">
      <c r="A2352" s="175">
        <v>41477</v>
      </c>
      <c r="B2352" s="176">
        <v>0.94</v>
      </c>
    </row>
    <row r="2353" spans="1:2" x14ac:dyDescent="0.2">
      <c r="A2353" s="175">
        <v>41478</v>
      </c>
      <c r="B2353" s="176">
        <v>1</v>
      </c>
    </row>
    <row r="2354" spans="1:2" x14ac:dyDescent="0.2">
      <c r="A2354" s="175">
        <v>41479</v>
      </c>
      <c r="B2354" s="176">
        <v>1.1100000000000001</v>
      </c>
    </row>
    <row r="2355" spans="1:2" x14ac:dyDescent="0.2">
      <c r="A2355" s="175">
        <v>41480</v>
      </c>
      <c r="B2355" s="176">
        <v>1.1000000000000001</v>
      </c>
    </row>
    <row r="2356" spans="1:2" x14ac:dyDescent="0.2">
      <c r="A2356" s="175">
        <v>41481</v>
      </c>
      <c r="B2356" s="176">
        <v>1.08</v>
      </c>
    </row>
    <row r="2357" spans="1:2" x14ac:dyDescent="0.2">
      <c r="A2357" s="175">
        <v>41484</v>
      </c>
      <c r="B2357" s="176">
        <v>1.0900000000000001</v>
      </c>
    </row>
    <row r="2358" spans="1:2" x14ac:dyDescent="0.2">
      <c r="A2358" s="175">
        <v>41485</v>
      </c>
      <c r="B2358" s="176">
        <v>1.1000000000000001</v>
      </c>
    </row>
    <row r="2359" spans="1:2" x14ac:dyDescent="0.2">
      <c r="A2359" s="175">
        <v>41486</v>
      </c>
      <c r="B2359" s="176">
        <v>1.02</v>
      </c>
    </row>
    <row r="2360" spans="1:2" x14ac:dyDescent="0.2">
      <c r="A2360" s="175">
        <v>41487</v>
      </c>
      <c r="B2360" s="176">
        <v>1.1200000000000001</v>
      </c>
    </row>
    <row r="2361" spans="1:2" x14ac:dyDescent="0.2">
      <c r="A2361" s="175">
        <v>41488</v>
      </c>
      <c r="B2361" s="176">
        <v>1.07</v>
      </c>
    </row>
    <row r="2362" spans="1:2" x14ac:dyDescent="0.2">
      <c r="A2362" s="175">
        <v>41491</v>
      </c>
      <c r="B2362" s="176">
        <v>1.07</v>
      </c>
    </row>
    <row r="2363" spans="1:2" x14ac:dyDescent="0.2">
      <c r="A2363" s="175">
        <v>41492</v>
      </c>
      <c r="B2363" s="176">
        <v>1.03</v>
      </c>
    </row>
    <row r="2364" spans="1:2" x14ac:dyDescent="0.2">
      <c r="A2364" s="175">
        <v>41493</v>
      </c>
      <c r="B2364" s="176">
        <v>0.98</v>
      </c>
    </row>
    <row r="2365" spans="1:2" x14ac:dyDescent="0.2">
      <c r="A2365" s="175">
        <v>41494</v>
      </c>
      <c r="B2365" s="176">
        <v>0.96</v>
      </c>
    </row>
    <row r="2366" spans="1:2" x14ac:dyDescent="0.2">
      <c r="A2366" s="175">
        <v>41495</v>
      </c>
      <c r="B2366" s="176">
        <v>0.96</v>
      </c>
    </row>
    <row r="2367" spans="1:2" x14ac:dyDescent="0.2">
      <c r="A2367" s="175">
        <v>41498</v>
      </c>
      <c r="B2367" s="176">
        <v>1.01</v>
      </c>
    </row>
    <row r="2368" spans="1:2" x14ac:dyDescent="0.2">
      <c r="A2368" s="175">
        <v>41499</v>
      </c>
      <c r="B2368" s="176">
        <v>1.1100000000000001</v>
      </c>
    </row>
    <row r="2369" spans="1:2" x14ac:dyDescent="0.2">
      <c r="A2369" s="175">
        <v>41500</v>
      </c>
      <c r="B2369" s="176">
        <v>1.1299999999999999</v>
      </c>
    </row>
    <row r="2370" spans="1:2" x14ac:dyDescent="0.2">
      <c r="A2370" s="175">
        <v>41501</v>
      </c>
      <c r="B2370" s="176">
        <v>1.22</v>
      </c>
    </row>
    <row r="2371" spans="1:2" x14ac:dyDescent="0.2">
      <c r="A2371" s="175">
        <v>41502</v>
      </c>
      <c r="B2371" s="176">
        <v>1.29</v>
      </c>
    </row>
    <row r="2372" spans="1:2" x14ac:dyDescent="0.2">
      <c r="A2372" s="175">
        <v>41505</v>
      </c>
      <c r="B2372" s="176">
        <v>1.35</v>
      </c>
    </row>
    <row r="2373" spans="1:2" x14ac:dyDescent="0.2">
      <c r="A2373" s="175">
        <v>41506</v>
      </c>
      <c r="B2373" s="176">
        <v>1.28</v>
      </c>
    </row>
    <row r="2374" spans="1:2" x14ac:dyDescent="0.2">
      <c r="A2374" s="175">
        <v>41507</v>
      </c>
      <c r="B2374" s="176">
        <v>1.33</v>
      </c>
    </row>
    <row r="2375" spans="1:2" x14ac:dyDescent="0.2">
      <c r="A2375" s="175">
        <v>41508</v>
      </c>
      <c r="B2375" s="176">
        <v>1.35</v>
      </c>
    </row>
    <row r="2376" spans="1:2" x14ac:dyDescent="0.2">
      <c r="A2376" s="175">
        <v>41509</v>
      </c>
      <c r="B2376" s="176">
        <v>1.25</v>
      </c>
    </row>
    <row r="2377" spans="1:2" x14ac:dyDescent="0.2">
      <c r="A2377" s="175">
        <v>41512</v>
      </c>
      <c r="B2377" s="176">
        <v>1.2</v>
      </c>
    </row>
    <row r="2378" spans="1:2" x14ac:dyDescent="0.2">
      <c r="A2378" s="175">
        <v>41513</v>
      </c>
      <c r="B2378" s="176">
        <v>1.1399999999999999</v>
      </c>
    </row>
    <row r="2379" spans="1:2" x14ac:dyDescent="0.2">
      <c r="A2379" s="175">
        <v>41514</v>
      </c>
      <c r="B2379" s="176">
        <v>1.19</v>
      </c>
    </row>
    <row r="2380" spans="1:2" x14ac:dyDescent="0.2">
      <c r="A2380" s="175">
        <v>41515</v>
      </c>
      <c r="B2380" s="176">
        <v>1.18</v>
      </c>
    </row>
    <row r="2381" spans="1:2" x14ac:dyDescent="0.2">
      <c r="A2381" s="175">
        <v>41516</v>
      </c>
      <c r="B2381" s="176">
        <v>1.21</v>
      </c>
    </row>
    <row r="2382" spans="1:2" x14ac:dyDescent="0.2">
      <c r="A2382" s="175">
        <v>41519</v>
      </c>
      <c r="B2382" s="176" t="e">
        <f>NA()</f>
        <v>#N/A</v>
      </c>
    </row>
    <row r="2383" spans="1:2" x14ac:dyDescent="0.2">
      <c r="A2383" s="175">
        <v>41520</v>
      </c>
      <c r="B2383" s="176">
        <v>1.28</v>
      </c>
    </row>
    <row r="2384" spans="1:2" x14ac:dyDescent="0.2">
      <c r="A2384" s="175">
        <v>41521</v>
      </c>
      <c r="B2384" s="176">
        <v>1.33</v>
      </c>
    </row>
    <row r="2385" spans="1:2" x14ac:dyDescent="0.2">
      <c r="A2385" s="175">
        <v>41522</v>
      </c>
      <c r="B2385" s="176">
        <v>1.4</v>
      </c>
    </row>
    <row r="2386" spans="1:2" x14ac:dyDescent="0.2">
      <c r="A2386" s="175">
        <v>41523</v>
      </c>
      <c r="B2386" s="177">
        <v>1.37</v>
      </c>
    </row>
    <row r="2387" spans="1:2" x14ac:dyDescent="0.2">
      <c r="A2387" s="175">
        <v>41526</v>
      </c>
      <c r="B2387" s="176">
        <v>1.34</v>
      </c>
    </row>
    <row r="2388" spans="1:2" x14ac:dyDescent="0.2">
      <c r="A2388" s="175">
        <v>41527</v>
      </c>
      <c r="B2388" s="176">
        <v>1.36</v>
      </c>
    </row>
    <row r="2389" spans="1:2" x14ac:dyDescent="0.2">
      <c r="A2389" s="175">
        <v>41528</v>
      </c>
      <c r="B2389" s="176">
        <v>1.31</v>
      </c>
    </row>
    <row r="2390" spans="1:2" x14ac:dyDescent="0.2">
      <c r="A2390" s="175">
        <v>41529</v>
      </c>
      <c r="B2390" s="176">
        <v>1.32</v>
      </c>
    </row>
    <row r="2391" spans="1:2" x14ac:dyDescent="0.2">
      <c r="A2391" s="175">
        <v>41530</v>
      </c>
      <c r="B2391" s="176">
        <v>1.32</v>
      </c>
    </row>
    <row r="2392" spans="1:2" x14ac:dyDescent="0.2">
      <c r="A2392" s="175">
        <v>41533</v>
      </c>
      <c r="B2392" s="176">
        <v>1.32</v>
      </c>
    </row>
    <row r="2393" spans="1:2" x14ac:dyDescent="0.2">
      <c r="A2393" s="175">
        <v>41534</v>
      </c>
      <c r="B2393" s="176">
        <v>1.27</v>
      </c>
    </row>
    <row r="2394" spans="1:2" x14ac:dyDescent="0.2">
      <c r="A2394" s="175">
        <v>41535</v>
      </c>
      <c r="B2394" s="176">
        <v>1.1299999999999999</v>
      </c>
    </row>
    <row r="2395" spans="1:2" x14ac:dyDescent="0.2">
      <c r="A2395" s="175">
        <v>41536</v>
      </c>
      <c r="B2395" s="176">
        <v>1.18</v>
      </c>
    </row>
    <row r="2396" spans="1:2" x14ac:dyDescent="0.2">
      <c r="A2396" s="175">
        <v>41537</v>
      </c>
      <c r="B2396" s="176">
        <v>1.1399999999999999</v>
      </c>
    </row>
    <row r="2397" spans="1:2" x14ac:dyDescent="0.2">
      <c r="A2397" s="175">
        <v>41540</v>
      </c>
      <c r="B2397" s="176">
        <v>1.07</v>
      </c>
    </row>
    <row r="2398" spans="1:2" x14ac:dyDescent="0.2">
      <c r="A2398" s="175">
        <v>41541</v>
      </c>
      <c r="B2398" s="176">
        <v>1.07</v>
      </c>
    </row>
    <row r="2399" spans="1:2" x14ac:dyDescent="0.2">
      <c r="A2399" s="175">
        <v>41542</v>
      </c>
      <c r="B2399" s="176">
        <v>1.06</v>
      </c>
    </row>
    <row r="2400" spans="1:2" x14ac:dyDescent="0.2">
      <c r="A2400" s="175">
        <v>41543</v>
      </c>
      <c r="B2400" s="176">
        <v>1.07</v>
      </c>
    </row>
    <row r="2401" spans="1:2" x14ac:dyDescent="0.2">
      <c r="A2401" s="175">
        <v>41544</v>
      </c>
      <c r="B2401" s="176">
        <v>1.08</v>
      </c>
    </row>
    <row r="2402" spans="1:2" x14ac:dyDescent="0.2">
      <c r="A2402" s="175">
        <v>41547</v>
      </c>
      <c r="B2402" s="176">
        <v>1.06</v>
      </c>
    </row>
    <row r="2403" spans="1:2" x14ac:dyDescent="0.2">
      <c r="A2403" s="175">
        <v>41548</v>
      </c>
      <c r="B2403" s="176">
        <v>1.08</v>
      </c>
    </row>
    <row r="2404" spans="1:2" x14ac:dyDescent="0.2">
      <c r="A2404" s="175">
        <v>41549</v>
      </c>
      <c r="B2404" s="176">
        <v>1.05</v>
      </c>
    </row>
    <row r="2405" spans="1:2" x14ac:dyDescent="0.2">
      <c r="A2405" s="175">
        <v>41550</v>
      </c>
      <c r="B2405" s="176">
        <v>1.06</v>
      </c>
    </row>
    <row r="2406" spans="1:2" x14ac:dyDescent="0.2">
      <c r="A2406" s="175">
        <v>41551</v>
      </c>
      <c r="B2406" s="176">
        <v>1.08</v>
      </c>
    </row>
    <row r="2407" spans="1:2" x14ac:dyDescent="0.2">
      <c r="A2407" s="175">
        <v>41554</v>
      </c>
      <c r="B2407" s="176">
        <v>1.06</v>
      </c>
    </row>
    <row r="2408" spans="1:2" x14ac:dyDescent="0.2">
      <c r="A2408" s="175">
        <v>41555</v>
      </c>
      <c r="B2408" s="176">
        <v>1.07</v>
      </c>
    </row>
    <row r="2409" spans="1:2" x14ac:dyDescent="0.2">
      <c r="A2409" s="175">
        <v>41556</v>
      </c>
      <c r="B2409" s="176">
        <v>1.07</v>
      </c>
    </row>
    <row r="2410" spans="1:2" x14ac:dyDescent="0.2">
      <c r="A2410" s="175">
        <v>41557</v>
      </c>
      <c r="B2410" s="176">
        <v>1.1100000000000001</v>
      </c>
    </row>
    <row r="2411" spans="1:2" x14ac:dyDescent="0.2">
      <c r="A2411" s="175">
        <v>41558</v>
      </c>
      <c r="B2411" s="176">
        <v>1.1100000000000001</v>
      </c>
    </row>
    <row r="2412" spans="1:2" x14ac:dyDescent="0.2">
      <c r="A2412" s="175">
        <v>41561</v>
      </c>
      <c r="B2412" s="176" t="e">
        <f>NA()</f>
        <v>#N/A</v>
      </c>
    </row>
    <row r="2413" spans="1:2" x14ac:dyDescent="0.2">
      <c r="A2413" s="175">
        <v>41562</v>
      </c>
      <c r="B2413" s="176">
        <v>1.1599999999999999</v>
      </c>
    </row>
    <row r="2414" spans="1:2" x14ac:dyDescent="0.2">
      <c r="A2414" s="175">
        <v>41563</v>
      </c>
      <c r="B2414" s="176">
        <v>1.1200000000000001</v>
      </c>
    </row>
    <row r="2415" spans="1:2" x14ac:dyDescent="0.2">
      <c r="A2415" s="175">
        <v>41564</v>
      </c>
      <c r="B2415" s="176">
        <v>1.07</v>
      </c>
    </row>
    <row r="2416" spans="1:2" x14ac:dyDescent="0.2">
      <c r="A2416" s="175">
        <v>41565</v>
      </c>
      <c r="B2416" s="177">
        <v>1.05</v>
      </c>
    </row>
    <row r="2417" spans="1:2" x14ac:dyDescent="0.2">
      <c r="A2417" s="175">
        <v>41568</v>
      </c>
      <c r="B2417" s="176">
        <v>1.07</v>
      </c>
    </row>
    <row r="2418" spans="1:2" x14ac:dyDescent="0.2">
      <c r="A2418" s="175">
        <v>41569</v>
      </c>
      <c r="B2418" s="176">
        <v>1</v>
      </c>
    </row>
    <row r="2419" spans="1:2" x14ac:dyDescent="0.2">
      <c r="A2419" s="175">
        <v>41570</v>
      </c>
      <c r="B2419" s="176">
        <v>1</v>
      </c>
    </row>
    <row r="2420" spans="1:2" x14ac:dyDescent="0.2">
      <c r="A2420" s="175">
        <v>41571</v>
      </c>
      <c r="B2420" s="176">
        <v>1</v>
      </c>
    </row>
    <row r="2421" spans="1:2" x14ac:dyDescent="0.2">
      <c r="A2421" s="175">
        <v>41572</v>
      </c>
      <c r="B2421" s="176">
        <v>0.97</v>
      </c>
    </row>
    <row r="2422" spans="1:2" x14ac:dyDescent="0.2">
      <c r="A2422" s="175">
        <v>41575</v>
      </c>
      <c r="B2422" s="176">
        <v>0.98</v>
      </c>
    </row>
    <row r="2423" spans="1:2" x14ac:dyDescent="0.2">
      <c r="A2423" s="175">
        <v>41576</v>
      </c>
      <c r="B2423" s="176">
        <v>0.99</v>
      </c>
    </row>
    <row r="2424" spans="1:2" x14ac:dyDescent="0.2">
      <c r="A2424" s="175">
        <v>41577</v>
      </c>
      <c r="B2424" s="176">
        <v>1</v>
      </c>
    </row>
    <row r="2425" spans="1:2" x14ac:dyDescent="0.2">
      <c r="A2425" s="175">
        <v>41578</v>
      </c>
      <c r="B2425" s="176">
        <v>1.03</v>
      </c>
    </row>
    <row r="2426" spans="1:2" x14ac:dyDescent="0.2">
      <c r="A2426" s="175">
        <v>41579</v>
      </c>
      <c r="B2426" s="176">
        <v>1.1100000000000001</v>
      </c>
    </row>
    <row r="2427" spans="1:2" x14ac:dyDescent="0.2">
      <c r="A2427" s="175">
        <v>41582</v>
      </c>
      <c r="B2427" s="176">
        <v>1.1200000000000001</v>
      </c>
    </row>
    <row r="2428" spans="1:2" x14ac:dyDescent="0.2">
      <c r="A2428" s="175">
        <v>41583</v>
      </c>
      <c r="B2428" s="176">
        <v>1.18</v>
      </c>
    </row>
    <row r="2429" spans="1:2" x14ac:dyDescent="0.2">
      <c r="A2429" s="175">
        <v>41584</v>
      </c>
      <c r="B2429" s="176">
        <v>1.1299999999999999</v>
      </c>
    </row>
    <row r="2430" spans="1:2" x14ac:dyDescent="0.2">
      <c r="A2430" s="175">
        <v>41585</v>
      </c>
      <c r="B2430" s="176">
        <v>1.1100000000000001</v>
      </c>
    </row>
    <row r="2431" spans="1:2" x14ac:dyDescent="0.2">
      <c r="A2431" s="175">
        <v>41586</v>
      </c>
      <c r="B2431" s="176">
        <v>1.24</v>
      </c>
    </row>
    <row r="2432" spans="1:2" x14ac:dyDescent="0.2">
      <c r="A2432" s="175">
        <v>41589</v>
      </c>
      <c r="B2432" s="176" t="e">
        <f>NA()</f>
        <v>#N/A</v>
      </c>
    </row>
    <row r="2433" spans="1:2" x14ac:dyDescent="0.2">
      <c r="A2433" s="175">
        <v>41590</v>
      </c>
      <c r="B2433" s="176">
        <v>1.25</v>
      </c>
    </row>
    <row r="2434" spans="1:2" x14ac:dyDescent="0.2">
      <c r="A2434" s="175">
        <v>41591</v>
      </c>
      <c r="B2434" s="176">
        <v>1.23</v>
      </c>
    </row>
    <row r="2435" spans="1:2" x14ac:dyDescent="0.2">
      <c r="A2435" s="175">
        <v>41592</v>
      </c>
      <c r="B2435" s="176">
        <v>1.18</v>
      </c>
    </row>
    <row r="2436" spans="1:2" x14ac:dyDescent="0.2">
      <c r="A2436" s="175">
        <v>41593</v>
      </c>
      <c r="B2436" s="177">
        <v>1.19</v>
      </c>
    </row>
    <row r="2437" spans="1:2" x14ac:dyDescent="0.2">
      <c r="A2437" s="175">
        <v>41596</v>
      </c>
      <c r="B2437" s="176">
        <v>1.1499999999999999</v>
      </c>
    </row>
    <row r="2438" spans="1:2" x14ac:dyDescent="0.2">
      <c r="A2438" s="175">
        <v>41597</v>
      </c>
      <c r="B2438" s="176">
        <v>1.2</v>
      </c>
    </row>
    <row r="2439" spans="1:2" x14ac:dyDescent="0.2">
      <c r="A2439" s="175">
        <v>41598</v>
      </c>
      <c r="B2439" s="176">
        <v>1.31</v>
      </c>
    </row>
    <row r="2440" spans="1:2" x14ac:dyDescent="0.2">
      <c r="A2440" s="175">
        <v>41599</v>
      </c>
      <c r="B2440" s="176">
        <v>1.27</v>
      </c>
    </row>
    <row r="2441" spans="1:2" x14ac:dyDescent="0.2">
      <c r="A2441" s="175">
        <v>41600</v>
      </c>
      <c r="B2441" s="176">
        <v>1.21</v>
      </c>
    </row>
    <row r="2442" spans="1:2" x14ac:dyDescent="0.2">
      <c r="A2442" s="175">
        <v>41603</v>
      </c>
      <c r="B2442" s="176">
        <v>1.2</v>
      </c>
    </row>
    <row r="2443" spans="1:2" x14ac:dyDescent="0.2">
      <c r="A2443" s="175">
        <v>41604</v>
      </c>
      <c r="B2443" s="176">
        <v>1.18</v>
      </c>
    </row>
    <row r="2444" spans="1:2" x14ac:dyDescent="0.2">
      <c r="A2444" s="175">
        <v>41605</v>
      </c>
      <c r="B2444" s="176">
        <v>1.22</v>
      </c>
    </row>
    <row r="2445" spans="1:2" x14ac:dyDescent="0.2">
      <c r="A2445" s="175">
        <v>41606</v>
      </c>
      <c r="B2445" s="176" t="e">
        <f>NA()</f>
        <v>#N/A</v>
      </c>
    </row>
    <row r="2446" spans="1:2" x14ac:dyDescent="0.2">
      <c r="A2446" s="175">
        <v>41607</v>
      </c>
      <c r="B2446" s="176">
        <v>1.23</v>
      </c>
    </row>
    <row r="2447" spans="1:2" x14ac:dyDescent="0.2">
      <c r="A2447" s="175">
        <v>41610</v>
      </c>
      <c r="B2447" s="176">
        <v>1.28</v>
      </c>
    </row>
    <row r="2448" spans="1:2" x14ac:dyDescent="0.2">
      <c r="A2448" s="175">
        <v>41611</v>
      </c>
      <c r="B2448" s="176">
        <v>1.27</v>
      </c>
    </row>
    <row r="2449" spans="1:2" x14ac:dyDescent="0.2">
      <c r="A2449" s="175">
        <v>41612</v>
      </c>
      <c r="B2449" s="177">
        <v>1.35</v>
      </c>
    </row>
    <row r="2450" spans="1:2" x14ac:dyDescent="0.2">
      <c r="A2450" s="175">
        <v>41613</v>
      </c>
      <c r="B2450" s="176">
        <v>1.36</v>
      </c>
    </row>
    <row r="2451" spans="1:2" x14ac:dyDescent="0.2">
      <c r="A2451" s="175">
        <v>41614</v>
      </c>
      <c r="B2451" s="176">
        <v>1.36</v>
      </c>
    </row>
    <row r="2452" spans="1:2" x14ac:dyDescent="0.2">
      <c r="A2452" s="175">
        <v>41617</v>
      </c>
      <c r="B2452" s="176">
        <v>1.33</v>
      </c>
    </row>
    <row r="2453" spans="1:2" x14ac:dyDescent="0.2">
      <c r="A2453" s="175">
        <v>41618</v>
      </c>
      <c r="B2453" s="176">
        <v>1.28</v>
      </c>
    </row>
    <row r="2454" spans="1:2" x14ac:dyDescent="0.2">
      <c r="A2454" s="175">
        <v>41619</v>
      </c>
      <c r="B2454" s="176">
        <v>1.31</v>
      </c>
    </row>
    <row r="2455" spans="1:2" x14ac:dyDescent="0.2">
      <c r="A2455" s="175">
        <v>41620</v>
      </c>
      <c r="B2455" s="176">
        <v>1.35</v>
      </c>
    </row>
    <row r="2456" spans="1:2" x14ac:dyDescent="0.2">
      <c r="A2456" s="175">
        <v>41621</v>
      </c>
      <c r="B2456" s="176">
        <v>1.3</v>
      </c>
    </row>
    <row r="2457" spans="1:2" x14ac:dyDescent="0.2">
      <c r="A2457" s="175">
        <v>41624</v>
      </c>
      <c r="B2457" s="176">
        <v>1.3</v>
      </c>
    </row>
    <row r="2458" spans="1:2" x14ac:dyDescent="0.2">
      <c r="A2458" s="175">
        <v>41625</v>
      </c>
      <c r="B2458" s="176">
        <v>1.26</v>
      </c>
    </row>
    <row r="2459" spans="1:2" x14ac:dyDescent="0.2">
      <c r="A2459" s="175">
        <v>41626</v>
      </c>
      <c r="B2459" s="176">
        <v>1.31</v>
      </c>
    </row>
    <row r="2460" spans="1:2" x14ac:dyDescent="0.2">
      <c r="A2460" s="175">
        <v>41627</v>
      </c>
      <c r="B2460" s="176">
        <v>1.37</v>
      </c>
    </row>
    <row r="2461" spans="1:2" x14ac:dyDescent="0.2">
      <c r="A2461" s="175">
        <v>41628</v>
      </c>
      <c r="B2461" s="176">
        <v>1.28</v>
      </c>
    </row>
    <row r="2462" spans="1:2" x14ac:dyDescent="0.2">
      <c r="A2462" s="175">
        <v>41631</v>
      </c>
      <c r="B2462" s="176">
        <v>1.3</v>
      </c>
    </row>
    <row r="2463" spans="1:2" x14ac:dyDescent="0.2">
      <c r="A2463" s="175">
        <v>41632</v>
      </c>
      <c r="B2463" s="176">
        <v>1.34</v>
      </c>
    </row>
    <row r="2464" spans="1:2" x14ac:dyDescent="0.2">
      <c r="A2464" s="175">
        <v>41633</v>
      </c>
      <c r="B2464" s="176" t="e">
        <f>NA()</f>
        <v>#N/A</v>
      </c>
    </row>
    <row r="2465" spans="1:2" x14ac:dyDescent="0.2">
      <c r="A2465" s="175">
        <v>41634</v>
      </c>
      <c r="B2465" s="176">
        <v>1.35</v>
      </c>
    </row>
    <row r="2466" spans="1:2" x14ac:dyDescent="0.2">
      <c r="A2466" s="175">
        <v>41635</v>
      </c>
      <c r="B2466" s="176">
        <v>1.36</v>
      </c>
    </row>
    <row r="2467" spans="1:2" x14ac:dyDescent="0.2">
      <c r="A2467" s="175">
        <v>41638</v>
      </c>
      <c r="B2467" s="176">
        <v>1.31</v>
      </c>
    </row>
    <row r="2468" spans="1:2" x14ac:dyDescent="0.2">
      <c r="A2468" s="175">
        <v>41639</v>
      </c>
      <c r="B2468" s="177">
        <v>1.36</v>
      </c>
    </row>
    <row r="2469" spans="1:2" x14ac:dyDescent="0.2">
      <c r="A2469" s="175">
        <v>41640</v>
      </c>
      <c r="B2469" s="176" t="e">
        <f>NA()</f>
        <v>#N/A</v>
      </c>
    </row>
    <row r="2470" spans="1:2" x14ac:dyDescent="0.2">
      <c r="A2470" s="175">
        <v>41641</v>
      </c>
      <c r="B2470" s="176">
        <v>1.3</v>
      </c>
    </row>
    <row r="2471" spans="1:2" x14ac:dyDescent="0.2">
      <c r="A2471" s="175">
        <v>41642</v>
      </c>
      <c r="B2471" s="176">
        <v>1.29</v>
      </c>
    </row>
    <row r="2472" spans="1:2" x14ac:dyDescent="0.2">
      <c r="A2472" s="175">
        <v>41645</v>
      </c>
      <c r="B2472" s="176">
        <v>1.27</v>
      </c>
    </row>
    <row r="2473" spans="1:2" x14ac:dyDescent="0.2">
      <c r="A2473" s="175">
        <v>41646</v>
      </c>
      <c r="B2473" s="177">
        <v>1.25</v>
      </c>
    </row>
    <row r="2474" spans="1:2" x14ac:dyDescent="0.2">
      <c r="A2474" s="175">
        <v>41647</v>
      </c>
      <c r="B2474" s="176">
        <v>1.24</v>
      </c>
    </row>
    <row r="2475" spans="1:2" x14ac:dyDescent="0.2">
      <c r="A2475" s="175">
        <v>41648</v>
      </c>
      <c r="B2475" s="176">
        <v>1.19</v>
      </c>
    </row>
    <row r="2476" spans="1:2" x14ac:dyDescent="0.2">
      <c r="A2476" s="175">
        <v>41649</v>
      </c>
      <c r="B2476" s="176">
        <v>1.1299999999999999</v>
      </c>
    </row>
    <row r="2477" spans="1:2" x14ac:dyDescent="0.2">
      <c r="A2477" s="175">
        <v>41652</v>
      </c>
      <c r="B2477" s="176">
        <v>1.1299999999999999</v>
      </c>
    </row>
    <row r="2478" spans="1:2" x14ac:dyDescent="0.2">
      <c r="A2478" s="175">
        <v>41653</v>
      </c>
      <c r="B2478" s="176">
        <v>1.17</v>
      </c>
    </row>
    <row r="2479" spans="1:2" x14ac:dyDescent="0.2">
      <c r="A2479" s="175">
        <v>41654</v>
      </c>
      <c r="B2479" s="176">
        <v>1.17</v>
      </c>
    </row>
    <row r="2480" spans="1:2" x14ac:dyDescent="0.2">
      <c r="A2480" s="175">
        <v>41655</v>
      </c>
      <c r="B2480" s="176">
        <v>1.1599999999999999</v>
      </c>
    </row>
    <row r="2481" spans="1:2" x14ac:dyDescent="0.2">
      <c r="A2481" s="175">
        <v>41656</v>
      </c>
      <c r="B2481" s="176">
        <v>1.1299999999999999</v>
      </c>
    </row>
    <row r="2482" spans="1:2" x14ac:dyDescent="0.2">
      <c r="A2482" s="175">
        <v>41659</v>
      </c>
      <c r="B2482" s="176" t="e">
        <f>NA()</f>
        <v>#N/A</v>
      </c>
    </row>
    <row r="2483" spans="1:2" x14ac:dyDescent="0.2">
      <c r="A2483" s="175">
        <v>41660</v>
      </c>
      <c r="B2483" s="176">
        <v>1.1399999999999999</v>
      </c>
    </row>
    <row r="2484" spans="1:2" x14ac:dyDescent="0.2">
      <c r="A2484" s="175">
        <v>41661</v>
      </c>
      <c r="B2484" s="176">
        <v>1.1599999999999999</v>
      </c>
    </row>
    <row r="2485" spans="1:2" x14ac:dyDescent="0.2">
      <c r="A2485" s="175">
        <v>41662</v>
      </c>
      <c r="B2485" s="176">
        <v>1.1399999999999999</v>
      </c>
    </row>
    <row r="2486" spans="1:2" x14ac:dyDescent="0.2">
      <c r="A2486" s="175">
        <v>41663</v>
      </c>
      <c r="B2486" s="177">
        <v>1.1100000000000001</v>
      </c>
    </row>
    <row r="2487" spans="1:2" x14ac:dyDescent="0.2">
      <c r="A2487" s="175">
        <v>41666</v>
      </c>
      <c r="B2487" s="176">
        <v>1.1399999999999999</v>
      </c>
    </row>
    <row r="2488" spans="1:2" x14ac:dyDescent="0.2">
      <c r="A2488" s="175">
        <v>41667</v>
      </c>
      <c r="B2488" s="176">
        <v>1.1399999999999999</v>
      </c>
    </row>
    <row r="2489" spans="1:2" x14ac:dyDescent="0.2">
      <c r="A2489" s="175">
        <v>41668</v>
      </c>
      <c r="B2489" s="176">
        <v>1.08</v>
      </c>
    </row>
    <row r="2490" spans="1:2" x14ac:dyDescent="0.2">
      <c r="A2490" s="175">
        <v>41669</v>
      </c>
      <c r="B2490" s="176">
        <v>1.1000000000000001</v>
      </c>
    </row>
    <row r="2491" spans="1:2" x14ac:dyDescent="0.2">
      <c r="A2491" s="175">
        <v>41670</v>
      </c>
      <c r="B2491" s="176">
        <v>1.07</v>
      </c>
    </row>
    <row r="2492" spans="1:2" x14ac:dyDescent="0.2">
      <c r="A2492" s="175">
        <v>41673</v>
      </c>
      <c r="B2492" s="176">
        <v>1.01</v>
      </c>
    </row>
    <row r="2493" spans="1:2" x14ac:dyDescent="0.2">
      <c r="A2493" s="175">
        <v>41674</v>
      </c>
      <c r="B2493" s="176">
        <v>1.07</v>
      </c>
    </row>
    <row r="2494" spans="1:2" x14ac:dyDescent="0.2">
      <c r="A2494" s="175">
        <v>41675</v>
      </c>
      <c r="B2494" s="176">
        <v>1.1399999999999999</v>
      </c>
    </row>
    <row r="2495" spans="1:2" x14ac:dyDescent="0.2">
      <c r="A2495" s="175">
        <v>41676</v>
      </c>
      <c r="B2495" s="176">
        <v>1.1399999999999999</v>
      </c>
    </row>
    <row r="2496" spans="1:2" x14ac:dyDescent="0.2">
      <c r="A2496" s="175">
        <v>41677</v>
      </c>
      <c r="B2496" s="176">
        <v>1.1200000000000001</v>
      </c>
    </row>
    <row r="2497" spans="1:2" x14ac:dyDescent="0.2">
      <c r="A2497" s="175">
        <v>41680</v>
      </c>
      <c r="B2497" s="176">
        <v>1.1000000000000001</v>
      </c>
    </row>
    <row r="2498" spans="1:2" x14ac:dyDescent="0.2">
      <c r="A2498" s="175">
        <v>41681</v>
      </c>
      <c r="B2498" s="176">
        <v>1.1399999999999999</v>
      </c>
    </row>
    <row r="2499" spans="1:2" x14ac:dyDescent="0.2">
      <c r="A2499" s="175">
        <v>41682</v>
      </c>
      <c r="B2499" s="176">
        <v>1.17</v>
      </c>
    </row>
    <row r="2500" spans="1:2" x14ac:dyDescent="0.2">
      <c r="A2500" s="175">
        <v>41683</v>
      </c>
      <c r="B2500" s="176">
        <v>1.1299999999999999</v>
      </c>
    </row>
    <row r="2501" spans="1:2" x14ac:dyDescent="0.2">
      <c r="A2501" s="175">
        <v>41684</v>
      </c>
      <c r="B2501" s="176">
        <v>1.1499999999999999</v>
      </c>
    </row>
    <row r="2502" spans="1:2" x14ac:dyDescent="0.2">
      <c r="A2502" s="175">
        <v>41687</v>
      </c>
      <c r="B2502" s="176" t="e">
        <f>NA()</f>
        <v>#N/A</v>
      </c>
    </row>
    <row r="2503" spans="1:2" x14ac:dyDescent="0.2">
      <c r="A2503" s="175">
        <v>41688</v>
      </c>
      <c r="B2503" s="176">
        <v>1.1399999999999999</v>
      </c>
    </row>
    <row r="2504" spans="1:2" x14ac:dyDescent="0.2">
      <c r="A2504" s="175">
        <v>41689</v>
      </c>
      <c r="B2504" s="176">
        <v>1.17</v>
      </c>
    </row>
    <row r="2505" spans="1:2" x14ac:dyDescent="0.2">
      <c r="A2505" s="175">
        <v>41690</v>
      </c>
      <c r="B2505" s="176">
        <v>1.19</v>
      </c>
    </row>
    <row r="2506" spans="1:2" x14ac:dyDescent="0.2">
      <c r="A2506" s="175">
        <v>41691</v>
      </c>
      <c r="B2506" s="177">
        <v>1.1499999999999999</v>
      </c>
    </row>
    <row r="2507" spans="1:2" x14ac:dyDescent="0.2">
      <c r="A2507" s="175">
        <v>41694</v>
      </c>
      <c r="B2507" s="176">
        <v>1.1399999999999999</v>
      </c>
    </row>
    <row r="2508" spans="1:2" x14ac:dyDescent="0.2">
      <c r="A2508" s="175">
        <v>41695</v>
      </c>
      <c r="B2508" s="176">
        <v>1.1000000000000001</v>
      </c>
    </row>
    <row r="2509" spans="1:2" x14ac:dyDescent="0.2">
      <c r="A2509" s="175">
        <v>41696</v>
      </c>
      <c r="B2509" s="176">
        <v>1.07</v>
      </c>
    </row>
    <row r="2510" spans="1:2" x14ac:dyDescent="0.2">
      <c r="A2510" s="175">
        <v>41697</v>
      </c>
      <c r="B2510" s="176">
        <v>1.05</v>
      </c>
    </row>
    <row r="2511" spans="1:2" x14ac:dyDescent="0.2">
      <c r="A2511" s="175">
        <v>41698</v>
      </c>
      <c r="B2511" s="176">
        <v>1.03</v>
      </c>
    </row>
    <row r="2512" spans="1:2" x14ac:dyDescent="0.2">
      <c r="A2512" s="175">
        <v>41701</v>
      </c>
      <c r="B2512" s="176">
        <v>0.98</v>
      </c>
    </row>
    <row r="2513" spans="1:2" x14ac:dyDescent="0.2">
      <c r="A2513" s="175">
        <v>41702</v>
      </c>
      <c r="B2513" s="176">
        <v>1.05</v>
      </c>
    </row>
    <row r="2514" spans="1:2" x14ac:dyDescent="0.2">
      <c r="A2514" s="175">
        <v>41703</v>
      </c>
      <c r="B2514" s="176">
        <v>1.04</v>
      </c>
    </row>
    <row r="2515" spans="1:2" x14ac:dyDescent="0.2">
      <c r="A2515" s="175">
        <v>41704</v>
      </c>
      <c r="B2515" s="176">
        <v>1.06</v>
      </c>
    </row>
    <row r="2516" spans="1:2" x14ac:dyDescent="0.2">
      <c r="A2516" s="175">
        <v>41705</v>
      </c>
      <c r="B2516" s="176">
        <v>1.0900000000000001</v>
      </c>
    </row>
    <row r="2517" spans="1:2" x14ac:dyDescent="0.2">
      <c r="A2517" s="175">
        <v>41708</v>
      </c>
      <c r="B2517" s="176">
        <v>1.1100000000000001</v>
      </c>
    </row>
    <row r="2518" spans="1:2" x14ac:dyDescent="0.2">
      <c r="A2518" s="175">
        <v>41709</v>
      </c>
      <c r="B2518" s="176">
        <v>1.1000000000000001</v>
      </c>
    </row>
    <row r="2519" spans="1:2" x14ac:dyDescent="0.2">
      <c r="A2519" s="175">
        <v>41710</v>
      </c>
      <c r="B2519" s="176">
        <v>1.07</v>
      </c>
    </row>
    <row r="2520" spans="1:2" x14ac:dyDescent="0.2">
      <c r="A2520" s="175">
        <v>41711</v>
      </c>
      <c r="B2520" s="176">
        <v>1.02</v>
      </c>
    </row>
    <row r="2521" spans="1:2" x14ac:dyDescent="0.2">
      <c r="A2521" s="175">
        <v>41712</v>
      </c>
      <c r="B2521" s="176">
        <v>1</v>
      </c>
    </row>
    <row r="2522" spans="1:2" x14ac:dyDescent="0.2">
      <c r="A2522" s="175">
        <v>41715</v>
      </c>
      <c r="B2522" s="176">
        <v>1.04</v>
      </c>
    </row>
    <row r="2523" spans="1:2" x14ac:dyDescent="0.2">
      <c r="A2523" s="175">
        <v>41716</v>
      </c>
      <c r="B2523" s="176">
        <v>1.03</v>
      </c>
    </row>
    <row r="2524" spans="1:2" x14ac:dyDescent="0.2">
      <c r="A2524" s="175">
        <v>41717</v>
      </c>
      <c r="B2524" s="176">
        <v>1.1000000000000001</v>
      </c>
    </row>
    <row r="2525" spans="1:2" x14ac:dyDescent="0.2">
      <c r="A2525" s="175">
        <v>41718</v>
      </c>
      <c r="B2525" s="176">
        <v>1.1399999999999999</v>
      </c>
    </row>
    <row r="2526" spans="1:2" x14ac:dyDescent="0.2">
      <c r="A2526" s="175">
        <v>41719</v>
      </c>
      <c r="B2526" s="176">
        <v>1.08</v>
      </c>
    </row>
    <row r="2527" spans="1:2" x14ac:dyDescent="0.2">
      <c r="A2527" s="175">
        <v>41722</v>
      </c>
      <c r="B2527" s="176">
        <v>1.04</v>
      </c>
    </row>
    <row r="2528" spans="1:2" x14ac:dyDescent="0.2">
      <c r="A2528" s="175">
        <v>41723</v>
      </c>
      <c r="B2528" s="176">
        <v>1.05</v>
      </c>
    </row>
    <row r="2529" spans="1:2" x14ac:dyDescent="0.2">
      <c r="A2529" s="175">
        <v>41724</v>
      </c>
      <c r="B2529" s="176">
        <v>1.01</v>
      </c>
    </row>
    <row r="2530" spans="1:2" x14ac:dyDescent="0.2">
      <c r="A2530" s="175">
        <v>41725</v>
      </c>
      <c r="B2530" s="176">
        <v>1</v>
      </c>
    </row>
    <row r="2531" spans="1:2" x14ac:dyDescent="0.2">
      <c r="A2531" s="175">
        <v>41726</v>
      </c>
      <c r="B2531" s="176">
        <v>1.03</v>
      </c>
    </row>
    <row r="2532" spans="1:2" x14ac:dyDescent="0.2">
      <c r="A2532" s="175">
        <v>41729</v>
      </c>
      <c r="B2532" s="176">
        <v>1.04</v>
      </c>
    </row>
    <row r="2533" spans="1:2" x14ac:dyDescent="0.2">
      <c r="A2533" s="175">
        <v>41730</v>
      </c>
      <c r="B2533" s="176">
        <v>1.07</v>
      </c>
    </row>
    <row r="2534" spans="1:2" x14ac:dyDescent="0.2">
      <c r="A2534" s="175">
        <v>41731</v>
      </c>
      <c r="B2534" s="176">
        <v>1.1200000000000001</v>
      </c>
    </row>
    <row r="2535" spans="1:2" x14ac:dyDescent="0.2">
      <c r="A2535" s="175">
        <v>41732</v>
      </c>
      <c r="B2535" s="176">
        <v>1.0900000000000001</v>
      </c>
    </row>
    <row r="2536" spans="1:2" x14ac:dyDescent="0.2">
      <c r="A2536" s="175">
        <v>41733</v>
      </c>
      <c r="B2536" s="176">
        <v>1.05</v>
      </c>
    </row>
    <row r="2537" spans="1:2" x14ac:dyDescent="0.2">
      <c r="A2537" s="175">
        <v>41736</v>
      </c>
      <c r="B2537" s="176">
        <v>1.03</v>
      </c>
    </row>
    <row r="2538" spans="1:2" x14ac:dyDescent="0.2">
      <c r="A2538" s="175">
        <v>41737</v>
      </c>
      <c r="B2538" s="176">
        <v>1.02</v>
      </c>
    </row>
    <row r="2539" spans="1:2" x14ac:dyDescent="0.2">
      <c r="A2539" s="175">
        <v>41738</v>
      </c>
      <c r="B2539" s="176">
        <v>1.04</v>
      </c>
    </row>
    <row r="2540" spans="1:2" x14ac:dyDescent="0.2">
      <c r="A2540" s="175">
        <v>41739</v>
      </c>
      <c r="B2540" s="176">
        <v>0.98</v>
      </c>
    </row>
    <row r="2541" spans="1:2" x14ac:dyDescent="0.2">
      <c r="A2541" s="175">
        <v>41740</v>
      </c>
      <c r="B2541" s="176">
        <v>0.95</v>
      </c>
    </row>
    <row r="2542" spans="1:2" x14ac:dyDescent="0.2">
      <c r="A2542" s="175">
        <v>41743</v>
      </c>
      <c r="B2542" s="176">
        <v>0.96</v>
      </c>
    </row>
    <row r="2543" spans="1:2" x14ac:dyDescent="0.2">
      <c r="A2543" s="175">
        <v>41744</v>
      </c>
      <c r="B2543" s="176">
        <v>0.94</v>
      </c>
    </row>
    <row r="2544" spans="1:2" x14ac:dyDescent="0.2">
      <c r="A2544" s="175">
        <v>41745</v>
      </c>
      <c r="B2544" s="176">
        <v>0.92</v>
      </c>
    </row>
    <row r="2545" spans="1:2" x14ac:dyDescent="0.2">
      <c r="A2545" s="175">
        <v>41746</v>
      </c>
      <c r="B2545" s="176">
        <v>0.96</v>
      </c>
    </row>
    <row r="2546" spans="1:2" x14ac:dyDescent="0.2">
      <c r="A2546" s="175">
        <v>41747</v>
      </c>
      <c r="B2546" s="176" t="e">
        <f>NA()</f>
        <v>#N/A</v>
      </c>
    </row>
    <row r="2547" spans="1:2" x14ac:dyDescent="0.2">
      <c r="A2547" s="175">
        <v>41750</v>
      </c>
      <c r="B2547" s="176">
        <v>0.96</v>
      </c>
    </row>
    <row r="2548" spans="1:2" x14ac:dyDescent="0.2">
      <c r="A2548" s="175">
        <v>41751</v>
      </c>
      <c r="B2548" s="176">
        <v>0.94</v>
      </c>
    </row>
    <row r="2549" spans="1:2" x14ac:dyDescent="0.2">
      <c r="A2549" s="175">
        <v>41752</v>
      </c>
      <c r="B2549" s="176">
        <v>0.91</v>
      </c>
    </row>
    <row r="2550" spans="1:2" x14ac:dyDescent="0.2">
      <c r="A2550" s="175">
        <v>41753</v>
      </c>
      <c r="B2550" s="177">
        <v>0.91</v>
      </c>
    </row>
    <row r="2551" spans="1:2" x14ac:dyDescent="0.2">
      <c r="A2551" s="175">
        <v>41754</v>
      </c>
      <c r="B2551" s="176">
        <v>0.9</v>
      </c>
    </row>
    <row r="2552" spans="1:2" x14ac:dyDescent="0.2">
      <c r="A2552" s="175">
        <v>41757</v>
      </c>
      <c r="B2552" s="176">
        <v>0.94</v>
      </c>
    </row>
    <row r="2553" spans="1:2" x14ac:dyDescent="0.2">
      <c r="A2553" s="175">
        <v>41758</v>
      </c>
      <c r="B2553" s="176">
        <v>0.96</v>
      </c>
    </row>
    <row r="2554" spans="1:2" x14ac:dyDescent="0.2">
      <c r="A2554" s="175">
        <v>41759</v>
      </c>
      <c r="B2554" s="176">
        <v>0.92</v>
      </c>
    </row>
    <row r="2555" spans="1:2" x14ac:dyDescent="0.2">
      <c r="A2555" s="175">
        <v>41760</v>
      </c>
      <c r="B2555" s="176">
        <v>0.86</v>
      </c>
    </row>
    <row r="2556" spans="1:2" x14ac:dyDescent="0.2">
      <c r="A2556" s="175">
        <v>41761</v>
      </c>
      <c r="B2556" s="176">
        <v>0.82</v>
      </c>
    </row>
    <row r="2557" spans="1:2" x14ac:dyDescent="0.2">
      <c r="A2557" s="175">
        <v>41764</v>
      </c>
      <c r="B2557" s="176">
        <v>0.86</v>
      </c>
    </row>
    <row r="2558" spans="1:2" x14ac:dyDescent="0.2">
      <c r="A2558" s="175">
        <v>41765</v>
      </c>
      <c r="B2558" s="176">
        <v>0.85</v>
      </c>
    </row>
    <row r="2559" spans="1:2" x14ac:dyDescent="0.2">
      <c r="A2559" s="175">
        <v>41766</v>
      </c>
      <c r="B2559" s="176">
        <v>0.72</v>
      </c>
    </row>
    <row r="2560" spans="1:2" x14ac:dyDescent="0.2">
      <c r="A2560" s="175">
        <v>41767</v>
      </c>
      <c r="B2560" s="176">
        <v>0.88</v>
      </c>
    </row>
    <row r="2561" spans="1:2" x14ac:dyDescent="0.2">
      <c r="A2561" s="175">
        <v>41768</v>
      </c>
      <c r="B2561" s="176">
        <v>0.89</v>
      </c>
    </row>
    <row r="2562" spans="1:2" x14ac:dyDescent="0.2">
      <c r="A2562" s="175">
        <v>41771</v>
      </c>
      <c r="B2562" s="176">
        <v>0.93</v>
      </c>
    </row>
    <row r="2563" spans="1:2" x14ac:dyDescent="0.2">
      <c r="A2563" s="175">
        <v>41772</v>
      </c>
      <c r="B2563" s="176">
        <v>0.9</v>
      </c>
    </row>
    <row r="2564" spans="1:2" x14ac:dyDescent="0.2">
      <c r="A2564" s="175">
        <v>41773</v>
      </c>
      <c r="B2564" s="176">
        <v>0.82</v>
      </c>
    </row>
    <row r="2565" spans="1:2" x14ac:dyDescent="0.2">
      <c r="A2565" s="175">
        <v>41774</v>
      </c>
      <c r="B2565" s="176">
        <v>0.76</v>
      </c>
    </row>
    <row r="2566" spans="1:2" x14ac:dyDescent="0.2">
      <c r="A2566" s="175">
        <v>41775</v>
      </c>
      <c r="B2566" s="176">
        <v>0.78</v>
      </c>
    </row>
    <row r="2567" spans="1:2" x14ac:dyDescent="0.2">
      <c r="A2567" s="175">
        <v>41778</v>
      </c>
      <c r="B2567" s="176">
        <v>0.83</v>
      </c>
    </row>
    <row r="2568" spans="1:2" x14ac:dyDescent="0.2">
      <c r="A2568" s="175">
        <v>41779</v>
      </c>
      <c r="B2568" s="176">
        <v>0.82</v>
      </c>
    </row>
    <row r="2569" spans="1:2" x14ac:dyDescent="0.2">
      <c r="A2569" s="175">
        <v>41780</v>
      </c>
      <c r="B2569" s="176">
        <v>0.84</v>
      </c>
    </row>
    <row r="2570" spans="1:2" x14ac:dyDescent="0.2">
      <c r="A2570" s="175">
        <v>41781</v>
      </c>
      <c r="B2570" s="176">
        <v>0.84</v>
      </c>
    </row>
    <row r="2571" spans="1:2" x14ac:dyDescent="0.2">
      <c r="A2571" s="175">
        <v>41782</v>
      </c>
      <c r="B2571" s="176">
        <v>0.8</v>
      </c>
    </row>
    <row r="2572" spans="1:2" x14ac:dyDescent="0.2">
      <c r="A2572" s="175">
        <v>41785</v>
      </c>
      <c r="B2572" s="176" t="e">
        <f>NA()</f>
        <v>#N/A</v>
      </c>
    </row>
    <row r="2573" spans="1:2" x14ac:dyDescent="0.2">
      <c r="A2573" s="175">
        <v>41786</v>
      </c>
      <c r="B2573" s="176">
        <v>0.79</v>
      </c>
    </row>
    <row r="2574" spans="1:2" x14ac:dyDescent="0.2">
      <c r="A2574" s="175">
        <v>41787</v>
      </c>
      <c r="B2574" s="176">
        <v>0.7</v>
      </c>
    </row>
    <row r="2575" spans="1:2" x14ac:dyDescent="0.2">
      <c r="A2575" s="175">
        <v>41788</v>
      </c>
      <c r="B2575" s="176">
        <v>0.7</v>
      </c>
    </row>
    <row r="2576" spans="1:2" x14ac:dyDescent="0.2">
      <c r="A2576" s="175">
        <v>41789</v>
      </c>
      <c r="B2576" s="177">
        <v>0.74</v>
      </c>
    </row>
    <row r="2577" spans="1:2" x14ac:dyDescent="0.2">
      <c r="A2577" s="175">
        <v>41792</v>
      </c>
      <c r="B2577" s="176">
        <v>0.8</v>
      </c>
    </row>
    <row r="2578" spans="1:2" x14ac:dyDescent="0.2">
      <c r="A2578" s="175">
        <v>41793</v>
      </c>
      <c r="B2578" s="176">
        <v>0.88</v>
      </c>
    </row>
    <row r="2579" spans="1:2" x14ac:dyDescent="0.2">
      <c r="A2579" s="175">
        <v>41794</v>
      </c>
      <c r="B2579" s="176">
        <v>0.91</v>
      </c>
    </row>
    <row r="2580" spans="1:2" x14ac:dyDescent="0.2">
      <c r="A2580" s="175">
        <v>41795</v>
      </c>
      <c r="B2580" s="176">
        <v>0.89</v>
      </c>
    </row>
    <row r="2581" spans="1:2" x14ac:dyDescent="0.2">
      <c r="A2581" s="175">
        <v>41796</v>
      </c>
      <c r="B2581" s="176">
        <v>0.88</v>
      </c>
    </row>
    <row r="2582" spans="1:2" x14ac:dyDescent="0.2">
      <c r="A2582" s="175">
        <v>41799</v>
      </c>
      <c r="B2582" s="176">
        <v>0.89</v>
      </c>
    </row>
    <row r="2583" spans="1:2" x14ac:dyDescent="0.2">
      <c r="A2583" s="175">
        <v>41800</v>
      </c>
      <c r="B2583" s="176">
        <v>0.9</v>
      </c>
    </row>
    <row r="2584" spans="1:2" x14ac:dyDescent="0.2">
      <c r="A2584" s="175">
        <v>41801</v>
      </c>
      <c r="B2584" s="176">
        <v>0.9</v>
      </c>
    </row>
    <row r="2585" spans="1:2" x14ac:dyDescent="0.2">
      <c r="A2585" s="175">
        <v>41802</v>
      </c>
      <c r="B2585" s="176">
        <v>0.87</v>
      </c>
    </row>
    <row r="2586" spans="1:2" x14ac:dyDescent="0.2">
      <c r="A2586" s="175">
        <v>41803</v>
      </c>
      <c r="B2586" s="176">
        <v>0.87</v>
      </c>
    </row>
    <row r="2587" spans="1:2" x14ac:dyDescent="0.2">
      <c r="A2587" s="175">
        <v>41806</v>
      </c>
      <c r="B2587" s="176">
        <v>0.86</v>
      </c>
    </row>
    <row r="2588" spans="1:2" x14ac:dyDescent="0.2">
      <c r="A2588" s="175">
        <v>41807</v>
      </c>
      <c r="B2588" s="176">
        <v>0.88</v>
      </c>
    </row>
    <row r="2589" spans="1:2" x14ac:dyDescent="0.2">
      <c r="A2589" s="175">
        <v>41808</v>
      </c>
      <c r="B2589" s="176">
        <v>0.85</v>
      </c>
    </row>
    <row r="2590" spans="1:2" x14ac:dyDescent="0.2">
      <c r="A2590" s="175">
        <v>41809</v>
      </c>
      <c r="B2590" s="176">
        <v>0.87</v>
      </c>
    </row>
    <row r="2591" spans="1:2" x14ac:dyDescent="0.2">
      <c r="A2591" s="175">
        <v>41810</v>
      </c>
      <c r="B2591" s="176">
        <v>0.82</v>
      </c>
    </row>
    <row r="2592" spans="1:2" x14ac:dyDescent="0.2">
      <c r="A2592" s="175">
        <v>41813</v>
      </c>
      <c r="B2592" s="176">
        <v>0.82</v>
      </c>
    </row>
    <row r="2593" spans="1:2" x14ac:dyDescent="0.2">
      <c r="A2593" s="175">
        <v>41814</v>
      </c>
      <c r="B2593" s="176">
        <v>0.78</v>
      </c>
    </row>
    <row r="2594" spans="1:2" x14ac:dyDescent="0.2">
      <c r="A2594" s="175">
        <v>41815</v>
      </c>
      <c r="B2594" s="176">
        <v>0.76</v>
      </c>
    </row>
    <row r="2595" spans="1:2" x14ac:dyDescent="0.2">
      <c r="A2595" s="175">
        <v>41816</v>
      </c>
      <c r="B2595" s="176">
        <v>0.73</v>
      </c>
    </row>
    <row r="2596" spans="1:2" x14ac:dyDescent="0.2">
      <c r="A2596" s="175">
        <v>41817</v>
      </c>
      <c r="B2596" s="176">
        <v>0.75</v>
      </c>
    </row>
    <row r="2597" spans="1:2" x14ac:dyDescent="0.2">
      <c r="A2597" s="175">
        <v>41820</v>
      </c>
      <c r="B2597" s="176">
        <v>0.74</v>
      </c>
    </row>
    <row r="2598" spans="1:2" x14ac:dyDescent="0.2">
      <c r="A2598" s="175">
        <v>41821</v>
      </c>
      <c r="B2598" s="176">
        <v>0.8</v>
      </c>
    </row>
    <row r="2599" spans="1:2" x14ac:dyDescent="0.2">
      <c r="A2599" s="175">
        <v>41822</v>
      </c>
      <c r="B2599" s="176">
        <v>0.85</v>
      </c>
    </row>
    <row r="2600" spans="1:2" x14ac:dyDescent="0.2">
      <c r="A2600" s="175">
        <v>41823</v>
      </c>
      <c r="B2600" s="176">
        <v>0.84</v>
      </c>
    </row>
    <row r="2601" spans="1:2" x14ac:dyDescent="0.2">
      <c r="A2601" s="175">
        <v>41824</v>
      </c>
      <c r="B2601" s="176" t="e">
        <f>NA()</f>
        <v>#N/A</v>
      </c>
    </row>
    <row r="2602" spans="1:2" x14ac:dyDescent="0.2">
      <c r="A2602" s="175">
        <v>41827</v>
      </c>
      <c r="B2602" s="176">
        <v>0.82</v>
      </c>
    </row>
    <row r="2603" spans="1:2" x14ac:dyDescent="0.2">
      <c r="A2603" s="175">
        <v>41828</v>
      </c>
      <c r="B2603" s="176">
        <v>0.77</v>
      </c>
    </row>
    <row r="2604" spans="1:2" x14ac:dyDescent="0.2">
      <c r="A2604" s="175">
        <v>41829</v>
      </c>
      <c r="B2604" s="176">
        <v>0.74</v>
      </c>
    </row>
    <row r="2605" spans="1:2" x14ac:dyDescent="0.2">
      <c r="A2605" s="175">
        <v>41830</v>
      </c>
      <c r="B2605" s="177">
        <v>0.74</v>
      </c>
    </row>
    <row r="2606" spans="1:2" x14ac:dyDescent="0.2">
      <c r="A2606" s="175">
        <v>41831</v>
      </c>
      <c r="B2606" s="176">
        <v>0.7</v>
      </c>
    </row>
    <row r="2607" spans="1:2" x14ac:dyDescent="0.2">
      <c r="A2607" s="175">
        <v>41834</v>
      </c>
      <c r="B2607" s="176">
        <v>0.74</v>
      </c>
    </row>
    <row r="2608" spans="1:2" x14ac:dyDescent="0.2">
      <c r="A2608" s="175">
        <v>41835</v>
      </c>
      <c r="B2608" s="176">
        <v>0.75</v>
      </c>
    </row>
    <row r="2609" spans="1:2" x14ac:dyDescent="0.2">
      <c r="A2609" s="175">
        <v>41836</v>
      </c>
      <c r="B2609" s="176">
        <v>0.75</v>
      </c>
    </row>
    <row r="2610" spans="1:2" x14ac:dyDescent="0.2">
      <c r="A2610" s="175">
        <v>41837</v>
      </c>
      <c r="B2610" s="176">
        <v>0.68</v>
      </c>
    </row>
    <row r="2611" spans="1:2" x14ac:dyDescent="0.2">
      <c r="A2611" s="175">
        <v>41838</v>
      </c>
      <c r="B2611" s="176">
        <v>0.7</v>
      </c>
    </row>
    <row r="2612" spans="1:2" x14ac:dyDescent="0.2">
      <c r="A2612" s="175">
        <v>41841</v>
      </c>
      <c r="B2612" s="176">
        <v>0.67</v>
      </c>
    </row>
    <row r="2613" spans="1:2" x14ac:dyDescent="0.2">
      <c r="A2613" s="175">
        <v>41842</v>
      </c>
      <c r="B2613" s="176">
        <v>0.68</v>
      </c>
    </row>
    <row r="2614" spans="1:2" x14ac:dyDescent="0.2">
      <c r="A2614" s="175">
        <v>41843</v>
      </c>
      <c r="B2614" s="176">
        <v>0.68</v>
      </c>
    </row>
    <row r="2615" spans="1:2" x14ac:dyDescent="0.2">
      <c r="A2615" s="175">
        <v>41844</v>
      </c>
      <c r="B2615" s="176">
        <v>0.62</v>
      </c>
    </row>
    <row r="2616" spans="1:2" x14ac:dyDescent="0.2">
      <c r="A2616" s="175">
        <v>41845</v>
      </c>
      <c r="B2616" s="176">
        <v>0.62</v>
      </c>
    </row>
    <row r="2617" spans="1:2" x14ac:dyDescent="0.2">
      <c r="A2617" s="175">
        <v>41848</v>
      </c>
      <c r="B2617" s="176">
        <v>0.65</v>
      </c>
    </row>
    <row r="2618" spans="1:2" x14ac:dyDescent="0.2">
      <c r="A2618" s="175">
        <v>41849</v>
      </c>
      <c r="B2618" s="176">
        <v>0.62</v>
      </c>
    </row>
    <row r="2619" spans="1:2" x14ac:dyDescent="0.2">
      <c r="A2619" s="175">
        <v>41850</v>
      </c>
      <c r="B2619" s="176">
        <v>0.71</v>
      </c>
    </row>
    <row r="2620" spans="1:2" x14ac:dyDescent="0.2">
      <c r="A2620" s="175">
        <v>41851</v>
      </c>
      <c r="B2620" s="176">
        <v>0.71</v>
      </c>
    </row>
    <row r="2621" spans="1:2" x14ac:dyDescent="0.2">
      <c r="A2621" s="175">
        <v>41852</v>
      </c>
      <c r="B2621" s="176">
        <v>0.68</v>
      </c>
    </row>
    <row r="2622" spans="1:2" x14ac:dyDescent="0.2">
      <c r="A2622" s="175">
        <v>41855</v>
      </c>
      <c r="B2622" s="176">
        <v>0.7</v>
      </c>
    </row>
    <row r="2623" spans="1:2" x14ac:dyDescent="0.2">
      <c r="A2623" s="175">
        <v>41856</v>
      </c>
      <c r="B2623" s="176">
        <v>0.68</v>
      </c>
    </row>
    <row r="2624" spans="1:2" x14ac:dyDescent="0.2">
      <c r="A2624" s="175">
        <v>41857</v>
      </c>
      <c r="B2624" s="176">
        <v>0.67</v>
      </c>
    </row>
    <row r="2625" spans="1:2" x14ac:dyDescent="0.2">
      <c r="A2625" s="175">
        <v>41858</v>
      </c>
      <c r="B2625" s="176">
        <v>0.63</v>
      </c>
    </row>
    <row r="2626" spans="1:2" x14ac:dyDescent="0.2">
      <c r="A2626" s="175">
        <v>41859</v>
      </c>
      <c r="B2626" s="176">
        <v>0.64</v>
      </c>
    </row>
    <row r="2627" spans="1:2" x14ac:dyDescent="0.2">
      <c r="A2627" s="175">
        <v>41862</v>
      </c>
      <c r="B2627" s="176">
        <v>0.64</v>
      </c>
    </row>
    <row r="2628" spans="1:2" x14ac:dyDescent="0.2">
      <c r="A2628" s="175">
        <v>41863</v>
      </c>
      <c r="B2628" s="176">
        <v>0.68</v>
      </c>
    </row>
    <row r="2629" spans="1:2" x14ac:dyDescent="0.2">
      <c r="A2629" s="175">
        <v>41864</v>
      </c>
      <c r="B2629" s="176">
        <v>0.66</v>
      </c>
    </row>
    <row r="2630" spans="1:2" x14ac:dyDescent="0.2">
      <c r="A2630" s="175">
        <v>41865</v>
      </c>
      <c r="B2630" s="176">
        <v>0.63</v>
      </c>
    </row>
    <row r="2631" spans="1:2" x14ac:dyDescent="0.2">
      <c r="A2631" s="175">
        <v>41866</v>
      </c>
      <c r="B2631" s="176">
        <v>0.57999999999999996</v>
      </c>
    </row>
    <row r="2632" spans="1:2" x14ac:dyDescent="0.2">
      <c r="A2632" s="175">
        <v>41869</v>
      </c>
      <c r="B2632" s="176">
        <v>0.64</v>
      </c>
    </row>
    <row r="2633" spans="1:2" x14ac:dyDescent="0.2">
      <c r="A2633" s="175">
        <v>41870</v>
      </c>
      <c r="B2633" s="176">
        <v>0.66</v>
      </c>
    </row>
    <row r="2634" spans="1:2" x14ac:dyDescent="0.2">
      <c r="A2634" s="175">
        <v>41871</v>
      </c>
      <c r="B2634" s="176">
        <v>0.68</v>
      </c>
    </row>
    <row r="2635" spans="1:2" x14ac:dyDescent="0.2">
      <c r="A2635" s="175">
        <v>41872</v>
      </c>
      <c r="B2635" s="176">
        <v>0.65</v>
      </c>
    </row>
    <row r="2636" spans="1:2" x14ac:dyDescent="0.2">
      <c r="A2636" s="175">
        <v>41873</v>
      </c>
      <c r="B2636" s="176">
        <v>0.6</v>
      </c>
    </row>
    <row r="2637" spans="1:2" x14ac:dyDescent="0.2">
      <c r="A2637" s="175">
        <v>41876</v>
      </c>
      <c r="B2637" s="176">
        <v>0.57999999999999996</v>
      </c>
    </row>
    <row r="2638" spans="1:2" x14ac:dyDescent="0.2">
      <c r="A2638" s="175">
        <v>41877</v>
      </c>
      <c r="B2638" s="176">
        <v>0.64</v>
      </c>
    </row>
    <row r="2639" spans="1:2" x14ac:dyDescent="0.2">
      <c r="A2639" s="175">
        <v>41878</v>
      </c>
      <c r="B2639" s="176">
        <v>0.61</v>
      </c>
    </row>
    <row r="2640" spans="1:2" x14ac:dyDescent="0.2">
      <c r="A2640" s="175">
        <v>41879</v>
      </c>
      <c r="B2640" s="176">
        <v>0.57999999999999996</v>
      </c>
    </row>
    <row r="2641" spans="1:2" x14ac:dyDescent="0.2">
      <c r="A2641" s="175">
        <v>41880</v>
      </c>
      <c r="B2641" s="176">
        <v>0.61</v>
      </c>
    </row>
    <row r="2642" spans="1:2" x14ac:dyDescent="0.2">
      <c r="A2642" s="175">
        <v>41883</v>
      </c>
      <c r="B2642" s="176" t="e">
        <f>NA()</f>
        <v>#N/A</v>
      </c>
    </row>
    <row r="2643" spans="1:2" x14ac:dyDescent="0.2">
      <c r="A2643" s="175">
        <v>41884</v>
      </c>
      <c r="B2643" s="176">
        <v>0.61</v>
      </c>
    </row>
    <row r="2644" spans="1:2" x14ac:dyDescent="0.2">
      <c r="A2644" s="175">
        <v>41885</v>
      </c>
      <c r="B2644" s="176">
        <v>0.59</v>
      </c>
    </row>
    <row r="2645" spans="1:2" x14ac:dyDescent="0.2">
      <c r="A2645" s="175">
        <v>41886</v>
      </c>
      <c r="B2645" s="176">
        <v>0.64</v>
      </c>
    </row>
    <row r="2646" spans="1:2" x14ac:dyDescent="0.2">
      <c r="A2646" s="175">
        <v>41887</v>
      </c>
      <c r="B2646" s="177">
        <v>0.72</v>
      </c>
    </row>
    <row r="2647" spans="1:2" x14ac:dyDescent="0.2">
      <c r="A2647" s="175">
        <v>41890</v>
      </c>
      <c r="B2647" s="176">
        <v>0.73</v>
      </c>
    </row>
    <row r="2648" spans="1:2" x14ac:dyDescent="0.2">
      <c r="A2648" s="175">
        <v>41891</v>
      </c>
      <c r="B2648" s="176">
        <v>0.7</v>
      </c>
    </row>
    <row r="2649" spans="1:2" x14ac:dyDescent="0.2">
      <c r="A2649" s="175">
        <v>41892</v>
      </c>
      <c r="B2649" s="176">
        <v>0.76</v>
      </c>
    </row>
    <row r="2650" spans="1:2" x14ac:dyDescent="0.2">
      <c r="A2650" s="175">
        <v>41893</v>
      </c>
      <c r="B2650" s="176">
        <v>0.79</v>
      </c>
    </row>
    <row r="2651" spans="1:2" x14ac:dyDescent="0.2">
      <c r="A2651" s="175">
        <v>41894</v>
      </c>
      <c r="B2651" s="176">
        <v>0.87</v>
      </c>
    </row>
    <row r="2652" spans="1:2" x14ac:dyDescent="0.2">
      <c r="A2652" s="175">
        <v>41897</v>
      </c>
      <c r="B2652" s="176">
        <v>0.86</v>
      </c>
    </row>
    <row r="2653" spans="1:2" x14ac:dyDescent="0.2">
      <c r="A2653" s="175">
        <v>41898</v>
      </c>
      <c r="B2653" s="176">
        <v>0.88</v>
      </c>
    </row>
    <row r="2654" spans="1:2" x14ac:dyDescent="0.2">
      <c r="A2654" s="175">
        <v>41899</v>
      </c>
      <c r="B2654" s="176">
        <v>0.93</v>
      </c>
    </row>
    <row r="2655" spans="1:2" x14ac:dyDescent="0.2">
      <c r="A2655" s="175">
        <v>41900</v>
      </c>
      <c r="B2655" s="176">
        <v>0.91</v>
      </c>
    </row>
    <row r="2656" spans="1:2" x14ac:dyDescent="0.2">
      <c r="A2656" s="175">
        <v>41901</v>
      </c>
      <c r="B2656" s="176">
        <v>0.86</v>
      </c>
    </row>
    <row r="2657" spans="1:2" x14ac:dyDescent="0.2">
      <c r="A2657" s="175">
        <v>41904</v>
      </c>
      <c r="B2657" s="176">
        <v>0.93</v>
      </c>
    </row>
    <row r="2658" spans="1:2" x14ac:dyDescent="0.2">
      <c r="A2658" s="175">
        <v>41905</v>
      </c>
      <c r="B2658" s="176">
        <v>0.87</v>
      </c>
    </row>
    <row r="2659" spans="1:2" x14ac:dyDescent="0.2">
      <c r="A2659" s="175">
        <v>41906</v>
      </c>
      <c r="B2659" s="176">
        <v>0.89</v>
      </c>
    </row>
    <row r="2660" spans="1:2" x14ac:dyDescent="0.2">
      <c r="A2660" s="175">
        <v>41907</v>
      </c>
      <c r="B2660" s="176">
        <v>0.85</v>
      </c>
    </row>
    <row r="2661" spans="1:2" x14ac:dyDescent="0.2">
      <c r="A2661" s="175">
        <v>41908</v>
      </c>
      <c r="B2661" s="176">
        <v>0.9</v>
      </c>
    </row>
    <row r="2662" spans="1:2" x14ac:dyDescent="0.2">
      <c r="A2662" s="175">
        <v>41911</v>
      </c>
      <c r="B2662" s="176">
        <v>0.89</v>
      </c>
    </row>
    <row r="2663" spans="1:2" x14ac:dyDescent="0.2">
      <c r="A2663" s="175">
        <v>41912</v>
      </c>
      <c r="B2663" s="176">
        <v>0.89</v>
      </c>
    </row>
    <row r="2664" spans="1:2" x14ac:dyDescent="0.2">
      <c r="A2664" s="175">
        <v>41913</v>
      </c>
      <c r="B2664" s="176">
        <v>0.8</v>
      </c>
    </row>
    <row r="2665" spans="1:2" x14ac:dyDescent="0.2">
      <c r="A2665" s="175">
        <v>41914</v>
      </c>
      <c r="B2665" s="176">
        <v>0.83</v>
      </c>
    </row>
    <row r="2666" spans="1:2" x14ac:dyDescent="0.2">
      <c r="A2666" s="175">
        <v>41915</v>
      </c>
      <c r="B2666" s="176">
        <v>0.84</v>
      </c>
    </row>
    <row r="2667" spans="1:2" x14ac:dyDescent="0.2">
      <c r="A2667" s="175">
        <v>41918</v>
      </c>
      <c r="B2667" s="176">
        <v>0.84</v>
      </c>
    </row>
    <row r="2668" spans="1:2" x14ac:dyDescent="0.2">
      <c r="A2668" s="175">
        <v>41919</v>
      </c>
      <c r="B2668" s="176">
        <v>0.79</v>
      </c>
    </row>
    <row r="2669" spans="1:2" x14ac:dyDescent="0.2">
      <c r="A2669" s="175">
        <v>41920</v>
      </c>
      <c r="B2669" s="176">
        <v>0.75</v>
      </c>
    </row>
    <row r="2670" spans="1:2" x14ac:dyDescent="0.2">
      <c r="A2670" s="175">
        <v>41921</v>
      </c>
      <c r="B2670" s="176">
        <v>0.74</v>
      </c>
    </row>
    <row r="2671" spans="1:2" x14ac:dyDescent="0.2">
      <c r="A2671" s="175">
        <v>41922</v>
      </c>
      <c r="B2671" s="176">
        <v>0.71</v>
      </c>
    </row>
    <row r="2672" spans="1:2" x14ac:dyDescent="0.2">
      <c r="A2672" s="175">
        <v>41925</v>
      </c>
      <c r="B2672" s="176" t="e">
        <f>NA()</f>
        <v>#N/A</v>
      </c>
    </row>
    <row r="2673" spans="1:2" x14ac:dyDescent="0.2">
      <c r="A2673" s="175">
        <v>41926</v>
      </c>
      <c r="B2673" s="176">
        <v>0.61</v>
      </c>
    </row>
    <row r="2674" spans="1:2" x14ac:dyDescent="0.2">
      <c r="A2674" s="175">
        <v>41927</v>
      </c>
      <c r="B2674" s="176">
        <v>0.65</v>
      </c>
    </row>
    <row r="2675" spans="1:2" x14ac:dyDescent="0.2">
      <c r="A2675" s="175">
        <v>41928</v>
      </c>
      <c r="B2675" s="176">
        <v>0.61</v>
      </c>
    </row>
    <row r="2676" spans="1:2" x14ac:dyDescent="0.2">
      <c r="A2676" s="175">
        <v>41929</v>
      </c>
      <c r="B2676" s="177">
        <v>0.67</v>
      </c>
    </row>
    <row r="2677" spans="1:2" x14ac:dyDescent="0.2">
      <c r="A2677" s="175">
        <v>41932</v>
      </c>
      <c r="B2677" s="176">
        <v>0.67</v>
      </c>
    </row>
    <row r="2678" spans="1:2" x14ac:dyDescent="0.2">
      <c r="A2678" s="175">
        <v>41933</v>
      </c>
      <c r="B2678" s="176">
        <v>0.66</v>
      </c>
    </row>
    <row r="2679" spans="1:2" x14ac:dyDescent="0.2">
      <c r="A2679" s="175">
        <v>41934</v>
      </c>
      <c r="B2679" s="176">
        <v>0.72</v>
      </c>
    </row>
    <row r="2680" spans="1:2" x14ac:dyDescent="0.2">
      <c r="A2680" s="175">
        <v>41935</v>
      </c>
      <c r="B2680" s="176">
        <v>0.71</v>
      </c>
    </row>
    <row r="2681" spans="1:2" x14ac:dyDescent="0.2">
      <c r="A2681" s="175">
        <v>41936</v>
      </c>
      <c r="B2681" s="176">
        <v>0.76</v>
      </c>
    </row>
    <row r="2682" spans="1:2" x14ac:dyDescent="0.2">
      <c r="A2682" s="175">
        <v>41939</v>
      </c>
      <c r="B2682" s="176">
        <v>0.75</v>
      </c>
    </row>
    <row r="2683" spans="1:2" x14ac:dyDescent="0.2">
      <c r="A2683" s="175">
        <v>41940</v>
      </c>
      <c r="B2683" s="176">
        <v>0.76</v>
      </c>
    </row>
    <row r="2684" spans="1:2" x14ac:dyDescent="0.2">
      <c r="A2684" s="175">
        <v>41941</v>
      </c>
      <c r="B2684" s="176">
        <v>0.76</v>
      </c>
    </row>
    <row r="2685" spans="1:2" x14ac:dyDescent="0.2">
      <c r="A2685" s="175">
        <v>41942</v>
      </c>
      <c r="B2685" s="176">
        <v>0.76</v>
      </c>
    </row>
    <row r="2686" spans="1:2" x14ac:dyDescent="0.2">
      <c r="A2686" s="175">
        <v>41943</v>
      </c>
      <c r="B2686" s="176">
        <v>0.78</v>
      </c>
    </row>
    <row r="2687" spans="1:2" x14ac:dyDescent="0.2">
      <c r="A2687" s="175">
        <v>41946</v>
      </c>
      <c r="B2687" s="176">
        <v>0.78</v>
      </c>
    </row>
    <row r="2688" spans="1:2" x14ac:dyDescent="0.2">
      <c r="A2688" s="175">
        <v>41947</v>
      </c>
      <c r="B2688" s="176">
        <v>0.77</v>
      </c>
    </row>
    <row r="2689" spans="1:2" x14ac:dyDescent="0.2">
      <c r="A2689" s="175">
        <v>41948</v>
      </c>
      <c r="B2689" s="176">
        <v>0.77</v>
      </c>
    </row>
    <row r="2690" spans="1:2" x14ac:dyDescent="0.2">
      <c r="A2690" s="175">
        <v>41949</v>
      </c>
      <c r="B2690" s="176">
        <v>0.79</v>
      </c>
    </row>
    <row r="2691" spans="1:2" x14ac:dyDescent="0.2">
      <c r="A2691" s="175">
        <v>41950</v>
      </c>
      <c r="B2691" s="176">
        <v>0.73</v>
      </c>
    </row>
    <row r="2692" spans="1:2" x14ac:dyDescent="0.2">
      <c r="A2692" s="175">
        <v>41953</v>
      </c>
      <c r="B2692" s="176">
        <v>0.78</v>
      </c>
    </row>
    <row r="2693" spans="1:2" x14ac:dyDescent="0.2">
      <c r="A2693" s="175">
        <v>41954</v>
      </c>
      <c r="B2693" s="176" t="e">
        <f>NA()</f>
        <v>#N/A</v>
      </c>
    </row>
    <row r="2694" spans="1:2" x14ac:dyDescent="0.2">
      <c r="A2694" s="175">
        <v>41955</v>
      </c>
      <c r="B2694" s="176">
        <v>0.8</v>
      </c>
    </row>
    <row r="2695" spans="1:2" x14ac:dyDescent="0.2">
      <c r="A2695" s="175">
        <v>41956</v>
      </c>
      <c r="B2695" s="176">
        <v>0.81</v>
      </c>
    </row>
    <row r="2696" spans="1:2" x14ac:dyDescent="0.2">
      <c r="A2696" s="175">
        <v>41957</v>
      </c>
      <c r="B2696" s="176">
        <v>0.74</v>
      </c>
    </row>
    <row r="2697" spans="1:2" x14ac:dyDescent="0.2">
      <c r="A2697" s="175">
        <v>41960</v>
      </c>
      <c r="B2697" s="177">
        <v>0.78</v>
      </c>
    </row>
    <row r="2698" spans="1:2" x14ac:dyDescent="0.2">
      <c r="A2698" s="175">
        <v>41961</v>
      </c>
      <c r="B2698" s="176">
        <v>0.78</v>
      </c>
    </row>
    <row r="2699" spans="1:2" x14ac:dyDescent="0.2">
      <c r="A2699" s="175">
        <v>41962</v>
      </c>
      <c r="B2699" s="176">
        <v>0.83</v>
      </c>
    </row>
    <row r="2700" spans="1:2" x14ac:dyDescent="0.2">
      <c r="A2700" s="175">
        <v>41963</v>
      </c>
      <c r="B2700" s="176">
        <v>0.8</v>
      </c>
    </row>
    <row r="2701" spans="1:2" x14ac:dyDescent="0.2">
      <c r="A2701" s="175">
        <v>41964</v>
      </c>
      <c r="B2701" s="176">
        <v>0.75</v>
      </c>
    </row>
    <row r="2702" spans="1:2" x14ac:dyDescent="0.2">
      <c r="A2702" s="175">
        <v>41967</v>
      </c>
      <c r="B2702" s="176">
        <v>0.74</v>
      </c>
    </row>
    <row r="2703" spans="1:2" x14ac:dyDescent="0.2">
      <c r="A2703" s="175">
        <v>41968</v>
      </c>
      <c r="B2703" s="176">
        <v>0.76</v>
      </c>
    </row>
    <row r="2704" spans="1:2" x14ac:dyDescent="0.2">
      <c r="A2704" s="175">
        <v>41969</v>
      </c>
      <c r="B2704" s="176">
        <v>0.75</v>
      </c>
    </row>
    <row r="2705" spans="1:2" x14ac:dyDescent="0.2">
      <c r="A2705" s="175">
        <v>41970</v>
      </c>
      <c r="B2705" s="176" t="e">
        <f>NA()</f>
        <v>#N/A</v>
      </c>
    </row>
    <row r="2706" spans="1:2" x14ac:dyDescent="0.2">
      <c r="A2706" s="175">
        <v>41971</v>
      </c>
      <c r="B2706" s="176">
        <v>0.71</v>
      </c>
    </row>
    <row r="2707" spans="1:2" x14ac:dyDescent="0.2">
      <c r="A2707" s="175">
        <v>41974</v>
      </c>
      <c r="B2707" s="176">
        <v>0.76</v>
      </c>
    </row>
    <row r="2708" spans="1:2" x14ac:dyDescent="0.2">
      <c r="A2708" s="175">
        <v>41975</v>
      </c>
      <c r="B2708" s="176">
        <v>0.82</v>
      </c>
    </row>
    <row r="2709" spans="1:2" x14ac:dyDescent="0.2">
      <c r="A2709" s="175">
        <v>41976</v>
      </c>
      <c r="B2709" s="177">
        <v>0.81</v>
      </c>
    </row>
    <row r="2710" spans="1:2" x14ac:dyDescent="0.2">
      <c r="A2710" s="175">
        <v>41977</v>
      </c>
      <c r="B2710" s="176">
        <v>0.78</v>
      </c>
    </row>
    <row r="2711" spans="1:2" x14ac:dyDescent="0.2">
      <c r="A2711" s="175">
        <v>41978</v>
      </c>
      <c r="B2711" s="176">
        <v>0.82</v>
      </c>
    </row>
    <row r="2712" spans="1:2" x14ac:dyDescent="0.2">
      <c r="A2712" s="175">
        <v>41981</v>
      </c>
      <c r="B2712" s="176">
        <v>0.77</v>
      </c>
    </row>
    <row r="2713" spans="1:2" x14ac:dyDescent="0.2">
      <c r="A2713" s="175">
        <v>41982</v>
      </c>
      <c r="B2713" s="176">
        <v>0.74</v>
      </c>
    </row>
    <row r="2714" spans="1:2" x14ac:dyDescent="0.2">
      <c r="A2714" s="175">
        <v>41983</v>
      </c>
      <c r="B2714" s="176">
        <v>0.72</v>
      </c>
    </row>
    <row r="2715" spans="1:2" x14ac:dyDescent="0.2">
      <c r="A2715" s="175">
        <v>41984</v>
      </c>
      <c r="B2715" s="176">
        <v>0.72</v>
      </c>
    </row>
    <row r="2716" spans="1:2" x14ac:dyDescent="0.2">
      <c r="A2716" s="175">
        <v>41985</v>
      </c>
      <c r="B2716" s="176">
        <v>0.68</v>
      </c>
    </row>
    <row r="2717" spans="1:2" x14ac:dyDescent="0.2">
      <c r="A2717" s="175">
        <v>41988</v>
      </c>
      <c r="B2717" s="176">
        <v>0.69</v>
      </c>
    </row>
    <row r="2718" spans="1:2" x14ac:dyDescent="0.2">
      <c r="A2718" s="175">
        <v>41989</v>
      </c>
      <c r="B2718" s="176">
        <v>0.62</v>
      </c>
    </row>
    <row r="2719" spans="1:2" x14ac:dyDescent="0.2">
      <c r="A2719" s="175">
        <v>41990</v>
      </c>
      <c r="B2719" s="176">
        <v>0.67</v>
      </c>
    </row>
    <row r="2720" spans="1:2" x14ac:dyDescent="0.2">
      <c r="A2720" s="175">
        <v>41991</v>
      </c>
      <c r="B2720" s="176">
        <v>0.77</v>
      </c>
    </row>
    <row r="2721" spans="1:2" x14ac:dyDescent="0.2">
      <c r="A2721" s="175">
        <v>41992</v>
      </c>
      <c r="B2721" s="176">
        <v>0.68</v>
      </c>
    </row>
    <row r="2722" spans="1:2" x14ac:dyDescent="0.2">
      <c r="A2722" s="175">
        <v>41995</v>
      </c>
      <c r="B2722" s="176">
        <v>0.66</v>
      </c>
    </row>
    <row r="2723" spans="1:2" x14ac:dyDescent="0.2">
      <c r="A2723" s="175">
        <v>41996</v>
      </c>
      <c r="B2723" s="176">
        <v>0.76</v>
      </c>
    </row>
    <row r="2724" spans="1:2" x14ac:dyDescent="0.2">
      <c r="A2724" s="175">
        <v>41997</v>
      </c>
      <c r="B2724" s="176">
        <v>0.77</v>
      </c>
    </row>
    <row r="2725" spans="1:2" x14ac:dyDescent="0.2">
      <c r="A2725" s="175">
        <v>41998</v>
      </c>
      <c r="B2725" s="176" t="e">
        <f>NA()</f>
        <v>#N/A</v>
      </c>
    </row>
    <row r="2726" spans="1:2" x14ac:dyDescent="0.2">
      <c r="A2726" s="175">
        <v>41999</v>
      </c>
      <c r="B2726" s="176">
        <v>0.75</v>
      </c>
    </row>
    <row r="2727" spans="1:2" x14ac:dyDescent="0.2">
      <c r="A2727" s="175">
        <v>42002</v>
      </c>
      <c r="B2727" s="176">
        <v>0.74</v>
      </c>
    </row>
    <row r="2728" spans="1:2" x14ac:dyDescent="0.2">
      <c r="A2728" s="175">
        <v>42003</v>
      </c>
      <c r="B2728" s="176">
        <v>0.75</v>
      </c>
    </row>
    <row r="2729" spans="1:2" x14ac:dyDescent="0.2">
      <c r="A2729" s="175">
        <v>42004</v>
      </c>
      <c r="B2729" s="177">
        <v>0.68</v>
      </c>
    </row>
    <row r="2730" spans="1:2" x14ac:dyDescent="0.2">
      <c r="A2730" s="175">
        <v>42005</v>
      </c>
      <c r="B2730" s="176" t="e">
        <f>NA()</f>
        <v>#N/A</v>
      </c>
    </row>
    <row r="2731" spans="1:2" x14ac:dyDescent="0.2">
      <c r="A2731" s="175">
        <v>42006</v>
      </c>
      <c r="B2731" s="176">
        <v>0.61</v>
      </c>
    </row>
    <row r="2732" spans="1:2" x14ac:dyDescent="0.2">
      <c r="A2732" s="175">
        <v>42009</v>
      </c>
      <c r="B2732" s="176">
        <v>0.56999999999999995</v>
      </c>
    </row>
    <row r="2733" spans="1:2" x14ac:dyDescent="0.2">
      <c r="A2733" s="175">
        <v>42010</v>
      </c>
      <c r="B2733" s="176">
        <v>0.55000000000000004</v>
      </c>
    </row>
    <row r="2734" spans="1:2" x14ac:dyDescent="0.2">
      <c r="A2734" s="175">
        <v>42011</v>
      </c>
      <c r="B2734" s="177">
        <v>0.55000000000000004</v>
      </c>
    </row>
    <row r="2735" spans="1:2" x14ac:dyDescent="0.2">
      <c r="A2735" s="175">
        <v>42012</v>
      </c>
      <c r="B2735" s="176">
        <v>0.6</v>
      </c>
    </row>
    <row r="2736" spans="1:2" x14ac:dyDescent="0.2">
      <c r="A2736" s="175">
        <v>42013</v>
      </c>
      <c r="B2736" s="176">
        <v>0.56999999999999995</v>
      </c>
    </row>
    <row r="2737" spans="1:2" x14ac:dyDescent="0.2">
      <c r="A2737" s="175">
        <v>42016</v>
      </c>
      <c r="B2737" s="176">
        <v>0.55000000000000004</v>
      </c>
    </row>
    <row r="2738" spans="1:2" x14ac:dyDescent="0.2">
      <c r="A2738" s="175">
        <v>42017</v>
      </c>
      <c r="B2738" s="176">
        <v>0.57999999999999996</v>
      </c>
    </row>
    <row r="2739" spans="1:2" x14ac:dyDescent="0.2">
      <c r="A2739" s="175">
        <v>42018</v>
      </c>
      <c r="B2739" s="176">
        <v>0.53</v>
      </c>
    </row>
    <row r="2740" spans="1:2" x14ac:dyDescent="0.2">
      <c r="A2740" s="175">
        <v>42019</v>
      </c>
      <c r="B2740" s="176">
        <v>0.45</v>
      </c>
    </row>
    <row r="2741" spans="1:2" x14ac:dyDescent="0.2">
      <c r="A2741" s="175">
        <v>42020</v>
      </c>
      <c r="B2741" s="176">
        <v>0.49</v>
      </c>
    </row>
    <row r="2742" spans="1:2" x14ac:dyDescent="0.2">
      <c r="A2742" s="175">
        <v>42023</v>
      </c>
      <c r="B2742" s="176" t="e">
        <f>NA()</f>
        <v>#N/A</v>
      </c>
    </row>
    <row r="2743" spans="1:2" x14ac:dyDescent="0.2">
      <c r="A2743" s="175">
        <v>42024</v>
      </c>
      <c r="B2743" s="176">
        <v>0.47</v>
      </c>
    </row>
    <row r="2744" spans="1:2" x14ac:dyDescent="0.2">
      <c r="A2744" s="175">
        <v>42025</v>
      </c>
      <c r="B2744" s="176">
        <v>0.51</v>
      </c>
    </row>
    <row r="2745" spans="1:2" x14ac:dyDescent="0.2">
      <c r="A2745" s="175">
        <v>42026</v>
      </c>
      <c r="B2745" s="176">
        <v>0.52</v>
      </c>
    </row>
    <row r="2746" spans="1:2" x14ac:dyDescent="0.2">
      <c r="A2746" s="175">
        <v>42027</v>
      </c>
      <c r="B2746" s="177">
        <v>0.44</v>
      </c>
    </row>
    <row r="2747" spans="1:2" x14ac:dyDescent="0.2">
      <c r="A2747" s="175">
        <v>42030</v>
      </c>
      <c r="B2747" s="176">
        <v>0.45</v>
      </c>
    </row>
    <row r="2748" spans="1:2" x14ac:dyDescent="0.2">
      <c r="A2748" s="175">
        <v>42031</v>
      </c>
      <c r="B2748" s="176">
        <v>0.44</v>
      </c>
    </row>
    <row r="2749" spans="1:2" x14ac:dyDescent="0.2">
      <c r="A2749" s="175">
        <v>42032</v>
      </c>
      <c r="B2749" s="176">
        <v>0.37</v>
      </c>
    </row>
    <row r="2750" spans="1:2" x14ac:dyDescent="0.2">
      <c r="A2750" s="175">
        <v>42033</v>
      </c>
      <c r="B2750" s="176">
        <v>0.42</v>
      </c>
    </row>
    <row r="2751" spans="1:2" x14ac:dyDescent="0.2">
      <c r="A2751" s="175">
        <v>42034</v>
      </c>
      <c r="B2751" s="176">
        <v>0.3</v>
      </c>
    </row>
    <row r="2752" spans="1:2" x14ac:dyDescent="0.2">
      <c r="A2752" s="175">
        <v>42037</v>
      </c>
      <c r="B2752" s="176">
        <v>0.31</v>
      </c>
    </row>
    <row r="2753" spans="1:2" x14ac:dyDescent="0.2">
      <c r="A2753" s="175">
        <v>42038</v>
      </c>
      <c r="B2753" s="176">
        <v>0.38</v>
      </c>
    </row>
    <row r="2754" spans="1:2" x14ac:dyDescent="0.2">
      <c r="A2754" s="175">
        <v>42039</v>
      </c>
      <c r="B2754" s="176">
        <v>0.38</v>
      </c>
    </row>
    <row r="2755" spans="1:2" x14ac:dyDescent="0.2">
      <c r="A2755" s="175">
        <v>42040</v>
      </c>
      <c r="B2755" s="176">
        <v>0.45</v>
      </c>
    </row>
    <row r="2756" spans="1:2" x14ac:dyDescent="0.2">
      <c r="A2756" s="175">
        <v>42041</v>
      </c>
      <c r="B2756" s="176">
        <v>0.48</v>
      </c>
    </row>
    <row r="2757" spans="1:2" x14ac:dyDescent="0.2">
      <c r="A2757" s="175">
        <v>42044</v>
      </c>
      <c r="B2757" s="176">
        <v>0.49</v>
      </c>
    </row>
    <row r="2758" spans="1:2" x14ac:dyDescent="0.2">
      <c r="A2758" s="175">
        <v>42045</v>
      </c>
      <c r="B2758" s="176">
        <v>0.55000000000000004</v>
      </c>
    </row>
    <row r="2759" spans="1:2" x14ac:dyDescent="0.2">
      <c r="A2759" s="175">
        <v>42046</v>
      </c>
      <c r="B2759" s="176">
        <v>0.56000000000000005</v>
      </c>
    </row>
    <row r="2760" spans="1:2" x14ac:dyDescent="0.2">
      <c r="A2760" s="175">
        <v>42047</v>
      </c>
      <c r="B2760" s="176">
        <v>0.61</v>
      </c>
    </row>
    <row r="2761" spans="1:2" x14ac:dyDescent="0.2">
      <c r="A2761" s="175">
        <v>42048</v>
      </c>
      <c r="B2761" s="176">
        <v>0.6</v>
      </c>
    </row>
    <row r="2762" spans="1:2" x14ac:dyDescent="0.2">
      <c r="A2762" s="175">
        <v>42051</v>
      </c>
      <c r="B2762" s="176" t="e">
        <f>NA()</f>
        <v>#N/A</v>
      </c>
    </row>
    <row r="2763" spans="1:2" x14ac:dyDescent="0.2">
      <c r="A2763" s="175">
        <v>42052</v>
      </c>
      <c r="B2763" s="176">
        <v>0.68</v>
      </c>
    </row>
    <row r="2764" spans="1:2" x14ac:dyDescent="0.2">
      <c r="A2764" s="175">
        <v>42053</v>
      </c>
      <c r="B2764" s="176">
        <v>0.62</v>
      </c>
    </row>
    <row r="2765" spans="1:2" x14ac:dyDescent="0.2">
      <c r="A2765" s="175">
        <v>42054</v>
      </c>
      <c r="B2765" s="176">
        <v>0.62</v>
      </c>
    </row>
    <row r="2766" spans="1:2" x14ac:dyDescent="0.2">
      <c r="A2766" s="175">
        <v>42055</v>
      </c>
      <c r="B2766" s="177">
        <v>0.62</v>
      </c>
    </row>
    <row r="2767" spans="1:2" x14ac:dyDescent="0.2">
      <c r="A2767" s="175">
        <v>42058</v>
      </c>
      <c r="B2767" s="176">
        <v>0.57999999999999996</v>
      </c>
    </row>
    <row r="2768" spans="1:2" x14ac:dyDescent="0.2">
      <c r="A2768" s="175">
        <v>42059</v>
      </c>
      <c r="B2768" s="176">
        <v>0.51</v>
      </c>
    </row>
    <row r="2769" spans="1:2" x14ac:dyDescent="0.2">
      <c r="A2769" s="175">
        <v>42060</v>
      </c>
      <c r="B2769" s="176">
        <v>0.48</v>
      </c>
    </row>
    <row r="2770" spans="1:2" x14ac:dyDescent="0.2">
      <c r="A2770" s="175">
        <v>42061</v>
      </c>
      <c r="B2770" s="176">
        <v>0.52</v>
      </c>
    </row>
    <row r="2771" spans="1:2" x14ac:dyDescent="0.2">
      <c r="A2771" s="175">
        <v>42062</v>
      </c>
      <c r="B2771" s="176">
        <v>0.44</v>
      </c>
    </row>
    <row r="2772" spans="1:2" x14ac:dyDescent="0.2">
      <c r="A2772" s="175">
        <v>42065</v>
      </c>
      <c r="B2772" s="176">
        <v>0.55000000000000004</v>
      </c>
    </row>
    <row r="2773" spans="1:2" x14ac:dyDescent="0.2">
      <c r="A2773" s="175">
        <v>42066</v>
      </c>
      <c r="B2773" s="176">
        <v>0.55000000000000004</v>
      </c>
    </row>
    <row r="2774" spans="1:2" x14ac:dyDescent="0.2">
      <c r="A2774" s="175">
        <v>42067</v>
      </c>
      <c r="B2774" s="176">
        <v>0.54</v>
      </c>
    </row>
    <row r="2775" spans="1:2" x14ac:dyDescent="0.2">
      <c r="A2775" s="175">
        <v>42068</v>
      </c>
      <c r="B2775" s="176">
        <v>0.55000000000000004</v>
      </c>
    </row>
    <row r="2776" spans="1:2" x14ac:dyDescent="0.2">
      <c r="A2776" s="175">
        <v>42069</v>
      </c>
      <c r="B2776" s="176">
        <v>0.69</v>
      </c>
    </row>
    <row r="2777" spans="1:2" x14ac:dyDescent="0.2">
      <c r="A2777" s="175">
        <v>42072</v>
      </c>
      <c r="B2777" s="176">
        <v>0.71</v>
      </c>
    </row>
    <row r="2778" spans="1:2" x14ac:dyDescent="0.2">
      <c r="A2778" s="175">
        <v>42073</v>
      </c>
      <c r="B2778" s="176">
        <v>0.65</v>
      </c>
    </row>
    <row r="2779" spans="1:2" x14ac:dyDescent="0.2">
      <c r="A2779" s="175">
        <v>42074</v>
      </c>
      <c r="B2779" s="176">
        <v>0.65</v>
      </c>
    </row>
    <row r="2780" spans="1:2" x14ac:dyDescent="0.2">
      <c r="A2780" s="175">
        <v>42075</v>
      </c>
      <c r="B2780" s="176">
        <v>0.66</v>
      </c>
    </row>
    <row r="2781" spans="1:2" x14ac:dyDescent="0.2">
      <c r="A2781" s="175">
        <v>42076</v>
      </c>
      <c r="B2781" s="176">
        <v>0.7</v>
      </c>
    </row>
    <row r="2782" spans="1:2" x14ac:dyDescent="0.2">
      <c r="A2782" s="175">
        <v>42079</v>
      </c>
      <c r="B2782" s="176">
        <v>0.67</v>
      </c>
    </row>
    <row r="2783" spans="1:2" x14ac:dyDescent="0.2">
      <c r="A2783" s="175">
        <v>42080</v>
      </c>
      <c r="B2783" s="176">
        <v>0.65</v>
      </c>
    </row>
    <row r="2784" spans="1:2" x14ac:dyDescent="0.2">
      <c r="A2784" s="175">
        <v>42081</v>
      </c>
      <c r="B2784" s="176">
        <v>0.46</v>
      </c>
    </row>
    <row r="2785" spans="1:2" x14ac:dyDescent="0.2">
      <c r="A2785" s="175">
        <v>42082</v>
      </c>
      <c r="B2785" s="176">
        <v>0.46</v>
      </c>
    </row>
    <row r="2786" spans="1:2" x14ac:dyDescent="0.2">
      <c r="A2786" s="175">
        <v>42083</v>
      </c>
      <c r="B2786" s="176">
        <v>0.43</v>
      </c>
    </row>
    <row r="2787" spans="1:2" x14ac:dyDescent="0.2">
      <c r="A2787" s="175">
        <v>42086</v>
      </c>
      <c r="B2787" s="176">
        <v>0.44</v>
      </c>
    </row>
    <row r="2788" spans="1:2" x14ac:dyDescent="0.2">
      <c r="A2788" s="175">
        <v>42087</v>
      </c>
      <c r="B2788" s="176">
        <v>0.38</v>
      </c>
    </row>
    <row r="2789" spans="1:2" x14ac:dyDescent="0.2">
      <c r="A2789" s="175">
        <v>42088</v>
      </c>
      <c r="B2789" s="176">
        <v>0.3</v>
      </c>
    </row>
    <row r="2790" spans="1:2" x14ac:dyDescent="0.2">
      <c r="A2790" s="175">
        <v>42089</v>
      </c>
      <c r="B2790" s="176">
        <v>0.49</v>
      </c>
    </row>
    <row r="2791" spans="1:2" x14ac:dyDescent="0.2">
      <c r="A2791" s="175">
        <v>42090</v>
      </c>
      <c r="B2791" s="176">
        <v>0.46</v>
      </c>
    </row>
    <row r="2792" spans="1:2" x14ac:dyDescent="0.2">
      <c r="A2792" s="175">
        <v>42093</v>
      </c>
      <c r="B2792" s="176">
        <v>0.51</v>
      </c>
    </row>
    <row r="2793" spans="1:2" x14ac:dyDescent="0.2">
      <c r="A2793" s="175">
        <v>42094</v>
      </c>
      <c r="B2793" s="176">
        <v>0.49</v>
      </c>
    </row>
    <row r="2794" spans="1:2" x14ac:dyDescent="0.2">
      <c r="A2794" s="175">
        <v>42095</v>
      </c>
      <c r="B2794" s="176">
        <v>0.39</v>
      </c>
    </row>
    <row r="2795" spans="1:2" x14ac:dyDescent="0.2">
      <c r="A2795" s="175">
        <v>42096</v>
      </c>
      <c r="B2795" s="176">
        <v>0.43</v>
      </c>
    </row>
    <row r="2796" spans="1:2" x14ac:dyDescent="0.2">
      <c r="A2796" s="175">
        <v>42097</v>
      </c>
      <c r="B2796" s="176">
        <v>0.36</v>
      </c>
    </row>
    <row r="2797" spans="1:2" x14ac:dyDescent="0.2">
      <c r="A2797" s="175">
        <v>42100</v>
      </c>
      <c r="B2797" s="176">
        <v>0.43</v>
      </c>
    </row>
    <row r="2798" spans="1:2" x14ac:dyDescent="0.2">
      <c r="A2798" s="175">
        <v>42101</v>
      </c>
      <c r="B2798" s="176">
        <v>0.38</v>
      </c>
    </row>
    <row r="2799" spans="1:2" x14ac:dyDescent="0.2">
      <c r="A2799" s="175">
        <v>42102</v>
      </c>
      <c r="B2799" s="176">
        <v>0.41</v>
      </c>
    </row>
    <row r="2800" spans="1:2" x14ac:dyDescent="0.2">
      <c r="A2800" s="175">
        <v>42103</v>
      </c>
      <c r="B2800" s="176">
        <v>0.46</v>
      </c>
    </row>
    <row r="2801" spans="1:2" x14ac:dyDescent="0.2">
      <c r="A2801" s="175">
        <v>42104</v>
      </c>
      <c r="B2801" s="176">
        <v>0.46</v>
      </c>
    </row>
    <row r="2802" spans="1:2" x14ac:dyDescent="0.2">
      <c r="A2802" s="175">
        <v>42107</v>
      </c>
      <c r="B2802" s="176">
        <v>0.47</v>
      </c>
    </row>
    <row r="2803" spans="1:2" x14ac:dyDescent="0.2">
      <c r="A2803" s="175">
        <v>42108</v>
      </c>
      <c r="B2803" s="176">
        <v>0.44</v>
      </c>
    </row>
    <row r="2804" spans="1:2" x14ac:dyDescent="0.2">
      <c r="A2804" s="175">
        <v>42109</v>
      </c>
      <c r="B2804" s="176">
        <v>0.42</v>
      </c>
    </row>
    <row r="2805" spans="1:2" x14ac:dyDescent="0.2">
      <c r="A2805" s="175">
        <v>42110</v>
      </c>
      <c r="B2805" s="176">
        <v>0.41</v>
      </c>
    </row>
    <row r="2806" spans="1:2" x14ac:dyDescent="0.2">
      <c r="A2806" s="175">
        <v>42111</v>
      </c>
      <c r="B2806" s="176">
        <v>0.32</v>
      </c>
    </row>
    <row r="2807" spans="1:2" x14ac:dyDescent="0.2">
      <c r="A2807" s="175">
        <v>42114</v>
      </c>
      <c r="B2807" s="176">
        <v>0.36</v>
      </c>
    </row>
    <row r="2808" spans="1:2" x14ac:dyDescent="0.2">
      <c r="A2808" s="175">
        <v>42115</v>
      </c>
      <c r="B2808" s="176">
        <v>0.4</v>
      </c>
    </row>
    <row r="2809" spans="1:2" x14ac:dyDescent="0.2">
      <c r="A2809" s="175">
        <v>42116</v>
      </c>
      <c r="B2809" s="176">
        <v>0.48</v>
      </c>
    </row>
    <row r="2810" spans="1:2" x14ac:dyDescent="0.2">
      <c r="A2810" s="175">
        <v>42117</v>
      </c>
      <c r="B2810" s="176">
        <v>0.43</v>
      </c>
    </row>
    <row r="2811" spans="1:2" x14ac:dyDescent="0.2">
      <c r="A2811" s="175">
        <v>42118</v>
      </c>
      <c r="B2811" s="176">
        <v>0.4</v>
      </c>
    </row>
    <row r="2812" spans="1:2" x14ac:dyDescent="0.2">
      <c r="A2812" s="175">
        <v>42121</v>
      </c>
      <c r="B2812" s="176">
        <v>0.39</v>
      </c>
    </row>
    <row r="2813" spans="1:2" x14ac:dyDescent="0.2">
      <c r="A2813" s="175">
        <v>42122</v>
      </c>
      <c r="B2813" s="176">
        <v>0.47</v>
      </c>
    </row>
    <row r="2814" spans="1:2" x14ac:dyDescent="0.2">
      <c r="A2814" s="175">
        <v>42123</v>
      </c>
      <c r="B2814" s="176">
        <v>0.52</v>
      </c>
    </row>
    <row r="2815" spans="1:2" x14ac:dyDescent="0.2">
      <c r="A2815" s="175">
        <v>42124</v>
      </c>
      <c r="B2815" s="176">
        <v>0.48</v>
      </c>
    </row>
    <row r="2816" spans="1:2" x14ac:dyDescent="0.2">
      <c r="A2816" s="175">
        <v>42125</v>
      </c>
      <c r="B2816" s="176">
        <v>0.54</v>
      </c>
    </row>
    <row r="2817" spans="1:2" x14ac:dyDescent="0.2">
      <c r="A2817" s="175">
        <v>42128</v>
      </c>
      <c r="B2817" s="176">
        <v>0.62</v>
      </c>
    </row>
    <row r="2818" spans="1:2" x14ac:dyDescent="0.2">
      <c r="A2818" s="175">
        <v>42129</v>
      </c>
      <c r="B2818" s="176">
        <v>0.62</v>
      </c>
    </row>
    <row r="2819" spans="1:2" x14ac:dyDescent="0.2">
      <c r="A2819" s="175">
        <v>42130</v>
      </c>
      <c r="B2819" s="176">
        <v>0.72</v>
      </c>
    </row>
    <row r="2820" spans="1:2" x14ac:dyDescent="0.2">
      <c r="A2820" s="175">
        <v>42131</v>
      </c>
      <c r="B2820" s="176">
        <v>0.65</v>
      </c>
    </row>
    <row r="2821" spans="1:2" x14ac:dyDescent="0.2">
      <c r="A2821" s="175">
        <v>42132</v>
      </c>
      <c r="B2821" s="176">
        <v>0.66</v>
      </c>
    </row>
    <row r="2822" spans="1:2" x14ac:dyDescent="0.2">
      <c r="A2822" s="175">
        <v>42135</v>
      </c>
      <c r="B2822" s="176">
        <v>0.77</v>
      </c>
    </row>
    <row r="2823" spans="1:2" x14ac:dyDescent="0.2">
      <c r="A2823" s="175">
        <v>42136</v>
      </c>
      <c r="B2823" s="176">
        <v>0.77</v>
      </c>
    </row>
    <row r="2824" spans="1:2" x14ac:dyDescent="0.2">
      <c r="A2824" s="175">
        <v>42137</v>
      </c>
      <c r="B2824" s="176">
        <v>0.81</v>
      </c>
    </row>
    <row r="2825" spans="1:2" x14ac:dyDescent="0.2">
      <c r="A2825" s="175">
        <v>42138</v>
      </c>
      <c r="B2825" s="176">
        <v>0.64</v>
      </c>
    </row>
    <row r="2826" spans="1:2" x14ac:dyDescent="0.2">
      <c r="A2826" s="175">
        <v>42139</v>
      </c>
      <c r="B2826" s="176">
        <v>0.7</v>
      </c>
    </row>
    <row r="2827" spans="1:2" x14ac:dyDescent="0.2">
      <c r="A2827" s="175">
        <v>42142</v>
      </c>
      <c r="B2827" s="176">
        <v>0.78</v>
      </c>
    </row>
    <row r="2828" spans="1:2" x14ac:dyDescent="0.2">
      <c r="A2828" s="175">
        <v>42143</v>
      </c>
      <c r="B2828" s="176">
        <v>0.81</v>
      </c>
    </row>
    <row r="2829" spans="1:2" x14ac:dyDescent="0.2">
      <c r="A2829" s="175">
        <v>42144</v>
      </c>
      <c r="B2829" s="176">
        <v>0.8</v>
      </c>
    </row>
    <row r="2830" spans="1:2" x14ac:dyDescent="0.2">
      <c r="A2830" s="175">
        <v>42145</v>
      </c>
      <c r="B2830" s="176">
        <v>0.76</v>
      </c>
    </row>
    <row r="2831" spans="1:2" x14ac:dyDescent="0.2">
      <c r="A2831" s="175">
        <v>42146</v>
      </c>
      <c r="B2831" s="176">
        <v>0.74</v>
      </c>
    </row>
    <row r="2832" spans="1:2" x14ac:dyDescent="0.2">
      <c r="A2832" s="175">
        <v>42149</v>
      </c>
      <c r="B2832" s="176" t="e">
        <f>NA()</f>
        <v>#N/A</v>
      </c>
    </row>
    <row r="2833" spans="1:2" x14ac:dyDescent="0.2">
      <c r="A2833" s="175">
        <v>42150</v>
      </c>
      <c r="B2833" s="176">
        <v>0.7</v>
      </c>
    </row>
    <row r="2834" spans="1:2" x14ac:dyDescent="0.2">
      <c r="A2834" s="175">
        <v>42151</v>
      </c>
      <c r="B2834" s="176">
        <v>0.71</v>
      </c>
    </row>
    <row r="2835" spans="1:2" x14ac:dyDescent="0.2">
      <c r="A2835" s="175">
        <v>42152</v>
      </c>
      <c r="B2835" s="176">
        <v>0.59</v>
      </c>
    </row>
    <row r="2836" spans="1:2" x14ac:dyDescent="0.2">
      <c r="A2836" s="175">
        <v>42153</v>
      </c>
      <c r="B2836" s="177">
        <v>0.7</v>
      </c>
    </row>
    <row r="2837" spans="1:2" x14ac:dyDescent="0.2">
      <c r="A2837" s="175">
        <v>42156</v>
      </c>
      <c r="B2837" s="176">
        <v>0.77</v>
      </c>
    </row>
    <row r="2838" spans="1:2" x14ac:dyDescent="0.2">
      <c r="A2838" s="175">
        <v>42157</v>
      </c>
      <c r="B2838" s="176">
        <v>0.84</v>
      </c>
    </row>
    <row r="2839" spans="1:2" x14ac:dyDescent="0.2">
      <c r="A2839" s="175">
        <v>42158</v>
      </c>
      <c r="B2839" s="176">
        <v>0.93</v>
      </c>
    </row>
    <row r="2840" spans="1:2" x14ac:dyDescent="0.2">
      <c r="A2840" s="175">
        <v>42159</v>
      </c>
      <c r="B2840" s="176">
        <v>0.87</v>
      </c>
    </row>
    <row r="2841" spans="1:2" x14ac:dyDescent="0.2">
      <c r="A2841" s="175">
        <v>42160</v>
      </c>
      <c r="B2841" s="176">
        <v>0.92</v>
      </c>
    </row>
    <row r="2842" spans="1:2" x14ac:dyDescent="0.2">
      <c r="A2842" s="175">
        <v>42163</v>
      </c>
      <c r="B2842" s="176">
        <v>0.92</v>
      </c>
    </row>
    <row r="2843" spans="1:2" x14ac:dyDescent="0.2">
      <c r="A2843" s="175">
        <v>42164</v>
      </c>
      <c r="B2843" s="176">
        <v>0.95</v>
      </c>
    </row>
    <row r="2844" spans="1:2" x14ac:dyDescent="0.2">
      <c r="A2844" s="175">
        <v>42165</v>
      </c>
      <c r="B2844" s="176">
        <v>1.02</v>
      </c>
    </row>
    <row r="2845" spans="1:2" x14ac:dyDescent="0.2">
      <c r="A2845" s="175">
        <v>42166</v>
      </c>
      <c r="B2845" s="176">
        <v>0.94</v>
      </c>
    </row>
    <row r="2846" spans="1:2" x14ac:dyDescent="0.2">
      <c r="A2846" s="175">
        <v>42167</v>
      </c>
      <c r="B2846" s="176">
        <v>0.93</v>
      </c>
    </row>
    <row r="2847" spans="1:2" x14ac:dyDescent="0.2">
      <c r="A2847" s="175">
        <v>42170</v>
      </c>
      <c r="B2847" s="176">
        <v>0.89</v>
      </c>
    </row>
    <row r="2848" spans="1:2" x14ac:dyDescent="0.2">
      <c r="A2848" s="175">
        <v>42171</v>
      </c>
      <c r="B2848" s="176">
        <v>0.82</v>
      </c>
    </row>
    <row r="2849" spans="1:2" x14ac:dyDescent="0.2">
      <c r="A2849" s="175">
        <v>42172</v>
      </c>
      <c r="B2849" s="176">
        <v>0.84</v>
      </c>
    </row>
    <row r="2850" spans="1:2" x14ac:dyDescent="0.2">
      <c r="A2850" s="175">
        <v>42173</v>
      </c>
      <c r="B2850" s="176">
        <v>0.89</v>
      </c>
    </row>
    <row r="2851" spans="1:2" x14ac:dyDescent="0.2">
      <c r="A2851" s="175">
        <v>42174</v>
      </c>
      <c r="B2851" s="176">
        <v>0.81</v>
      </c>
    </row>
    <row r="2852" spans="1:2" x14ac:dyDescent="0.2">
      <c r="A2852" s="175">
        <v>42177</v>
      </c>
      <c r="B2852" s="176">
        <v>0.88</v>
      </c>
    </row>
    <row r="2853" spans="1:2" x14ac:dyDescent="0.2">
      <c r="A2853" s="175">
        <v>42178</v>
      </c>
      <c r="B2853" s="176">
        <v>0.92</v>
      </c>
    </row>
    <row r="2854" spans="1:2" x14ac:dyDescent="0.2">
      <c r="A2854" s="175">
        <v>42179</v>
      </c>
      <c r="B2854" s="176">
        <v>0.88</v>
      </c>
    </row>
    <row r="2855" spans="1:2" x14ac:dyDescent="0.2">
      <c r="A2855" s="175">
        <v>42180</v>
      </c>
      <c r="B2855" s="176">
        <v>0.89</v>
      </c>
    </row>
    <row r="2856" spans="1:2" x14ac:dyDescent="0.2">
      <c r="A2856" s="175">
        <v>42181</v>
      </c>
      <c r="B2856" s="176">
        <v>0.97</v>
      </c>
    </row>
    <row r="2857" spans="1:2" x14ac:dyDescent="0.2">
      <c r="A2857" s="175">
        <v>42184</v>
      </c>
      <c r="B2857" s="176">
        <v>0.86</v>
      </c>
    </row>
    <row r="2858" spans="1:2" x14ac:dyDescent="0.2">
      <c r="A2858" s="175">
        <v>42185</v>
      </c>
      <c r="B2858" s="176">
        <v>0.88</v>
      </c>
    </row>
    <row r="2859" spans="1:2" x14ac:dyDescent="0.2">
      <c r="A2859" s="175">
        <v>42186</v>
      </c>
      <c r="B2859" s="176">
        <v>0.94</v>
      </c>
    </row>
    <row r="2860" spans="1:2" x14ac:dyDescent="0.2">
      <c r="A2860" s="175">
        <v>42187</v>
      </c>
      <c r="B2860" s="176">
        <v>0.91</v>
      </c>
    </row>
    <row r="2861" spans="1:2" x14ac:dyDescent="0.2">
      <c r="A2861" s="175">
        <v>42188</v>
      </c>
      <c r="B2861" s="176" t="e">
        <f>NA()</f>
        <v>#N/A</v>
      </c>
    </row>
    <row r="2862" spans="1:2" x14ac:dyDescent="0.2">
      <c r="A2862" s="175">
        <v>42191</v>
      </c>
      <c r="B2862" s="176">
        <v>0.83</v>
      </c>
    </row>
    <row r="2863" spans="1:2" x14ac:dyDescent="0.2">
      <c r="A2863" s="175">
        <v>42192</v>
      </c>
      <c r="B2863" s="176">
        <v>0.79</v>
      </c>
    </row>
    <row r="2864" spans="1:2" x14ac:dyDescent="0.2">
      <c r="A2864" s="175">
        <v>42193</v>
      </c>
      <c r="B2864" s="176">
        <v>0.78</v>
      </c>
    </row>
    <row r="2865" spans="1:2" x14ac:dyDescent="0.2">
      <c r="A2865" s="175">
        <v>42194</v>
      </c>
      <c r="B2865" s="177">
        <v>0.88</v>
      </c>
    </row>
    <row r="2866" spans="1:2" x14ac:dyDescent="0.2">
      <c r="A2866" s="175">
        <v>42195</v>
      </c>
      <c r="B2866" s="176">
        <v>0.96</v>
      </c>
    </row>
    <row r="2867" spans="1:2" x14ac:dyDescent="0.2">
      <c r="A2867" s="175">
        <v>42198</v>
      </c>
      <c r="B2867" s="176">
        <v>0.97</v>
      </c>
    </row>
    <row r="2868" spans="1:2" x14ac:dyDescent="0.2">
      <c r="A2868" s="175">
        <v>42199</v>
      </c>
      <c r="B2868" s="176">
        <v>0.96</v>
      </c>
    </row>
    <row r="2869" spans="1:2" x14ac:dyDescent="0.2">
      <c r="A2869" s="175">
        <v>42200</v>
      </c>
      <c r="B2869" s="176">
        <v>0.91</v>
      </c>
    </row>
    <row r="2870" spans="1:2" x14ac:dyDescent="0.2">
      <c r="A2870" s="175">
        <v>42201</v>
      </c>
      <c r="B2870" s="176">
        <v>0.9</v>
      </c>
    </row>
    <row r="2871" spans="1:2" x14ac:dyDescent="0.2">
      <c r="A2871" s="175">
        <v>42202</v>
      </c>
      <c r="B2871" s="176">
        <v>0.77</v>
      </c>
    </row>
    <row r="2872" spans="1:2" x14ac:dyDescent="0.2">
      <c r="A2872" s="175">
        <v>42205</v>
      </c>
      <c r="B2872" s="176">
        <v>0.92</v>
      </c>
    </row>
    <row r="2873" spans="1:2" x14ac:dyDescent="0.2">
      <c r="A2873" s="175">
        <v>42206</v>
      </c>
      <c r="B2873" s="176">
        <v>0.9</v>
      </c>
    </row>
    <row r="2874" spans="1:2" x14ac:dyDescent="0.2">
      <c r="A2874" s="175">
        <v>42207</v>
      </c>
      <c r="B2874" s="176">
        <v>0.88</v>
      </c>
    </row>
    <row r="2875" spans="1:2" x14ac:dyDescent="0.2">
      <c r="A2875" s="175">
        <v>42208</v>
      </c>
      <c r="B2875" s="176">
        <v>0.83</v>
      </c>
    </row>
    <row r="2876" spans="1:2" x14ac:dyDescent="0.2">
      <c r="A2876" s="175">
        <v>42209</v>
      </c>
      <c r="B2876" s="176">
        <v>0.84</v>
      </c>
    </row>
    <row r="2877" spans="1:2" x14ac:dyDescent="0.2">
      <c r="A2877" s="175">
        <v>42212</v>
      </c>
      <c r="B2877" s="176">
        <v>0.83</v>
      </c>
    </row>
    <row r="2878" spans="1:2" x14ac:dyDescent="0.2">
      <c r="A2878" s="175">
        <v>42213</v>
      </c>
      <c r="B2878" s="176">
        <v>0.85</v>
      </c>
    </row>
    <row r="2879" spans="1:2" x14ac:dyDescent="0.2">
      <c r="A2879" s="175">
        <v>42214</v>
      </c>
      <c r="B2879" s="176">
        <v>0.86</v>
      </c>
    </row>
    <row r="2880" spans="1:2" x14ac:dyDescent="0.2">
      <c r="A2880" s="175">
        <v>42215</v>
      </c>
      <c r="B2880" s="176">
        <v>0.84</v>
      </c>
    </row>
    <row r="2881" spans="1:2" x14ac:dyDescent="0.2">
      <c r="A2881" s="175">
        <v>42216</v>
      </c>
      <c r="B2881" s="176">
        <v>0.81</v>
      </c>
    </row>
    <row r="2882" spans="1:2" x14ac:dyDescent="0.2">
      <c r="A2882" s="175">
        <v>42219</v>
      </c>
      <c r="B2882" s="176">
        <v>0.78</v>
      </c>
    </row>
    <row r="2883" spans="1:2" x14ac:dyDescent="0.2">
      <c r="A2883" s="175">
        <v>42220</v>
      </c>
      <c r="B2883" s="176">
        <v>0.83</v>
      </c>
    </row>
    <row r="2884" spans="1:2" x14ac:dyDescent="0.2">
      <c r="A2884" s="175">
        <v>42221</v>
      </c>
      <c r="B2884" s="176">
        <v>0.89</v>
      </c>
    </row>
    <row r="2885" spans="1:2" x14ac:dyDescent="0.2">
      <c r="A2885" s="175">
        <v>42222</v>
      </c>
      <c r="B2885" s="176">
        <v>0.87</v>
      </c>
    </row>
    <row r="2886" spans="1:2" x14ac:dyDescent="0.2">
      <c r="A2886" s="175">
        <v>42223</v>
      </c>
      <c r="B2886" s="176">
        <v>0.82</v>
      </c>
    </row>
    <row r="2887" spans="1:2" x14ac:dyDescent="0.2">
      <c r="A2887" s="175">
        <v>42226</v>
      </c>
      <c r="B2887" s="176">
        <v>0.85</v>
      </c>
    </row>
    <row r="2888" spans="1:2" x14ac:dyDescent="0.2">
      <c r="A2888" s="175">
        <v>42227</v>
      </c>
      <c r="B2888" s="176">
        <v>0.8</v>
      </c>
    </row>
    <row r="2889" spans="1:2" x14ac:dyDescent="0.2">
      <c r="A2889" s="175">
        <v>42228</v>
      </c>
      <c r="B2889" s="176">
        <v>0.84</v>
      </c>
    </row>
    <row r="2890" spans="1:2" x14ac:dyDescent="0.2">
      <c r="A2890" s="175">
        <v>42229</v>
      </c>
      <c r="B2890" s="176">
        <v>0.87</v>
      </c>
    </row>
    <row r="2891" spans="1:2" x14ac:dyDescent="0.2">
      <c r="A2891" s="175">
        <v>42230</v>
      </c>
      <c r="B2891" s="176">
        <v>0.86</v>
      </c>
    </row>
    <row r="2892" spans="1:2" x14ac:dyDescent="0.2">
      <c r="A2892" s="175">
        <v>42233</v>
      </c>
      <c r="B2892" s="176">
        <v>0.86</v>
      </c>
    </row>
    <row r="2893" spans="1:2" x14ac:dyDescent="0.2">
      <c r="A2893" s="175">
        <v>42234</v>
      </c>
      <c r="B2893" s="176">
        <v>0.91</v>
      </c>
    </row>
    <row r="2894" spans="1:2" x14ac:dyDescent="0.2">
      <c r="A2894" s="175">
        <v>42235</v>
      </c>
      <c r="B2894" s="176">
        <v>0.85</v>
      </c>
    </row>
    <row r="2895" spans="1:2" x14ac:dyDescent="0.2">
      <c r="A2895" s="175">
        <v>42236</v>
      </c>
      <c r="B2895" s="176">
        <v>0.81</v>
      </c>
    </row>
    <row r="2896" spans="1:2" x14ac:dyDescent="0.2">
      <c r="A2896" s="175">
        <v>42237</v>
      </c>
      <c r="B2896" s="176">
        <v>0.82</v>
      </c>
    </row>
    <row r="2897" spans="1:2" x14ac:dyDescent="0.2">
      <c r="A2897" s="175">
        <v>42240</v>
      </c>
      <c r="B2897" s="176">
        <v>0.84</v>
      </c>
    </row>
    <row r="2898" spans="1:2" x14ac:dyDescent="0.2">
      <c r="A2898" s="175">
        <v>42241</v>
      </c>
      <c r="B2898" s="176">
        <v>0.92</v>
      </c>
    </row>
    <row r="2899" spans="1:2" x14ac:dyDescent="0.2">
      <c r="A2899" s="175">
        <v>42242</v>
      </c>
      <c r="B2899" s="176">
        <v>1</v>
      </c>
    </row>
    <row r="2900" spans="1:2" x14ac:dyDescent="0.2">
      <c r="A2900" s="175">
        <v>42243</v>
      </c>
      <c r="B2900" s="176">
        <v>0.94</v>
      </c>
    </row>
    <row r="2901" spans="1:2" x14ac:dyDescent="0.2">
      <c r="A2901" s="175">
        <v>42244</v>
      </c>
      <c r="B2901" s="176">
        <v>0.91</v>
      </c>
    </row>
    <row r="2902" spans="1:2" x14ac:dyDescent="0.2">
      <c r="A2902" s="175">
        <v>42247</v>
      </c>
      <c r="B2902" s="176">
        <v>0.93</v>
      </c>
    </row>
    <row r="2903" spans="1:2" x14ac:dyDescent="0.2">
      <c r="A2903" s="175">
        <v>42248</v>
      </c>
      <c r="B2903" s="176">
        <v>0.95</v>
      </c>
    </row>
    <row r="2904" spans="1:2" x14ac:dyDescent="0.2">
      <c r="A2904" s="175">
        <v>42249</v>
      </c>
      <c r="B2904" s="176">
        <v>1</v>
      </c>
    </row>
    <row r="2905" spans="1:2" x14ac:dyDescent="0.2">
      <c r="A2905" s="175">
        <v>42250</v>
      </c>
      <c r="B2905" s="176">
        <v>0.99</v>
      </c>
    </row>
    <row r="2906" spans="1:2" x14ac:dyDescent="0.2">
      <c r="A2906" s="175">
        <v>42251</v>
      </c>
      <c r="B2906" s="176">
        <v>0.96</v>
      </c>
    </row>
    <row r="2907" spans="1:2" x14ac:dyDescent="0.2">
      <c r="A2907" s="175">
        <v>42254</v>
      </c>
      <c r="B2907" s="176" t="e">
        <f>NA()</f>
        <v>#N/A</v>
      </c>
    </row>
    <row r="2908" spans="1:2" x14ac:dyDescent="0.2">
      <c r="A2908" s="175">
        <v>42255</v>
      </c>
      <c r="B2908" s="176">
        <v>1.02</v>
      </c>
    </row>
    <row r="2909" spans="1:2" x14ac:dyDescent="0.2">
      <c r="A2909" s="175">
        <v>42256</v>
      </c>
      <c r="B2909" s="176">
        <v>0.99</v>
      </c>
    </row>
    <row r="2910" spans="1:2" x14ac:dyDescent="0.2">
      <c r="A2910" s="175">
        <v>42257</v>
      </c>
      <c r="B2910" s="176">
        <v>0.98</v>
      </c>
    </row>
    <row r="2911" spans="1:2" x14ac:dyDescent="0.2">
      <c r="A2911" s="175">
        <v>42258</v>
      </c>
      <c r="B2911" s="177">
        <v>0.96</v>
      </c>
    </row>
    <row r="2912" spans="1:2" x14ac:dyDescent="0.2">
      <c r="A2912" s="175">
        <v>42261</v>
      </c>
      <c r="B2912" s="176">
        <v>0.97</v>
      </c>
    </row>
    <row r="2913" spans="1:2" x14ac:dyDescent="0.2">
      <c r="A2913" s="175">
        <v>42262</v>
      </c>
      <c r="B2913" s="176">
        <v>1.07</v>
      </c>
    </row>
    <row r="2914" spans="1:2" x14ac:dyDescent="0.2">
      <c r="A2914" s="175">
        <v>42263</v>
      </c>
      <c r="B2914" s="176">
        <v>1.1000000000000001</v>
      </c>
    </row>
    <row r="2915" spans="1:2" x14ac:dyDescent="0.2">
      <c r="A2915" s="175">
        <v>42264</v>
      </c>
      <c r="B2915" s="176">
        <v>1.02</v>
      </c>
    </row>
    <row r="2916" spans="1:2" x14ac:dyDescent="0.2">
      <c r="A2916" s="175">
        <v>42265</v>
      </c>
      <c r="B2916" s="176">
        <v>0.95</v>
      </c>
    </row>
    <row r="2917" spans="1:2" x14ac:dyDescent="0.2">
      <c r="A2917" s="175">
        <v>42268</v>
      </c>
      <c r="B2917" s="176">
        <v>1.05</v>
      </c>
    </row>
    <row r="2918" spans="1:2" x14ac:dyDescent="0.2">
      <c r="A2918" s="175">
        <v>42269</v>
      </c>
      <c r="B2918" s="176">
        <v>1.01</v>
      </c>
    </row>
    <row r="2919" spans="1:2" x14ac:dyDescent="0.2">
      <c r="A2919" s="175">
        <v>42270</v>
      </c>
      <c r="B2919" s="176">
        <v>1.02</v>
      </c>
    </row>
    <row r="2920" spans="1:2" x14ac:dyDescent="0.2">
      <c r="A2920" s="175">
        <v>42271</v>
      </c>
      <c r="B2920" s="176">
        <v>1.01</v>
      </c>
    </row>
    <row r="2921" spans="1:2" x14ac:dyDescent="0.2">
      <c r="A2921" s="175">
        <v>42272</v>
      </c>
      <c r="B2921" s="176">
        <v>1.0900000000000001</v>
      </c>
    </row>
    <row r="2922" spans="1:2" x14ac:dyDescent="0.2">
      <c r="A2922" s="175">
        <v>42275</v>
      </c>
      <c r="B2922" s="176">
        <v>1.06</v>
      </c>
    </row>
    <row r="2923" spans="1:2" x14ac:dyDescent="0.2">
      <c r="A2923" s="175">
        <v>42276</v>
      </c>
      <c r="B2923" s="176">
        <v>1.04</v>
      </c>
    </row>
    <row r="2924" spans="1:2" x14ac:dyDescent="0.2">
      <c r="A2924" s="175">
        <v>42277</v>
      </c>
      <c r="B2924" s="176">
        <v>1.05</v>
      </c>
    </row>
    <row r="2925" spans="1:2" x14ac:dyDescent="0.2">
      <c r="A2925" s="175">
        <v>42278</v>
      </c>
      <c r="B2925" s="176">
        <v>0.99</v>
      </c>
    </row>
    <row r="2926" spans="1:2" x14ac:dyDescent="0.2">
      <c r="A2926" s="175">
        <v>42279</v>
      </c>
      <c r="B2926" s="176">
        <v>0.93</v>
      </c>
    </row>
    <row r="2927" spans="1:2" x14ac:dyDescent="0.2">
      <c r="A2927" s="175">
        <v>42282</v>
      </c>
      <c r="B2927" s="176">
        <v>0.99</v>
      </c>
    </row>
    <row r="2928" spans="1:2" x14ac:dyDescent="0.2">
      <c r="A2928" s="175">
        <v>42283</v>
      </c>
      <c r="B2928" s="176">
        <v>0.97</v>
      </c>
    </row>
    <row r="2929" spans="1:2" x14ac:dyDescent="0.2">
      <c r="A2929" s="175">
        <v>42284</v>
      </c>
      <c r="B2929" s="176">
        <v>0.95</v>
      </c>
    </row>
    <row r="2930" spans="1:2" x14ac:dyDescent="0.2">
      <c r="A2930" s="175">
        <v>42285</v>
      </c>
      <c r="B2930" s="176">
        <v>0.98</v>
      </c>
    </row>
    <row r="2931" spans="1:2" x14ac:dyDescent="0.2">
      <c r="A2931" s="175">
        <v>42286</v>
      </c>
      <c r="B2931" s="176">
        <v>1.01</v>
      </c>
    </row>
    <row r="2932" spans="1:2" x14ac:dyDescent="0.2">
      <c r="A2932" s="175">
        <v>42289</v>
      </c>
      <c r="B2932" s="176" t="e">
        <f>NA()</f>
        <v>#N/A</v>
      </c>
    </row>
    <row r="2933" spans="1:2" x14ac:dyDescent="0.2">
      <c r="A2933" s="175">
        <v>42290</v>
      </c>
      <c r="B2933" s="176">
        <v>0.96</v>
      </c>
    </row>
    <row r="2934" spans="1:2" x14ac:dyDescent="0.2">
      <c r="A2934" s="175">
        <v>42291</v>
      </c>
      <c r="B2934" s="176">
        <v>0.93</v>
      </c>
    </row>
    <row r="2935" spans="1:2" x14ac:dyDescent="0.2">
      <c r="A2935" s="175">
        <v>42292</v>
      </c>
      <c r="B2935" s="176">
        <v>0.98</v>
      </c>
    </row>
    <row r="2936" spans="1:2" x14ac:dyDescent="0.2">
      <c r="A2936" s="175">
        <v>42293</v>
      </c>
      <c r="B2936" s="177">
        <v>1</v>
      </c>
    </row>
    <row r="2937" spans="1:2" x14ac:dyDescent="0.2">
      <c r="A2937" s="175">
        <v>42296</v>
      </c>
      <c r="B2937" s="176">
        <v>1.01</v>
      </c>
    </row>
    <row r="2938" spans="1:2" x14ac:dyDescent="0.2">
      <c r="A2938" s="175">
        <v>42297</v>
      </c>
      <c r="B2938" s="176">
        <v>1.01</v>
      </c>
    </row>
    <row r="2939" spans="1:2" x14ac:dyDescent="0.2">
      <c r="A2939" s="175">
        <v>42298</v>
      </c>
      <c r="B2939" s="176">
        <v>1</v>
      </c>
    </row>
    <row r="2940" spans="1:2" x14ac:dyDescent="0.2">
      <c r="A2940" s="175">
        <v>42299</v>
      </c>
      <c r="B2940" s="176">
        <v>0.97</v>
      </c>
    </row>
    <row r="2941" spans="1:2" x14ac:dyDescent="0.2">
      <c r="A2941" s="175">
        <v>42300</v>
      </c>
      <c r="B2941" s="176">
        <v>0.96</v>
      </c>
    </row>
    <row r="2942" spans="1:2" x14ac:dyDescent="0.2">
      <c r="A2942" s="175">
        <v>42303</v>
      </c>
      <c r="B2942" s="176">
        <v>0.96</v>
      </c>
    </row>
    <row r="2943" spans="1:2" x14ac:dyDescent="0.2">
      <c r="A2943" s="175">
        <v>42304</v>
      </c>
      <c r="B2943" s="176">
        <v>0.95</v>
      </c>
    </row>
    <row r="2944" spans="1:2" x14ac:dyDescent="0.2">
      <c r="A2944" s="175">
        <v>42305</v>
      </c>
      <c r="B2944" s="176">
        <v>0.98</v>
      </c>
    </row>
    <row r="2945" spans="1:2" x14ac:dyDescent="0.2">
      <c r="A2945" s="175">
        <v>42306</v>
      </c>
      <c r="B2945" s="176">
        <v>1.02</v>
      </c>
    </row>
    <row r="2946" spans="1:2" x14ac:dyDescent="0.2">
      <c r="A2946" s="175">
        <v>42307</v>
      </c>
      <c r="B2946" s="176">
        <v>0.98</v>
      </c>
    </row>
    <row r="2947" spans="1:2" x14ac:dyDescent="0.2">
      <c r="A2947" s="175">
        <v>42310</v>
      </c>
      <c r="B2947" s="176">
        <v>0.99</v>
      </c>
    </row>
    <row r="2948" spans="1:2" x14ac:dyDescent="0.2">
      <c r="A2948" s="175">
        <v>42311</v>
      </c>
      <c r="B2948" s="176">
        <v>1.01</v>
      </c>
    </row>
    <row r="2949" spans="1:2" x14ac:dyDescent="0.2">
      <c r="A2949" s="175">
        <v>42312</v>
      </c>
      <c r="B2949" s="176">
        <v>1.02</v>
      </c>
    </row>
    <row r="2950" spans="1:2" x14ac:dyDescent="0.2">
      <c r="A2950" s="175">
        <v>42313</v>
      </c>
      <c r="B2950" s="176">
        <v>1.05</v>
      </c>
    </row>
    <row r="2951" spans="1:2" x14ac:dyDescent="0.2">
      <c r="A2951" s="175">
        <v>42314</v>
      </c>
      <c r="B2951" s="176">
        <v>1.0900000000000001</v>
      </c>
    </row>
    <row r="2952" spans="1:2" x14ac:dyDescent="0.2">
      <c r="A2952" s="175">
        <v>42317</v>
      </c>
      <c r="B2952" s="176">
        <v>1.1000000000000001</v>
      </c>
    </row>
    <row r="2953" spans="1:2" x14ac:dyDescent="0.2">
      <c r="A2953" s="175">
        <v>42318</v>
      </c>
      <c r="B2953" s="176">
        <v>1.1100000000000001</v>
      </c>
    </row>
    <row r="2954" spans="1:2" x14ac:dyDescent="0.2">
      <c r="A2954" s="175">
        <v>42319</v>
      </c>
      <c r="B2954" s="176" t="e">
        <f>NA()</f>
        <v>#N/A</v>
      </c>
    </row>
    <row r="2955" spans="1:2" x14ac:dyDescent="0.2">
      <c r="A2955" s="175">
        <v>42320</v>
      </c>
      <c r="B2955" s="176">
        <v>1.1100000000000001</v>
      </c>
    </row>
    <row r="2956" spans="1:2" x14ac:dyDescent="0.2">
      <c r="A2956" s="175">
        <v>42321</v>
      </c>
      <c r="B2956" s="176">
        <v>1.0900000000000001</v>
      </c>
    </row>
    <row r="2957" spans="1:2" x14ac:dyDescent="0.2">
      <c r="A2957" s="175">
        <v>42324</v>
      </c>
      <c r="B2957" s="176">
        <v>1.1100000000000001</v>
      </c>
    </row>
    <row r="2958" spans="1:2" x14ac:dyDescent="0.2">
      <c r="A2958" s="175">
        <v>42325</v>
      </c>
      <c r="B2958" s="177">
        <v>1.06</v>
      </c>
    </row>
    <row r="2959" spans="1:2" x14ac:dyDescent="0.2">
      <c r="A2959" s="175">
        <v>42326</v>
      </c>
      <c r="B2959" s="176">
        <v>1.05</v>
      </c>
    </row>
    <row r="2960" spans="1:2" x14ac:dyDescent="0.2">
      <c r="A2960" s="175">
        <v>42327</v>
      </c>
      <c r="B2960" s="176">
        <v>1.01</v>
      </c>
    </row>
    <row r="2961" spans="1:2" x14ac:dyDescent="0.2">
      <c r="A2961" s="175">
        <v>42328</v>
      </c>
      <c r="B2961" s="176">
        <v>1</v>
      </c>
    </row>
    <row r="2962" spans="1:2" x14ac:dyDescent="0.2">
      <c r="A2962" s="175">
        <v>42331</v>
      </c>
      <c r="B2962" s="176">
        <v>0.98</v>
      </c>
    </row>
    <row r="2963" spans="1:2" x14ac:dyDescent="0.2">
      <c r="A2963" s="175">
        <v>42332</v>
      </c>
      <c r="B2963" s="176">
        <v>0.97</v>
      </c>
    </row>
    <row r="2964" spans="1:2" x14ac:dyDescent="0.2">
      <c r="A2964" s="175">
        <v>42333</v>
      </c>
      <c r="B2964" s="176">
        <v>0.97</v>
      </c>
    </row>
    <row r="2965" spans="1:2" x14ac:dyDescent="0.2">
      <c r="A2965" s="175">
        <v>42334</v>
      </c>
      <c r="B2965" s="176" t="e">
        <f>NA()</f>
        <v>#N/A</v>
      </c>
    </row>
    <row r="2966" spans="1:2" x14ac:dyDescent="0.2">
      <c r="A2966" s="175">
        <v>42335</v>
      </c>
      <c r="B2966" s="176">
        <v>0.97</v>
      </c>
    </row>
    <row r="2967" spans="1:2" x14ac:dyDescent="0.2">
      <c r="A2967" s="175">
        <v>42338</v>
      </c>
      <c r="B2967" s="176">
        <v>0.96</v>
      </c>
    </row>
    <row r="2968" spans="1:2" x14ac:dyDescent="0.2">
      <c r="A2968" s="175">
        <v>42339</v>
      </c>
      <c r="B2968" s="176">
        <v>0.92</v>
      </c>
    </row>
    <row r="2969" spans="1:2" x14ac:dyDescent="0.2">
      <c r="A2969" s="175">
        <v>42340</v>
      </c>
      <c r="B2969" s="177">
        <v>0.95</v>
      </c>
    </row>
    <row r="2970" spans="1:2" x14ac:dyDescent="0.2">
      <c r="A2970" s="175">
        <v>42341</v>
      </c>
      <c r="B2970" s="176">
        <v>1.06</v>
      </c>
    </row>
    <row r="2971" spans="1:2" x14ac:dyDescent="0.2">
      <c r="A2971" s="175">
        <v>42342</v>
      </c>
      <c r="B2971" s="176">
        <v>1</v>
      </c>
    </row>
    <row r="2972" spans="1:2" x14ac:dyDescent="0.2">
      <c r="A2972" s="175">
        <v>42345</v>
      </c>
      <c r="B2972" s="176">
        <v>0.99</v>
      </c>
    </row>
    <row r="2973" spans="1:2" x14ac:dyDescent="0.2">
      <c r="A2973" s="175">
        <v>42346</v>
      </c>
      <c r="B2973" s="176">
        <v>1</v>
      </c>
    </row>
    <row r="2974" spans="1:2" x14ac:dyDescent="0.2">
      <c r="A2974" s="175">
        <v>42347</v>
      </c>
      <c r="B2974" s="176">
        <v>1.02</v>
      </c>
    </row>
    <row r="2975" spans="1:2" x14ac:dyDescent="0.2">
      <c r="A2975" s="175">
        <v>42348</v>
      </c>
      <c r="B2975" s="176">
        <v>1.05</v>
      </c>
    </row>
    <row r="2976" spans="1:2" x14ac:dyDescent="0.2">
      <c r="A2976" s="175">
        <v>42349</v>
      </c>
      <c r="B2976" s="176">
        <v>1</v>
      </c>
    </row>
    <row r="2977" spans="1:2" x14ac:dyDescent="0.2">
      <c r="A2977" s="175">
        <v>42352</v>
      </c>
      <c r="B2977" s="176">
        <v>1.1100000000000001</v>
      </c>
    </row>
    <row r="2978" spans="1:2" x14ac:dyDescent="0.2">
      <c r="A2978" s="175">
        <v>42353</v>
      </c>
      <c r="B2978" s="176">
        <v>1.1499999999999999</v>
      </c>
    </row>
    <row r="2979" spans="1:2" x14ac:dyDescent="0.2">
      <c r="A2979" s="175">
        <v>42354</v>
      </c>
      <c r="B2979" s="176">
        <v>1.2</v>
      </c>
    </row>
    <row r="2980" spans="1:2" x14ac:dyDescent="0.2">
      <c r="A2980" s="175">
        <v>42355</v>
      </c>
      <c r="B2980" s="176">
        <v>1.08</v>
      </c>
    </row>
    <row r="2981" spans="1:2" x14ac:dyDescent="0.2">
      <c r="A2981" s="175">
        <v>42356</v>
      </c>
      <c r="B2981" s="176">
        <v>1.07</v>
      </c>
    </row>
    <row r="2982" spans="1:2" x14ac:dyDescent="0.2">
      <c r="A2982" s="175">
        <v>42359</v>
      </c>
      <c r="B2982" s="176">
        <v>1.0900000000000001</v>
      </c>
    </row>
    <row r="2983" spans="1:2" x14ac:dyDescent="0.2">
      <c r="A2983" s="175">
        <v>42360</v>
      </c>
      <c r="B2983" s="176">
        <v>1.1000000000000001</v>
      </c>
    </row>
    <row r="2984" spans="1:2" x14ac:dyDescent="0.2">
      <c r="A2984" s="175">
        <v>42361</v>
      </c>
      <c r="B2984" s="176">
        <v>1.0900000000000001</v>
      </c>
    </row>
    <row r="2985" spans="1:2" x14ac:dyDescent="0.2">
      <c r="A2985" s="175">
        <v>42362</v>
      </c>
      <c r="B2985" s="176">
        <v>1.05</v>
      </c>
    </row>
    <row r="2986" spans="1:2" x14ac:dyDescent="0.2">
      <c r="A2986" s="175">
        <v>42363</v>
      </c>
      <c r="B2986" s="176" t="e">
        <f>NA()</f>
        <v>#N/A</v>
      </c>
    </row>
    <row r="2987" spans="1:2" x14ac:dyDescent="0.2">
      <c r="A2987" s="175">
        <v>42366</v>
      </c>
      <c r="B2987" s="176">
        <v>1.05</v>
      </c>
    </row>
    <row r="2988" spans="1:2" x14ac:dyDescent="0.2">
      <c r="A2988" s="175">
        <v>42367</v>
      </c>
      <c r="B2988" s="176">
        <v>1.1100000000000001</v>
      </c>
    </row>
    <row r="2989" spans="1:2" x14ac:dyDescent="0.2">
      <c r="A2989" s="175">
        <v>42368</v>
      </c>
      <c r="B2989" s="176">
        <v>1.1000000000000001</v>
      </c>
    </row>
    <row r="2990" spans="1:2" x14ac:dyDescent="0.2">
      <c r="A2990" s="175">
        <v>42369</v>
      </c>
      <c r="B2990" s="177">
        <v>1.07</v>
      </c>
    </row>
    <row r="2991" spans="1:2" x14ac:dyDescent="0.2">
      <c r="A2991" s="175">
        <v>42370</v>
      </c>
      <c r="B2991" s="176" t="e">
        <f>NA()</f>
        <v>#N/A</v>
      </c>
    </row>
    <row r="2992" spans="1:2" x14ac:dyDescent="0.2">
      <c r="A2992" s="175">
        <v>42373</v>
      </c>
      <c r="B2992" s="176">
        <v>1.04</v>
      </c>
    </row>
    <row r="2993" spans="1:2" x14ac:dyDescent="0.2">
      <c r="A2993" s="175">
        <v>42374</v>
      </c>
      <c r="B2993" s="176">
        <v>1.05</v>
      </c>
    </row>
    <row r="2994" spans="1:2" x14ac:dyDescent="0.2">
      <c r="A2994" s="175">
        <v>42375</v>
      </c>
      <c r="B2994" s="176">
        <v>1</v>
      </c>
    </row>
    <row r="2995" spans="1:2" x14ac:dyDescent="0.2">
      <c r="A2995" s="175">
        <v>42376</v>
      </c>
      <c r="B2995" s="177">
        <v>1.03</v>
      </c>
    </row>
    <row r="2996" spans="1:2" x14ac:dyDescent="0.2">
      <c r="A2996" s="175">
        <v>42377</v>
      </c>
      <c r="B2996" s="176">
        <v>1.03</v>
      </c>
    </row>
    <row r="2997" spans="1:2" x14ac:dyDescent="0.2">
      <c r="A2997" s="175">
        <v>42380</v>
      </c>
      <c r="B2997" s="176">
        <v>1.1100000000000001</v>
      </c>
    </row>
    <row r="2998" spans="1:2" x14ac:dyDescent="0.2">
      <c r="A2998" s="175">
        <v>42381</v>
      </c>
      <c r="B2998" s="176">
        <v>1.07</v>
      </c>
    </row>
    <row r="2999" spans="1:2" x14ac:dyDescent="0.2">
      <c r="A2999" s="175">
        <v>42382</v>
      </c>
      <c r="B2999" s="176">
        <v>1.04</v>
      </c>
    </row>
    <row r="3000" spans="1:2" x14ac:dyDescent="0.2">
      <c r="A3000" s="175">
        <v>42383</v>
      </c>
      <c r="B3000" s="176">
        <v>1.07</v>
      </c>
    </row>
    <row r="3001" spans="1:2" x14ac:dyDescent="0.2">
      <c r="A3001" s="175">
        <v>42384</v>
      </c>
      <c r="B3001" s="176">
        <v>1.05</v>
      </c>
    </row>
    <row r="3002" spans="1:2" x14ac:dyDescent="0.2">
      <c r="A3002" s="175">
        <v>42387</v>
      </c>
      <c r="B3002" s="176" t="e">
        <f>NA()</f>
        <v>#N/A</v>
      </c>
    </row>
    <row r="3003" spans="1:2" x14ac:dyDescent="0.2">
      <c r="A3003" s="175">
        <v>42388</v>
      </c>
      <c r="B3003" s="176">
        <v>1.07</v>
      </c>
    </row>
    <row r="3004" spans="1:2" x14ac:dyDescent="0.2">
      <c r="A3004" s="175">
        <v>42389</v>
      </c>
      <c r="B3004" s="176">
        <v>1.07</v>
      </c>
    </row>
    <row r="3005" spans="1:2" x14ac:dyDescent="0.2">
      <c r="A3005" s="175">
        <v>42390</v>
      </c>
      <c r="B3005" s="176">
        <v>1.1100000000000001</v>
      </c>
    </row>
    <row r="3006" spans="1:2" x14ac:dyDescent="0.2">
      <c r="A3006" s="175">
        <v>42391</v>
      </c>
      <c r="B3006" s="177">
        <v>1.1000000000000001</v>
      </c>
    </row>
    <row r="3007" spans="1:2" x14ac:dyDescent="0.2">
      <c r="A3007" s="175">
        <v>42394</v>
      </c>
      <c r="B3007" s="176">
        <v>1.07</v>
      </c>
    </row>
    <row r="3008" spans="1:2" x14ac:dyDescent="0.2">
      <c r="A3008" s="175">
        <v>42395</v>
      </c>
      <c r="B3008" s="176">
        <v>1.03</v>
      </c>
    </row>
    <row r="3009" spans="1:2" x14ac:dyDescent="0.2">
      <c r="A3009" s="175">
        <v>42396</v>
      </c>
      <c r="B3009" s="176">
        <v>1.01</v>
      </c>
    </row>
    <row r="3010" spans="1:2" x14ac:dyDescent="0.2">
      <c r="A3010" s="175">
        <v>42397</v>
      </c>
      <c r="B3010" s="176">
        <v>0.99</v>
      </c>
    </row>
    <row r="3011" spans="1:2" x14ac:dyDescent="0.2">
      <c r="A3011" s="175">
        <v>42398</v>
      </c>
      <c r="B3011" s="176">
        <v>0.95</v>
      </c>
    </row>
    <row r="3012" spans="1:2" x14ac:dyDescent="0.2">
      <c r="A3012" s="175">
        <v>42401</v>
      </c>
      <c r="B3012" s="176">
        <v>0.97</v>
      </c>
    </row>
    <row r="3013" spans="1:2" x14ac:dyDescent="0.2">
      <c r="A3013" s="175">
        <v>42402</v>
      </c>
      <c r="B3013" s="176">
        <v>0.91</v>
      </c>
    </row>
    <row r="3014" spans="1:2" x14ac:dyDescent="0.2">
      <c r="A3014" s="175">
        <v>42403</v>
      </c>
      <c r="B3014" s="176">
        <v>0.9</v>
      </c>
    </row>
    <row r="3015" spans="1:2" x14ac:dyDescent="0.2">
      <c r="A3015" s="175">
        <v>42404</v>
      </c>
      <c r="B3015" s="176">
        <v>0.91</v>
      </c>
    </row>
    <row r="3016" spans="1:2" x14ac:dyDescent="0.2">
      <c r="A3016" s="175">
        <v>42405</v>
      </c>
      <c r="B3016" s="176">
        <v>0.91</v>
      </c>
    </row>
    <row r="3017" spans="1:2" x14ac:dyDescent="0.2">
      <c r="A3017" s="175">
        <v>42408</v>
      </c>
      <c r="B3017" s="176">
        <v>0.88</v>
      </c>
    </row>
    <row r="3018" spans="1:2" x14ac:dyDescent="0.2">
      <c r="A3018" s="175">
        <v>42409</v>
      </c>
      <c r="B3018" s="176">
        <v>0.89</v>
      </c>
    </row>
    <row r="3019" spans="1:2" x14ac:dyDescent="0.2">
      <c r="A3019" s="175">
        <v>42410</v>
      </c>
      <c r="B3019" s="176">
        <v>0.85</v>
      </c>
    </row>
    <row r="3020" spans="1:2" x14ac:dyDescent="0.2">
      <c r="A3020" s="175">
        <v>42411</v>
      </c>
      <c r="B3020" s="176">
        <v>0.81</v>
      </c>
    </row>
    <row r="3021" spans="1:2" x14ac:dyDescent="0.2">
      <c r="A3021" s="175">
        <v>42412</v>
      </c>
      <c r="B3021" s="176">
        <v>0.87</v>
      </c>
    </row>
    <row r="3022" spans="1:2" x14ac:dyDescent="0.2">
      <c r="A3022" s="175">
        <v>42415</v>
      </c>
      <c r="B3022" s="176" t="e">
        <f>NA()</f>
        <v>#N/A</v>
      </c>
    </row>
    <row r="3023" spans="1:2" x14ac:dyDescent="0.2">
      <c r="A3023" s="175">
        <v>42416</v>
      </c>
      <c r="B3023" s="176">
        <v>0.92</v>
      </c>
    </row>
    <row r="3024" spans="1:2" x14ac:dyDescent="0.2">
      <c r="A3024" s="175">
        <v>42417</v>
      </c>
      <c r="B3024" s="176">
        <v>0.93</v>
      </c>
    </row>
    <row r="3025" spans="1:2" x14ac:dyDescent="0.2">
      <c r="A3025" s="175">
        <v>42418</v>
      </c>
      <c r="B3025" s="176">
        <v>0.87</v>
      </c>
    </row>
    <row r="3026" spans="1:2" x14ac:dyDescent="0.2">
      <c r="A3026" s="175">
        <v>42419</v>
      </c>
      <c r="B3026" s="177">
        <v>0.86</v>
      </c>
    </row>
    <row r="3027" spans="1:2" x14ac:dyDescent="0.2">
      <c r="A3027" s="175">
        <v>42422</v>
      </c>
      <c r="B3027" s="176">
        <v>0.83</v>
      </c>
    </row>
    <row r="3028" spans="1:2" x14ac:dyDescent="0.2">
      <c r="A3028" s="175">
        <v>42423</v>
      </c>
      <c r="B3028" s="176">
        <v>0.8</v>
      </c>
    </row>
    <row r="3029" spans="1:2" x14ac:dyDescent="0.2">
      <c r="A3029" s="175">
        <v>42424</v>
      </c>
      <c r="B3029" s="176">
        <v>0.78</v>
      </c>
    </row>
    <row r="3030" spans="1:2" x14ac:dyDescent="0.2">
      <c r="A3030" s="175">
        <v>42425</v>
      </c>
      <c r="B3030" s="176">
        <v>0.72</v>
      </c>
    </row>
    <row r="3031" spans="1:2" x14ac:dyDescent="0.2">
      <c r="A3031" s="175">
        <v>42426</v>
      </c>
      <c r="B3031" s="176">
        <v>0.75</v>
      </c>
    </row>
    <row r="3032" spans="1:2" x14ac:dyDescent="0.2">
      <c r="A3032" s="175">
        <v>42429</v>
      </c>
      <c r="B3032" s="176">
        <v>0.72</v>
      </c>
    </row>
    <row r="3033" spans="1:2" x14ac:dyDescent="0.2">
      <c r="A3033" s="175">
        <v>42430</v>
      </c>
      <c r="B3033" s="176">
        <v>0.75</v>
      </c>
    </row>
    <row r="3034" spans="1:2" x14ac:dyDescent="0.2">
      <c r="A3034" s="175">
        <v>42431</v>
      </c>
      <c r="B3034" s="176">
        <v>0.73</v>
      </c>
    </row>
    <row r="3035" spans="1:2" x14ac:dyDescent="0.2">
      <c r="A3035" s="175">
        <v>42432</v>
      </c>
      <c r="B3035" s="176">
        <v>0.7</v>
      </c>
    </row>
    <row r="3036" spans="1:2" x14ac:dyDescent="0.2">
      <c r="A3036" s="175">
        <v>42433</v>
      </c>
      <c r="B3036" s="176">
        <v>0.76</v>
      </c>
    </row>
    <row r="3037" spans="1:2" x14ac:dyDescent="0.2">
      <c r="A3037" s="175">
        <v>42436</v>
      </c>
      <c r="B3037" s="176">
        <v>0.81</v>
      </c>
    </row>
    <row r="3038" spans="1:2" x14ac:dyDescent="0.2">
      <c r="A3038" s="175">
        <v>42437</v>
      </c>
      <c r="B3038" s="176">
        <v>0.75</v>
      </c>
    </row>
    <row r="3039" spans="1:2" x14ac:dyDescent="0.2">
      <c r="A3039" s="175">
        <v>42438</v>
      </c>
      <c r="B3039" s="176">
        <v>0.79</v>
      </c>
    </row>
    <row r="3040" spans="1:2" x14ac:dyDescent="0.2">
      <c r="A3040" s="175">
        <v>42439</v>
      </c>
      <c r="B3040" s="176">
        <v>0.82</v>
      </c>
    </row>
    <row r="3041" spans="1:2" x14ac:dyDescent="0.2">
      <c r="A3041" s="175">
        <v>42440</v>
      </c>
      <c r="B3041" s="176">
        <v>0.83</v>
      </c>
    </row>
    <row r="3042" spans="1:2" x14ac:dyDescent="0.2">
      <c r="A3042" s="175">
        <v>42443</v>
      </c>
      <c r="B3042" s="176">
        <v>0.83</v>
      </c>
    </row>
    <row r="3043" spans="1:2" x14ac:dyDescent="0.2">
      <c r="A3043" s="175">
        <v>42444</v>
      </c>
      <c r="B3043" s="176">
        <v>0.85</v>
      </c>
    </row>
    <row r="3044" spans="1:2" x14ac:dyDescent="0.2">
      <c r="A3044" s="175">
        <v>42445</v>
      </c>
      <c r="B3044" s="176">
        <v>0.78</v>
      </c>
    </row>
    <row r="3045" spans="1:2" x14ac:dyDescent="0.2">
      <c r="A3045" s="175">
        <v>42446</v>
      </c>
      <c r="B3045" s="176">
        <v>0.74</v>
      </c>
    </row>
    <row r="3046" spans="1:2" x14ac:dyDescent="0.2">
      <c r="A3046" s="175">
        <v>42447</v>
      </c>
      <c r="B3046" s="176">
        <v>0.68</v>
      </c>
    </row>
    <row r="3047" spans="1:2" x14ac:dyDescent="0.2">
      <c r="A3047" s="175">
        <v>42450</v>
      </c>
      <c r="B3047" s="176">
        <v>0.68</v>
      </c>
    </row>
    <row r="3048" spans="1:2" x14ac:dyDescent="0.2">
      <c r="A3048" s="175">
        <v>42451</v>
      </c>
      <c r="B3048" s="176">
        <v>0.7</v>
      </c>
    </row>
    <row r="3049" spans="1:2" x14ac:dyDescent="0.2">
      <c r="A3049" s="175">
        <v>42452</v>
      </c>
      <c r="B3049" s="176">
        <v>0.67</v>
      </c>
    </row>
    <row r="3050" spans="1:2" x14ac:dyDescent="0.2">
      <c r="A3050" s="175">
        <v>42453</v>
      </c>
      <c r="B3050" s="176">
        <v>0.71</v>
      </c>
    </row>
    <row r="3051" spans="1:2" x14ac:dyDescent="0.2">
      <c r="A3051" s="175">
        <v>42454</v>
      </c>
      <c r="B3051" s="176" t="e">
        <f>NA()</f>
        <v>#N/A</v>
      </c>
    </row>
    <row r="3052" spans="1:2" x14ac:dyDescent="0.2">
      <c r="A3052" s="175">
        <v>42457</v>
      </c>
      <c r="B3052" s="176">
        <v>0.7</v>
      </c>
    </row>
    <row r="3053" spans="1:2" x14ac:dyDescent="0.2">
      <c r="A3053" s="175">
        <v>42458</v>
      </c>
      <c r="B3053" s="176">
        <v>0.59</v>
      </c>
    </row>
    <row r="3054" spans="1:2" x14ac:dyDescent="0.2">
      <c r="A3054" s="175">
        <v>42459</v>
      </c>
      <c r="B3054" s="176">
        <v>0.6</v>
      </c>
    </row>
    <row r="3055" spans="1:2" x14ac:dyDescent="0.2">
      <c r="A3055" s="175">
        <v>42460</v>
      </c>
      <c r="B3055" s="177">
        <v>0.56999999999999995</v>
      </c>
    </row>
    <row r="3056" spans="1:2" x14ac:dyDescent="0.2">
      <c r="A3056" s="175">
        <v>42461</v>
      </c>
      <c r="B3056" s="176">
        <v>0.57999999999999996</v>
      </c>
    </row>
    <row r="3057" spans="1:2" x14ac:dyDescent="0.2">
      <c r="A3057" s="175">
        <v>42464</v>
      </c>
      <c r="B3057" s="176">
        <v>0.55000000000000004</v>
      </c>
    </row>
    <row r="3058" spans="1:2" x14ac:dyDescent="0.2">
      <c r="A3058" s="175">
        <v>42465</v>
      </c>
      <c r="B3058" s="176">
        <v>0.54</v>
      </c>
    </row>
    <row r="3059" spans="1:2" x14ac:dyDescent="0.2">
      <c r="A3059" s="175">
        <v>42466</v>
      </c>
      <c r="B3059" s="176">
        <v>0.56999999999999995</v>
      </c>
    </row>
    <row r="3060" spans="1:2" x14ac:dyDescent="0.2">
      <c r="A3060" s="175">
        <v>42467</v>
      </c>
      <c r="B3060" s="176">
        <v>0.53</v>
      </c>
    </row>
    <row r="3061" spans="1:2" x14ac:dyDescent="0.2">
      <c r="A3061" s="175">
        <v>42468</v>
      </c>
      <c r="B3061" s="176">
        <v>0.55000000000000004</v>
      </c>
    </row>
    <row r="3062" spans="1:2" x14ac:dyDescent="0.2">
      <c r="A3062" s="175">
        <v>42471</v>
      </c>
      <c r="B3062" s="176">
        <v>0.59</v>
      </c>
    </row>
    <row r="3063" spans="1:2" x14ac:dyDescent="0.2">
      <c r="A3063" s="175">
        <v>42472</v>
      </c>
      <c r="B3063" s="176">
        <v>0.63</v>
      </c>
    </row>
    <row r="3064" spans="1:2" x14ac:dyDescent="0.2">
      <c r="A3064" s="175">
        <v>42473</v>
      </c>
      <c r="B3064" s="176">
        <v>0.62</v>
      </c>
    </row>
    <row r="3065" spans="1:2" x14ac:dyDescent="0.2">
      <c r="A3065" s="175">
        <v>42474</v>
      </c>
      <c r="B3065" s="176">
        <v>0.64</v>
      </c>
    </row>
    <row r="3066" spans="1:2" x14ac:dyDescent="0.2">
      <c r="A3066" s="175">
        <v>42475</v>
      </c>
      <c r="B3066" s="176">
        <v>0.6</v>
      </c>
    </row>
    <row r="3067" spans="1:2" x14ac:dyDescent="0.2">
      <c r="A3067" s="175">
        <v>42478</v>
      </c>
      <c r="B3067" s="176">
        <v>0.59</v>
      </c>
    </row>
    <row r="3068" spans="1:2" x14ac:dyDescent="0.2">
      <c r="A3068" s="175">
        <v>42479</v>
      </c>
      <c r="B3068" s="176">
        <v>0.57999999999999996</v>
      </c>
    </row>
    <row r="3069" spans="1:2" x14ac:dyDescent="0.2">
      <c r="A3069" s="175">
        <v>42480</v>
      </c>
      <c r="B3069" s="176">
        <v>0.64</v>
      </c>
    </row>
    <row r="3070" spans="1:2" x14ac:dyDescent="0.2">
      <c r="A3070" s="175">
        <v>42481</v>
      </c>
      <c r="B3070" s="176">
        <v>0.66</v>
      </c>
    </row>
    <row r="3071" spans="1:2" x14ac:dyDescent="0.2">
      <c r="A3071" s="175">
        <v>42482</v>
      </c>
      <c r="B3071" s="176">
        <v>0.67</v>
      </c>
    </row>
    <row r="3072" spans="1:2" x14ac:dyDescent="0.2">
      <c r="A3072" s="175">
        <v>42485</v>
      </c>
      <c r="B3072" s="176">
        <v>0.68</v>
      </c>
    </row>
    <row r="3073" spans="1:2" x14ac:dyDescent="0.2">
      <c r="A3073" s="175">
        <v>42486</v>
      </c>
      <c r="B3073" s="176">
        <v>0.7</v>
      </c>
    </row>
    <row r="3074" spans="1:2" x14ac:dyDescent="0.2">
      <c r="A3074" s="175">
        <v>42487</v>
      </c>
      <c r="B3074" s="176">
        <v>0.64</v>
      </c>
    </row>
    <row r="3075" spans="1:2" x14ac:dyDescent="0.2">
      <c r="A3075" s="175">
        <v>42488</v>
      </c>
      <c r="B3075" s="176">
        <v>0.57999999999999996</v>
      </c>
    </row>
    <row r="3076" spans="1:2" x14ac:dyDescent="0.2">
      <c r="A3076" s="175">
        <v>42489</v>
      </c>
      <c r="B3076" s="176">
        <v>0.56000000000000005</v>
      </c>
    </row>
    <row r="3077" spans="1:2" x14ac:dyDescent="0.2">
      <c r="A3077" s="175">
        <v>42492</v>
      </c>
      <c r="B3077" s="176">
        <v>0.63</v>
      </c>
    </row>
    <row r="3078" spans="1:2" x14ac:dyDescent="0.2">
      <c r="A3078" s="175">
        <v>42493</v>
      </c>
      <c r="B3078" s="176">
        <v>0.61</v>
      </c>
    </row>
    <row r="3079" spans="1:2" x14ac:dyDescent="0.2">
      <c r="A3079" s="175">
        <v>42494</v>
      </c>
      <c r="B3079" s="176">
        <v>0.61</v>
      </c>
    </row>
    <row r="3080" spans="1:2" x14ac:dyDescent="0.2">
      <c r="A3080" s="175">
        <v>42495</v>
      </c>
      <c r="B3080" s="176">
        <v>0.57999999999999996</v>
      </c>
    </row>
    <row r="3081" spans="1:2" x14ac:dyDescent="0.2">
      <c r="A3081" s="175">
        <v>42496</v>
      </c>
      <c r="B3081" s="176">
        <v>0.62</v>
      </c>
    </row>
    <row r="3082" spans="1:2" x14ac:dyDescent="0.2">
      <c r="A3082" s="175">
        <v>42499</v>
      </c>
      <c r="B3082" s="176">
        <v>0.62</v>
      </c>
    </row>
    <row r="3083" spans="1:2" x14ac:dyDescent="0.2">
      <c r="A3083" s="175">
        <v>42500</v>
      </c>
      <c r="B3083" s="176">
        <v>0.57999999999999996</v>
      </c>
    </row>
    <row r="3084" spans="1:2" x14ac:dyDescent="0.2">
      <c r="A3084" s="175">
        <v>42501</v>
      </c>
      <c r="B3084" s="176">
        <v>0.56999999999999995</v>
      </c>
    </row>
    <row r="3085" spans="1:2" x14ac:dyDescent="0.2">
      <c r="A3085" s="175">
        <v>42502</v>
      </c>
      <c r="B3085" s="176">
        <v>0.59</v>
      </c>
    </row>
    <row r="3086" spans="1:2" x14ac:dyDescent="0.2">
      <c r="A3086" s="175">
        <v>42503</v>
      </c>
      <c r="B3086" s="176">
        <v>0.55000000000000004</v>
      </c>
    </row>
    <row r="3087" spans="1:2" x14ac:dyDescent="0.2">
      <c r="A3087" s="175">
        <v>42506</v>
      </c>
      <c r="B3087" s="176">
        <v>0.59</v>
      </c>
    </row>
    <row r="3088" spans="1:2" x14ac:dyDescent="0.2">
      <c r="A3088" s="175">
        <v>42507</v>
      </c>
      <c r="B3088" s="176">
        <v>0.56999999999999995</v>
      </c>
    </row>
    <row r="3089" spans="1:2" x14ac:dyDescent="0.2">
      <c r="A3089" s="175">
        <v>42508</v>
      </c>
      <c r="B3089" s="176">
        <v>0.7</v>
      </c>
    </row>
    <row r="3090" spans="1:2" x14ac:dyDescent="0.2">
      <c r="A3090" s="175">
        <v>42509</v>
      </c>
      <c r="B3090" s="176">
        <v>0.69</v>
      </c>
    </row>
    <row r="3091" spans="1:2" x14ac:dyDescent="0.2">
      <c r="A3091" s="175">
        <v>42510</v>
      </c>
      <c r="B3091" s="176">
        <v>0.7</v>
      </c>
    </row>
    <row r="3092" spans="1:2" x14ac:dyDescent="0.2">
      <c r="A3092" s="175">
        <v>42513</v>
      </c>
      <c r="B3092" s="176">
        <v>0.75</v>
      </c>
    </row>
    <row r="3093" spans="1:2" x14ac:dyDescent="0.2">
      <c r="A3093" s="175">
        <v>42514</v>
      </c>
      <c r="B3093" s="176">
        <v>0.76</v>
      </c>
    </row>
    <row r="3094" spans="1:2" x14ac:dyDescent="0.2">
      <c r="A3094" s="175">
        <v>42515</v>
      </c>
      <c r="B3094" s="176">
        <v>0.71</v>
      </c>
    </row>
    <row r="3095" spans="1:2" x14ac:dyDescent="0.2">
      <c r="A3095" s="175">
        <v>42516</v>
      </c>
      <c r="B3095" s="176">
        <v>0.66</v>
      </c>
    </row>
    <row r="3096" spans="1:2" x14ac:dyDescent="0.2">
      <c r="A3096" s="175">
        <v>42517</v>
      </c>
      <c r="B3096" s="176">
        <v>0.68</v>
      </c>
    </row>
    <row r="3097" spans="1:2" x14ac:dyDescent="0.2">
      <c r="A3097" s="175">
        <v>42520</v>
      </c>
      <c r="B3097" s="176" t="e">
        <f>NA()</f>
        <v>#N/A</v>
      </c>
    </row>
    <row r="3098" spans="1:2" x14ac:dyDescent="0.2">
      <c r="A3098" s="175">
        <v>42521</v>
      </c>
      <c r="B3098" s="176">
        <v>0.74</v>
      </c>
    </row>
    <row r="3099" spans="1:2" x14ac:dyDescent="0.2">
      <c r="A3099" s="175">
        <v>42522</v>
      </c>
      <c r="B3099" s="176">
        <v>0.74</v>
      </c>
    </row>
    <row r="3100" spans="1:2" x14ac:dyDescent="0.2">
      <c r="A3100" s="175">
        <v>42523</v>
      </c>
      <c r="B3100" s="176">
        <v>0.73</v>
      </c>
    </row>
    <row r="3101" spans="1:2" x14ac:dyDescent="0.2">
      <c r="A3101" s="175">
        <v>42524</v>
      </c>
      <c r="B3101" s="177">
        <v>0.66</v>
      </c>
    </row>
    <row r="3102" spans="1:2" x14ac:dyDescent="0.2">
      <c r="A3102" s="175">
        <v>42527</v>
      </c>
      <c r="B3102" s="176">
        <v>0.66</v>
      </c>
    </row>
    <row r="3103" spans="1:2" x14ac:dyDescent="0.2">
      <c r="A3103" s="175">
        <v>42528</v>
      </c>
      <c r="B3103" s="176">
        <v>0.61</v>
      </c>
    </row>
    <row r="3104" spans="1:2" x14ac:dyDescent="0.2">
      <c r="A3104" s="175">
        <v>42529</v>
      </c>
      <c r="B3104" s="176">
        <v>0.57999999999999996</v>
      </c>
    </row>
    <row r="3105" spans="1:2" x14ac:dyDescent="0.2">
      <c r="A3105" s="175">
        <v>42530</v>
      </c>
      <c r="B3105" s="176">
        <v>0.57999999999999996</v>
      </c>
    </row>
    <row r="3106" spans="1:2" x14ac:dyDescent="0.2">
      <c r="A3106" s="175">
        <v>42531</v>
      </c>
      <c r="B3106" s="176">
        <v>0.59</v>
      </c>
    </row>
    <row r="3107" spans="1:2" x14ac:dyDescent="0.2">
      <c r="A3107" s="175">
        <v>42534</v>
      </c>
      <c r="B3107" s="176">
        <v>0.62</v>
      </c>
    </row>
    <row r="3108" spans="1:2" x14ac:dyDescent="0.2">
      <c r="A3108" s="175">
        <v>42535</v>
      </c>
      <c r="B3108" s="176">
        <v>0.63</v>
      </c>
    </row>
    <row r="3109" spans="1:2" x14ac:dyDescent="0.2">
      <c r="A3109" s="175">
        <v>42536</v>
      </c>
      <c r="B3109" s="176">
        <v>0.59</v>
      </c>
    </row>
    <row r="3110" spans="1:2" x14ac:dyDescent="0.2">
      <c r="A3110" s="175">
        <v>42537</v>
      </c>
      <c r="B3110" s="176">
        <v>0.61</v>
      </c>
    </row>
    <row r="3111" spans="1:2" x14ac:dyDescent="0.2">
      <c r="A3111" s="175">
        <v>42538</v>
      </c>
      <c r="B3111" s="176">
        <v>0.64</v>
      </c>
    </row>
    <row r="3112" spans="1:2" x14ac:dyDescent="0.2">
      <c r="A3112" s="175">
        <v>42541</v>
      </c>
      <c r="B3112" s="176">
        <v>0.69</v>
      </c>
    </row>
    <row r="3113" spans="1:2" x14ac:dyDescent="0.2">
      <c r="A3113" s="175">
        <v>42542</v>
      </c>
      <c r="B3113" s="176">
        <v>0.72</v>
      </c>
    </row>
    <row r="3114" spans="1:2" x14ac:dyDescent="0.2">
      <c r="A3114" s="175">
        <v>42543</v>
      </c>
      <c r="B3114" s="176">
        <v>0.7</v>
      </c>
    </row>
    <row r="3115" spans="1:2" x14ac:dyDescent="0.2">
      <c r="A3115" s="175">
        <v>42544</v>
      </c>
      <c r="B3115" s="176">
        <v>0.69</v>
      </c>
    </row>
    <row r="3116" spans="1:2" x14ac:dyDescent="0.2">
      <c r="A3116" s="175">
        <v>42545</v>
      </c>
      <c r="B3116" s="176">
        <v>0.62</v>
      </c>
    </row>
    <row r="3117" spans="1:2" x14ac:dyDescent="0.2">
      <c r="A3117" s="175">
        <v>42548</v>
      </c>
      <c r="B3117" s="176">
        <v>0.54</v>
      </c>
    </row>
    <row r="3118" spans="1:2" x14ac:dyDescent="0.2">
      <c r="A3118" s="175">
        <v>42549</v>
      </c>
      <c r="B3118" s="176">
        <v>0.49</v>
      </c>
    </row>
    <row r="3119" spans="1:2" x14ac:dyDescent="0.2">
      <c r="A3119" s="175">
        <v>42550</v>
      </c>
      <c r="B3119" s="176">
        <v>0.53</v>
      </c>
    </row>
    <row r="3120" spans="1:2" x14ac:dyDescent="0.2">
      <c r="A3120" s="175">
        <v>42551</v>
      </c>
      <c r="B3120" s="176">
        <v>0.53</v>
      </c>
    </row>
    <row r="3121" spans="1:2" x14ac:dyDescent="0.2">
      <c r="A3121" s="175">
        <v>42552</v>
      </c>
      <c r="B3121" s="176">
        <v>0.43</v>
      </c>
    </row>
    <row r="3122" spans="1:2" x14ac:dyDescent="0.2">
      <c r="A3122" s="175">
        <v>42555</v>
      </c>
      <c r="B3122" s="176" t="e">
        <f>NA()</f>
        <v>#N/A</v>
      </c>
    </row>
    <row r="3123" spans="1:2" x14ac:dyDescent="0.2">
      <c r="A3123" s="175">
        <v>42556</v>
      </c>
      <c r="B3123" s="176">
        <v>0.37</v>
      </c>
    </row>
    <row r="3124" spans="1:2" x14ac:dyDescent="0.2">
      <c r="A3124" s="175">
        <v>42557</v>
      </c>
      <c r="B3124" s="176">
        <v>0.35</v>
      </c>
    </row>
    <row r="3125" spans="1:2" x14ac:dyDescent="0.2">
      <c r="A3125" s="175">
        <v>42558</v>
      </c>
      <c r="B3125" s="176">
        <v>0.37</v>
      </c>
    </row>
    <row r="3126" spans="1:2" x14ac:dyDescent="0.2">
      <c r="A3126" s="175">
        <v>42559</v>
      </c>
      <c r="B3126" s="177">
        <v>0.33</v>
      </c>
    </row>
    <row r="3127" spans="1:2" x14ac:dyDescent="0.2">
      <c r="A3127" s="175">
        <v>42562</v>
      </c>
      <c r="B3127" s="176">
        <v>0.39</v>
      </c>
    </row>
    <row r="3128" spans="1:2" x14ac:dyDescent="0.2">
      <c r="A3128" s="175">
        <v>42563</v>
      </c>
      <c r="B3128" s="176">
        <v>0.46</v>
      </c>
    </row>
    <row r="3129" spans="1:2" x14ac:dyDescent="0.2">
      <c r="A3129" s="175">
        <v>42564</v>
      </c>
      <c r="B3129" s="176">
        <v>0.4</v>
      </c>
    </row>
    <row r="3130" spans="1:2" x14ac:dyDescent="0.2">
      <c r="A3130" s="175">
        <v>42565</v>
      </c>
      <c r="B3130" s="176">
        <v>0.49</v>
      </c>
    </row>
    <row r="3131" spans="1:2" x14ac:dyDescent="0.2">
      <c r="A3131" s="175">
        <v>42566</v>
      </c>
      <c r="B3131" s="176">
        <v>0.48</v>
      </c>
    </row>
    <row r="3132" spans="1:2" x14ac:dyDescent="0.2">
      <c r="A3132" s="175">
        <v>42569</v>
      </c>
      <c r="B3132" s="176">
        <v>0.46</v>
      </c>
    </row>
    <row r="3133" spans="1:2" x14ac:dyDescent="0.2">
      <c r="A3133" s="175">
        <v>42570</v>
      </c>
      <c r="B3133" s="176">
        <v>0.54</v>
      </c>
    </row>
    <row r="3134" spans="1:2" x14ac:dyDescent="0.2">
      <c r="A3134" s="175">
        <v>42571</v>
      </c>
      <c r="B3134" s="176">
        <v>0.51</v>
      </c>
    </row>
    <row r="3135" spans="1:2" x14ac:dyDescent="0.2">
      <c r="A3135" s="175">
        <v>42572</v>
      </c>
      <c r="B3135" s="176">
        <v>0.45</v>
      </c>
    </row>
    <row r="3136" spans="1:2" x14ac:dyDescent="0.2">
      <c r="A3136" s="175">
        <v>42573</v>
      </c>
      <c r="B3136" s="176">
        <v>0.47</v>
      </c>
    </row>
    <row r="3137" spans="1:2" x14ac:dyDescent="0.2">
      <c r="A3137" s="175">
        <v>42576</v>
      </c>
      <c r="B3137" s="176">
        <v>0.47</v>
      </c>
    </row>
    <row r="3138" spans="1:2" x14ac:dyDescent="0.2">
      <c r="A3138" s="175">
        <v>42577</v>
      </c>
      <c r="B3138" s="176">
        <v>0.44</v>
      </c>
    </row>
    <row r="3139" spans="1:2" x14ac:dyDescent="0.2">
      <c r="A3139" s="175">
        <v>42578</v>
      </c>
      <c r="B3139" s="176">
        <v>0.38</v>
      </c>
    </row>
    <row r="3140" spans="1:2" x14ac:dyDescent="0.2">
      <c r="A3140" s="175">
        <v>42579</v>
      </c>
      <c r="B3140" s="176">
        <v>0.36</v>
      </c>
    </row>
    <row r="3141" spans="1:2" x14ac:dyDescent="0.2">
      <c r="A3141" s="175">
        <v>42580</v>
      </c>
      <c r="B3141" s="176">
        <v>0.33</v>
      </c>
    </row>
    <row r="3142" spans="1:2" x14ac:dyDescent="0.2">
      <c r="A3142" s="175">
        <v>42583</v>
      </c>
      <c r="B3142" s="176">
        <v>0.42</v>
      </c>
    </row>
    <row r="3143" spans="1:2" x14ac:dyDescent="0.2">
      <c r="A3143" s="175">
        <v>42584</v>
      </c>
      <c r="B3143" s="176">
        <v>0.49</v>
      </c>
    </row>
    <row r="3144" spans="1:2" x14ac:dyDescent="0.2">
      <c r="A3144" s="175">
        <v>42585</v>
      </c>
      <c r="B3144" s="176">
        <v>0.48</v>
      </c>
    </row>
    <row r="3145" spans="1:2" x14ac:dyDescent="0.2">
      <c r="A3145" s="175">
        <v>42586</v>
      </c>
      <c r="B3145" s="176">
        <v>0.42</v>
      </c>
    </row>
    <row r="3146" spans="1:2" x14ac:dyDescent="0.2">
      <c r="A3146" s="175">
        <v>42587</v>
      </c>
      <c r="B3146" s="176">
        <v>0.44</v>
      </c>
    </row>
    <row r="3147" spans="1:2" x14ac:dyDescent="0.2">
      <c r="A3147" s="175">
        <v>42590</v>
      </c>
      <c r="B3147" s="176">
        <v>0.43</v>
      </c>
    </row>
    <row r="3148" spans="1:2" x14ac:dyDescent="0.2">
      <c r="A3148" s="175">
        <v>42591</v>
      </c>
      <c r="B3148" s="176">
        <v>0.41</v>
      </c>
    </row>
    <row r="3149" spans="1:2" x14ac:dyDescent="0.2">
      <c r="A3149" s="175">
        <v>42592</v>
      </c>
      <c r="B3149" s="176">
        <v>0.4</v>
      </c>
    </row>
    <row r="3150" spans="1:2" x14ac:dyDescent="0.2">
      <c r="A3150" s="175">
        <v>42593</v>
      </c>
      <c r="B3150" s="176">
        <v>0.43</v>
      </c>
    </row>
    <row r="3151" spans="1:2" x14ac:dyDescent="0.2">
      <c r="A3151" s="175">
        <v>42594</v>
      </c>
      <c r="B3151" s="176">
        <v>0.41</v>
      </c>
    </row>
    <row r="3152" spans="1:2" x14ac:dyDescent="0.2">
      <c r="A3152" s="175">
        <v>42597</v>
      </c>
      <c r="B3152" s="176">
        <v>0.44</v>
      </c>
    </row>
    <row r="3153" spans="1:2" x14ac:dyDescent="0.2">
      <c r="A3153" s="175">
        <v>42598</v>
      </c>
      <c r="B3153" s="176">
        <v>0.48</v>
      </c>
    </row>
    <row r="3154" spans="1:2" x14ac:dyDescent="0.2">
      <c r="A3154" s="175">
        <v>42599</v>
      </c>
      <c r="B3154" s="176">
        <v>0.45</v>
      </c>
    </row>
    <row r="3155" spans="1:2" x14ac:dyDescent="0.2">
      <c r="A3155" s="175">
        <v>42600</v>
      </c>
      <c r="B3155" s="176">
        <v>0.4</v>
      </c>
    </row>
    <row r="3156" spans="1:2" x14ac:dyDescent="0.2">
      <c r="A3156" s="175">
        <v>42601</v>
      </c>
      <c r="B3156" s="176">
        <v>0.44</v>
      </c>
    </row>
    <row r="3157" spans="1:2" x14ac:dyDescent="0.2">
      <c r="A3157" s="175">
        <v>42604</v>
      </c>
      <c r="B3157" s="176">
        <v>0.41</v>
      </c>
    </row>
    <row r="3158" spans="1:2" x14ac:dyDescent="0.2">
      <c r="A3158" s="175">
        <v>42605</v>
      </c>
      <c r="B3158" s="176">
        <v>0.4</v>
      </c>
    </row>
    <row r="3159" spans="1:2" x14ac:dyDescent="0.2">
      <c r="A3159" s="175">
        <v>42606</v>
      </c>
      <c r="B3159" s="176">
        <v>0.42</v>
      </c>
    </row>
    <row r="3160" spans="1:2" x14ac:dyDescent="0.2">
      <c r="A3160" s="175">
        <v>42607</v>
      </c>
      <c r="B3160" s="176">
        <v>0.43</v>
      </c>
    </row>
    <row r="3161" spans="1:2" x14ac:dyDescent="0.2">
      <c r="A3161" s="175">
        <v>42608</v>
      </c>
      <c r="B3161" s="176">
        <v>0.46</v>
      </c>
    </row>
    <row r="3162" spans="1:2" x14ac:dyDescent="0.2">
      <c r="A3162" s="175">
        <v>42611</v>
      </c>
      <c r="B3162" s="176">
        <v>0.43</v>
      </c>
    </row>
    <row r="3163" spans="1:2" x14ac:dyDescent="0.2">
      <c r="A3163" s="175">
        <v>42612</v>
      </c>
      <c r="B3163" s="176">
        <v>0.42</v>
      </c>
    </row>
    <row r="3164" spans="1:2" x14ac:dyDescent="0.2">
      <c r="A3164" s="175">
        <v>42613</v>
      </c>
      <c r="B3164" s="176">
        <v>0.4</v>
      </c>
    </row>
    <row r="3165" spans="1:2" x14ac:dyDescent="0.2">
      <c r="A3165" s="175">
        <v>42614</v>
      </c>
      <c r="B3165" s="176">
        <v>0.39</v>
      </c>
    </row>
    <row r="3166" spans="1:2" x14ac:dyDescent="0.2">
      <c r="A3166" s="175">
        <v>42615</v>
      </c>
      <c r="B3166" s="176">
        <v>0.42</v>
      </c>
    </row>
    <row r="3167" spans="1:2" x14ac:dyDescent="0.2">
      <c r="A3167" s="175">
        <v>42618</v>
      </c>
      <c r="B3167" s="176" t="e">
        <f>NA()</f>
        <v>#N/A</v>
      </c>
    </row>
    <row r="3168" spans="1:2" x14ac:dyDescent="0.2">
      <c r="A3168" s="175">
        <v>42619</v>
      </c>
      <c r="B3168" s="176">
        <v>0.37</v>
      </c>
    </row>
    <row r="3169" spans="1:2" x14ac:dyDescent="0.2">
      <c r="A3169" s="175">
        <v>42620</v>
      </c>
      <c r="B3169" s="176">
        <v>0.33</v>
      </c>
    </row>
    <row r="3170" spans="1:2" x14ac:dyDescent="0.2">
      <c r="A3170" s="175">
        <v>42621</v>
      </c>
      <c r="B3170" s="176">
        <v>0.43</v>
      </c>
    </row>
    <row r="3171" spans="1:2" x14ac:dyDescent="0.2">
      <c r="A3171" s="175">
        <v>42622</v>
      </c>
      <c r="B3171" s="177">
        <v>0.49</v>
      </c>
    </row>
    <row r="3172" spans="1:2" x14ac:dyDescent="0.2">
      <c r="A3172" s="175">
        <v>42625</v>
      </c>
      <c r="B3172" s="176">
        <v>0.5</v>
      </c>
    </row>
    <row r="3173" spans="1:2" x14ac:dyDescent="0.2">
      <c r="A3173" s="175">
        <v>42626</v>
      </c>
      <c r="B3173" s="176">
        <v>0.59</v>
      </c>
    </row>
    <row r="3174" spans="1:2" x14ac:dyDescent="0.2">
      <c r="A3174" s="175">
        <v>42627</v>
      </c>
      <c r="B3174" s="176">
        <v>0.57999999999999996</v>
      </c>
    </row>
    <row r="3175" spans="1:2" x14ac:dyDescent="0.2">
      <c r="A3175" s="175">
        <v>42628</v>
      </c>
      <c r="B3175" s="176">
        <v>0.61</v>
      </c>
    </row>
    <row r="3176" spans="1:2" x14ac:dyDescent="0.2">
      <c r="A3176" s="175">
        <v>42629</v>
      </c>
      <c r="B3176" s="176">
        <v>0.56999999999999995</v>
      </c>
    </row>
    <row r="3177" spans="1:2" x14ac:dyDescent="0.2">
      <c r="A3177" s="175">
        <v>42632</v>
      </c>
      <c r="B3177" s="176">
        <v>0.56999999999999995</v>
      </c>
    </row>
    <row r="3178" spans="1:2" x14ac:dyDescent="0.2">
      <c r="A3178" s="175">
        <v>42633</v>
      </c>
      <c r="B3178" s="176">
        <v>0.56999999999999995</v>
      </c>
    </row>
    <row r="3179" spans="1:2" x14ac:dyDescent="0.2">
      <c r="A3179" s="175">
        <v>42634</v>
      </c>
      <c r="B3179" s="176">
        <v>0.53</v>
      </c>
    </row>
    <row r="3180" spans="1:2" x14ac:dyDescent="0.2">
      <c r="A3180" s="175">
        <v>42635</v>
      </c>
      <c r="B3180" s="176">
        <v>0.43</v>
      </c>
    </row>
    <row r="3181" spans="1:2" x14ac:dyDescent="0.2">
      <c r="A3181" s="175">
        <v>42636</v>
      </c>
      <c r="B3181" s="176">
        <v>0.41</v>
      </c>
    </row>
    <row r="3182" spans="1:2" x14ac:dyDescent="0.2">
      <c r="A3182" s="175">
        <v>42639</v>
      </c>
      <c r="B3182" s="176">
        <v>0.43</v>
      </c>
    </row>
    <row r="3183" spans="1:2" x14ac:dyDescent="0.2">
      <c r="A3183" s="175">
        <v>42640</v>
      </c>
      <c r="B3183" s="176">
        <v>0.42</v>
      </c>
    </row>
    <row r="3184" spans="1:2" x14ac:dyDescent="0.2">
      <c r="A3184" s="175">
        <v>42641</v>
      </c>
      <c r="B3184" s="176">
        <v>0.38</v>
      </c>
    </row>
    <row r="3185" spans="1:2" x14ac:dyDescent="0.2">
      <c r="A3185" s="175">
        <v>42642</v>
      </c>
      <c r="B3185" s="176">
        <v>0.43</v>
      </c>
    </row>
    <row r="3186" spans="1:2" x14ac:dyDescent="0.2">
      <c r="A3186" s="175">
        <v>42643</v>
      </c>
      <c r="B3186" s="176">
        <v>0.38</v>
      </c>
    </row>
    <row r="3187" spans="1:2" x14ac:dyDescent="0.2">
      <c r="A3187" s="175">
        <v>42646</v>
      </c>
      <c r="B3187" s="176">
        <v>0.37</v>
      </c>
    </row>
    <row r="3188" spans="1:2" x14ac:dyDescent="0.2">
      <c r="A3188" s="175">
        <v>42647</v>
      </c>
      <c r="B3188" s="176">
        <v>0.44</v>
      </c>
    </row>
    <row r="3189" spans="1:2" x14ac:dyDescent="0.2">
      <c r="A3189" s="175">
        <v>42648</v>
      </c>
      <c r="B3189" s="176">
        <v>0.48</v>
      </c>
    </row>
    <row r="3190" spans="1:2" x14ac:dyDescent="0.2">
      <c r="A3190" s="175">
        <v>42649</v>
      </c>
      <c r="B3190" s="176">
        <v>0.48</v>
      </c>
    </row>
    <row r="3191" spans="1:2" x14ac:dyDescent="0.2">
      <c r="A3191" s="175">
        <v>42650</v>
      </c>
      <c r="B3191" s="176">
        <v>0.47</v>
      </c>
    </row>
    <row r="3192" spans="1:2" x14ac:dyDescent="0.2">
      <c r="A3192" s="175">
        <v>42653</v>
      </c>
      <c r="B3192" s="176" t="e">
        <f>NA()</f>
        <v>#N/A</v>
      </c>
    </row>
    <row r="3193" spans="1:2" x14ac:dyDescent="0.2">
      <c r="A3193" s="175">
        <v>42654</v>
      </c>
      <c r="B3193" s="176">
        <v>0.51</v>
      </c>
    </row>
    <row r="3194" spans="1:2" x14ac:dyDescent="0.2">
      <c r="A3194" s="175">
        <v>42655</v>
      </c>
      <c r="B3194" s="176">
        <v>0.53</v>
      </c>
    </row>
    <row r="3195" spans="1:2" x14ac:dyDescent="0.2">
      <c r="A3195" s="175">
        <v>42656</v>
      </c>
      <c r="B3195" s="176">
        <v>0.51</v>
      </c>
    </row>
    <row r="3196" spans="1:2" x14ac:dyDescent="0.2">
      <c r="A3196" s="175">
        <v>42657</v>
      </c>
      <c r="B3196" s="177">
        <v>0.53</v>
      </c>
    </row>
    <row r="3197" spans="1:2" x14ac:dyDescent="0.2">
      <c r="A3197" s="175">
        <v>42660</v>
      </c>
      <c r="B3197" s="176">
        <v>0.49</v>
      </c>
    </row>
    <row r="3198" spans="1:2" x14ac:dyDescent="0.2">
      <c r="A3198" s="175">
        <v>42661</v>
      </c>
      <c r="B3198" s="176">
        <v>0.49</v>
      </c>
    </row>
    <row r="3199" spans="1:2" x14ac:dyDescent="0.2">
      <c r="A3199" s="175">
        <v>42662</v>
      </c>
      <c r="B3199" s="176">
        <v>0.49</v>
      </c>
    </row>
    <row r="3200" spans="1:2" x14ac:dyDescent="0.2">
      <c r="A3200" s="175">
        <v>42663</v>
      </c>
      <c r="B3200" s="176">
        <v>0.48</v>
      </c>
    </row>
    <row r="3201" spans="1:2" x14ac:dyDescent="0.2">
      <c r="A3201" s="175">
        <v>42664</v>
      </c>
      <c r="B3201" s="176">
        <v>0.46</v>
      </c>
    </row>
    <row r="3202" spans="1:2" x14ac:dyDescent="0.2">
      <c r="A3202" s="175">
        <v>42667</v>
      </c>
      <c r="B3202" s="176">
        <v>0.49</v>
      </c>
    </row>
    <row r="3203" spans="1:2" x14ac:dyDescent="0.2">
      <c r="A3203" s="175">
        <v>42668</v>
      </c>
      <c r="B3203" s="176">
        <v>0.46</v>
      </c>
    </row>
    <row r="3204" spans="1:2" x14ac:dyDescent="0.2">
      <c r="A3204" s="175">
        <v>42669</v>
      </c>
      <c r="B3204" s="176">
        <v>0.47</v>
      </c>
    </row>
    <row r="3205" spans="1:2" x14ac:dyDescent="0.2">
      <c r="A3205" s="175">
        <v>42670</v>
      </c>
      <c r="B3205" s="176">
        <v>0.52</v>
      </c>
    </row>
    <row r="3206" spans="1:2" x14ac:dyDescent="0.2">
      <c r="A3206" s="175">
        <v>42671</v>
      </c>
      <c r="B3206" s="176">
        <v>0.55000000000000004</v>
      </c>
    </row>
    <row r="3207" spans="1:2" x14ac:dyDescent="0.2">
      <c r="A3207" s="175">
        <v>42674</v>
      </c>
      <c r="B3207" s="176">
        <v>0.51</v>
      </c>
    </row>
    <row r="3208" spans="1:2" x14ac:dyDescent="0.2">
      <c r="A3208" s="175">
        <v>42675</v>
      </c>
      <c r="B3208" s="176">
        <v>0.51</v>
      </c>
    </row>
    <row r="3209" spans="1:2" x14ac:dyDescent="0.2">
      <c r="A3209" s="175">
        <v>42676</v>
      </c>
      <c r="B3209" s="176">
        <v>0.51</v>
      </c>
    </row>
    <row r="3210" spans="1:2" x14ac:dyDescent="0.2">
      <c r="A3210" s="175">
        <v>42677</v>
      </c>
      <c r="B3210" s="176">
        <v>0.56000000000000005</v>
      </c>
    </row>
    <row r="3211" spans="1:2" x14ac:dyDescent="0.2">
      <c r="A3211" s="175">
        <v>42678</v>
      </c>
      <c r="B3211" s="176">
        <v>0.54</v>
      </c>
    </row>
    <row r="3212" spans="1:2" x14ac:dyDescent="0.2">
      <c r="A3212" s="175">
        <v>42681</v>
      </c>
      <c r="B3212" s="176">
        <v>0.51</v>
      </c>
    </row>
    <row r="3213" spans="1:2" x14ac:dyDescent="0.2">
      <c r="A3213" s="175">
        <v>42682</v>
      </c>
      <c r="B3213" s="176">
        <v>0.54</v>
      </c>
    </row>
    <row r="3214" spans="1:2" x14ac:dyDescent="0.2">
      <c r="A3214" s="175">
        <v>42683</v>
      </c>
      <c r="B3214" s="176">
        <v>0.69</v>
      </c>
    </row>
    <row r="3215" spans="1:2" x14ac:dyDescent="0.2">
      <c r="A3215" s="175">
        <v>42684</v>
      </c>
      <c r="B3215" s="176">
        <v>0.7</v>
      </c>
    </row>
    <row r="3216" spans="1:2" x14ac:dyDescent="0.2">
      <c r="A3216" s="175">
        <v>42685</v>
      </c>
      <c r="B3216" s="176" t="e">
        <f>NA()</f>
        <v>#N/A</v>
      </c>
    </row>
    <row r="3217" spans="1:2" x14ac:dyDescent="0.2">
      <c r="A3217" s="175">
        <v>42688</v>
      </c>
      <c r="B3217" s="176">
        <v>0.79</v>
      </c>
    </row>
    <row r="3218" spans="1:2" x14ac:dyDescent="0.2">
      <c r="A3218" s="175">
        <v>42689</v>
      </c>
      <c r="B3218" s="176">
        <v>0.79</v>
      </c>
    </row>
    <row r="3219" spans="1:2" x14ac:dyDescent="0.2">
      <c r="A3219" s="175">
        <v>42690</v>
      </c>
      <c r="B3219" s="176">
        <v>0.75</v>
      </c>
    </row>
    <row r="3220" spans="1:2" x14ac:dyDescent="0.2">
      <c r="A3220" s="175">
        <v>42691</v>
      </c>
      <c r="B3220" s="177">
        <v>0.8</v>
      </c>
    </row>
    <row r="3221" spans="1:2" x14ac:dyDescent="0.2">
      <c r="A3221" s="175">
        <v>42692</v>
      </c>
      <c r="B3221" s="176">
        <v>0.79</v>
      </c>
    </row>
    <row r="3222" spans="1:2" x14ac:dyDescent="0.2">
      <c r="A3222" s="175">
        <v>42695</v>
      </c>
      <c r="B3222" s="176">
        <v>0.75</v>
      </c>
    </row>
    <row r="3223" spans="1:2" x14ac:dyDescent="0.2">
      <c r="A3223" s="175">
        <v>42696</v>
      </c>
      <c r="B3223" s="176">
        <v>0.76</v>
      </c>
    </row>
    <row r="3224" spans="1:2" x14ac:dyDescent="0.2">
      <c r="A3224" s="175">
        <v>42697</v>
      </c>
      <c r="B3224" s="176">
        <v>0.77</v>
      </c>
    </row>
    <row r="3225" spans="1:2" x14ac:dyDescent="0.2">
      <c r="A3225" s="175">
        <v>42698</v>
      </c>
      <c r="B3225" s="176" t="e">
        <f>NA()</f>
        <v>#N/A</v>
      </c>
    </row>
    <row r="3226" spans="1:2" x14ac:dyDescent="0.2">
      <c r="A3226" s="175">
        <v>42699</v>
      </c>
      <c r="B3226" s="176">
        <v>0.8</v>
      </c>
    </row>
    <row r="3227" spans="1:2" x14ac:dyDescent="0.2">
      <c r="A3227" s="175">
        <v>42702</v>
      </c>
      <c r="B3227" s="176">
        <v>0.8</v>
      </c>
    </row>
    <row r="3228" spans="1:2" x14ac:dyDescent="0.2">
      <c r="A3228" s="175">
        <v>42703</v>
      </c>
      <c r="B3228" s="176">
        <v>0.76</v>
      </c>
    </row>
    <row r="3229" spans="1:2" x14ac:dyDescent="0.2">
      <c r="A3229" s="175">
        <v>42704</v>
      </c>
      <c r="B3229" s="177">
        <v>0.75</v>
      </c>
    </row>
    <row r="3230" spans="1:2" x14ac:dyDescent="0.2">
      <c r="A3230" s="175">
        <v>42705</v>
      </c>
      <c r="B3230" s="176">
        <v>0.81</v>
      </c>
    </row>
    <row r="3231" spans="1:2" x14ac:dyDescent="0.2">
      <c r="A3231" s="175">
        <v>42706</v>
      </c>
      <c r="B3231" s="176">
        <v>0.82</v>
      </c>
    </row>
    <row r="3232" spans="1:2" x14ac:dyDescent="0.2">
      <c r="A3232" s="175">
        <v>42709</v>
      </c>
      <c r="B3232" s="176">
        <v>0.78</v>
      </c>
    </row>
    <row r="3233" spans="1:2" x14ac:dyDescent="0.2">
      <c r="A3233" s="175">
        <v>42710</v>
      </c>
      <c r="B3233" s="176">
        <v>0.79</v>
      </c>
    </row>
    <row r="3234" spans="1:2" x14ac:dyDescent="0.2">
      <c r="A3234" s="175">
        <v>42711</v>
      </c>
      <c r="B3234" s="176">
        <v>0.76</v>
      </c>
    </row>
    <row r="3235" spans="1:2" x14ac:dyDescent="0.2">
      <c r="A3235" s="175">
        <v>42712</v>
      </c>
      <c r="B3235" s="176">
        <v>0.82</v>
      </c>
    </row>
    <row r="3236" spans="1:2" x14ac:dyDescent="0.2">
      <c r="A3236" s="175">
        <v>42713</v>
      </c>
      <c r="B3236" s="176">
        <v>0.88</v>
      </c>
    </row>
    <row r="3237" spans="1:2" x14ac:dyDescent="0.2">
      <c r="A3237" s="175">
        <v>42716</v>
      </c>
      <c r="B3237" s="176">
        <v>0.89</v>
      </c>
    </row>
    <row r="3238" spans="1:2" x14ac:dyDescent="0.2">
      <c r="A3238" s="175">
        <v>42717</v>
      </c>
      <c r="B3238" s="176">
        <v>0.98</v>
      </c>
    </row>
    <row r="3239" spans="1:2" x14ac:dyDescent="0.2">
      <c r="A3239" s="175">
        <v>42718</v>
      </c>
      <c r="B3239" s="176">
        <v>0.92</v>
      </c>
    </row>
    <row r="3240" spans="1:2" x14ac:dyDescent="0.2">
      <c r="A3240" s="175">
        <v>42719</v>
      </c>
      <c r="B3240" s="176">
        <v>1</v>
      </c>
    </row>
    <row r="3241" spans="1:2" x14ac:dyDescent="0.2">
      <c r="A3241" s="175">
        <v>42720</v>
      </c>
      <c r="B3241" s="176">
        <v>1.05</v>
      </c>
    </row>
    <row r="3242" spans="1:2" x14ac:dyDescent="0.2">
      <c r="A3242" s="175">
        <v>42723</v>
      </c>
      <c r="B3242" s="176">
        <v>0.98</v>
      </c>
    </row>
    <row r="3243" spans="1:2" x14ac:dyDescent="0.2">
      <c r="A3243" s="175">
        <v>42724</v>
      </c>
      <c r="B3243" s="176">
        <v>0.98</v>
      </c>
    </row>
    <row r="3244" spans="1:2" x14ac:dyDescent="0.2">
      <c r="A3244" s="175">
        <v>42725</v>
      </c>
      <c r="B3244" s="176">
        <v>0.93</v>
      </c>
    </row>
    <row r="3245" spans="1:2" x14ac:dyDescent="0.2">
      <c r="A3245" s="175">
        <v>42726</v>
      </c>
      <c r="B3245" s="176">
        <v>0.91</v>
      </c>
    </row>
    <row r="3246" spans="1:2" x14ac:dyDescent="0.2">
      <c r="A3246" s="175">
        <v>42727</v>
      </c>
      <c r="B3246" s="176">
        <v>0.87</v>
      </c>
    </row>
    <row r="3247" spans="1:2" x14ac:dyDescent="0.2">
      <c r="A3247" s="175">
        <v>42730</v>
      </c>
      <c r="B3247" s="176" t="e">
        <f>NA()</f>
        <v>#N/A</v>
      </c>
    </row>
    <row r="3248" spans="1:2" x14ac:dyDescent="0.2">
      <c r="A3248" s="175">
        <v>42731</v>
      </c>
      <c r="B3248" s="176">
        <v>0.89</v>
      </c>
    </row>
    <row r="3249" spans="1:2" x14ac:dyDescent="0.2">
      <c r="A3249" s="175">
        <v>42732</v>
      </c>
      <c r="B3249" s="176">
        <v>0.86</v>
      </c>
    </row>
    <row r="3250" spans="1:2" x14ac:dyDescent="0.2">
      <c r="A3250" s="175">
        <v>42733</v>
      </c>
      <c r="B3250" s="176">
        <v>0.86</v>
      </c>
    </row>
    <row r="3251" spans="1:2" x14ac:dyDescent="0.2">
      <c r="A3251" s="175">
        <v>42734</v>
      </c>
      <c r="B3251" s="177">
        <v>0.82</v>
      </c>
    </row>
    <row r="3252" spans="1:2" x14ac:dyDescent="0.2">
      <c r="A3252" s="175">
        <v>42737</v>
      </c>
      <c r="B3252" s="176" t="e">
        <f>NA()</f>
        <v>#N/A</v>
      </c>
    </row>
    <row r="3253" spans="1:2" x14ac:dyDescent="0.2">
      <c r="A3253" s="175">
        <v>42738</v>
      </c>
      <c r="B3253" s="176">
        <v>0.78</v>
      </c>
    </row>
    <row r="3254" spans="1:2" x14ac:dyDescent="0.2">
      <c r="A3254" s="175">
        <v>42739</v>
      </c>
      <c r="B3254" s="176">
        <v>0.78</v>
      </c>
    </row>
    <row r="3255" spans="1:2" x14ac:dyDescent="0.2">
      <c r="A3255" s="175">
        <v>42740</v>
      </c>
      <c r="B3255" s="176">
        <v>0.73</v>
      </c>
    </row>
    <row r="3256" spans="1:2" x14ac:dyDescent="0.2">
      <c r="A3256" s="175">
        <v>42741</v>
      </c>
      <c r="B3256" s="177">
        <v>0.76</v>
      </c>
    </row>
    <row r="3257" spans="1:2" x14ac:dyDescent="0.2">
      <c r="A3257" s="175">
        <v>42744</v>
      </c>
      <c r="B3257" s="176">
        <v>0.74</v>
      </c>
    </row>
    <row r="3258" spans="1:2" x14ac:dyDescent="0.2">
      <c r="A3258" s="175">
        <v>42745</v>
      </c>
      <c r="B3258" s="176">
        <v>0.74</v>
      </c>
    </row>
    <row r="3259" spans="1:2" x14ac:dyDescent="0.2">
      <c r="A3259" s="175">
        <v>42746</v>
      </c>
      <c r="B3259" s="176">
        <v>0.71</v>
      </c>
    </row>
    <row r="3260" spans="1:2" x14ac:dyDescent="0.2">
      <c r="A3260" s="175">
        <v>42747</v>
      </c>
      <c r="B3260" s="176">
        <v>0.7</v>
      </c>
    </row>
    <row r="3261" spans="1:2" x14ac:dyDescent="0.2">
      <c r="A3261" s="175">
        <v>42748</v>
      </c>
      <c r="B3261" s="176">
        <v>0.72</v>
      </c>
    </row>
    <row r="3262" spans="1:2" x14ac:dyDescent="0.2">
      <c r="A3262" s="175">
        <v>42751</v>
      </c>
      <c r="B3262" s="176" t="e">
        <f>NA()</f>
        <v>#N/A</v>
      </c>
    </row>
    <row r="3263" spans="1:2" x14ac:dyDescent="0.2">
      <c r="A3263" s="175">
        <v>42752</v>
      </c>
      <c r="B3263" s="176">
        <v>0.68</v>
      </c>
    </row>
    <row r="3264" spans="1:2" x14ac:dyDescent="0.2">
      <c r="A3264" s="175">
        <v>42753</v>
      </c>
      <c r="B3264" s="176">
        <v>0.74</v>
      </c>
    </row>
    <row r="3265" spans="1:2" x14ac:dyDescent="0.2">
      <c r="A3265" s="175">
        <v>42754</v>
      </c>
      <c r="B3265" s="176">
        <v>0.75</v>
      </c>
    </row>
    <row r="3266" spans="1:2" x14ac:dyDescent="0.2">
      <c r="A3266" s="175">
        <v>42755</v>
      </c>
      <c r="B3266" s="177">
        <v>0.76</v>
      </c>
    </row>
    <row r="3267" spans="1:2" x14ac:dyDescent="0.2">
      <c r="A3267" s="175">
        <v>42758</v>
      </c>
      <c r="B3267" s="176">
        <v>0.71</v>
      </c>
    </row>
    <row r="3268" spans="1:2" x14ac:dyDescent="0.2">
      <c r="A3268" s="175">
        <v>42759</v>
      </c>
      <c r="B3268" s="176">
        <v>0.75</v>
      </c>
    </row>
    <row r="3269" spans="1:2" x14ac:dyDescent="0.2">
      <c r="A3269" s="175">
        <v>42760</v>
      </c>
      <c r="B3269" s="176">
        <v>0.78</v>
      </c>
    </row>
    <row r="3270" spans="1:2" x14ac:dyDescent="0.2">
      <c r="A3270" s="175">
        <v>42761</v>
      </c>
      <c r="B3270" s="176">
        <v>0.76</v>
      </c>
    </row>
    <row r="3271" spans="1:2" x14ac:dyDescent="0.2">
      <c r="A3271" s="175">
        <v>42762</v>
      </c>
      <c r="B3271" s="176">
        <v>0.74</v>
      </c>
    </row>
    <row r="3272" spans="1:2" x14ac:dyDescent="0.2">
      <c r="A3272" s="175">
        <v>42765</v>
      </c>
      <c r="B3272" s="176">
        <v>0.76</v>
      </c>
    </row>
    <row r="3273" spans="1:2" x14ac:dyDescent="0.2">
      <c r="A3273" s="175">
        <v>42766</v>
      </c>
      <c r="B3273" s="176">
        <v>0.74</v>
      </c>
    </row>
    <row r="3274" spans="1:2" x14ac:dyDescent="0.2">
      <c r="A3274" s="175">
        <v>42767</v>
      </c>
      <c r="B3274" s="176">
        <v>0.77</v>
      </c>
    </row>
    <row r="3275" spans="1:2" x14ac:dyDescent="0.2">
      <c r="A3275" s="175">
        <v>42768</v>
      </c>
      <c r="B3275" s="176">
        <v>0.79</v>
      </c>
    </row>
    <row r="3276" spans="1:2" x14ac:dyDescent="0.2">
      <c r="A3276" s="175">
        <v>42769</v>
      </c>
      <c r="B3276" s="176">
        <v>0.81</v>
      </c>
    </row>
    <row r="3277" spans="1:2" x14ac:dyDescent="0.2">
      <c r="A3277" s="175">
        <v>42772</v>
      </c>
      <c r="B3277" s="176">
        <v>0.78</v>
      </c>
    </row>
    <row r="3278" spans="1:2" x14ac:dyDescent="0.2">
      <c r="A3278" s="175">
        <v>42773</v>
      </c>
      <c r="B3278" s="176">
        <v>0.76</v>
      </c>
    </row>
    <row r="3279" spans="1:2" x14ac:dyDescent="0.2">
      <c r="A3279" s="175">
        <v>42774</v>
      </c>
      <c r="B3279" s="176">
        <v>0.72</v>
      </c>
    </row>
    <row r="3280" spans="1:2" x14ac:dyDescent="0.2">
      <c r="A3280" s="175">
        <v>42775</v>
      </c>
      <c r="B3280" s="176">
        <v>0.75</v>
      </c>
    </row>
    <row r="3281" spans="1:2" x14ac:dyDescent="0.2">
      <c r="A3281" s="175">
        <v>42776</v>
      </c>
      <c r="B3281" s="176">
        <v>0.72</v>
      </c>
    </row>
    <row r="3282" spans="1:2" x14ac:dyDescent="0.2">
      <c r="A3282" s="175">
        <v>42779</v>
      </c>
      <c r="B3282" s="176">
        <v>0.74</v>
      </c>
    </row>
    <row r="3283" spans="1:2" x14ac:dyDescent="0.2">
      <c r="A3283" s="175">
        <v>42780</v>
      </c>
      <c r="B3283" s="176">
        <v>0.77</v>
      </c>
    </row>
    <row r="3284" spans="1:2" x14ac:dyDescent="0.2">
      <c r="A3284" s="175">
        <v>42781</v>
      </c>
      <c r="B3284" s="176">
        <v>0.76</v>
      </c>
    </row>
    <row r="3285" spans="1:2" x14ac:dyDescent="0.2">
      <c r="A3285" s="175">
        <v>42782</v>
      </c>
      <c r="B3285" s="176">
        <v>0.75</v>
      </c>
    </row>
    <row r="3286" spans="1:2" x14ac:dyDescent="0.2">
      <c r="A3286" s="175">
        <v>42783</v>
      </c>
      <c r="B3286" s="176">
        <v>0.72</v>
      </c>
    </row>
    <row r="3287" spans="1:2" x14ac:dyDescent="0.2">
      <c r="A3287" s="175">
        <v>42786</v>
      </c>
      <c r="B3287" s="176" t="e">
        <f>NA()</f>
        <v>#N/A</v>
      </c>
    </row>
    <row r="3288" spans="1:2" x14ac:dyDescent="0.2">
      <c r="A3288" s="175">
        <v>42787</v>
      </c>
      <c r="B3288" s="176">
        <v>0.72</v>
      </c>
    </row>
    <row r="3289" spans="1:2" x14ac:dyDescent="0.2">
      <c r="A3289" s="175">
        <v>42788</v>
      </c>
      <c r="B3289" s="176">
        <v>0.71</v>
      </c>
    </row>
    <row r="3290" spans="1:2" x14ac:dyDescent="0.2">
      <c r="A3290" s="175">
        <v>42789</v>
      </c>
      <c r="B3290" s="176">
        <v>0.69</v>
      </c>
    </row>
    <row r="3291" spans="1:2" x14ac:dyDescent="0.2">
      <c r="A3291" s="175">
        <v>42790</v>
      </c>
      <c r="B3291" s="177">
        <v>0.64</v>
      </c>
    </row>
    <row r="3292" spans="1:2" x14ac:dyDescent="0.2">
      <c r="A3292" s="175">
        <v>42793</v>
      </c>
      <c r="B3292" s="176">
        <v>0.67</v>
      </c>
    </row>
    <row r="3293" spans="1:2" x14ac:dyDescent="0.2">
      <c r="A3293" s="175">
        <v>42794</v>
      </c>
      <c r="B3293" s="176">
        <v>0.66</v>
      </c>
    </row>
    <row r="3294" spans="1:2" x14ac:dyDescent="0.2">
      <c r="A3294" s="175">
        <v>42795</v>
      </c>
      <c r="B3294" s="176">
        <v>0.75</v>
      </c>
    </row>
    <row r="3295" spans="1:2" x14ac:dyDescent="0.2">
      <c r="A3295" s="175">
        <v>42796</v>
      </c>
      <c r="B3295" s="176">
        <v>0.79</v>
      </c>
    </row>
    <row r="3296" spans="1:2" x14ac:dyDescent="0.2">
      <c r="A3296" s="175">
        <v>42797</v>
      </c>
      <c r="B3296" s="176">
        <v>0.77</v>
      </c>
    </row>
    <row r="3297" spans="1:2" x14ac:dyDescent="0.2">
      <c r="A3297" s="175">
        <v>42800</v>
      </c>
      <c r="B3297" s="176">
        <v>0.8</v>
      </c>
    </row>
    <row r="3298" spans="1:2" x14ac:dyDescent="0.2">
      <c r="A3298" s="175">
        <v>42801</v>
      </c>
      <c r="B3298" s="176">
        <v>0.81</v>
      </c>
    </row>
    <row r="3299" spans="1:2" x14ac:dyDescent="0.2">
      <c r="A3299" s="175">
        <v>42802</v>
      </c>
      <c r="B3299" s="176">
        <v>0.87</v>
      </c>
    </row>
    <row r="3300" spans="1:2" x14ac:dyDescent="0.2">
      <c r="A3300" s="175">
        <v>42803</v>
      </c>
      <c r="B3300" s="176">
        <v>0.9</v>
      </c>
    </row>
    <row r="3301" spans="1:2" x14ac:dyDescent="0.2">
      <c r="A3301" s="175">
        <v>42804</v>
      </c>
      <c r="B3301" s="176">
        <v>0.88</v>
      </c>
    </row>
    <row r="3302" spans="1:2" x14ac:dyDescent="0.2">
      <c r="A3302" s="175">
        <v>42807</v>
      </c>
      <c r="B3302" s="176">
        <v>0.9</v>
      </c>
    </row>
    <row r="3303" spans="1:2" x14ac:dyDescent="0.2">
      <c r="A3303" s="175">
        <v>42808</v>
      </c>
      <c r="B3303" s="176">
        <v>0.91</v>
      </c>
    </row>
    <row r="3304" spans="1:2" x14ac:dyDescent="0.2">
      <c r="A3304" s="175">
        <v>42809</v>
      </c>
      <c r="B3304" s="176">
        <v>0.81</v>
      </c>
    </row>
    <row r="3305" spans="1:2" x14ac:dyDescent="0.2">
      <c r="A3305" s="175">
        <v>42810</v>
      </c>
      <c r="B3305" s="176">
        <v>0.82</v>
      </c>
    </row>
    <row r="3306" spans="1:2" x14ac:dyDescent="0.2">
      <c r="A3306" s="175">
        <v>42811</v>
      </c>
      <c r="B3306" s="176">
        <v>0.82</v>
      </c>
    </row>
    <row r="3307" spans="1:2" x14ac:dyDescent="0.2">
      <c r="A3307" s="175">
        <v>42814</v>
      </c>
      <c r="B3307" s="176">
        <v>0.79</v>
      </c>
    </row>
    <row r="3308" spans="1:2" x14ac:dyDescent="0.2">
      <c r="A3308" s="175">
        <v>42815</v>
      </c>
      <c r="B3308" s="176">
        <v>0.78</v>
      </c>
    </row>
    <row r="3309" spans="1:2" x14ac:dyDescent="0.2">
      <c r="A3309" s="175">
        <v>42816</v>
      </c>
      <c r="B3309" s="176">
        <v>0.76</v>
      </c>
    </row>
    <row r="3310" spans="1:2" x14ac:dyDescent="0.2">
      <c r="A3310" s="175">
        <v>42817</v>
      </c>
      <c r="B3310" s="176">
        <v>0.73</v>
      </c>
    </row>
    <row r="3311" spans="1:2" x14ac:dyDescent="0.2">
      <c r="A3311" s="175">
        <v>42818</v>
      </c>
      <c r="B3311" s="176">
        <v>0.68</v>
      </c>
    </row>
    <row r="3312" spans="1:2" x14ac:dyDescent="0.2">
      <c r="A3312" s="175">
        <v>42821</v>
      </c>
      <c r="B3312" s="176">
        <v>0.67</v>
      </c>
    </row>
    <row r="3313" spans="1:2" x14ac:dyDescent="0.2">
      <c r="A3313" s="175">
        <v>42822</v>
      </c>
      <c r="B3313" s="176">
        <v>0.71</v>
      </c>
    </row>
    <row r="3314" spans="1:2" x14ac:dyDescent="0.2">
      <c r="A3314" s="175">
        <v>42823</v>
      </c>
      <c r="B3314" s="176">
        <v>0.72</v>
      </c>
    </row>
    <row r="3315" spans="1:2" x14ac:dyDescent="0.2">
      <c r="A3315" s="175">
        <v>42824</v>
      </c>
      <c r="B3315" s="176">
        <v>0.77</v>
      </c>
    </row>
    <row r="3316" spans="1:2" x14ac:dyDescent="0.2">
      <c r="A3316" s="175">
        <v>42825</v>
      </c>
      <c r="B3316" s="176">
        <v>0.74</v>
      </c>
    </row>
    <row r="3317" spans="1:2" x14ac:dyDescent="0.2">
      <c r="A3317" s="175">
        <v>42828</v>
      </c>
      <c r="B3317" s="176">
        <v>0.67</v>
      </c>
    </row>
    <row r="3318" spans="1:2" x14ac:dyDescent="0.2">
      <c r="A3318" s="175">
        <v>42829</v>
      </c>
      <c r="B3318" s="176">
        <v>0.72</v>
      </c>
    </row>
    <row r="3319" spans="1:2" x14ac:dyDescent="0.2">
      <c r="A3319" s="175">
        <v>42830</v>
      </c>
      <c r="B3319" s="176">
        <v>0.69</v>
      </c>
    </row>
    <row r="3320" spans="1:2" x14ac:dyDescent="0.2">
      <c r="A3320" s="175">
        <v>42831</v>
      </c>
      <c r="B3320" s="176">
        <v>0.67</v>
      </c>
    </row>
    <row r="3321" spans="1:2" x14ac:dyDescent="0.2">
      <c r="A3321" s="175">
        <v>42832</v>
      </c>
      <c r="B3321" s="176">
        <v>0.71</v>
      </c>
    </row>
    <row r="3322" spans="1:2" x14ac:dyDescent="0.2">
      <c r="A3322" s="175">
        <v>42835</v>
      </c>
      <c r="B3322" s="176">
        <v>0.71</v>
      </c>
    </row>
    <row r="3323" spans="1:2" x14ac:dyDescent="0.2">
      <c r="A3323" s="175">
        <v>42836</v>
      </c>
      <c r="B3323" s="176">
        <v>0.72</v>
      </c>
    </row>
    <row r="3324" spans="1:2" x14ac:dyDescent="0.2">
      <c r="A3324" s="175">
        <v>42837</v>
      </c>
      <c r="B3324" s="176">
        <v>0.69</v>
      </c>
    </row>
    <row r="3325" spans="1:2" x14ac:dyDescent="0.2">
      <c r="A3325" s="175">
        <v>42838</v>
      </c>
      <c r="B3325" s="176">
        <v>0.65</v>
      </c>
    </row>
    <row r="3326" spans="1:2" x14ac:dyDescent="0.2">
      <c r="A3326" s="175">
        <v>42839</v>
      </c>
      <c r="B3326" s="176" t="e">
        <f>NA()</f>
        <v>#N/A</v>
      </c>
    </row>
    <row r="3327" spans="1:2" x14ac:dyDescent="0.2">
      <c r="A3327" s="175">
        <v>42842</v>
      </c>
      <c r="B3327" s="176">
        <v>0.7</v>
      </c>
    </row>
    <row r="3328" spans="1:2" x14ac:dyDescent="0.2">
      <c r="A3328" s="175">
        <v>42843</v>
      </c>
      <c r="B3328" s="176">
        <v>0.65</v>
      </c>
    </row>
    <row r="3329" spans="1:2" x14ac:dyDescent="0.2">
      <c r="A3329" s="175">
        <v>42844</v>
      </c>
      <c r="B3329" s="176">
        <v>0.69</v>
      </c>
    </row>
    <row r="3330" spans="1:2" x14ac:dyDescent="0.2">
      <c r="A3330" s="175">
        <v>42845</v>
      </c>
      <c r="B3330" s="177">
        <v>0.79</v>
      </c>
    </row>
    <row r="3331" spans="1:2" x14ac:dyDescent="0.2">
      <c r="A3331" s="175">
        <v>42846</v>
      </c>
      <c r="B3331" s="176">
        <v>0.78</v>
      </c>
    </row>
    <row r="3332" spans="1:2" x14ac:dyDescent="0.2">
      <c r="A3332" s="175">
        <v>42849</v>
      </c>
      <c r="B3332" s="176">
        <v>0.8</v>
      </c>
    </row>
    <row r="3333" spans="1:2" x14ac:dyDescent="0.2">
      <c r="A3333" s="175">
        <v>42850</v>
      </c>
      <c r="B3333" s="176">
        <v>0.8</v>
      </c>
    </row>
    <row r="3334" spans="1:2" x14ac:dyDescent="0.2">
      <c r="A3334" s="175">
        <v>42851</v>
      </c>
      <c r="B3334" s="176">
        <v>0.76</v>
      </c>
    </row>
    <row r="3335" spans="1:2" x14ac:dyDescent="0.2">
      <c r="A3335" s="175">
        <v>42852</v>
      </c>
      <c r="B3335" s="176">
        <v>0.73</v>
      </c>
    </row>
    <row r="3336" spans="1:2" x14ac:dyDescent="0.2">
      <c r="A3336" s="175">
        <v>42853</v>
      </c>
      <c r="B3336" s="176">
        <v>0.71</v>
      </c>
    </row>
    <row r="3337" spans="1:2" x14ac:dyDescent="0.2">
      <c r="A3337" s="175">
        <v>42856</v>
      </c>
      <c r="B3337" s="176">
        <v>0.76</v>
      </c>
    </row>
    <row r="3338" spans="1:2" x14ac:dyDescent="0.2">
      <c r="A3338" s="175">
        <v>42857</v>
      </c>
      <c r="B3338" s="176">
        <v>0.75</v>
      </c>
    </row>
    <row r="3339" spans="1:2" x14ac:dyDescent="0.2">
      <c r="A3339" s="175">
        <v>42858</v>
      </c>
      <c r="B3339" s="176">
        <v>0.79</v>
      </c>
    </row>
    <row r="3340" spans="1:2" x14ac:dyDescent="0.2">
      <c r="A3340" s="175">
        <v>42859</v>
      </c>
      <c r="B3340" s="176">
        <v>0.82</v>
      </c>
    </row>
    <row r="3341" spans="1:2" x14ac:dyDescent="0.2">
      <c r="A3341" s="175">
        <v>42860</v>
      </c>
      <c r="B3341" s="176">
        <v>0.84</v>
      </c>
    </row>
    <row r="3342" spans="1:2" x14ac:dyDescent="0.2">
      <c r="A3342" s="175">
        <v>42863</v>
      </c>
      <c r="B3342" s="176">
        <v>0.86</v>
      </c>
    </row>
    <row r="3343" spans="1:2" x14ac:dyDescent="0.2">
      <c r="A3343" s="175">
        <v>42864</v>
      </c>
      <c r="B3343" s="176">
        <v>0.87</v>
      </c>
    </row>
    <row r="3344" spans="1:2" x14ac:dyDescent="0.2">
      <c r="A3344" s="175">
        <v>42865</v>
      </c>
      <c r="B3344" s="176">
        <v>0.88</v>
      </c>
    </row>
    <row r="3345" spans="1:2" x14ac:dyDescent="0.2">
      <c r="A3345" s="175">
        <v>42866</v>
      </c>
      <c r="B3345" s="176">
        <v>0.83</v>
      </c>
    </row>
    <row r="3346" spans="1:2" x14ac:dyDescent="0.2">
      <c r="A3346" s="175">
        <v>42867</v>
      </c>
      <c r="B3346" s="176">
        <v>0.82</v>
      </c>
    </row>
    <row r="3347" spans="1:2" x14ac:dyDescent="0.2">
      <c r="A3347" s="175">
        <v>42870</v>
      </c>
      <c r="B3347" s="176">
        <v>0.86</v>
      </c>
    </row>
    <row r="3348" spans="1:2" x14ac:dyDescent="0.2">
      <c r="A3348" s="175">
        <v>42871</v>
      </c>
      <c r="B3348" s="176">
        <v>0.84</v>
      </c>
    </row>
    <row r="3349" spans="1:2" x14ac:dyDescent="0.2">
      <c r="A3349" s="175">
        <v>42872</v>
      </c>
      <c r="B3349" s="176">
        <v>0.78</v>
      </c>
    </row>
    <row r="3350" spans="1:2" x14ac:dyDescent="0.2">
      <c r="A3350" s="175">
        <v>42873</v>
      </c>
      <c r="B3350" s="176">
        <v>0.76</v>
      </c>
    </row>
    <row r="3351" spans="1:2" x14ac:dyDescent="0.2">
      <c r="A3351" s="175">
        <v>42874</v>
      </c>
      <c r="B3351" s="176">
        <v>0.73</v>
      </c>
    </row>
    <row r="3352" spans="1:2" x14ac:dyDescent="0.2">
      <c r="A3352" s="175">
        <v>42877</v>
      </c>
      <c r="B3352" s="176">
        <v>0.76</v>
      </c>
    </row>
    <row r="3353" spans="1:2" x14ac:dyDescent="0.2">
      <c r="A3353" s="175">
        <v>42878</v>
      </c>
      <c r="B3353" s="176">
        <v>0.78</v>
      </c>
    </row>
    <row r="3354" spans="1:2" x14ac:dyDescent="0.2">
      <c r="A3354" s="175">
        <v>42879</v>
      </c>
      <c r="B3354" s="176">
        <v>0.78</v>
      </c>
    </row>
    <row r="3355" spans="1:2" x14ac:dyDescent="0.2">
      <c r="A3355" s="175">
        <v>42880</v>
      </c>
      <c r="B3355" s="176">
        <v>0.77</v>
      </c>
    </row>
    <row r="3356" spans="1:2" x14ac:dyDescent="0.2">
      <c r="A3356" s="175">
        <v>42881</v>
      </c>
      <c r="B3356" s="176">
        <v>0.77</v>
      </c>
    </row>
    <row r="3357" spans="1:2" x14ac:dyDescent="0.2">
      <c r="A3357" s="175">
        <v>42884</v>
      </c>
      <c r="B3357" s="176" t="e">
        <f>NA()</f>
        <v>#N/A</v>
      </c>
    </row>
    <row r="3358" spans="1:2" x14ac:dyDescent="0.2">
      <c r="A3358" s="175">
        <v>42885</v>
      </c>
      <c r="B3358" s="176">
        <v>0.73</v>
      </c>
    </row>
    <row r="3359" spans="1:2" x14ac:dyDescent="0.2">
      <c r="A3359" s="175">
        <v>42886</v>
      </c>
      <c r="B3359" s="176">
        <v>0.73</v>
      </c>
    </row>
    <row r="3360" spans="1:2" x14ac:dyDescent="0.2">
      <c r="A3360" s="175">
        <v>42887</v>
      </c>
      <c r="B3360" s="176">
        <v>0.73</v>
      </c>
    </row>
    <row r="3361" spans="1:2" x14ac:dyDescent="0.2">
      <c r="A3361" s="175">
        <v>42888</v>
      </c>
      <c r="B3361" s="177">
        <v>0.68</v>
      </c>
    </row>
    <row r="3362" spans="1:2" x14ac:dyDescent="0.2">
      <c r="A3362" s="175">
        <v>42891</v>
      </c>
      <c r="B3362" s="176">
        <v>0.72</v>
      </c>
    </row>
    <row r="3363" spans="1:2" x14ac:dyDescent="0.2">
      <c r="A3363" s="175">
        <v>42892</v>
      </c>
      <c r="B3363" s="176">
        <v>0.7</v>
      </c>
    </row>
    <row r="3364" spans="1:2" x14ac:dyDescent="0.2">
      <c r="A3364" s="175">
        <v>42893</v>
      </c>
      <c r="B3364" s="176">
        <v>0.73</v>
      </c>
    </row>
    <row r="3365" spans="1:2" x14ac:dyDescent="0.2">
      <c r="A3365" s="175">
        <v>42894</v>
      </c>
      <c r="B3365" s="176">
        <v>0.74</v>
      </c>
    </row>
    <row r="3366" spans="1:2" x14ac:dyDescent="0.2">
      <c r="A3366" s="175">
        <v>42895</v>
      </c>
      <c r="B3366" s="176">
        <v>0.76</v>
      </c>
    </row>
    <row r="3367" spans="1:2" x14ac:dyDescent="0.2">
      <c r="A3367" s="175">
        <v>42898</v>
      </c>
      <c r="B3367" s="176">
        <v>0.78</v>
      </c>
    </row>
    <row r="3368" spans="1:2" x14ac:dyDescent="0.2">
      <c r="A3368" s="175">
        <v>42899</v>
      </c>
      <c r="B3368" s="176">
        <v>0.77</v>
      </c>
    </row>
    <row r="3369" spans="1:2" x14ac:dyDescent="0.2">
      <c r="A3369" s="175">
        <v>42900</v>
      </c>
      <c r="B3369" s="176">
        <v>0.74</v>
      </c>
    </row>
    <row r="3370" spans="1:2" x14ac:dyDescent="0.2">
      <c r="A3370" s="175">
        <v>42901</v>
      </c>
      <c r="B3370" s="176">
        <v>0.79</v>
      </c>
    </row>
    <row r="3371" spans="1:2" x14ac:dyDescent="0.2">
      <c r="A3371" s="175">
        <v>42902</v>
      </c>
      <c r="B3371" s="176">
        <v>0.79</v>
      </c>
    </row>
    <row r="3372" spans="1:2" x14ac:dyDescent="0.2">
      <c r="A3372" s="175">
        <v>42905</v>
      </c>
      <c r="B3372" s="176">
        <v>0.8</v>
      </c>
    </row>
    <row r="3373" spans="1:2" x14ac:dyDescent="0.2">
      <c r="A3373" s="175">
        <v>42906</v>
      </c>
      <c r="B3373" s="176">
        <v>0.77</v>
      </c>
    </row>
    <row r="3374" spans="1:2" x14ac:dyDescent="0.2">
      <c r="A3374" s="175">
        <v>42907</v>
      </c>
      <c r="B3374" s="176">
        <v>0.76</v>
      </c>
    </row>
    <row r="3375" spans="1:2" x14ac:dyDescent="0.2">
      <c r="A3375" s="175">
        <v>42908</v>
      </c>
      <c r="B3375" s="176">
        <v>0.72</v>
      </c>
    </row>
    <row r="3376" spans="1:2" x14ac:dyDescent="0.2">
      <c r="A3376" s="175">
        <v>42909</v>
      </c>
      <c r="B3376" s="176">
        <v>0.71</v>
      </c>
    </row>
    <row r="3377" spans="1:2" x14ac:dyDescent="0.2">
      <c r="A3377" s="175">
        <v>42912</v>
      </c>
      <c r="B3377" s="176">
        <v>0.7</v>
      </c>
    </row>
    <row r="3378" spans="1:2" x14ac:dyDescent="0.2">
      <c r="A3378" s="175">
        <v>42913</v>
      </c>
      <c r="B3378" s="176">
        <v>0.76</v>
      </c>
    </row>
    <row r="3379" spans="1:2" x14ac:dyDescent="0.2">
      <c r="A3379" s="175">
        <v>42914</v>
      </c>
      <c r="B3379" s="176">
        <v>0.76</v>
      </c>
    </row>
    <row r="3380" spans="1:2" x14ac:dyDescent="0.2">
      <c r="A3380" s="175">
        <v>42915</v>
      </c>
      <c r="B3380" s="176">
        <v>0.81</v>
      </c>
    </row>
    <row r="3381" spans="1:2" x14ac:dyDescent="0.2">
      <c r="A3381" s="175">
        <v>42916</v>
      </c>
      <c r="B3381" s="176">
        <v>0.84</v>
      </c>
    </row>
    <row r="3382" spans="1:2" x14ac:dyDescent="0.2">
      <c r="A3382" s="175">
        <v>42919</v>
      </c>
      <c r="B3382" s="176">
        <v>0.86</v>
      </c>
    </row>
    <row r="3383" spans="1:2" x14ac:dyDescent="0.2">
      <c r="A3383" s="175">
        <v>42920</v>
      </c>
      <c r="B3383" s="176" t="e">
        <f>NA()</f>
        <v>#N/A</v>
      </c>
    </row>
    <row r="3384" spans="1:2" x14ac:dyDescent="0.2">
      <c r="A3384" s="175">
        <v>42921</v>
      </c>
      <c r="B3384" s="176">
        <v>0.83</v>
      </c>
    </row>
    <row r="3385" spans="1:2" x14ac:dyDescent="0.2">
      <c r="A3385" s="175">
        <v>42922</v>
      </c>
      <c r="B3385" s="176">
        <v>0.87</v>
      </c>
    </row>
    <row r="3386" spans="1:2" x14ac:dyDescent="0.2">
      <c r="A3386" s="175">
        <v>42923</v>
      </c>
      <c r="B3386" s="176">
        <v>0.92</v>
      </c>
    </row>
    <row r="3387" spans="1:2" x14ac:dyDescent="0.2">
      <c r="A3387" s="175">
        <v>42926</v>
      </c>
      <c r="B3387" s="177">
        <v>0.92</v>
      </c>
    </row>
    <row r="3388" spans="1:2" x14ac:dyDescent="0.2">
      <c r="A3388" s="175">
        <v>42927</v>
      </c>
      <c r="B3388" s="176">
        <v>0.89</v>
      </c>
    </row>
    <row r="3389" spans="1:2" x14ac:dyDescent="0.2">
      <c r="A3389" s="175">
        <v>42928</v>
      </c>
      <c r="B3389" s="176">
        <v>0.85</v>
      </c>
    </row>
    <row r="3390" spans="1:2" x14ac:dyDescent="0.2">
      <c r="A3390" s="175">
        <v>42929</v>
      </c>
      <c r="B3390" s="176">
        <v>0.87</v>
      </c>
    </row>
    <row r="3391" spans="1:2" x14ac:dyDescent="0.2">
      <c r="A3391" s="175">
        <v>42930</v>
      </c>
      <c r="B3391" s="176">
        <v>0.86</v>
      </c>
    </row>
    <row r="3392" spans="1:2" x14ac:dyDescent="0.2">
      <c r="A3392" s="175">
        <v>42933</v>
      </c>
      <c r="B3392" s="176">
        <v>0.83</v>
      </c>
    </row>
    <row r="3393" spans="1:2" x14ac:dyDescent="0.2">
      <c r="A3393" s="175">
        <v>42934</v>
      </c>
      <c r="B3393" s="176">
        <v>0.8</v>
      </c>
    </row>
    <row r="3394" spans="1:2" x14ac:dyDescent="0.2">
      <c r="A3394" s="175">
        <v>42935</v>
      </c>
      <c r="B3394" s="176">
        <v>0.8</v>
      </c>
    </row>
    <row r="3395" spans="1:2" x14ac:dyDescent="0.2">
      <c r="A3395" s="175">
        <v>42936</v>
      </c>
      <c r="B3395" s="176">
        <v>0.8</v>
      </c>
    </row>
    <row r="3396" spans="1:2" x14ac:dyDescent="0.2">
      <c r="A3396" s="175">
        <v>42937</v>
      </c>
      <c r="B3396" s="176">
        <v>0.78</v>
      </c>
    </row>
    <row r="3397" spans="1:2" x14ac:dyDescent="0.2">
      <c r="A3397" s="175">
        <v>42940</v>
      </c>
      <c r="B3397" s="176">
        <v>0.78</v>
      </c>
    </row>
    <row r="3398" spans="1:2" x14ac:dyDescent="0.2">
      <c r="A3398" s="175">
        <v>42941</v>
      </c>
      <c r="B3398" s="176">
        <v>0.83</v>
      </c>
    </row>
    <row r="3399" spans="1:2" x14ac:dyDescent="0.2">
      <c r="A3399" s="175">
        <v>42942</v>
      </c>
      <c r="B3399" s="176">
        <v>0.8</v>
      </c>
    </row>
    <row r="3400" spans="1:2" x14ac:dyDescent="0.2">
      <c r="A3400" s="175">
        <v>42943</v>
      </c>
      <c r="B3400" s="176">
        <v>0.82</v>
      </c>
    </row>
    <row r="3401" spans="1:2" x14ac:dyDescent="0.2">
      <c r="A3401" s="175">
        <v>42944</v>
      </c>
      <c r="B3401" s="176">
        <v>0.79</v>
      </c>
    </row>
    <row r="3402" spans="1:2" x14ac:dyDescent="0.2">
      <c r="A3402" s="175">
        <v>42947</v>
      </c>
      <c r="B3402" s="176">
        <v>0.8</v>
      </c>
    </row>
    <row r="3403" spans="1:2" x14ac:dyDescent="0.2">
      <c r="A3403" s="175">
        <v>42948</v>
      </c>
      <c r="B3403" s="176">
        <v>0.78</v>
      </c>
    </row>
    <row r="3404" spans="1:2" x14ac:dyDescent="0.2">
      <c r="A3404" s="175">
        <v>42949</v>
      </c>
      <c r="B3404" s="176">
        <v>0.78</v>
      </c>
    </row>
    <row r="3405" spans="1:2" x14ac:dyDescent="0.2">
      <c r="A3405" s="175">
        <v>42950</v>
      </c>
      <c r="B3405" s="176">
        <v>0.76</v>
      </c>
    </row>
    <row r="3406" spans="1:2" x14ac:dyDescent="0.2">
      <c r="A3406" s="175">
        <v>42951</v>
      </c>
      <c r="B3406" s="176">
        <v>0.78</v>
      </c>
    </row>
    <row r="3407" spans="1:2" x14ac:dyDescent="0.2">
      <c r="A3407" s="175">
        <v>42954</v>
      </c>
      <c r="B3407" s="176">
        <v>0.76</v>
      </c>
    </row>
    <row r="3408" spans="1:2" x14ac:dyDescent="0.2">
      <c r="A3408" s="175">
        <v>42955</v>
      </c>
      <c r="B3408" s="176">
        <v>0.77</v>
      </c>
    </row>
    <row r="3409" spans="1:2" x14ac:dyDescent="0.2">
      <c r="A3409" s="175">
        <v>42956</v>
      </c>
      <c r="B3409" s="176">
        <v>0.73</v>
      </c>
    </row>
    <row r="3410" spans="1:2" x14ac:dyDescent="0.2">
      <c r="A3410" s="175">
        <v>42957</v>
      </c>
      <c r="B3410" s="176">
        <v>0.7</v>
      </c>
    </row>
    <row r="3411" spans="1:2" x14ac:dyDescent="0.2">
      <c r="A3411" s="175">
        <v>42958</v>
      </c>
      <c r="B3411" s="176">
        <v>0.71</v>
      </c>
    </row>
    <row r="3412" spans="1:2" x14ac:dyDescent="0.2">
      <c r="A3412" s="175">
        <v>42961</v>
      </c>
      <c r="B3412" s="176">
        <v>0.75</v>
      </c>
    </row>
    <row r="3413" spans="1:2" x14ac:dyDescent="0.2">
      <c r="A3413" s="175">
        <v>42962</v>
      </c>
      <c r="B3413" s="176">
        <v>0.79</v>
      </c>
    </row>
    <row r="3414" spans="1:2" x14ac:dyDescent="0.2">
      <c r="A3414" s="175">
        <v>42963</v>
      </c>
      <c r="B3414" s="176">
        <v>0.75</v>
      </c>
    </row>
    <row r="3415" spans="1:2" x14ac:dyDescent="0.2">
      <c r="A3415" s="175">
        <v>42964</v>
      </c>
      <c r="B3415" s="176">
        <v>0.73</v>
      </c>
    </row>
    <row r="3416" spans="1:2" x14ac:dyDescent="0.2">
      <c r="A3416" s="175">
        <v>42965</v>
      </c>
      <c r="B3416" s="176">
        <v>0.73</v>
      </c>
    </row>
    <row r="3417" spans="1:2" x14ac:dyDescent="0.2">
      <c r="A3417" s="175">
        <v>42968</v>
      </c>
      <c r="B3417" s="176">
        <v>0.73</v>
      </c>
    </row>
    <row r="3418" spans="1:2" x14ac:dyDescent="0.2">
      <c r="A3418" s="175">
        <v>42969</v>
      </c>
      <c r="B3418" s="176">
        <v>0.74</v>
      </c>
    </row>
    <row r="3419" spans="1:2" x14ac:dyDescent="0.2">
      <c r="A3419" s="175">
        <v>42970</v>
      </c>
      <c r="B3419" s="176">
        <v>0.71</v>
      </c>
    </row>
    <row r="3420" spans="1:2" x14ac:dyDescent="0.2">
      <c r="A3420" s="175">
        <v>42971</v>
      </c>
      <c r="B3420" s="176">
        <v>0.73</v>
      </c>
    </row>
    <row r="3421" spans="1:2" x14ac:dyDescent="0.2">
      <c r="A3421" s="175">
        <v>42972</v>
      </c>
      <c r="B3421" s="176">
        <v>0.72</v>
      </c>
    </row>
    <row r="3422" spans="1:2" x14ac:dyDescent="0.2">
      <c r="A3422" s="175">
        <v>42975</v>
      </c>
      <c r="B3422" s="176">
        <v>0.71</v>
      </c>
    </row>
    <row r="3423" spans="1:2" x14ac:dyDescent="0.2">
      <c r="A3423" s="175">
        <v>42976</v>
      </c>
      <c r="B3423" s="176">
        <v>0.7</v>
      </c>
    </row>
    <row r="3424" spans="1:2" x14ac:dyDescent="0.2">
      <c r="A3424" s="175">
        <v>42977</v>
      </c>
      <c r="B3424" s="176">
        <v>0.7</v>
      </c>
    </row>
    <row r="3425" spans="1:2" x14ac:dyDescent="0.2">
      <c r="A3425" s="175">
        <v>42978</v>
      </c>
      <c r="B3425" s="176">
        <v>0.67</v>
      </c>
    </row>
    <row r="3426" spans="1:2" x14ac:dyDescent="0.2">
      <c r="A3426" s="175">
        <v>42979</v>
      </c>
      <c r="B3426" s="176">
        <v>0.69</v>
      </c>
    </row>
    <row r="3427" spans="1:2" x14ac:dyDescent="0.2">
      <c r="A3427" s="175">
        <v>42982</v>
      </c>
      <c r="B3427" s="176" t="e">
        <f>NA()</f>
        <v>#N/A</v>
      </c>
    </row>
    <row r="3428" spans="1:2" x14ac:dyDescent="0.2">
      <c r="A3428" s="175">
        <v>42983</v>
      </c>
      <c r="B3428" s="176">
        <v>0.62</v>
      </c>
    </row>
    <row r="3429" spans="1:2" x14ac:dyDescent="0.2">
      <c r="A3429" s="175">
        <v>42984</v>
      </c>
      <c r="B3429" s="176">
        <v>0.63</v>
      </c>
    </row>
    <row r="3430" spans="1:2" x14ac:dyDescent="0.2">
      <c r="A3430" s="175">
        <v>42985</v>
      </c>
      <c r="B3430" s="176">
        <v>0.57999999999999996</v>
      </c>
    </row>
    <row r="3431" spans="1:2" x14ac:dyDescent="0.2">
      <c r="A3431" s="175">
        <v>42986</v>
      </c>
      <c r="B3431" s="177">
        <v>0.56999999999999995</v>
      </c>
    </row>
    <row r="3432" spans="1:2" x14ac:dyDescent="0.2">
      <c r="A3432" s="175">
        <v>42989</v>
      </c>
      <c r="B3432" s="176">
        <v>0.63</v>
      </c>
    </row>
    <row r="3433" spans="1:2" x14ac:dyDescent="0.2">
      <c r="A3433" s="175">
        <v>42990</v>
      </c>
      <c r="B3433" s="176">
        <v>0.65</v>
      </c>
    </row>
    <row r="3434" spans="1:2" x14ac:dyDescent="0.2">
      <c r="A3434" s="175">
        <v>42991</v>
      </c>
      <c r="B3434" s="176">
        <v>0.67</v>
      </c>
    </row>
    <row r="3435" spans="1:2" x14ac:dyDescent="0.2">
      <c r="A3435" s="175">
        <v>42992</v>
      </c>
      <c r="B3435" s="176">
        <v>0.65</v>
      </c>
    </row>
    <row r="3436" spans="1:2" x14ac:dyDescent="0.2">
      <c r="A3436" s="175">
        <v>42993</v>
      </c>
      <c r="B3436" s="176">
        <v>0.65</v>
      </c>
    </row>
    <row r="3437" spans="1:2" x14ac:dyDescent="0.2">
      <c r="A3437" s="175">
        <v>42996</v>
      </c>
      <c r="B3437" s="176">
        <v>0.67</v>
      </c>
    </row>
    <row r="3438" spans="1:2" x14ac:dyDescent="0.2">
      <c r="A3438" s="175">
        <v>42997</v>
      </c>
      <c r="B3438" s="176">
        <v>0.68</v>
      </c>
    </row>
    <row r="3439" spans="1:2" x14ac:dyDescent="0.2">
      <c r="A3439" s="175">
        <v>42998</v>
      </c>
      <c r="B3439" s="176">
        <v>0.72</v>
      </c>
    </row>
    <row r="3440" spans="1:2" x14ac:dyDescent="0.2">
      <c r="A3440" s="175">
        <v>42999</v>
      </c>
      <c r="B3440" s="176">
        <v>0.72</v>
      </c>
    </row>
    <row r="3441" spans="1:2" x14ac:dyDescent="0.2">
      <c r="A3441" s="175">
        <v>43000</v>
      </c>
      <c r="B3441" s="176">
        <v>0.7</v>
      </c>
    </row>
    <row r="3442" spans="1:2" x14ac:dyDescent="0.2">
      <c r="A3442" s="175">
        <v>43003</v>
      </c>
      <c r="B3442" s="176">
        <v>0.67</v>
      </c>
    </row>
    <row r="3443" spans="1:2" x14ac:dyDescent="0.2">
      <c r="A3443" s="175">
        <v>43004</v>
      </c>
      <c r="B3443" s="176">
        <v>0.69</v>
      </c>
    </row>
    <row r="3444" spans="1:2" x14ac:dyDescent="0.2">
      <c r="A3444" s="175">
        <v>43005</v>
      </c>
      <c r="B3444" s="176">
        <v>0.74</v>
      </c>
    </row>
    <row r="3445" spans="1:2" x14ac:dyDescent="0.2">
      <c r="A3445" s="175">
        <v>43006</v>
      </c>
      <c r="B3445" s="176">
        <v>0.74</v>
      </c>
    </row>
    <row r="3446" spans="1:2" x14ac:dyDescent="0.2">
      <c r="A3446" s="175">
        <v>43007</v>
      </c>
      <c r="B3446" s="176">
        <v>0.77</v>
      </c>
    </row>
    <row r="3447" spans="1:2" x14ac:dyDescent="0.2">
      <c r="A3447" s="175">
        <v>43010</v>
      </c>
      <c r="B3447" s="176">
        <v>0.79</v>
      </c>
    </row>
    <row r="3448" spans="1:2" x14ac:dyDescent="0.2">
      <c r="A3448" s="175">
        <v>43011</v>
      </c>
      <c r="B3448" s="176">
        <v>0.77</v>
      </c>
    </row>
    <row r="3449" spans="1:2" x14ac:dyDescent="0.2">
      <c r="A3449" s="175">
        <v>43012</v>
      </c>
      <c r="B3449" s="176">
        <v>0.77</v>
      </c>
    </row>
    <row r="3450" spans="1:2" x14ac:dyDescent="0.2">
      <c r="A3450" s="175">
        <v>43013</v>
      </c>
      <c r="B3450" s="176">
        <v>0.78</v>
      </c>
    </row>
    <row r="3451" spans="1:2" x14ac:dyDescent="0.2">
      <c r="A3451" s="175">
        <v>43014</v>
      </c>
      <c r="B3451" s="176">
        <v>0.8</v>
      </c>
    </row>
    <row r="3452" spans="1:2" x14ac:dyDescent="0.2">
      <c r="A3452" s="175">
        <v>43017</v>
      </c>
      <c r="B3452" s="176" t="e">
        <f>NA()</f>
        <v>#N/A</v>
      </c>
    </row>
    <row r="3453" spans="1:2" x14ac:dyDescent="0.2">
      <c r="A3453" s="175">
        <v>43018</v>
      </c>
      <c r="B3453" s="176">
        <v>0.77</v>
      </c>
    </row>
    <row r="3454" spans="1:2" x14ac:dyDescent="0.2">
      <c r="A3454" s="175">
        <v>43019</v>
      </c>
      <c r="B3454" s="176">
        <v>0.75</v>
      </c>
    </row>
    <row r="3455" spans="1:2" x14ac:dyDescent="0.2">
      <c r="A3455" s="175">
        <v>43020</v>
      </c>
      <c r="B3455" s="176">
        <v>0.73</v>
      </c>
    </row>
    <row r="3456" spans="1:2" x14ac:dyDescent="0.2">
      <c r="A3456" s="175">
        <v>43021</v>
      </c>
      <c r="B3456" s="177">
        <v>0.7</v>
      </c>
    </row>
    <row r="3457" spans="1:2" x14ac:dyDescent="0.2">
      <c r="A3457" s="175">
        <v>43024</v>
      </c>
      <c r="B3457" s="176">
        <v>0.7</v>
      </c>
    </row>
    <row r="3458" spans="1:2" x14ac:dyDescent="0.2">
      <c r="A3458" s="175">
        <v>43025</v>
      </c>
      <c r="B3458" s="176">
        <v>0.73</v>
      </c>
    </row>
    <row r="3459" spans="1:2" x14ac:dyDescent="0.2">
      <c r="A3459" s="175">
        <v>43026</v>
      </c>
      <c r="B3459" s="176">
        <v>0.76</v>
      </c>
    </row>
    <row r="3460" spans="1:2" x14ac:dyDescent="0.2">
      <c r="A3460" s="175">
        <v>43027</v>
      </c>
      <c r="B3460" s="176">
        <v>0.72</v>
      </c>
    </row>
    <row r="3461" spans="1:2" x14ac:dyDescent="0.2">
      <c r="A3461" s="175">
        <v>43028</v>
      </c>
      <c r="B3461" s="176">
        <v>0.79</v>
      </c>
    </row>
    <row r="3462" spans="1:2" x14ac:dyDescent="0.2">
      <c r="A3462" s="175">
        <v>43031</v>
      </c>
      <c r="B3462" s="176">
        <v>0.75</v>
      </c>
    </row>
    <row r="3463" spans="1:2" x14ac:dyDescent="0.2">
      <c r="A3463" s="175">
        <v>43032</v>
      </c>
      <c r="B3463" s="176">
        <v>0.81</v>
      </c>
    </row>
    <row r="3464" spans="1:2" x14ac:dyDescent="0.2">
      <c r="A3464" s="175">
        <v>43033</v>
      </c>
      <c r="B3464" s="176">
        <v>0.83</v>
      </c>
    </row>
    <row r="3465" spans="1:2" x14ac:dyDescent="0.2">
      <c r="A3465" s="175">
        <v>43034</v>
      </c>
      <c r="B3465" s="176">
        <v>0.84</v>
      </c>
    </row>
    <row r="3466" spans="1:2" x14ac:dyDescent="0.2">
      <c r="A3466" s="175">
        <v>43035</v>
      </c>
      <c r="B3466" s="176">
        <v>0.81</v>
      </c>
    </row>
    <row r="3467" spans="1:2" x14ac:dyDescent="0.2">
      <c r="A3467" s="175">
        <v>43038</v>
      </c>
      <c r="B3467" s="176">
        <v>0.77</v>
      </c>
    </row>
    <row r="3468" spans="1:2" x14ac:dyDescent="0.2">
      <c r="A3468" s="175">
        <v>43039</v>
      </c>
      <c r="B3468" s="176">
        <v>0.77</v>
      </c>
    </row>
    <row r="3469" spans="1:2" x14ac:dyDescent="0.2">
      <c r="A3469" s="175">
        <v>43040</v>
      </c>
      <c r="B3469" s="176">
        <v>0.72</v>
      </c>
    </row>
    <row r="3470" spans="1:2" x14ac:dyDescent="0.2">
      <c r="A3470" s="175">
        <v>43041</v>
      </c>
      <c r="B3470" s="176">
        <v>0.74</v>
      </c>
    </row>
    <row r="3471" spans="1:2" x14ac:dyDescent="0.2">
      <c r="A3471" s="175">
        <v>43042</v>
      </c>
      <c r="B3471" s="176">
        <v>0.73</v>
      </c>
    </row>
    <row r="3472" spans="1:2" x14ac:dyDescent="0.2">
      <c r="A3472" s="175">
        <v>43045</v>
      </c>
      <c r="B3472" s="176">
        <v>0.71</v>
      </c>
    </row>
    <row r="3473" spans="1:2" x14ac:dyDescent="0.2">
      <c r="A3473" s="175">
        <v>43046</v>
      </c>
      <c r="B3473" s="176">
        <v>0.69</v>
      </c>
    </row>
    <row r="3474" spans="1:2" x14ac:dyDescent="0.2">
      <c r="A3474" s="175">
        <v>43047</v>
      </c>
      <c r="B3474" s="176">
        <v>0.69</v>
      </c>
    </row>
    <row r="3475" spans="1:2" x14ac:dyDescent="0.2">
      <c r="A3475" s="175">
        <v>43048</v>
      </c>
      <c r="B3475" s="176">
        <v>0.71</v>
      </c>
    </row>
    <row r="3476" spans="1:2" x14ac:dyDescent="0.2">
      <c r="A3476" s="175">
        <v>43049</v>
      </c>
      <c r="B3476" s="176">
        <v>0.77</v>
      </c>
    </row>
    <row r="3477" spans="1:2" x14ac:dyDescent="0.2">
      <c r="A3477" s="175">
        <v>43052</v>
      </c>
      <c r="B3477" s="176">
        <v>0.76</v>
      </c>
    </row>
    <row r="3478" spans="1:2" x14ac:dyDescent="0.2">
      <c r="A3478" s="175">
        <v>43053</v>
      </c>
      <c r="B3478" s="176">
        <v>0.75</v>
      </c>
    </row>
    <row r="3479" spans="1:2" x14ac:dyDescent="0.2">
      <c r="A3479" s="175">
        <v>43054</v>
      </c>
      <c r="B3479" s="176">
        <v>0.71</v>
      </c>
    </row>
    <row r="3480" spans="1:2" x14ac:dyDescent="0.2">
      <c r="A3480" s="175">
        <v>43055</v>
      </c>
      <c r="B3480" s="176">
        <v>0.74</v>
      </c>
    </row>
    <row r="3481" spans="1:2" x14ac:dyDescent="0.2">
      <c r="A3481" s="175">
        <v>43056</v>
      </c>
      <c r="B3481" s="176">
        <v>0.71</v>
      </c>
    </row>
    <row r="3482" spans="1:2" x14ac:dyDescent="0.2">
      <c r="A3482" s="175">
        <v>43059</v>
      </c>
      <c r="B3482" s="176">
        <v>0.72</v>
      </c>
    </row>
    <row r="3483" spans="1:2" x14ac:dyDescent="0.2">
      <c r="A3483" s="175">
        <v>43060</v>
      </c>
      <c r="B3483" s="176">
        <v>0.72</v>
      </c>
    </row>
    <row r="3484" spans="1:2" x14ac:dyDescent="0.2">
      <c r="A3484" s="175">
        <v>43061</v>
      </c>
      <c r="B3484" s="176">
        <v>0.69</v>
      </c>
    </row>
    <row r="3485" spans="1:2" x14ac:dyDescent="0.2">
      <c r="A3485" s="175">
        <v>43062</v>
      </c>
      <c r="B3485" s="176" t="e">
        <f>NA()</f>
        <v>#N/A</v>
      </c>
    </row>
    <row r="3486" spans="1:2" x14ac:dyDescent="0.2">
      <c r="A3486" s="175">
        <v>43063</v>
      </c>
      <c r="B3486" s="176">
        <v>0.71</v>
      </c>
    </row>
    <row r="3487" spans="1:2" x14ac:dyDescent="0.2">
      <c r="A3487" s="175">
        <v>43066</v>
      </c>
      <c r="B3487" s="176">
        <v>0.69</v>
      </c>
    </row>
    <row r="3488" spans="1:2" x14ac:dyDescent="0.2">
      <c r="A3488" s="175">
        <v>43067</v>
      </c>
      <c r="B3488" s="176">
        <v>0.7</v>
      </c>
    </row>
    <row r="3489" spans="1:2" x14ac:dyDescent="0.2">
      <c r="A3489" s="175">
        <v>43068</v>
      </c>
      <c r="B3489" s="177">
        <v>0.75</v>
      </c>
    </row>
    <row r="3490" spans="1:2" x14ac:dyDescent="0.2">
      <c r="A3490" s="175">
        <v>43069</v>
      </c>
      <c r="B3490" s="176">
        <v>0.76</v>
      </c>
    </row>
    <row r="3491" spans="1:2" x14ac:dyDescent="0.2">
      <c r="A3491" s="175">
        <v>43070</v>
      </c>
      <c r="B3491" s="176">
        <v>0.69</v>
      </c>
    </row>
    <row r="3492" spans="1:2" x14ac:dyDescent="0.2">
      <c r="A3492" s="175">
        <v>43073</v>
      </c>
      <c r="B3492" s="176">
        <v>0.68</v>
      </c>
    </row>
    <row r="3493" spans="1:2" x14ac:dyDescent="0.2">
      <c r="A3493" s="175">
        <v>43074</v>
      </c>
      <c r="B3493" s="176">
        <v>0.65</v>
      </c>
    </row>
    <row r="3494" spans="1:2" x14ac:dyDescent="0.2">
      <c r="A3494" s="175">
        <v>43075</v>
      </c>
      <c r="B3494" s="176">
        <v>0.65</v>
      </c>
    </row>
    <row r="3495" spans="1:2" x14ac:dyDescent="0.2">
      <c r="A3495" s="175">
        <v>43076</v>
      </c>
      <c r="B3495" s="176">
        <v>0.69</v>
      </c>
    </row>
    <row r="3496" spans="1:2" x14ac:dyDescent="0.2">
      <c r="A3496" s="175">
        <v>43077</v>
      </c>
      <c r="B3496" s="176">
        <v>0.68</v>
      </c>
    </row>
    <row r="3497" spans="1:2" x14ac:dyDescent="0.2">
      <c r="A3497" s="175">
        <v>43080</v>
      </c>
      <c r="B3497" s="176">
        <v>0.7</v>
      </c>
    </row>
    <row r="3498" spans="1:2" x14ac:dyDescent="0.2">
      <c r="A3498" s="175">
        <v>43081</v>
      </c>
      <c r="B3498" s="176">
        <v>0.69</v>
      </c>
    </row>
    <row r="3499" spans="1:2" x14ac:dyDescent="0.2">
      <c r="A3499" s="175">
        <v>43082</v>
      </c>
      <c r="B3499" s="176">
        <v>0.67</v>
      </c>
    </row>
    <row r="3500" spans="1:2" x14ac:dyDescent="0.2">
      <c r="A3500" s="175">
        <v>43083</v>
      </c>
      <c r="B3500" s="176">
        <v>0.65</v>
      </c>
    </row>
    <row r="3501" spans="1:2" x14ac:dyDescent="0.2">
      <c r="A3501" s="175">
        <v>43084</v>
      </c>
      <c r="B3501" s="176">
        <v>0.63</v>
      </c>
    </row>
    <row r="3502" spans="1:2" x14ac:dyDescent="0.2">
      <c r="A3502" s="175">
        <v>43087</v>
      </c>
      <c r="B3502" s="176">
        <v>0.66</v>
      </c>
    </row>
    <row r="3503" spans="1:2" x14ac:dyDescent="0.2">
      <c r="A3503" s="175">
        <v>43088</v>
      </c>
      <c r="B3503" s="176">
        <v>0.71</v>
      </c>
    </row>
    <row r="3504" spans="1:2" x14ac:dyDescent="0.2">
      <c r="A3504" s="175">
        <v>43089</v>
      </c>
      <c r="B3504" s="176">
        <v>0.75</v>
      </c>
    </row>
    <row r="3505" spans="1:2" x14ac:dyDescent="0.2">
      <c r="A3505" s="175">
        <v>43090</v>
      </c>
      <c r="B3505" s="176">
        <v>0.73</v>
      </c>
    </row>
    <row r="3506" spans="1:2" x14ac:dyDescent="0.2">
      <c r="A3506" s="175">
        <v>43091</v>
      </c>
      <c r="B3506" s="176">
        <v>0.72</v>
      </c>
    </row>
    <row r="3507" spans="1:2" x14ac:dyDescent="0.2">
      <c r="A3507" s="175">
        <v>43094</v>
      </c>
      <c r="B3507" s="176" t="e">
        <f>NA()</f>
        <v>#N/A</v>
      </c>
    </row>
    <row r="3508" spans="1:2" x14ac:dyDescent="0.2">
      <c r="A3508" s="175">
        <v>43095</v>
      </c>
      <c r="B3508" s="176">
        <v>0.7</v>
      </c>
    </row>
    <row r="3509" spans="1:2" x14ac:dyDescent="0.2">
      <c r="A3509" s="175">
        <v>43096</v>
      </c>
      <c r="B3509" s="176">
        <v>0.64</v>
      </c>
    </row>
    <row r="3510" spans="1:2" x14ac:dyDescent="0.2">
      <c r="A3510" s="175">
        <v>43097</v>
      </c>
      <c r="B3510" s="176">
        <v>0.64</v>
      </c>
    </row>
    <row r="3511" spans="1:2" x14ac:dyDescent="0.2">
      <c r="A3511" s="175">
        <v>43098</v>
      </c>
      <c r="B3511" s="177">
        <v>0.61</v>
      </c>
    </row>
    <row r="3512" spans="1:2" x14ac:dyDescent="0.2">
      <c r="A3512" s="175">
        <v>43101</v>
      </c>
      <c r="B3512" s="176" t="e">
        <f>NA()</f>
        <v>#N/A</v>
      </c>
    </row>
    <row r="3513" spans="1:2" x14ac:dyDescent="0.2">
      <c r="A3513" s="175">
        <v>43102</v>
      </c>
      <c r="B3513" s="176">
        <v>0.64</v>
      </c>
    </row>
    <row r="3514" spans="1:2" x14ac:dyDescent="0.2">
      <c r="A3514" s="175">
        <v>43103</v>
      </c>
      <c r="B3514" s="176">
        <v>0.63</v>
      </c>
    </row>
    <row r="3515" spans="1:2" x14ac:dyDescent="0.2">
      <c r="A3515" s="175">
        <v>43104</v>
      </c>
      <c r="B3515" s="176">
        <v>0.62</v>
      </c>
    </row>
    <row r="3516" spans="1:2" x14ac:dyDescent="0.2">
      <c r="A3516" s="175">
        <v>43105</v>
      </c>
      <c r="B3516" s="177">
        <v>0.63</v>
      </c>
    </row>
    <row r="3517" spans="1:2" x14ac:dyDescent="0.2">
      <c r="A3517" s="175">
        <v>43108</v>
      </c>
      <c r="B3517" s="176">
        <v>0.65</v>
      </c>
    </row>
    <row r="3518" spans="1:2" x14ac:dyDescent="0.2">
      <c r="A3518" s="175">
        <v>43109</v>
      </c>
      <c r="B3518" s="176">
        <v>0.7</v>
      </c>
    </row>
    <row r="3519" spans="1:2" x14ac:dyDescent="0.2">
      <c r="A3519" s="175">
        <v>43110</v>
      </c>
      <c r="B3519" s="176">
        <v>0.7</v>
      </c>
    </row>
    <row r="3520" spans="1:2" x14ac:dyDescent="0.2">
      <c r="A3520" s="175">
        <v>43111</v>
      </c>
      <c r="B3520" s="176">
        <v>0.71</v>
      </c>
    </row>
    <row r="3521" spans="1:2" x14ac:dyDescent="0.2">
      <c r="A3521" s="175">
        <v>43112</v>
      </c>
      <c r="B3521" s="176">
        <v>0.7</v>
      </c>
    </row>
    <row r="3522" spans="1:2" x14ac:dyDescent="0.2">
      <c r="A3522" s="175">
        <v>43115</v>
      </c>
      <c r="B3522" s="176" t="e">
        <f>NA()</f>
        <v>#N/A</v>
      </c>
    </row>
    <row r="3523" spans="1:2" x14ac:dyDescent="0.2">
      <c r="A3523" s="175">
        <v>43116</v>
      </c>
      <c r="B3523" s="176">
        <v>0.67</v>
      </c>
    </row>
    <row r="3524" spans="1:2" x14ac:dyDescent="0.2">
      <c r="A3524" s="175">
        <v>43117</v>
      </c>
      <c r="B3524" s="176">
        <v>0.67</v>
      </c>
    </row>
    <row r="3525" spans="1:2" x14ac:dyDescent="0.2">
      <c r="A3525" s="175">
        <v>43118</v>
      </c>
      <c r="B3525" s="176">
        <v>0.72</v>
      </c>
    </row>
    <row r="3526" spans="1:2" x14ac:dyDescent="0.2">
      <c r="A3526" s="175">
        <v>43119</v>
      </c>
      <c r="B3526" s="177">
        <v>0.72</v>
      </c>
    </row>
    <row r="3527" spans="1:2" x14ac:dyDescent="0.2">
      <c r="A3527" s="175">
        <v>43122</v>
      </c>
      <c r="B3527" s="176">
        <v>0.74</v>
      </c>
    </row>
    <row r="3528" spans="1:2" x14ac:dyDescent="0.2">
      <c r="A3528" s="175">
        <v>43123</v>
      </c>
      <c r="B3528" s="176">
        <v>0.71</v>
      </c>
    </row>
    <row r="3529" spans="1:2" x14ac:dyDescent="0.2">
      <c r="A3529" s="175">
        <v>43124</v>
      </c>
      <c r="B3529" s="176">
        <v>0.73</v>
      </c>
    </row>
    <row r="3530" spans="1:2" x14ac:dyDescent="0.2">
      <c r="A3530" s="175">
        <v>43125</v>
      </c>
      <c r="B3530" s="176">
        <v>0.69</v>
      </c>
    </row>
    <row r="3531" spans="1:2" x14ac:dyDescent="0.2">
      <c r="A3531" s="175">
        <v>43126</v>
      </c>
      <c r="B3531" s="176">
        <v>0.7</v>
      </c>
    </row>
    <row r="3532" spans="1:2" x14ac:dyDescent="0.2">
      <c r="A3532" s="175">
        <v>43129</v>
      </c>
      <c r="B3532" s="176">
        <v>0.73</v>
      </c>
    </row>
    <row r="3533" spans="1:2" x14ac:dyDescent="0.2">
      <c r="A3533" s="175">
        <v>43130</v>
      </c>
      <c r="B3533" s="176">
        <v>0.76</v>
      </c>
    </row>
    <row r="3534" spans="1:2" x14ac:dyDescent="0.2">
      <c r="A3534" s="175">
        <v>43131</v>
      </c>
      <c r="B3534" s="176">
        <v>0.72</v>
      </c>
    </row>
    <row r="3535" spans="1:2" x14ac:dyDescent="0.2">
      <c r="A3535" s="175">
        <v>43132</v>
      </c>
      <c r="B3535" s="176">
        <v>0.78</v>
      </c>
    </row>
    <row r="3536" spans="1:2" x14ac:dyDescent="0.2">
      <c r="A3536" s="175">
        <v>43133</v>
      </c>
      <c r="B3536" s="176">
        <v>0.82</v>
      </c>
    </row>
    <row r="3537" spans="1:2" x14ac:dyDescent="0.2">
      <c r="A3537" s="175">
        <v>43136</v>
      </c>
      <c r="B3537" s="176">
        <v>0.81</v>
      </c>
    </row>
    <row r="3538" spans="1:2" x14ac:dyDescent="0.2">
      <c r="A3538" s="175">
        <v>43137</v>
      </c>
      <c r="B3538" s="176">
        <v>0.82</v>
      </c>
    </row>
    <row r="3539" spans="1:2" x14ac:dyDescent="0.2">
      <c r="A3539" s="175">
        <v>43138</v>
      </c>
      <c r="B3539" s="176">
        <v>0.86</v>
      </c>
    </row>
    <row r="3540" spans="1:2" x14ac:dyDescent="0.2">
      <c r="A3540" s="175">
        <v>43139</v>
      </c>
      <c r="B3540" s="176">
        <v>0.89</v>
      </c>
    </row>
    <row r="3541" spans="1:2" x14ac:dyDescent="0.2">
      <c r="A3541" s="175">
        <v>43140</v>
      </c>
      <c r="B3541" s="176">
        <v>0.91</v>
      </c>
    </row>
    <row r="3542" spans="1:2" x14ac:dyDescent="0.2">
      <c r="A3542" s="170">
        <v>43143</v>
      </c>
      <c r="B3542" s="171">
        <v>0.92</v>
      </c>
    </row>
    <row r="3543" spans="1:2" x14ac:dyDescent="0.2">
      <c r="A3543" s="170">
        <v>43144</v>
      </c>
      <c r="B3543" s="171">
        <v>0.91</v>
      </c>
    </row>
    <row r="3544" spans="1:2" x14ac:dyDescent="0.2">
      <c r="A3544" s="170">
        <v>43145</v>
      </c>
      <c r="B3544" s="171">
        <v>0.94</v>
      </c>
    </row>
    <row r="3545" spans="1:2" x14ac:dyDescent="0.2">
      <c r="A3545" s="170">
        <v>43146</v>
      </c>
      <c r="B3545" s="171">
        <v>0.93</v>
      </c>
    </row>
    <row r="3546" spans="1:2" x14ac:dyDescent="0.2">
      <c r="A3546" s="170">
        <v>43147</v>
      </c>
      <c r="B3546" s="171">
        <v>0.92</v>
      </c>
    </row>
    <row r="3547" spans="1:2" x14ac:dyDescent="0.2">
      <c r="A3547" s="170">
        <v>43150</v>
      </c>
      <c r="B3547" s="171" t="e">
        <f>NA()</f>
        <v>#N/A</v>
      </c>
    </row>
    <row r="3548" spans="1:2" x14ac:dyDescent="0.2">
      <c r="A3548" s="170">
        <v>43151</v>
      </c>
      <c r="B3548" s="171">
        <v>0.92</v>
      </c>
    </row>
    <row r="3549" spans="1:2" x14ac:dyDescent="0.2">
      <c r="A3549" s="170">
        <v>43152</v>
      </c>
      <c r="B3549" s="171">
        <v>0.97</v>
      </c>
    </row>
    <row r="3550" spans="1:2" x14ac:dyDescent="0.2">
      <c r="A3550" s="170">
        <v>43153</v>
      </c>
      <c r="B3550" s="171">
        <v>0.96</v>
      </c>
    </row>
    <row r="3551" spans="1:2" x14ac:dyDescent="0.2">
      <c r="A3551" s="170">
        <v>43154</v>
      </c>
      <c r="B3551" s="171">
        <v>0.92</v>
      </c>
    </row>
    <row r="3552" spans="1:2" x14ac:dyDescent="0.2">
      <c r="A3552" s="170">
        <v>43157</v>
      </c>
      <c r="B3552" s="171">
        <v>0.9</v>
      </c>
    </row>
    <row r="3553" spans="1:2" x14ac:dyDescent="0.2">
      <c r="A3553" s="170">
        <v>43158</v>
      </c>
      <c r="B3553" s="171">
        <v>0.92</v>
      </c>
    </row>
    <row r="3554" spans="1:2" x14ac:dyDescent="0.2">
      <c r="A3554" s="170">
        <v>43159</v>
      </c>
      <c r="B3554" s="171">
        <v>0.9</v>
      </c>
    </row>
    <row r="3555" spans="1:2" x14ac:dyDescent="0.2">
      <c r="A3555" s="170">
        <v>43160</v>
      </c>
      <c r="B3555" s="171">
        <v>0.86</v>
      </c>
    </row>
    <row r="3556" spans="1:2" x14ac:dyDescent="0.2">
      <c r="A3556" s="170">
        <v>43161</v>
      </c>
      <c r="B3556" s="171">
        <v>0.89</v>
      </c>
    </row>
    <row r="3557" spans="1:2" x14ac:dyDescent="0.2">
      <c r="A3557" s="170">
        <v>43164</v>
      </c>
      <c r="B3557" s="171">
        <v>0.91</v>
      </c>
    </row>
    <row r="3558" spans="1:2" x14ac:dyDescent="0.2">
      <c r="A3558" s="170">
        <v>43165</v>
      </c>
      <c r="B3558" s="171">
        <v>0.91</v>
      </c>
    </row>
    <row r="3559" spans="1:2" x14ac:dyDescent="0.2">
      <c r="A3559" s="170">
        <v>43166</v>
      </c>
      <c r="B3559" s="171">
        <v>0.93</v>
      </c>
    </row>
    <row r="3560" spans="1:2" x14ac:dyDescent="0.2">
      <c r="A3560" s="170">
        <v>43167</v>
      </c>
      <c r="B3560" s="171">
        <v>0.9</v>
      </c>
    </row>
    <row r="3561" spans="1:2" x14ac:dyDescent="0.2">
      <c r="A3561" s="170">
        <v>43168</v>
      </c>
      <c r="B3561" s="171">
        <v>0.92</v>
      </c>
    </row>
    <row r="3562" spans="1:2" x14ac:dyDescent="0.2">
      <c r="A3562" s="170">
        <v>43171</v>
      </c>
      <c r="B3562" s="171">
        <v>0.92</v>
      </c>
    </row>
    <row r="3563" spans="1:2" x14ac:dyDescent="0.2">
      <c r="A3563" s="170">
        <v>43172</v>
      </c>
      <c r="B3563" s="171">
        <v>0.9</v>
      </c>
    </row>
    <row r="3564" spans="1:2" x14ac:dyDescent="0.2">
      <c r="A3564" s="170">
        <v>43173</v>
      </c>
      <c r="B3564" s="171">
        <v>0.88</v>
      </c>
    </row>
    <row r="3565" spans="1:2" x14ac:dyDescent="0.2">
      <c r="A3565" s="170">
        <v>43174</v>
      </c>
      <c r="B3565" s="171">
        <v>0.88</v>
      </c>
    </row>
    <row r="3566" spans="1:2" x14ac:dyDescent="0.2">
      <c r="A3566" s="170">
        <v>43175</v>
      </c>
      <c r="B3566" s="171">
        <v>0.91</v>
      </c>
    </row>
    <row r="3567" spans="1:2" x14ac:dyDescent="0.2">
      <c r="A3567" s="170">
        <v>43178</v>
      </c>
      <c r="B3567" s="171">
        <v>0.91</v>
      </c>
    </row>
    <row r="3568" spans="1:2" x14ac:dyDescent="0.2">
      <c r="A3568" s="170">
        <v>43179</v>
      </c>
      <c r="B3568" s="171">
        <v>0.94</v>
      </c>
    </row>
    <row r="3569" spans="1:2" x14ac:dyDescent="0.2">
      <c r="A3569" s="170">
        <v>43180</v>
      </c>
      <c r="B3569" s="171">
        <v>0.92</v>
      </c>
    </row>
    <row r="3570" spans="1:2" x14ac:dyDescent="0.2">
      <c r="A3570" s="170">
        <v>43181</v>
      </c>
      <c r="B3570" s="171">
        <v>0.89</v>
      </c>
    </row>
    <row r="3571" spans="1:2" x14ac:dyDescent="0.2">
      <c r="A3571" s="170">
        <v>43182</v>
      </c>
      <c r="B3571" s="171">
        <v>0.89</v>
      </c>
    </row>
    <row r="3572" spans="1:2" x14ac:dyDescent="0.2">
      <c r="A3572" s="170">
        <v>43185</v>
      </c>
      <c r="B3572" s="171">
        <v>0.91</v>
      </c>
    </row>
    <row r="3573" spans="1:2" x14ac:dyDescent="0.2">
      <c r="A3573" s="170">
        <v>43186</v>
      </c>
      <c r="B3573" s="171">
        <v>0.84</v>
      </c>
    </row>
    <row r="3574" spans="1:2" x14ac:dyDescent="0.2">
      <c r="A3574" s="170">
        <v>43187</v>
      </c>
      <c r="B3574" s="171">
        <v>0.84</v>
      </c>
    </row>
    <row r="3575" spans="1:2" x14ac:dyDescent="0.2">
      <c r="A3575" s="170">
        <v>43188</v>
      </c>
      <c r="B3575" s="171">
        <v>0.81</v>
      </c>
    </row>
    <row r="3576" spans="1:2" x14ac:dyDescent="0.2">
      <c r="A3576" s="170">
        <v>43189</v>
      </c>
      <c r="B3576" s="171" t="e">
        <f>NA()</f>
        <v>#N/A</v>
      </c>
    </row>
    <row r="3577" spans="1:2" x14ac:dyDescent="0.2">
      <c r="A3577" s="170">
        <v>43192</v>
      </c>
      <c r="B3577" s="171">
        <v>0.81</v>
      </c>
    </row>
    <row r="3578" spans="1:2" x14ac:dyDescent="0.2">
      <c r="A3578" s="170">
        <v>43193</v>
      </c>
      <c r="B3578" s="171">
        <v>0.84</v>
      </c>
    </row>
    <row r="3579" spans="1:2" x14ac:dyDescent="0.2">
      <c r="A3579" s="170">
        <v>43194</v>
      </c>
      <c r="B3579" s="171">
        <v>0.85</v>
      </c>
    </row>
    <row r="3580" spans="1:2" x14ac:dyDescent="0.2">
      <c r="A3580" s="170">
        <v>43195</v>
      </c>
      <c r="B3580" s="171">
        <v>0.87</v>
      </c>
    </row>
    <row r="3581" spans="1:2" x14ac:dyDescent="0.2">
      <c r="A3581" s="170">
        <v>43196</v>
      </c>
      <c r="B3581" s="171">
        <v>0.83</v>
      </c>
    </row>
    <row r="3582" spans="1:2" x14ac:dyDescent="0.2">
      <c r="A3582" s="170">
        <v>43199</v>
      </c>
      <c r="B3582" s="171">
        <v>0.83</v>
      </c>
    </row>
    <row r="3583" spans="1:2" x14ac:dyDescent="0.2">
      <c r="A3583" s="170">
        <v>43200</v>
      </c>
      <c r="B3583" s="171">
        <v>0.84</v>
      </c>
    </row>
    <row r="3584" spans="1:2" x14ac:dyDescent="0.2">
      <c r="A3584" s="170">
        <v>43201</v>
      </c>
      <c r="B3584" s="171">
        <v>0.8</v>
      </c>
    </row>
    <row r="3585" spans="1:2" x14ac:dyDescent="0.2">
      <c r="A3585" s="170">
        <v>43202</v>
      </c>
      <c r="B3585" s="171">
        <v>0.82</v>
      </c>
    </row>
    <row r="3586" spans="1:2" x14ac:dyDescent="0.2">
      <c r="A3586" s="170">
        <v>43203</v>
      </c>
      <c r="B3586" s="171">
        <v>0.79</v>
      </c>
    </row>
    <row r="3587" spans="1:2" x14ac:dyDescent="0.2">
      <c r="A3587" s="170">
        <v>43206</v>
      </c>
      <c r="B3587" s="171">
        <v>0.81</v>
      </c>
    </row>
    <row r="3588" spans="1:2" x14ac:dyDescent="0.2">
      <c r="A3588" s="170">
        <v>43207</v>
      </c>
      <c r="B3588" s="171">
        <v>0.78</v>
      </c>
    </row>
    <row r="3589" spans="1:2" x14ac:dyDescent="0.2">
      <c r="A3589" s="170">
        <v>43208</v>
      </c>
      <c r="B3589" s="171">
        <v>0.81</v>
      </c>
    </row>
    <row r="3590" spans="1:2" x14ac:dyDescent="0.2">
      <c r="A3590" s="170">
        <v>43209</v>
      </c>
      <c r="B3590" s="171">
        <v>0.84</v>
      </c>
    </row>
    <row r="3591" spans="1:2" x14ac:dyDescent="0.2">
      <c r="A3591" s="170">
        <v>43210</v>
      </c>
      <c r="B3591" s="171">
        <v>0.88</v>
      </c>
    </row>
    <row r="3592" spans="1:2" x14ac:dyDescent="0.2">
      <c r="A3592" s="170">
        <v>43213</v>
      </c>
      <c r="B3592" s="171">
        <v>0.89</v>
      </c>
    </row>
    <row r="3593" spans="1:2" x14ac:dyDescent="0.2">
      <c r="A3593" s="170">
        <v>43214</v>
      </c>
      <c r="B3593" s="171">
        <v>0.93</v>
      </c>
    </row>
    <row r="3594" spans="1:2" x14ac:dyDescent="0.2">
      <c r="A3594" s="170">
        <v>43215</v>
      </c>
      <c r="B3594" s="171">
        <v>0.95</v>
      </c>
    </row>
    <row r="3595" spans="1:2" x14ac:dyDescent="0.2">
      <c r="A3595" s="170">
        <v>43216</v>
      </c>
      <c r="B3595" s="171">
        <v>0.92</v>
      </c>
    </row>
    <row r="3596" spans="1:2" x14ac:dyDescent="0.2">
      <c r="A3596" s="170">
        <v>43217</v>
      </c>
      <c r="B3596" s="171">
        <v>0.87</v>
      </c>
    </row>
    <row r="3597" spans="1:2" x14ac:dyDescent="0.2">
      <c r="A3597" s="170">
        <v>43220</v>
      </c>
      <c r="B3597" s="171">
        <v>0.86</v>
      </c>
    </row>
    <row r="3598" spans="1:2" x14ac:dyDescent="0.2">
      <c r="A3598" s="170">
        <v>43221</v>
      </c>
      <c r="B3598" s="171">
        <v>0.89</v>
      </c>
    </row>
    <row r="3599" spans="1:2" x14ac:dyDescent="0.2">
      <c r="A3599" s="170">
        <v>43222</v>
      </c>
      <c r="B3599" s="171">
        <v>0.89</v>
      </c>
    </row>
    <row r="3600" spans="1:2" x14ac:dyDescent="0.2">
      <c r="A3600" s="170">
        <v>43223</v>
      </c>
      <c r="B3600" s="171">
        <v>0.88</v>
      </c>
    </row>
    <row r="3601" spans="1:2" x14ac:dyDescent="0.2">
      <c r="A3601" s="170">
        <v>43224</v>
      </c>
      <c r="B3601" s="171">
        <v>0.87</v>
      </c>
    </row>
    <row r="3602" spans="1:2" x14ac:dyDescent="0.2">
      <c r="A3602" s="170">
        <v>43227</v>
      </c>
      <c r="B3602" s="171">
        <v>0.88</v>
      </c>
    </row>
    <row r="3603" spans="1:2" x14ac:dyDescent="0.2">
      <c r="A3603" s="170">
        <v>43228</v>
      </c>
      <c r="B3603" s="171">
        <v>0.89</v>
      </c>
    </row>
    <row r="3604" spans="1:2" x14ac:dyDescent="0.2">
      <c r="A3604" s="170">
        <v>43229</v>
      </c>
      <c r="B3604" s="171">
        <v>0.91</v>
      </c>
    </row>
    <row r="3605" spans="1:2" x14ac:dyDescent="0.2">
      <c r="A3605" s="170">
        <v>43230</v>
      </c>
      <c r="B3605" s="171">
        <v>0.88</v>
      </c>
    </row>
    <row r="3606" spans="1:2" x14ac:dyDescent="0.2">
      <c r="A3606" s="170">
        <v>43231</v>
      </c>
      <c r="B3606" s="171">
        <v>0.88</v>
      </c>
    </row>
    <row r="3607" spans="1:2" x14ac:dyDescent="0.2">
      <c r="A3607" s="170">
        <v>43234</v>
      </c>
      <c r="B3607" s="171">
        <v>0.92</v>
      </c>
    </row>
    <row r="3608" spans="1:2" x14ac:dyDescent="0.2">
      <c r="A3608" s="170">
        <v>43235</v>
      </c>
      <c r="B3608" s="171">
        <v>0.97</v>
      </c>
    </row>
    <row r="3609" spans="1:2" x14ac:dyDescent="0.2">
      <c r="A3609" s="170">
        <v>43236</v>
      </c>
      <c r="B3609" s="171">
        <v>0.98</v>
      </c>
    </row>
    <row r="3610" spans="1:2" x14ac:dyDescent="0.2">
      <c r="A3610" s="170">
        <v>43237</v>
      </c>
      <c r="B3610" s="171">
        <v>1.02</v>
      </c>
    </row>
    <row r="3611" spans="1:2" x14ac:dyDescent="0.2">
      <c r="A3611" s="170">
        <v>43238</v>
      </c>
      <c r="B3611" s="171">
        <v>0.99</v>
      </c>
    </row>
    <row r="3612" spans="1:2" x14ac:dyDescent="0.2">
      <c r="A3612" s="170">
        <v>43241</v>
      </c>
      <c r="B3612" s="171">
        <v>0.99</v>
      </c>
    </row>
    <row r="3613" spans="1:2" x14ac:dyDescent="0.2">
      <c r="A3613" s="170">
        <v>43242</v>
      </c>
      <c r="B3613" s="171">
        <v>0.98</v>
      </c>
    </row>
    <row r="3614" spans="1:2" x14ac:dyDescent="0.2">
      <c r="A3614" s="170">
        <v>43243</v>
      </c>
      <c r="B3614" s="171">
        <v>0.96</v>
      </c>
    </row>
    <row r="3615" spans="1:2" x14ac:dyDescent="0.2">
      <c r="A3615" s="170">
        <v>43244</v>
      </c>
      <c r="B3615" s="171">
        <v>0.95</v>
      </c>
    </row>
    <row r="3616" spans="1:2" x14ac:dyDescent="0.2">
      <c r="A3616" s="170">
        <v>43245</v>
      </c>
      <c r="B3616" s="171">
        <v>0.92</v>
      </c>
    </row>
    <row r="3617" spans="1:2" x14ac:dyDescent="0.2">
      <c r="A3617" s="170">
        <v>43248</v>
      </c>
      <c r="B3617" s="171" t="e">
        <f>NA()</f>
        <v>#N/A</v>
      </c>
    </row>
    <row r="3618" spans="1:2" x14ac:dyDescent="0.2">
      <c r="A3618" s="170">
        <v>43249</v>
      </c>
      <c r="B3618" s="171">
        <v>0.83</v>
      </c>
    </row>
    <row r="3619" spans="1:2" x14ac:dyDescent="0.2">
      <c r="A3619" s="170">
        <v>43250</v>
      </c>
      <c r="B3619" s="171">
        <v>0.87</v>
      </c>
    </row>
    <row r="3620" spans="1:2" x14ac:dyDescent="0.2">
      <c r="A3620" s="170">
        <v>43251</v>
      </c>
      <c r="B3620" s="171">
        <v>0.84</v>
      </c>
    </row>
    <row r="3621" spans="1:2" x14ac:dyDescent="0.2">
      <c r="A3621" s="170">
        <v>43252</v>
      </c>
      <c r="B3621" s="171">
        <v>0.89</v>
      </c>
    </row>
    <row r="3622" spans="1:2" x14ac:dyDescent="0.2">
      <c r="A3622" s="170">
        <v>43255</v>
      </c>
      <c r="B3622" s="171">
        <v>0.9</v>
      </c>
    </row>
    <row r="3623" spans="1:2" x14ac:dyDescent="0.2">
      <c r="A3623" s="170">
        <v>43256</v>
      </c>
      <c r="B3623" s="171">
        <v>0.87</v>
      </c>
    </row>
    <row r="3624" spans="1:2" x14ac:dyDescent="0.2">
      <c r="A3624" s="170">
        <v>43257</v>
      </c>
      <c r="B3624" s="171">
        <v>0.91</v>
      </c>
    </row>
    <row r="3625" spans="1:2" x14ac:dyDescent="0.2">
      <c r="A3625" s="170">
        <v>43258</v>
      </c>
      <c r="B3625" s="171">
        <v>0.89</v>
      </c>
    </row>
    <row r="3626" spans="1:2" x14ac:dyDescent="0.2">
      <c r="A3626" s="170">
        <v>43259</v>
      </c>
      <c r="B3626" s="171">
        <v>0.9</v>
      </c>
    </row>
    <row r="3627" spans="1:2" x14ac:dyDescent="0.2">
      <c r="A3627" s="170">
        <v>43262</v>
      </c>
      <c r="B3627" s="171">
        <v>0.91</v>
      </c>
    </row>
    <row r="3628" spans="1:2" x14ac:dyDescent="0.2">
      <c r="A3628" s="170">
        <v>43263</v>
      </c>
      <c r="B3628" s="171">
        <v>0.91</v>
      </c>
    </row>
    <row r="3629" spans="1:2" x14ac:dyDescent="0.2">
      <c r="A3629" s="170">
        <v>43264</v>
      </c>
      <c r="B3629" s="171">
        <v>0.94</v>
      </c>
    </row>
    <row r="3630" spans="1:2" x14ac:dyDescent="0.2">
      <c r="A3630" s="170">
        <v>43265</v>
      </c>
      <c r="B3630" s="171">
        <v>0.89</v>
      </c>
    </row>
    <row r="3631" spans="1:2" x14ac:dyDescent="0.2">
      <c r="A3631" s="170">
        <v>43266</v>
      </c>
      <c r="B3631" s="171">
        <v>0.88</v>
      </c>
    </row>
    <row r="3632" spans="1:2" x14ac:dyDescent="0.2">
      <c r="A3632" s="170">
        <v>43269</v>
      </c>
      <c r="B3632" s="171">
        <v>0.87</v>
      </c>
    </row>
    <row r="3633" spans="1:2" x14ac:dyDescent="0.2">
      <c r="A3633" s="170">
        <v>43270</v>
      </c>
      <c r="B3633" s="171">
        <v>0.85</v>
      </c>
    </row>
    <row r="3634" spans="1:2" x14ac:dyDescent="0.2">
      <c r="A3634" s="170">
        <v>43271</v>
      </c>
      <c r="B3634" s="171">
        <v>0.89</v>
      </c>
    </row>
    <row r="3635" spans="1:2" x14ac:dyDescent="0.2">
      <c r="A3635" s="170">
        <v>43272</v>
      </c>
      <c r="B3635" s="171">
        <v>0.88</v>
      </c>
    </row>
    <row r="3636" spans="1:2" x14ac:dyDescent="0.2">
      <c r="A3636" s="170">
        <v>43273</v>
      </c>
      <c r="B3636" s="171">
        <v>0.86</v>
      </c>
    </row>
    <row r="3637" spans="1:2" x14ac:dyDescent="0.2">
      <c r="A3637" s="170">
        <v>43276</v>
      </c>
      <c r="B3637" s="171">
        <v>0.85</v>
      </c>
    </row>
    <row r="3638" spans="1:2" x14ac:dyDescent="0.2">
      <c r="A3638" s="170">
        <v>43277</v>
      </c>
      <c r="B3638" s="171">
        <v>0.84</v>
      </c>
    </row>
    <row r="3639" spans="1:2" x14ac:dyDescent="0.2">
      <c r="A3639" s="170">
        <v>43278</v>
      </c>
      <c r="B3639" s="171">
        <v>0.8</v>
      </c>
    </row>
    <row r="3640" spans="1:2" x14ac:dyDescent="0.2">
      <c r="A3640" s="170">
        <v>43279</v>
      </c>
      <c r="B3640" s="171">
        <v>0.82</v>
      </c>
    </row>
    <row r="3641" spans="1:2" x14ac:dyDescent="0.2">
      <c r="A3641" s="170">
        <v>43280</v>
      </c>
      <c r="B3641" s="171">
        <v>0.81</v>
      </c>
    </row>
    <row r="3642" spans="1:2" x14ac:dyDescent="0.2">
      <c r="A3642" s="170">
        <v>43283</v>
      </c>
      <c r="B3642" s="171">
        <v>0.8</v>
      </c>
    </row>
    <row r="3643" spans="1:2" x14ac:dyDescent="0.2">
      <c r="A3643" s="170">
        <v>43284</v>
      </c>
      <c r="B3643" s="171">
        <v>0.78</v>
      </c>
    </row>
    <row r="3644" spans="1:2" x14ac:dyDescent="0.2">
      <c r="A3644" s="170">
        <v>43285</v>
      </c>
      <c r="B3644" s="171" t="e">
        <f>NA()</f>
        <v>#N/A</v>
      </c>
    </row>
    <row r="3645" spans="1:2" x14ac:dyDescent="0.2">
      <c r="A3645" s="170">
        <v>43286</v>
      </c>
      <c r="B3645" s="171">
        <v>0.77</v>
      </c>
    </row>
    <row r="3646" spans="1:2" x14ac:dyDescent="0.2">
      <c r="A3646" s="170">
        <v>43287</v>
      </c>
      <c r="B3646" s="171">
        <v>0.77</v>
      </c>
    </row>
    <row r="3647" spans="1:2" x14ac:dyDescent="0.2">
      <c r="A3647" s="170">
        <v>43290</v>
      </c>
      <c r="B3647" s="171">
        <v>0.8</v>
      </c>
    </row>
    <row r="3648" spans="1:2" x14ac:dyDescent="0.2">
      <c r="A3648" s="170">
        <v>43291</v>
      </c>
      <c r="B3648" s="171">
        <v>0.81</v>
      </c>
    </row>
    <row r="3649" spans="1:2" x14ac:dyDescent="0.2">
      <c r="A3649" s="170">
        <v>43292</v>
      </c>
      <c r="B3649" s="171">
        <v>0.8</v>
      </c>
    </row>
    <row r="3650" spans="1:2" x14ac:dyDescent="0.2">
      <c r="A3650" s="170">
        <v>43293</v>
      </c>
      <c r="B3650" s="171">
        <v>0.8</v>
      </c>
    </row>
    <row r="3651" spans="1:2" x14ac:dyDescent="0.2">
      <c r="A3651" s="170">
        <v>43294</v>
      </c>
      <c r="B3651" s="171">
        <v>0.78</v>
      </c>
    </row>
    <row r="3652" spans="1:2" x14ac:dyDescent="0.2">
      <c r="A3652" s="170">
        <v>43297</v>
      </c>
      <c r="B3652" s="171">
        <v>0.81</v>
      </c>
    </row>
    <row r="3653" spans="1:2" x14ac:dyDescent="0.2">
      <c r="A3653" s="170">
        <v>43298</v>
      </c>
      <c r="B3653" s="171">
        <v>0.82</v>
      </c>
    </row>
    <row r="3654" spans="1:2" x14ac:dyDescent="0.2">
      <c r="A3654" s="170">
        <v>43299</v>
      </c>
      <c r="B3654" s="171">
        <v>0.85</v>
      </c>
    </row>
    <row r="3655" spans="1:2" x14ac:dyDescent="0.2">
      <c r="A3655" s="170">
        <v>43300</v>
      </c>
      <c r="B3655" s="171">
        <v>0.81</v>
      </c>
    </row>
    <row r="3656" spans="1:2" x14ac:dyDescent="0.2">
      <c r="A3656" s="170">
        <v>43301</v>
      </c>
      <c r="B3656" s="171">
        <v>0.85</v>
      </c>
    </row>
    <row r="3657" spans="1:2" x14ac:dyDescent="0.2">
      <c r="A3657" s="170">
        <v>43304</v>
      </c>
      <c r="B3657" s="171">
        <v>0.92</v>
      </c>
    </row>
    <row r="3658" spans="1:2" x14ac:dyDescent="0.2">
      <c r="A3658" s="170">
        <v>43305</v>
      </c>
      <c r="B3658" s="171">
        <v>0.9</v>
      </c>
    </row>
    <row r="3659" spans="1:2" x14ac:dyDescent="0.2">
      <c r="A3659" s="170">
        <v>43306</v>
      </c>
      <c r="B3659" s="171">
        <v>0.88</v>
      </c>
    </row>
    <row r="3660" spans="1:2" x14ac:dyDescent="0.2">
      <c r="A3660" s="170">
        <v>43307</v>
      </c>
      <c r="B3660" s="171">
        <v>0.92</v>
      </c>
    </row>
    <row r="3661" spans="1:2" x14ac:dyDescent="0.2">
      <c r="A3661" s="170">
        <v>43308</v>
      </c>
      <c r="B3661" s="171">
        <v>0.89</v>
      </c>
    </row>
    <row r="3662" spans="1:2" x14ac:dyDescent="0.2">
      <c r="A3662" s="170">
        <v>43311</v>
      </c>
      <c r="B3662" s="171">
        <v>0.91</v>
      </c>
    </row>
    <row r="3663" spans="1:2" x14ac:dyDescent="0.2">
      <c r="A3663" s="170">
        <v>43312</v>
      </c>
      <c r="B3663" s="171">
        <v>0.88</v>
      </c>
    </row>
    <row r="3664" spans="1:2" x14ac:dyDescent="0.2">
      <c r="A3664" s="170">
        <v>43313</v>
      </c>
      <c r="B3664" s="171">
        <v>0.93</v>
      </c>
    </row>
    <row r="3665" spans="1:2" x14ac:dyDescent="0.2">
      <c r="A3665" s="170">
        <v>43314</v>
      </c>
      <c r="B3665" s="171">
        <v>0.92</v>
      </c>
    </row>
    <row r="3666" spans="1:2" x14ac:dyDescent="0.2">
      <c r="A3666" s="170">
        <v>43315</v>
      </c>
      <c r="B3666" s="171">
        <v>0.9</v>
      </c>
    </row>
    <row r="3667" spans="1:2" x14ac:dyDescent="0.2">
      <c r="A3667" s="170">
        <v>43318</v>
      </c>
      <c r="B3667" s="171">
        <v>0.9</v>
      </c>
    </row>
    <row r="3668" spans="1:2" x14ac:dyDescent="0.2">
      <c r="A3668" s="170">
        <v>43319</v>
      </c>
      <c r="B3668" s="171">
        <v>0.92</v>
      </c>
    </row>
    <row r="3669" spans="1:2" x14ac:dyDescent="0.2">
      <c r="A3669" s="170">
        <v>43320</v>
      </c>
      <c r="B3669" s="171">
        <v>0.91</v>
      </c>
    </row>
    <row r="3670" spans="1:2" x14ac:dyDescent="0.2">
      <c r="A3670" s="170">
        <v>43321</v>
      </c>
      <c r="B3670" s="171">
        <v>0.88</v>
      </c>
    </row>
    <row r="3671" spans="1:2" x14ac:dyDescent="0.2">
      <c r="A3671" s="170">
        <v>43322</v>
      </c>
      <c r="B3671" s="171">
        <v>0.86</v>
      </c>
    </row>
    <row r="3672" spans="1:2" x14ac:dyDescent="0.2">
      <c r="A3672" s="170">
        <v>43325</v>
      </c>
      <c r="B3672" s="171">
        <v>0.86</v>
      </c>
    </row>
    <row r="3673" spans="1:2" x14ac:dyDescent="0.2">
      <c r="A3673" s="170">
        <v>43326</v>
      </c>
      <c r="B3673" s="171">
        <v>0.88</v>
      </c>
    </row>
    <row r="3674" spans="1:2" x14ac:dyDescent="0.2">
      <c r="A3674" s="170">
        <v>43327</v>
      </c>
      <c r="B3674" s="171">
        <v>0.86</v>
      </c>
    </row>
    <row r="3675" spans="1:2" x14ac:dyDescent="0.2">
      <c r="A3675" s="170">
        <v>43328</v>
      </c>
      <c r="B3675" s="171">
        <v>0.86</v>
      </c>
    </row>
    <row r="3676" spans="1:2" x14ac:dyDescent="0.2">
      <c r="A3676" s="170">
        <v>43329</v>
      </c>
      <c r="B3676" s="171">
        <v>0.85</v>
      </c>
    </row>
    <row r="3677" spans="1:2" x14ac:dyDescent="0.2">
      <c r="A3677" s="170">
        <v>43332</v>
      </c>
      <c r="B3677" s="171">
        <v>0.82</v>
      </c>
    </row>
    <row r="3678" spans="1:2" x14ac:dyDescent="0.2">
      <c r="A3678" s="170">
        <v>43333</v>
      </c>
      <c r="B3678" s="171">
        <v>0.84</v>
      </c>
    </row>
    <row r="3679" spans="1:2" x14ac:dyDescent="0.2">
      <c r="A3679" s="170">
        <v>43334</v>
      </c>
      <c r="B3679" s="171">
        <v>0.82</v>
      </c>
    </row>
    <row r="3680" spans="1:2" x14ac:dyDescent="0.2">
      <c r="A3680" s="170">
        <v>43335</v>
      </c>
      <c r="B3680" s="171">
        <v>0.81</v>
      </c>
    </row>
    <row r="3681" spans="1:2" x14ac:dyDescent="0.2">
      <c r="A3681" s="170">
        <v>43336</v>
      </c>
      <c r="B3681" s="171">
        <v>0.79</v>
      </c>
    </row>
    <row r="3682" spans="1:2" x14ac:dyDescent="0.2">
      <c r="A3682" s="170">
        <v>43339</v>
      </c>
      <c r="B3682" s="171">
        <v>0.81</v>
      </c>
    </row>
    <row r="3683" spans="1:2" x14ac:dyDescent="0.2">
      <c r="A3683" s="170">
        <v>43340</v>
      </c>
      <c r="B3683" s="171">
        <v>0.84</v>
      </c>
    </row>
    <row r="3684" spans="1:2" x14ac:dyDescent="0.2">
      <c r="A3684" s="170">
        <v>43341</v>
      </c>
      <c r="B3684" s="171">
        <v>0.83</v>
      </c>
    </row>
    <row r="3685" spans="1:2" x14ac:dyDescent="0.2">
      <c r="A3685" s="170">
        <v>43342</v>
      </c>
      <c r="B3685" s="171">
        <v>0.82</v>
      </c>
    </row>
    <row r="3686" spans="1:2" x14ac:dyDescent="0.2">
      <c r="A3686" s="170">
        <v>43343</v>
      </c>
      <c r="B3686" s="171">
        <v>0.85</v>
      </c>
    </row>
    <row r="3687" spans="1:2" x14ac:dyDescent="0.2">
      <c r="A3687" s="170">
        <v>43346</v>
      </c>
      <c r="B3687" s="171" t="e">
        <f>NA()</f>
        <v>#N/A</v>
      </c>
    </row>
    <row r="3688" spans="1:2" x14ac:dyDescent="0.2">
      <c r="A3688" s="170">
        <v>43347</v>
      </c>
      <c r="B3688" s="171">
        <v>0.88</v>
      </c>
    </row>
    <row r="3689" spans="1:2" x14ac:dyDescent="0.2">
      <c r="A3689" s="170">
        <v>43348</v>
      </c>
      <c r="B3689" s="171">
        <v>0.89</v>
      </c>
    </row>
    <row r="3690" spans="1:2" x14ac:dyDescent="0.2">
      <c r="A3690" s="170">
        <v>43349</v>
      </c>
      <c r="B3690" s="171">
        <v>0.88</v>
      </c>
    </row>
    <row r="3691" spans="1:2" x14ac:dyDescent="0.2">
      <c r="A3691" s="170">
        <v>43350</v>
      </c>
      <c r="B3691" s="171">
        <v>0.92</v>
      </c>
    </row>
    <row r="3692" spans="1:2" x14ac:dyDescent="0.2">
      <c r="A3692" s="170">
        <v>43353</v>
      </c>
      <c r="B3692" s="171">
        <v>0.9</v>
      </c>
    </row>
    <row r="3693" spans="1:2" x14ac:dyDescent="0.2">
      <c r="A3693" s="170">
        <v>43354</v>
      </c>
      <c r="B3693" s="171">
        <v>0.92</v>
      </c>
    </row>
    <row r="3694" spans="1:2" x14ac:dyDescent="0.2">
      <c r="A3694" s="170">
        <v>43355</v>
      </c>
      <c r="B3694" s="171">
        <v>0.92</v>
      </c>
    </row>
    <row r="3695" spans="1:2" x14ac:dyDescent="0.2">
      <c r="A3695" s="170">
        <v>43356</v>
      </c>
      <c r="B3695" s="171">
        <v>0.93</v>
      </c>
    </row>
    <row r="3696" spans="1:2" x14ac:dyDescent="0.2">
      <c r="A3696" s="170">
        <v>43357</v>
      </c>
      <c r="B3696" s="171">
        <v>0.95</v>
      </c>
    </row>
    <row r="3697" spans="1:2" x14ac:dyDescent="0.2">
      <c r="A3697" s="170">
        <v>43360</v>
      </c>
      <c r="B3697" s="171">
        <v>0.95</v>
      </c>
    </row>
    <row r="3698" spans="1:2" x14ac:dyDescent="0.2">
      <c r="A3698" s="170">
        <v>43361</v>
      </c>
      <c r="B3698" s="171">
        <v>0.98</v>
      </c>
    </row>
    <row r="3699" spans="1:2" x14ac:dyDescent="0.2">
      <c r="A3699" s="170">
        <v>43362</v>
      </c>
      <c r="B3699" s="171">
        <v>1</v>
      </c>
    </row>
    <row r="3700" spans="1:2" x14ac:dyDescent="0.2">
      <c r="A3700" s="170">
        <v>43363</v>
      </c>
      <c r="B3700" s="171">
        <v>0.98</v>
      </c>
    </row>
    <row r="3701" spans="1:2" x14ac:dyDescent="0.2">
      <c r="A3701" s="170">
        <v>43364</v>
      </c>
      <c r="B3701" s="171">
        <v>0.98</v>
      </c>
    </row>
    <row r="3702" spans="1:2" x14ac:dyDescent="0.2">
      <c r="A3702" s="170">
        <v>43367</v>
      </c>
      <c r="B3702" s="171">
        <v>0.98</v>
      </c>
    </row>
    <row r="3703" spans="1:2" x14ac:dyDescent="0.2">
      <c r="A3703" s="170">
        <v>43368</v>
      </c>
      <c r="B3703" s="171">
        <v>0.99</v>
      </c>
    </row>
    <row r="3704" spans="1:2" x14ac:dyDescent="0.2">
      <c r="A3704" s="170">
        <v>43369</v>
      </c>
      <c r="B3704" s="171">
        <v>0.97</v>
      </c>
    </row>
    <row r="3705" spans="1:2" x14ac:dyDescent="0.2">
      <c r="A3705" s="170">
        <v>43370</v>
      </c>
      <c r="B3705" s="171">
        <v>0.97</v>
      </c>
    </row>
    <row r="3706" spans="1:2" x14ac:dyDescent="0.2">
      <c r="A3706" s="170">
        <v>43371</v>
      </c>
      <c r="B3706" s="171">
        <v>0.97</v>
      </c>
    </row>
    <row r="3707" spans="1:2" x14ac:dyDescent="0.2">
      <c r="A3707" s="170">
        <v>43374</v>
      </c>
      <c r="B3707" s="171">
        <v>1.03</v>
      </c>
    </row>
    <row r="3708" spans="1:2" x14ac:dyDescent="0.2">
      <c r="A3708" s="170">
        <v>43375</v>
      </c>
      <c r="B3708" s="171">
        <v>1</v>
      </c>
    </row>
    <row r="3709" spans="1:2" x14ac:dyDescent="0.2">
      <c r="A3709" s="170">
        <v>43376</v>
      </c>
      <c r="B3709" s="171">
        <v>1.06</v>
      </c>
    </row>
    <row r="3710" spans="1:2" x14ac:dyDescent="0.2">
      <c r="A3710" s="170">
        <v>43377</v>
      </c>
      <c r="B3710" s="171">
        <v>1.1100000000000001</v>
      </c>
    </row>
    <row r="3711" spans="1:2" x14ac:dyDescent="0.2">
      <c r="A3711" s="170">
        <v>43378</v>
      </c>
      <c r="B3711" s="171">
        <v>1.1499999999999999</v>
      </c>
    </row>
    <row r="3712" spans="1:2" x14ac:dyDescent="0.2">
      <c r="A3712" s="170">
        <v>43381</v>
      </c>
      <c r="B3712" s="171" t="e">
        <f>NA()</f>
        <v>#N/A</v>
      </c>
    </row>
    <row r="3713" spans="1:2" x14ac:dyDescent="0.2">
      <c r="A3713" s="170">
        <v>43382</v>
      </c>
      <c r="B3713" s="171">
        <v>1.1200000000000001</v>
      </c>
    </row>
    <row r="3714" spans="1:2" x14ac:dyDescent="0.2">
      <c r="A3714" s="170">
        <v>43383</v>
      </c>
      <c r="B3714" s="171">
        <v>1.1499999999999999</v>
      </c>
    </row>
    <row r="3715" spans="1:2" x14ac:dyDescent="0.2">
      <c r="A3715" s="170">
        <v>43384</v>
      </c>
      <c r="B3715" s="171">
        <v>1.1100000000000001</v>
      </c>
    </row>
    <row r="3716" spans="1:2" x14ac:dyDescent="0.2">
      <c r="A3716" s="170">
        <v>43385</v>
      </c>
      <c r="B3716" s="171">
        <v>1.1200000000000001</v>
      </c>
    </row>
    <row r="3717" spans="1:2" x14ac:dyDescent="0.2">
      <c r="A3717" s="170">
        <v>43388</v>
      </c>
      <c r="B3717" s="171">
        <v>1.1200000000000001</v>
      </c>
    </row>
    <row r="3718" spans="1:2" x14ac:dyDescent="0.2">
      <c r="A3718" s="170">
        <v>43389</v>
      </c>
      <c r="B3718" s="171">
        <v>1.1200000000000001</v>
      </c>
    </row>
    <row r="3719" spans="1:2" x14ac:dyDescent="0.2">
      <c r="A3719" s="170">
        <v>43390</v>
      </c>
      <c r="B3719" s="171">
        <v>1.1499999999999999</v>
      </c>
    </row>
    <row r="3720" spans="1:2" x14ac:dyDescent="0.2">
      <c r="A3720" s="170">
        <v>43391</v>
      </c>
      <c r="B3720" s="171">
        <v>1.17</v>
      </c>
    </row>
    <row r="3721" spans="1:2" x14ac:dyDescent="0.2">
      <c r="A3721" s="170">
        <v>43392</v>
      </c>
      <c r="B3721" s="171">
        <v>1.18</v>
      </c>
    </row>
    <row r="3722" spans="1:2" x14ac:dyDescent="0.2">
      <c r="A3722" s="170">
        <v>43395</v>
      </c>
      <c r="B3722" s="171">
        <v>1.19</v>
      </c>
    </row>
    <row r="3723" spans="1:2" x14ac:dyDescent="0.2">
      <c r="A3723" s="170">
        <v>43396</v>
      </c>
      <c r="B3723" s="171">
        <v>1.18</v>
      </c>
    </row>
    <row r="3724" spans="1:2" x14ac:dyDescent="0.2">
      <c r="A3724" s="170">
        <v>43397</v>
      </c>
      <c r="B3724" s="171">
        <v>1.1499999999999999</v>
      </c>
    </row>
    <row r="3725" spans="1:2" x14ac:dyDescent="0.2">
      <c r="A3725" s="170">
        <v>43398</v>
      </c>
      <c r="B3725" s="171">
        <v>1.2</v>
      </c>
    </row>
    <row r="3726" spans="1:2" x14ac:dyDescent="0.2">
      <c r="A3726" s="170">
        <v>43399</v>
      </c>
      <c r="B3726" s="171">
        <v>1.1399999999999999</v>
      </c>
    </row>
    <row r="3727" spans="1:2" x14ac:dyDescent="0.2">
      <c r="A3727" s="170">
        <v>43402</v>
      </c>
      <c r="B3727" s="171">
        <v>1.1499999999999999</v>
      </c>
    </row>
    <row r="3728" spans="1:2" x14ac:dyDescent="0.2">
      <c r="A3728" s="170">
        <v>43403</v>
      </c>
      <c r="B3728" s="171">
        <v>1.19</v>
      </c>
    </row>
    <row r="3729" spans="1:2" x14ac:dyDescent="0.2">
      <c r="A3729" s="170">
        <v>43404</v>
      </c>
      <c r="B3729" s="171">
        <v>1.21</v>
      </c>
    </row>
    <row r="3730" spans="1:2" x14ac:dyDescent="0.2">
      <c r="A3730" s="170">
        <v>43405</v>
      </c>
      <c r="B3730" s="171">
        <v>1.23</v>
      </c>
    </row>
    <row r="3731" spans="1:2" x14ac:dyDescent="0.2">
      <c r="A3731" s="170">
        <v>43406</v>
      </c>
      <c r="B3731" s="171">
        <v>1.27</v>
      </c>
    </row>
    <row r="3732" spans="1:2" x14ac:dyDescent="0.2">
      <c r="A3732" s="170">
        <v>43409</v>
      </c>
      <c r="B3732" s="171">
        <v>1.25</v>
      </c>
    </row>
    <row r="3733" spans="1:2" x14ac:dyDescent="0.2">
      <c r="A3733" s="170">
        <v>43410</v>
      </c>
      <c r="B3733" s="171">
        <v>1.25</v>
      </c>
    </row>
    <row r="3734" spans="1:2" x14ac:dyDescent="0.2">
      <c r="A3734" s="170">
        <v>43411</v>
      </c>
      <c r="B3734" s="171">
        <v>1.25</v>
      </c>
    </row>
    <row r="3735" spans="1:2" x14ac:dyDescent="0.2">
      <c r="A3735" s="170">
        <v>43412</v>
      </c>
      <c r="B3735" s="171">
        <v>1.24</v>
      </c>
    </row>
    <row r="3736" spans="1:2" x14ac:dyDescent="0.2">
      <c r="A3736" s="170">
        <v>43413</v>
      </c>
      <c r="B3736" s="171">
        <v>1.24</v>
      </c>
    </row>
    <row r="3737" spans="1:2" x14ac:dyDescent="0.2">
      <c r="A3737" s="170">
        <v>43416</v>
      </c>
      <c r="B3737" s="171" t="e">
        <f>NA()</f>
        <v>#N/A</v>
      </c>
    </row>
    <row r="3738" spans="1:2" x14ac:dyDescent="0.2">
      <c r="A3738" s="170">
        <v>43417</v>
      </c>
      <c r="B3738" s="171">
        <v>1.22</v>
      </c>
    </row>
    <row r="3739" spans="1:2" x14ac:dyDescent="0.2">
      <c r="A3739" s="170">
        <v>43418</v>
      </c>
      <c r="B3739" s="171">
        <v>1.22</v>
      </c>
    </row>
    <row r="3740" spans="1:2" x14ac:dyDescent="0.2">
      <c r="A3740" s="170">
        <v>43419</v>
      </c>
      <c r="B3740" s="171">
        <v>1.21</v>
      </c>
    </row>
    <row r="3741" spans="1:2" x14ac:dyDescent="0.2">
      <c r="A3741" s="170">
        <v>43420</v>
      </c>
      <c r="B3741" s="171">
        <v>1.17</v>
      </c>
    </row>
    <row r="3742" spans="1:2" x14ac:dyDescent="0.2">
      <c r="A3742" s="170">
        <v>43423</v>
      </c>
      <c r="B3742" s="171">
        <v>1.17</v>
      </c>
    </row>
    <row r="3743" spans="1:2" x14ac:dyDescent="0.2">
      <c r="A3743" s="170">
        <v>43424</v>
      </c>
      <c r="B3743" s="171">
        <v>1.19</v>
      </c>
    </row>
    <row r="3744" spans="1:2" x14ac:dyDescent="0.2">
      <c r="A3744" s="170">
        <v>43425</v>
      </c>
      <c r="B3744" s="171">
        <v>1.2</v>
      </c>
    </row>
    <row r="3745" spans="1:2" x14ac:dyDescent="0.2">
      <c r="A3745" s="170">
        <v>43426</v>
      </c>
      <c r="B3745" s="171" t="e">
        <f>NA()</f>
        <v>#N/A</v>
      </c>
    </row>
    <row r="3746" spans="1:2" x14ac:dyDescent="0.2">
      <c r="A3746" s="170">
        <v>43427</v>
      </c>
      <c r="B3746" s="171">
        <v>1.18</v>
      </c>
    </row>
    <row r="3747" spans="1:2" x14ac:dyDescent="0.2">
      <c r="A3747" s="170">
        <v>43430</v>
      </c>
      <c r="B3747" s="171">
        <v>1.2</v>
      </c>
    </row>
    <row r="3748" spans="1:2" x14ac:dyDescent="0.2">
      <c r="A3748" s="170">
        <v>43431</v>
      </c>
      <c r="B3748" s="171">
        <v>1.24</v>
      </c>
    </row>
    <row r="3749" spans="1:2" x14ac:dyDescent="0.2">
      <c r="A3749" s="170">
        <v>43432</v>
      </c>
      <c r="B3749" s="171">
        <v>1.23</v>
      </c>
    </row>
    <row r="3750" spans="1:2" x14ac:dyDescent="0.2">
      <c r="A3750" s="170">
        <v>43433</v>
      </c>
      <c r="B3750" s="171">
        <v>1.1599999999999999</v>
      </c>
    </row>
    <row r="3751" spans="1:2" x14ac:dyDescent="0.2">
      <c r="A3751" s="170">
        <v>43434</v>
      </c>
      <c r="B3751" s="171">
        <v>1.1499999999999999</v>
      </c>
    </row>
    <row r="3752" spans="1:2" x14ac:dyDescent="0.2">
      <c r="A3752" s="170">
        <v>43437</v>
      </c>
      <c r="B3752" s="171">
        <v>1.1299999999999999</v>
      </c>
    </row>
    <row r="3753" spans="1:2" x14ac:dyDescent="0.2">
      <c r="A3753" s="170">
        <v>43438</v>
      </c>
      <c r="B3753" s="171">
        <v>1.06</v>
      </c>
    </row>
    <row r="3754" spans="1:2" x14ac:dyDescent="0.2">
      <c r="A3754" s="170">
        <v>43439</v>
      </c>
      <c r="B3754" s="171" t="e">
        <f>NA()</f>
        <v>#N/A</v>
      </c>
    </row>
    <row r="3755" spans="1:2" x14ac:dyDescent="0.2">
      <c r="A3755" s="170">
        <v>43440</v>
      </c>
      <c r="B3755" s="171">
        <v>1.08</v>
      </c>
    </row>
    <row r="3756" spans="1:2" x14ac:dyDescent="0.2">
      <c r="A3756" s="170">
        <v>43441</v>
      </c>
      <c r="B3756" s="171">
        <v>1.06</v>
      </c>
    </row>
    <row r="3757" spans="1:2" x14ac:dyDescent="0.2">
      <c r="A3757" s="170">
        <v>43444</v>
      </c>
      <c r="B3757" s="171">
        <v>1.1000000000000001</v>
      </c>
    </row>
    <row r="3758" spans="1:2" x14ac:dyDescent="0.2">
      <c r="A3758" s="170">
        <v>43445</v>
      </c>
      <c r="B3758" s="171">
        <v>1.1599999999999999</v>
      </c>
    </row>
    <row r="3759" spans="1:2" x14ac:dyDescent="0.2">
      <c r="A3759" s="170">
        <v>43446</v>
      </c>
      <c r="B3759" s="171">
        <v>1.1599999999999999</v>
      </c>
    </row>
    <row r="3760" spans="1:2" x14ac:dyDescent="0.2">
      <c r="A3760" s="170">
        <v>43447</v>
      </c>
      <c r="B3760" s="171">
        <v>1.18</v>
      </c>
    </row>
    <row r="3761" spans="1:2" x14ac:dyDescent="0.2">
      <c r="A3761" s="170">
        <v>43448</v>
      </c>
      <c r="B3761" s="171">
        <v>1.1499999999999999</v>
      </c>
    </row>
  </sheetData>
  <hyperlinks>
    <hyperlink ref="A5" r:id="rId1"/>
    <hyperlink ref="F5" r:id="rId2"/>
    <hyperlink ref="K5" r:id="rId3"/>
  </hyperlinks>
  <pageMargins left="0.75" right="0.75" top="1" bottom="1" header="0.5" footer="0.5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K6583"/>
  <sheetViews>
    <sheetView workbookViewId="0">
      <pane ySplit="7" topLeftCell="A785" activePane="bottomLeft" state="frozen"/>
      <selection activeCell="B33" sqref="B33"/>
      <selection pane="bottomLeft"/>
    </sheetView>
  </sheetViews>
  <sheetFormatPr defaultColWidth="11.875" defaultRowHeight="12.75" x14ac:dyDescent="0.2"/>
  <cols>
    <col min="1" max="1" width="11.875" style="170"/>
    <col min="2" max="5" width="11.875" style="171"/>
    <col min="6" max="6" width="11.875" style="170"/>
    <col min="7" max="7" width="11.875" style="171"/>
    <col min="8" max="9" width="11.875" style="172"/>
    <col min="10" max="10" width="11.875" style="170"/>
    <col min="11" max="11" width="11.875" style="171"/>
    <col min="12" max="16384" width="11.875" style="172"/>
  </cols>
  <sheetData>
    <row r="1" spans="1:11" x14ac:dyDescent="0.2">
      <c r="A1" s="170" t="s">
        <v>409</v>
      </c>
      <c r="F1" s="178" t="s">
        <v>410</v>
      </c>
      <c r="J1" s="178" t="s">
        <v>411</v>
      </c>
    </row>
    <row r="2" spans="1:11" ht="14.25" x14ac:dyDescent="0.2">
      <c r="A2" s="170" t="s">
        <v>398</v>
      </c>
      <c r="B2" s="33" t="s">
        <v>399</v>
      </c>
      <c r="F2" s="170" t="s">
        <v>398</v>
      </c>
      <c r="G2" s="33" t="s">
        <v>399</v>
      </c>
      <c r="J2" s="170" t="s">
        <v>398</v>
      </c>
      <c r="K2" s="33" t="s">
        <v>399</v>
      </c>
    </row>
    <row r="3" spans="1:11" x14ac:dyDescent="0.2">
      <c r="A3" s="170" t="s">
        <v>11</v>
      </c>
      <c r="B3" s="171" t="s">
        <v>400</v>
      </c>
      <c r="F3" s="170" t="s">
        <v>401</v>
      </c>
      <c r="G3" s="171" t="s">
        <v>402</v>
      </c>
      <c r="J3" s="170" t="s">
        <v>403</v>
      </c>
      <c r="K3" s="171" t="s">
        <v>404</v>
      </c>
    </row>
    <row r="4" spans="1:11" x14ac:dyDescent="0.2">
      <c r="A4" s="170">
        <v>1</v>
      </c>
      <c r="B4" s="171" t="s">
        <v>519</v>
      </c>
      <c r="E4" s="172">
        <f>MATCH(9.99999999999999E+307,$A:$A)</f>
        <v>6583</v>
      </c>
      <c r="F4" s="170">
        <v>1</v>
      </c>
      <c r="G4" s="171" t="s">
        <v>515</v>
      </c>
      <c r="J4" s="170">
        <v>1</v>
      </c>
      <c r="K4" s="171" t="s">
        <v>519</v>
      </c>
    </row>
    <row r="5" spans="1:11" ht="14.25" x14ac:dyDescent="0.2">
      <c r="A5" s="173" t="s">
        <v>412</v>
      </c>
      <c r="F5" s="173" t="s">
        <v>412</v>
      </c>
      <c r="J5" s="173" t="s">
        <v>412</v>
      </c>
    </row>
    <row r="6" spans="1:11" x14ac:dyDescent="0.2">
      <c r="A6" s="170" t="s">
        <v>406</v>
      </c>
      <c r="F6" s="170" t="s">
        <v>406</v>
      </c>
      <c r="J6" s="170" t="s">
        <v>406</v>
      </c>
    </row>
    <row r="7" spans="1:11" x14ac:dyDescent="0.2">
      <c r="A7" s="170" t="s">
        <v>407</v>
      </c>
      <c r="B7" s="171" t="s">
        <v>408</v>
      </c>
      <c r="F7" s="170" t="s">
        <v>407</v>
      </c>
      <c r="G7" s="171" t="s">
        <v>408</v>
      </c>
      <c r="J7" s="170" t="s">
        <v>407</v>
      </c>
      <c r="K7" s="171" t="s">
        <v>408</v>
      </c>
    </row>
    <row r="8" spans="1:11" x14ac:dyDescent="0.2">
      <c r="A8" s="170">
        <v>34243</v>
      </c>
      <c r="B8" s="171">
        <v>6.12</v>
      </c>
      <c r="E8" s="179">
        <f>YEAR(F8)</f>
        <v>1953</v>
      </c>
      <c r="F8" s="170">
        <v>19450</v>
      </c>
      <c r="G8" s="171">
        <v>3.08</v>
      </c>
      <c r="J8" s="170">
        <v>34243</v>
      </c>
      <c r="K8" s="171">
        <v>6.12</v>
      </c>
    </row>
    <row r="9" spans="1:11" x14ac:dyDescent="0.2">
      <c r="A9" s="170">
        <v>34246</v>
      </c>
      <c r="B9" s="171">
        <v>6.1</v>
      </c>
      <c r="E9" s="179">
        <f t="shared" ref="E9:E72" si="0">YEAR(F9)</f>
        <v>1953</v>
      </c>
      <c r="F9" s="170">
        <v>19480</v>
      </c>
      <c r="G9" s="171">
        <v>3.18</v>
      </c>
      <c r="J9" s="170">
        <v>34250</v>
      </c>
      <c r="K9" s="171">
        <v>6.09</v>
      </c>
    </row>
    <row r="10" spans="1:11" x14ac:dyDescent="0.2">
      <c r="A10" s="170">
        <v>34247</v>
      </c>
      <c r="B10" s="171">
        <v>6.12</v>
      </c>
      <c r="E10" s="179">
        <f t="shared" si="0"/>
        <v>1953</v>
      </c>
      <c r="F10" s="170">
        <v>19511</v>
      </c>
      <c r="G10" s="171">
        <v>3.21</v>
      </c>
      <c r="J10" s="170">
        <v>34257</v>
      </c>
      <c r="K10" s="171">
        <v>5.99</v>
      </c>
    </row>
    <row r="11" spans="1:11" x14ac:dyDescent="0.2">
      <c r="A11" s="170">
        <v>34248</v>
      </c>
      <c r="B11" s="171">
        <v>6.12</v>
      </c>
      <c r="E11" s="179">
        <f t="shared" si="0"/>
        <v>1953</v>
      </c>
      <c r="F11" s="170">
        <v>19541</v>
      </c>
      <c r="G11" s="171">
        <v>3.12</v>
      </c>
      <c r="J11" s="170">
        <v>34264</v>
      </c>
      <c r="K11" s="171">
        <v>6.03</v>
      </c>
    </row>
    <row r="12" spans="1:11" x14ac:dyDescent="0.2">
      <c r="A12" s="175">
        <v>34249</v>
      </c>
      <c r="B12" s="176">
        <v>6.11</v>
      </c>
      <c r="C12" s="176"/>
      <c r="D12" s="176"/>
      <c r="E12" s="179">
        <f t="shared" si="0"/>
        <v>1953</v>
      </c>
      <c r="F12" s="170">
        <v>19572</v>
      </c>
      <c r="G12" s="171">
        <v>3.1</v>
      </c>
      <c r="J12" s="170">
        <v>34271</v>
      </c>
      <c r="K12" s="171">
        <v>6.14</v>
      </c>
    </row>
    <row r="13" spans="1:11" x14ac:dyDescent="0.2">
      <c r="A13" s="175">
        <v>34250</v>
      </c>
      <c r="B13" s="176">
        <v>6.02</v>
      </c>
      <c r="C13" s="176"/>
      <c r="D13" s="176"/>
      <c r="E13" s="179">
        <f t="shared" si="0"/>
        <v>1953</v>
      </c>
      <c r="F13" s="170">
        <v>19603</v>
      </c>
      <c r="G13" s="171">
        <v>3.07</v>
      </c>
      <c r="J13" s="170">
        <v>34278</v>
      </c>
      <c r="K13" s="171">
        <v>6.31</v>
      </c>
    </row>
    <row r="14" spans="1:11" x14ac:dyDescent="0.2">
      <c r="A14" s="175">
        <v>34253</v>
      </c>
      <c r="B14" s="177" t="e">
        <f>NA()</f>
        <v>#N/A</v>
      </c>
      <c r="C14" s="177"/>
      <c r="D14" s="177"/>
      <c r="E14" s="179">
        <f t="shared" si="0"/>
        <v>1953</v>
      </c>
      <c r="F14" s="170">
        <v>19633</v>
      </c>
      <c r="G14" s="171">
        <v>2.95</v>
      </c>
      <c r="J14" s="170">
        <v>34285</v>
      </c>
      <c r="K14" s="171">
        <v>6.35</v>
      </c>
    </row>
    <row r="15" spans="1:11" x14ac:dyDescent="0.2">
      <c r="A15" s="175">
        <v>34254</v>
      </c>
      <c r="B15" s="176">
        <v>6.02</v>
      </c>
      <c r="C15" s="176"/>
      <c r="D15" s="176"/>
      <c r="E15" s="179">
        <f t="shared" si="0"/>
        <v>1953</v>
      </c>
      <c r="F15" s="170">
        <v>19664</v>
      </c>
      <c r="G15" s="171">
        <v>2.95</v>
      </c>
      <c r="J15" s="170">
        <v>34292</v>
      </c>
      <c r="K15" s="171">
        <v>6.39</v>
      </c>
    </row>
    <row r="16" spans="1:11" x14ac:dyDescent="0.2">
      <c r="A16" s="175">
        <v>34255</v>
      </c>
      <c r="B16" s="176">
        <v>6.03</v>
      </c>
      <c r="C16" s="176"/>
      <c r="D16" s="176"/>
      <c r="E16" s="179">
        <f t="shared" si="0"/>
        <v>1953</v>
      </c>
      <c r="F16" s="170">
        <v>19694</v>
      </c>
      <c r="G16" s="171">
        <v>2.89</v>
      </c>
      <c r="J16" s="170">
        <v>34299</v>
      </c>
      <c r="K16" s="171">
        <v>6.47</v>
      </c>
    </row>
    <row r="17" spans="1:11" x14ac:dyDescent="0.2">
      <c r="A17" s="175">
        <v>34256</v>
      </c>
      <c r="B17" s="176">
        <v>5.98</v>
      </c>
      <c r="C17" s="176"/>
      <c r="D17" s="176"/>
      <c r="E17" s="179">
        <f t="shared" si="0"/>
        <v>1954</v>
      </c>
      <c r="F17" s="170">
        <v>19725</v>
      </c>
      <c r="G17" s="171">
        <v>2.8</v>
      </c>
      <c r="J17" s="170">
        <v>34306</v>
      </c>
      <c r="K17" s="171">
        <v>6.42</v>
      </c>
    </row>
    <row r="18" spans="1:11" x14ac:dyDescent="0.2">
      <c r="A18" s="175">
        <v>34257</v>
      </c>
      <c r="B18" s="176">
        <v>5.91</v>
      </c>
      <c r="C18" s="176"/>
      <c r="D18" s="176"/>
      <c r="E18" s="179">
        <f t="shared" si="0"/>
        <v>1954</v>
      </c>
      <c r="F18" s="170">
        <v>19756</v>
      </c>
      <c r="G18" s="171">
        <v>2.72</v>
      </c>
      <c r="J18" s="170">
        <v>34313</v>
      </c>
      <c r="K18" s="171">
        <v>6.31</v>
      </c>
    </row>
    <row r="19" spans="1:11" x14ac:dyDescent="0.2">
      <c r="A19" s="175">
        <v>34260</v>
      </c>
      <c r="B19" s="176">
        <v>5.99</v>
      </c>
      <c r="C19" s="176"/>
      <c r="D19" s="176"/>
      <c r="E19" s="179">
        <f t="shared" si="0"/>
        <v>1954</v>
      </c>
      <c r="F19" s="170">
        <v>19784</v>
      </c>
      <c r="G19" s="171">
        <v>2.61</v>
      </c>
      <c r="J19" s="170">
        <v>34320</v>
      </c>
      <c r="K19" s="171">
        <v>6.45</v>
      </c>
    </row>
    <row r="20" spans="1:11" x14ac:dyDescent="0.2">
      <c r="A20" s="175">
        <v>34261</v>
      </c>
      <c r="B20" s="176">
        <v>5.98</v>
      </c>
      <c r="C20" s="176"/>
      <c r="D20" s="176"/>
      <c r="E20" s="179">
        <f t="shared" si="0"/>
        <v>1954</v>
      </c>
      <c r="F20" s="170">
        <v>19815</v>
      </c>
      <c r="G20" s="171">
        <v>2.6</v>
      </c>
      <c r="J20" s="170">
        <v>34327</v>
      </c>
      <c r="K20" s="171">
        <v>6.41</v>
      </c>
    </row>
    <row r="21" spans="1:11" x14ac:dyDescent="0.2">
      <c r="A21" s="175">
        <v>34262</v>
      </c>
      <c r="B21" s="176">
        <v>5.97</v>
      </c>
      <c r="C21" s="176"/>
      <c r="D21" s="176"/>
      <c r="E21" s="179">
        <f t="shared" si="0"/>
        <v>1954</v>
      </c>
      <c r="F21" s="170">
        <v>19845</v>
      </c>
      <c r="G21" s="171">
        <v>2.66</v>
      </c>
      <c r="J21" s="170">
        <v>34334</v>
      </c>
      <c r="K21" s="171">
        <v>6.41</v>
      </c>
    </row>
    <row r="22" spans="1:11" x14ac:dyDescent="0.2">
      <c r="A22" s="175">
        <v>34263</v>
      </c>
      <c r="B22" s="176">
        <v>6.06</v>
      </c>
      <c r="C22" s="176"/>
      <c r="D22" s="176"/>
      <c r="E22" s="179">
        <f t="shared" si="0"/>
        <v>1954</v>
      </c>
      <c r="F22" s="170">
        <v>19876</v>
      </c>
      <c r="G22" s="171">
        <v>2.64</v>
      </c>
      <c r="J22" s="170">
        <v>34341</v>
      </c>
      <c r="K22" s="171">
        <v>6.48</v>
      </c>
    </row>
    <row r="23" spans="1:11" x14ac:dyDescent="0.2">
      <c r="A23" s="175">
        <v>34264</v>
      </c>
      <c r="B23" s="176">
        <v>6.13</v>
      </c>
      <c r="C23" s="176"/>
      <c r="D23" s="176"/>
      <c r="E23" s="179">
        <f t="shared" si="0"/>
        <v>1954</v>
      </c>
      <c r="F23" s="170">
        <v>19906</v>
      </c>
      <c r="G23" s="171">
        <v>2.57</v>
      </c>
      <c r="J23" s="170">
        <v>34348</v>
      </c>
      <c r="K23" s="171">
        <v>6.34</v>
      </c>
    </row>
    <row r="24" spans="1:11" x14ac:dyDescent="0.2">
      <c r="A24" s="175">
        <v>34267</v>
      </c>
      <c r="B24" s="176">
        <v>6.17</v>
      </c>
      <c r="C24" s="176"/>
      <c r="D24" s="176"/>
      <c r="E24" s="179">
        <f t="shared" si="0"/>
        <v>1954</v>
      </c>
      <c r="F24" s="170">
        <v>19937</v>
      </c>
      <c r="G24" s="171">
        <v>2.58</v>
      </c>
      <c r="J24" s="170">
        <v>34355</v>
      </c>
      <c r="K24" s="171">
        <v>6.38</v>
      </c>
    </row>
    <row r="25" spans="1:11" x14ac:dyDescent="0.2">
      <c r="A25" s="175">
        <v>34268</v>
      </c>
      <c r="B25" s="176">
        <v>6.14</v>
      </c>
      <c r="C25" s="176"/>
      <c r="D25" s="176"/>
      <c r="E25" s="179">
        <f t="shared" si="0"/>
        <v>1954</v>
      </c>
      <c r="F25" s="170">
        <v>19968</v>
      </c>
      <c r="G25" s="171">
        <v>2.6</v>
      </c>
      <c r="J25" s="170">
        <v>34362</v>
      </c>
      <c r="K25" s="171">
        <v>6.35</v>
      </c>
    </row>
    <row r="26" spans="1:11" x14ac:dyDescent="0.2">
      <c r="A26" s="175">
        <v>34269</v>
      </c>
      <c r="B26" s="176">
        <v>6.15</v>
      </c>
      <c r="C26" s="176"/>
      <c r="D26" s="176"/>
      <c r="E26" s="179">
        <f t="shared" si="0"/>
        <v>1954</v>
      </c>
      <c r="F26" s="170">
        <v>19998</v>
      </c>
      <c r="G26" s="171">
        <v>2.61</v>
      </c>
      <c r="J26" s="170">
        <v>34369</v>
      </c>
      <c r="K26" s="171">
        <v>6.38</v>
      </c>
    </row>
    <row r="27" spans="1:11" x14ac:dyDescent="0.2">
      <c r="A27" s="175">
        <v>34270</v>
      </c>
      <c r="B27" s="176">
        <v>6.11</v>
      </c>
      <c r="C27" s="176"/>
      <c r="D27" s="176"/>
      <c r="E27" s="179">
        <f t="shared" si="0"/>
        <v>1954</v>
      </c>
      <c r="F27" s="170">
        <v>20029</v>
      </c>
      <c r="G27" s="171">
        <v>2.65</v>
      </c>
      <c r="J27" s="170">
        <v>34376</v>
      </c>
      <c r="K27" s="171">
        <v>6.52</v>
      </c>
    </row>
    <row r="28" spans="1:11" x14ac:dyDescent="0.2">
      <c r="A28" s="175">
        <v>34271</v>
      </c>
      <c r="B28" s="176">
        <v>6.12</v>
      </c>
      <c r="C28" s="176"/>
      <c r="D28" s="176"/>
      <c r="E28" s="179">
        <f t="shared" si="0"/>
        <v>1954</v>
      </c>
      <c r="F28" s="170">
        <v>20059</v>
      </c>
      <c r="G28" s="171">
        <v>2.67</v>
      </c>
      <c r="J28" s="170">
        <v>34383</v>
      </c>
      <c r="K28" s="171">
        <v>6.58</v>
      </c>
    </row>
    <row r="29" spans="1:11" x14ac:dyDescent="0.2">
      <c r="A29" s="175">
        <v>34274</v>
      </c>
      <c r="B29" s="176">
        <v>6.19</v>
      </c>
      <c r="C29" s="176"/>
      <c r="D29" s="176"/>
      <c r="E29" s="179">
        <f t="shared" si="0"/>
        <v>1955</v>
      </c>
      <c r="F29" s="170">
        <v>20090</v>
      </c>
      <c r="G29" s="171">
        <v>2.75</v>
      </c>
      <c r="J29" s="170">
        <v>34390</v>
      </c>
      <c r="K29" s="171">
        <v>6.76</v>
      </c>
    </row>
    <row r="30" spans="1:11" x14ac:dyDescent="0.2">
      <c r="A30" s="175">
        <v>34275</v>
      </c>
      <c r="B30" s="176">
        <v>6.28</v>
      </c>
      <c r="C30" s="176"/>
      <c r="D30" s="176"/>
      <c r="E30" s="179">
        <f t="shared" si="0"/>
        <v>1955</v>
      </c>
      <c r="F30" s="170">
        <v>20121</v>
      </c>
      <c r="G30" s="171">
        <v>2.83</v>
      </c>
      <c r="J30" s="170">
        <v>34397</v>
      </c>
      <c r="K30" s="171">
        <v>6.86</v>
      </c>
    </row>
    <row r="31" spans="1:11" x14ac:dyDescent="0.2">
      <c r="A31" s="175">
        <v>34276</v>
      </c>
      <c r="B31" s="176">
        <v>6.32</v>
      </c>
      <c r="C31" s="176"/>
      <c r="D31" s="176"/>
      <c r="E31" s="179">
        <f t="shared" si="0"/>
        <v>1955</v>
      </c>
      <c r="F31" s="170">
        <v>20149</v>
      </c>
      <c r="G31" s="171">
        <v>2.84</v>
      </c>
      <c r="J31" s="170">
        <v>34404</v>
      </c>
      <c r="K31" s="171">
        <v>6.95</v>
      </c>
    </row>
    <row r="32" spans="1:11" x14ac:dyDescent="0.2">
      <c r="A32" s="175">
        <v>34277</v>
      </c>
      <c r="B32" s="176">
        <v>6.34</v>
      </c>
      <c r="C32" s="176"/>
      <c r="D32" s="176"/>
      <c r="E32" s="179">
        <f t="shared" si="0"/>
        <v>1955</v>
      </c>
      <c r="F32" s="170">
        <v>20180</v>
      </c>
      <c r="G32" s="171">
        <v>2.85</v>
      </c>
      <c r="J32" s="170">
        <v>34411</v>
      </c>
      <c r="K32" s="171">
        <v>6.96</v>
      </c>
    </row>
    <row r="33" spans="1:11" x14ac:dyDescent="0.2">
      <c r="A33" s="175">
        <v>34278</v>
      </c>
      <c r="B33" s="176">
        <v>6.4</v>
      </c>
      <c r="C33" s="176"/>
      <c r="D33" s="176"/>
      <c r="E33" s="179">
        <f t="shared" si="0"/>
        <v>1955</v>
      </c>
      <c r="F33" s="170">
        <v>20210</v>
      </c>
      <c r="G33" s="171">
        <v>2.87</v>
      </c>
      <c r="J33" s="170">
        <v>34418</v>
      </c>
      <c r="K33" s="171">
        <v>7.02</v>
      </c>
    </row>
    <row r="34" spans="1:11" x14ac:dyDescent="0.2">
      <c r="A34" s="175">
        <v>34281</v>
      </c>
      <c r="B34" s="176">
        <v>6.38</v>
      </c>
      <c r="C34" s="176"/>
      <c r="D34" s="176"/>
      <c r="E34" s="179">
        <f t="shared" si="0"/>
        <v>1955</v>
      </c>
      <c r="F34" s="170">
        <v>20241</v>
      </c>
      <c r="G34" s="171">
        <v>2.86</v>
      </c>
      <c r="J34" s="170">
        <v>34425</v>
      </c>
      <c r="K34" s="171">
        <v>7.18</v>
      </c>
    </row>
    <row r="35" spans="1:11" x14ac:dyDescent="0.2">
      <c r="A35" s="175">
        <v>34282</v>
      </c>
      <c r="B35" s="176">
        <v>6.31</v>
      </c>
      <c r="C35" s="176"/>
      <c r="D35" s="176"/>
      <c r="E35" s="179">
        <f t="shared" si="0"/>
        <v>1955</v>
      </c>
      <c r="F35" s="170">
        <v>20271</v>
      </c>
      <c r="G35" s="171">
        <v>2.94</v>
      </c>
      <c r="J35" s="170">
        <v>34432</v>
      </c>
      <c r="K35" s="171">
        <v>7.41</v>
      </c>
    </row>
    <row r="36" spans="1:11" x14ac:dyDescent="0.2">
      <c r="A36" s="175">
        <v>34283</v>
      </c>
      <c r="B36" s="176">
        <v>6.38</v>
      </c>
      <c r="C36" s="176"/>
      <c r="D36" s="176"/>
      <c r="E36" s="179">
        <f t="shared" si="0"/>
        <v>1955</v>
      </c>
      <c r="F36" s="170">
        <v>20302</v>
      </c>
      <c r="G36" s="171">
        <v>3.01</v>
      </c>
      <c r="J36" s="170">
        <v>34439</v>
      </c>
      <c r="K36" s="171">
        <v>7.39</v>
      </c>
    </row>
    <row r="37" spans="1:11" x14ac:dyDescent="0.2">
      <c r="A37" s="175">
        <v>34284</v>
      </c>
      <c r="B37" s="176" t="e">
        <f>NA()</f>
        <v>#N/A</v>
      </c>
      <c r="C37" s="176"/>
      <c r="D37" s="176"/>
      <c r="E37" s="179">
        <f t="shared" si="0"/>
        <v>1955</v>
      </c>
      <c r="F37" s="170">
        <v>20333</v>
      </c>
      <c r="G37" s="171">
        <v>3</v>
      </c>
      <c r="J37" s="170">
        <v>34446</v>
      </c>
      <c r="K37" s="171">
        <v>7.44</v>
      </c>
    </row>
    <row r="38" spans="1:11" x14ac:dyDescent="0.2">
      <c r="A38" s="175">
        <v>34285</v>
      </c>
      <c r="B38" s="176">
        <v>6.33</v>
      </c>
      <c r="C38" s="176"/>
      <c r="D38" s="176"/>
      <c r="E38" s="179">
        <f t="shared" si="0"/>
        <v>1955</v>
      </c>
      <c r="F38" s="170">
        <v>20363</v>
      </c>
      <c r="G38" s="171">
        <v>2.93</v>
      </c>
      <c r="J38" s="170">
        <v>34453</v>
      </c>
      <c r="K38" s="171">
        <v>7.34</v>
      </c>
    </row>
    <row r="39" spans="1:11" x14ac:dyDescent="0.2">
      <c r="A39" s="175">
        <v>34288</v>
      </c>
      <c r="B39" s="176">
        <v>6.36</v>
      </c>
      <c r="C39" s="176"/>
      <c r="D39" s="176"/>
      <c r="E39" s="179">
        <f t="shared" si="0"/>
        <v>1955</v>
      </c>
      <c r="F39" s="170">
        <v>20394</v>
      </c>
      <c r="G39" s="171">
        <v>2.93</v>
      </c>
      <c r="J39" s="170">
        <v>34460</v>
      </c>
      <c r="K39" s="171">
        <v>7.51</v>
      </c>
    </row>
    <row r="40" spans="1:11" x14ac:dyDescent="0.2">
      <c r="A40" s="175">
        <v>34289</v>
      </c>
      <c r="B40" s="176">
        <v>6.35</v>
      </c>
      <c r="C40" s="176"/>
      <c r="D40" s="176"/>
      <c r="E40" s="179">
        <f t="shared" si="0"/>
        <v>1955</v>
      </c>
      <c r="F40" s="170">
        <v>20424</v>
      </c>
      <c r="G40" s="171">
        <v>2.98</v>
      </c>
      <c r="J40" s="170">
        <v>34467</v>
      </c>
      <c r="K40" s="171">
        <v>7.69</v>
      </c>
    </row>
    <row r="41" spans="1:11" x14ac:dyDescent="0.2">
      <c r="A41" s="175">
        <v>34290</v>
      </c>
      <c r="B41" s="176">
        <v>6.35</v>
      </c>
      <c r="C41" s="176"/>
      <c r="D41" s="176"/>
      <c r="E41" s="179">
        <f t="shared" si="0"/>
        <v>1956</v>
      </c>
      <c r="F41" s="170">
        <v>20455</v>
      </c>
      <c r="G41" s="171">
        <v>2.94</v>
      </c>
      <c r="J41" s="170">
        <v>34474</v>
      </c>
      <c r="K41" s="171">
        <v>7.44</v>
      </c>
    </row>
    <row r="42" spans="1:11" x14ac:dyDescent="0.2">
      <c r="A42" s="175">
        <v>34291</v>
      </c>
      <c r="B42" s="176">
        <v>6.4</v>
      </c>
      <c r="C42" s="176"/>
      <c r="D42" s="176"/>
      <c r="E42" s="179">
        <f t="shared" si="0"/>
        <v>1956</v>
      </c>
      <c r="F42" s="170">
        <v>20486</v>
      </c>
      <c r="G42" s="171">
        <v>2.91</v>
      </c>
      <c r="J42" s="170">
        <v>34481</v>
      </c>
      <c r="K42" s="171">
        <v>7.54</v>
      </c>
    </row>
    <row r="43" spans="1:11" x14ac:dyDescent="0.2">
      <c r="A43" s="175">
        <v>34292</v>
      </c>
      <c r="B43" s="176">
        <v>6.5</v>
      </c>
      <c r="C43" s="176"/>
      <c r="D43" s="176"/>
      <c r="E43" s="179">
        <f t="shared" si="0"/>
        <v>1956</v>
      </c>
      <c r="F43" s="170">
        <v>20515</v>
      </c>
      <c r="G43" s="171">
        <v>2.99</v>
      </c>
      <c r="J43" s="170">
        <v>34488</v>
      </c>
      <c r="K43" s="171">
        <v>7.5</v>
      </c>
    </row>
    <row r="44" spans="1:11" x14ac:dyDescent="0.2">
      <c r="A44" s="175">
        <v>34295</v>
      </c>
      <c r="B44" s="176">
        <v>6.53</v>
      </c>
      <c r="C44" s="176"/>
      <c r="D44" s="176"/>
      <c r="E44" s="179">
        <f t="shared" si="0"/>
        <v>1956</v>
      </c>
      <c r="F44" s="170">
        <v>20546</v>
      </c>
      <c r="G44" s="171">
        <v>3.14</v>
      </c>
      <c r="J44" s="170">
        <v>34495</v>
      </c>
      <c r="K44" s="171">
        <v>7.39</v>
      </c>
    </row>
    <row r="45" spans="1:11" x14ac:dyDescent="0.2">
      <c r="A45" s="175">
        <v>34296</v>
      </c>
      <c r="B45" s="176">
        <v>6.46</v>
      </c>
      <c r="C45" s="176"/>
      <c r="D45" s="176"/>
      <c r="E45" s="179">
        <f t="shared" si="0"/>
        <v>1956</v>
      </c>
      <c r="F45" s="170">
        <v>20576</v>
      </c>
      <c r="G45" s="171">
        <v>3.06</v>
      </c>
      <c r="J45" s="170">
        <v>34502</v>
      </c>
      <c r="K45" s="171">
        <v>7.5</v>
      </c>
    </row>
    <row r="46" spans="1:11" x14ac:dyDescent="0.2">
      <c r="A46" s="175">
        <v>34297</v>
      </c>
      <c r="B46" s="176">
        <v>6.47</v>
      </c>
      <c r="C46" s="176"/>
      <c r="D46" s="176"/>
      <c r="E46" s="179">
        <f t="shared" si="0"/>
        <v>1956</v>
      </c>
      <c r="F46" s="170">
        <v>20607</v>
      </c>
      <c r="G46" s="171">
        <v>3</v>
      </c>
      <c r="J46" s="170">
        <v>34509</v>
      </c>
      <c r="K46" s="171">
        <v>7.57</v>
      </c>
    </row>
    <row r="47" spans="1:11" x14ac:dyDescent="0.2">
      <c r="A47" s="175">
        <v>34298</v>
      </c>
      <c r="B47" s="176" t="e">
        <f>NA()</f>
        <v>#N/A</v>
      </c>
      <c r="C47" s="176"/>
      <c r="D47" s="176"/>
      <c r="E47" s="179">
        <f t="shared" si="0"/>
        <v>1956</v>
      </c>
      <c r="F47" s="170">
        <v>20637</v>
      </c>
      <c r="G47" s="171">
        <v>3.08</v>
      </c>
      <c r="J47" s="170">
        <v>34516</v>
      </c>
      <c r="K47" s="171">
        <v>7.67</v>
      </c>
    </row>
    <row r="48" spans="1:11" x14ac:dyDescent="0.2">
      <c r="A48" s="175">
        <v>34299</v>
      </c>
      <c r="B48" s="176">
        <v>6.43</v>
      </c>
      <c r="C48" s="176"/>
      <c r="D48" s="176"/>
      <c r="E48" s="179">
        <f t="shared" si="0"/>
        <v>1956</v>
      </c>
      <c r="F48" s="170">
        <v>20668</v>
      </c>
      <c r="G48" s="171">
        <v>3.22</v>
      </c>
      <c r="J48" s="170">
        <v>34523</v>
      </c>
      <c r="K48" s="171">
        <v>7.74</v>
      </c>
    </row>
    <row r="49" spans="1:11" x14ac:dyDescent="0.2">
      <c r="A49" s="175">
        <v>34302</v>
      </c>
      <c r="B49" s="176">
        <v>6.4</v>
      </c>
      <c r="C49" s="176"/>
      <c r="D49" s="176"/>
      <c r="E49" s="179">
        <f t="shared" si="0"/>
        <v>1956</v>
      </c>
      <c r="F49" s="170">
        <v>20699</v>
      </c>
      <c r="G49" s="171">
        <v>3.28</v>
      </c>
      <c r="J49" s="170">
        <v>34530</v>
      </c>
      <c r="K49" s="171">
        <v>7.74</v>
      </c>
    </row>
    <row r="50" spans="1:11" x14ac:dyDescent="0.2">
      <c r="A50" s="175">
        <v>34303</v>
      </c>
      <c r="B50" s="176">
        <v>6.46</v>
      </c>
      <c r="C50" s="176"/>
      <c r="D50" s="176"/>
      <c r="E50" s="179">
        <f t="shared" si="0"/>
        <v>1956</v>
      </c>
      <c r="F50" s="170">
        <v>20729</v>
      </c>
      <c r="G50" s="171">
        <v>3.26</v>
      </c>
      <c r="J50" s="170">
        <v>34537</v>
      </c>
      <c r="K50" s="171">
        <v>7.62</v>
      </c>
    </row>
    <row r="51" spans="1:11" x14ac:dyDescent="0.2">
      <c r="A51" s="175">
        <v>34304</v>
      </c>
      <c r="B51" s="176">
        <v>6.44</v>
      </c>
      <c r="C51" s="176"/>
      <c r="D51" s="176"/>
      <c r="E51" s="179">
        <f t="shared" si="0"/>
        <v>1956</v>
      </c>
      <c r="F51" s="170">
        <v>20760</v>
      </c>
      <c r="G51" s="171">
        <v>3.37</v>
      </c>
      <c r="J51" s="170">
        <v>34544</v>
      </c>
      <c r="K51" s="171">
        <v>7.6</v>
      </c>
    </row>
    <row r="52" spans="1:11" x14ac:dyDescent="0.2">
      <c r="A52" s="175">
        <v>34305</v>
      </c>
      <c r="B52" s="176">
        <v>6.42</v>
      </c>
      <c r="C52" s="176"/>
      <c r="D52" s="176"/>
      <c r="E52" s="179">
        <f t="shared" si="0"/>
        <v>1956</v>
      </c>
      <c r="F52" s="170">
        <v>20790</v>
      </c>
      <c r="G52" s="171">
        <v>3.45</v>
      </c>
      <c r="J52" s="170">
        <v>34551</v>
      </c>
      <c r="K52" s="171">
        <v>7.49</v>
      </c>
    </row>
    <row r="53" spans="1:11" x14ac:dyDescent="0.2">
      <c r="A53" s="175">
        <v>34306</v>
      </c>
      <c r="B53" s="176">
        <v>6.39</v>
      </c>
      <c r="C53" s="176"/>
      <c r="D53" s="176"/>
      <c r="E53" s="179">
        <f t="shared" si="0"/>
        <v>1957</v>
      </c>
      <c r="F53" s="170">
        <v>20821</v>
      </c>
      <c r="G53" s="171">
        <v>3.41</v>
      </c>
      <c r="J53" s="170">
        <v>34558</v>
      </c>
      <c r="K53" s="171">
        <v>7.66</v>
      </c>
    </row>
    <row r="54" spans="1:11" x14ac:dyDescent="0.2">
      <c r="A54" s="175">
        <v>34309</v>
      </c>
      <c r="B54" s="176">
        <v>6.31</v>
      </c>
      <c r="C54" s="176"/>
      <c r="D54" s="176"/>
      <c r="E54" s="179">
        <f t="shared" si="0"/>
        <v>1957</v>
      </c>
      <c r="F54" s="170">
        <v>20852</v>
      </c>
      <c r="G54" s="171">
        <v>3.3</v>
      </c>
      <c r="J54" s="170">
        <v>34565</v>
      </c>
      <c r="K54" s="171">
        <v>7.63</v>
      </c>
    </row>
    <row r="55" spans="1:11" x14ac:dyDescent="0.2">
      <c r="A55" s="175">
        <v>34310</v>
      </c>
      <c r="B55" s="176">
        <v>6.31</v>
      </c>
      <c r="C55" s="176"/>
      <c r="D55" s="176"/>
      <c r="E55" s="179">
        <f t="shared" si="0"/>
        <v>1957</v>
      </c>
      <c r="F55" s="170">
        <v>20880</v>
      </c>
      <c r="G55" s="171">
        <v>3.32</v>
      </c>
      <c r="J55" s="170">
        <v>34572</v>
      </c>
      <c r="K55" s="171">
        <v>7.69</v>
      </c>
    </row>
    <row r="56" spans="1:11" x14ac:dyDescent="0.2">
      <c r="A56" s="175">
        <v>34311</v>
      </c>
      <c r="B56" s="176">
        <v>6.31</v>
      </c>
      <c r="C56" s="176"/>
      <c r="D56" s="176"/>
      <c r="E56" s="179">
        <f t="shared" si="0"/>
        <v>1957</v>
      </c>
      <c r="F56" s="170">
        <v>20911</v>
      </c>
      <c r="G56" s="171">
        <v>3.4</v>
      </c>
      <c r="J56" s="170">
        <v>34579</v>
      </c>
      <c r="K56" s="171">
        <v>7.62</v>
      </c>
    </row>
    <row r="57" spans="1:11" x14ac:dyDescent="0.2">
      <c r="A57" s="175">
        <v>34312</v>
      </c>
      <c r="B57" s="176">
        <v>6.29</v>
      </c>
      <c r="C57" s="176"/>
      <c r="D57" s="176"/>
      <c r="E57" s="179">
        <f t="shared" si="0"/>
        <v>1957</v>
      </c>
      <c r="F57" s="170">
        <v>20941</v>
      </c>
      <c r="G57" s="171">
        <v>3.49</v>
      </c>
      <c r="J57" s="170">
        <v>34586</v>
      </c>
      <c r="K57" s="171">
        <v>7.76</v>
      </c>
    </row>
    <row r="58" spans="1:11" x14ac:dyDescent="0.2">
      <c r="A58" s="175">
        <v>34313</v>
      </c>
      <c r="B58" s="176">
        <v>6.34</v>
      </c>
      <c r="C58" s="176"/>
      <c r="D58" s="176"/>
      <c r="E58" s="179">
        <f t="shared" si="0"/>
        <v>1957</v>
      </c>
      <c r="F58" s="170">
        <v>20972</v>
      </c>
      <c r="G58" s="171">
        <v>3.65</v>
      </c>
      <c r="J58" s="170">
        <v>34593</v>
      </c>
      <c r="K58" s="171">
        <v>7.87</v>
      </c>
    </row>
    <row r="59" spans="1:11" x14ac:dyDescent="0.2">
      <c r="A59" s="175">
        <v>34316</v>
      </c>
      <c r="B59" s="177">
        <v>6.4</v>
      </c>
      <c r="C59" s="177"/>
      <c r="D59" s="177"/>
      <c r="E59" s="179">
        <f t="shared" si="0"/>
        <v>1957</v>
      </c>
      <c r="F59" s="170">
        <v>21002</v>
      </c>
      <c r="G59" s="171">
        <v>3.72</v>
      </c>
      <c r="J59" s="170">
        <v>34600</v>
      </c>
      <c r="K59" s="171">
        <v>7.93</v>
      </c>
    </row>
    <row r="60" spans="1:11" x14ac:dyDescent="0.2">
      <c r="A60" s="175">
        <v>34317</v>
      </c>
      <c r="B60" s="176">
        <v>6.46</v>
      </c>
      <c r="C60" s="176"/>
      <c r="D60" s="176"/>
      <c r="E60" s="179">
        <f t="shared" si="0"/>
        <v>1957</v>
      </c>
      <c r="F60" s="170">
        <v>21033</v>
      </c>
      <c r="G60" s="171">
        <v>3.75</v>
      </c>
      <c r="J60" s="170">
        <v>34607</v>
      </c>
      <c r="K60" s="171">
        <v>7.99</v>
      </c>
    </row>
    <row r="61" spans="1:11" x14ac:dyDescent="0.2">
      <c r="A61" s="175">
        <v>34318</v>
      </c>
      <c r="B61" s="176">
        <v>6.46</v>
      </c>
      <c r="C61" s="176"/>
      <c r="D61" s="176"/>
      <c r="E61" s="179">
        <f t="shared" si="0"/>
        <v>1957</v>
      </c>
      <c r="F61" s="170">
        <v>21064</v>
      </c>
      <c r="G61" s="171">
        <v>3.73</v>
      </c>
      <c r="J61" s="170">
        <v>34614</v>
      </c>
      <c r="K61" s="171">
        <v>8.08</v>
      </c>
    </row>
    <row r="62" spans="1:11" x14ac:dyDescent="0.2">
      <c r="A62" s="175">
        <v>34319</v>
      </c>
      <c r="B62" s="176">
        <v>6.47</v>
      </c>
      <c r="C62" s="176"/>
      <c r="D62" s="176"/>
      <c r="E62" s="179">
        <f t="shared" si="0"/>
        <v>1957</v>
      </c>
      <c r="F62" s="170">
        <v>21094</v>
      </c>
      <c r="G62" s="171">
        <v>3.76</v>
      </c>
      <c r="J62" s="170">
        <v>34621</v>
      </c>
      <c r="K62" s="171">
        <v>8.01</v>
      </c>
    </row>
    <row r="63" spans="1:11" x14ac:dyDescent="0.2">
      <c r="A63" s="175">
        <v>34320</v>
      </c>
      <c r="B63" s="176">
        <v>6.44</v>
      </c>
      <c r="C63" s="176"/>
      <c r="D63" s="176"/>
      <c r="E63" s="179">
        <f t="shared" si="0"/>
        <v>1957</v>
      </c>
      <c r="F63" s="170">
        <v>21125</v>
      </c>
      <c r="G63" s="171">
        <v>3.61</v>
      </c>
      <c r="J63" s="170">
        <v>34628</v>
      </c>
      <c r="K63" s="171">
        <v>8.06</v>
      </c>
    </row>
    <row r="64" spans="1:11" x14ac:dyDescent="0.2">
      <c r="A64" s="175">
        <v>34323</v>
      </c>
      <c r="B64" s="176">
        <v>6.45</v>
      </c>
      <c r="C64" s="176"/>
      <c r="D64" s="176"/>
      <c r="E64" s="179">
        <f t="shared" si="0"/>
        <v>1957</v>
      </c>
      <c r="F64" s="170">
        <v>21155</v>
      </c>
      <c r="G64" s="171">
        <v>3.38</v>
      </c>
      <c r="J64" s="170">
        <v>34635</v>
      </c>
      <c r="K64" s="171">
        <v>8.16</v>
      </c>
    </row>
    <row r="65" spans="1:11" x14ac:dyDescent="0.2">
      <c r="A65" s="175">
        <v>34324</v>
      </c>
      <c r="B65" s="176">
        <v>6.47</v>
      </c>
      <c r="C65" s="176"/>
      <c r="D65" s="176"/>
      <c r="E65" s="179">
        <f t="shared" si="0"/>
        <v>1958</v>
      </c>
      <c r="F65" s="170">
        <v>21186</v>
      </c>
      <c r="G65" s="171">
        <v>3.27</v>
      </c>
      <c r="J65" s="170">
        <v>34642</v>
      </c>
      <c r="K65" s="171">
        <v>8.2100000000000009</v>
      </c>
    </row>
    <row r="66" spans="1:11" x14ac:dyDescent="0.2">
      <c r="A66" s="175">
        <v>34325</v>
      </c>
      <c r="B66" s="176">
        <v>6.37</v>
      </c>
      <c r="C66" s="176"/>
      <c r="D66" s="176"/>
      <c r="E66" s="179">
        <f t="shared" si="0"/>
        <v>1958</v>
      </c>
      <c r="F66" s="170">
        <v>21217</v>
      </c>
      <c r="G66" s="171">
        <v>3.31</v>
      </c>
      <c r="J66" s="170">
        <v>34649</v>
      </c>
      <c r="K66" s="171">
        <v>8.26</v>
      </c>
    </row>
    <row r="67" spans="1:11" x14ac:dyDescent="0.2">
      <c r="A67" s="175">
        <v>34326</v>
      </c>
      <c r="B67" s="176">
        <v>6.36</v>
      </c>
      <c r="C67" s="176"/>
      <c r="D67" s="176"/>
      <c r="E67" s="179">
        <f t="shared" si="0"/>
        <v>1958</v>
      </c>
      <c r="F67" s="170">
        <v>21245</v>
      </c>
      <c r="G67" s="171">
        <v>3.29</v>
      </c>
      <c r="J67" s="170">
        <v>34656</v>
      </c>
      <c r="K67" s="171">
        <v>8.2200000000000006</v>
      </c>
    </row>
    <row r="68" spans="1:11" x14ac:dyDescent="0.2">
      <c r="A68" s="175">
        <v>34327</v>
      </c>
      <c r="B68" s="176" t="e">
        <f>NA()</f>
        <v>#N/A</v>
      </c>
      <c r="C68" s="176"/>
      <c r="D68" s="176"/>
      <c r="E68" s="179">
        <f t="shared" si="0"/>
        <v>1958</v>
      </c>
      <c r="F68" s="170">
        <v>21276</v>
      </c>
      <c r="G68" s="171">
        <v>3.17</v>
      </c>
      <c r="J68" s="170">
        <v>34663</v>
      </c>
      <c r="K68" s="171">
        <v>8.15</v>
      </c>
    </row>
    <row r="69" spans="1:11" x14ac:dyDescent="0.2">
      <c r="A69" s="175">
        <v>34330</v>
      </c>
      <c r="B69" s="176">
        <v>6.36</v>
      </c>
      <c r="C69" s="176"/>
      <c r="D69" s="176"/>
      <c r="E69" s="179">
        <f t="shared" si="0"/>
        <v>1958</v>
      </c>
      <c r="F69" s="170">
        <v>21306</v>
      </c>
      <c r="G69" s="171">
        <v>3.17</v>
      </c>
      <c r="J69" s="170">
        <v>34670</v>
      </c>
      <c r="K69" s="171">
        <v>8.1</v>
      </c>
    </row>
    <row r="70" spans="1:11" x14ac:dyDescent="0.2">
      <c r="A70" s="175">
        <v>34331</v>
      </c>
      <c r="B70" s="176">
        <v>6.36</v>
      </c>
      <c r="C70" s="176"/>
      <c r="D70" s="176"/>
      <c r="E70" s="179">
        <f t="shared" si="0"/>
        <v>1958</v>
      </c>
      <c r="F70" s="170">
        <v>21337</v>
      </c>
      <c r="G70" s="171">
        <v>3.23</v>
      </c>
      <c r="J70" s="170">
        <v>34677</v>
      </c>
      <c r="K70" s="171">
        <v>7.99</v>
      </c>
    </row>
    <row r="71" spans="1:11" x14ac:dyDescent="0.2">
      <c r="A71" s="175">
        <v>34332</v>
      </c>
      <c r="B71" s="176">
        <v>6.38</v>
      </c>
      <c r="C71" s="176"/>
      <c r="D71" s="176"/>
      <c r="E71" s="179">
        <f t="shared" si="0"/>
        <v>1958</v>
      </c>
      <c r="F71" s="170">
        <v>21367</v>
      </c>
      <c r="G71" s="171">
        <v>3.39</v>
      </c>
      <c r="J71" s="170">
        <v>34684</v>
      </c>
      <c r="K71" s="171">
        <v>8</v>
      </c>
    </row>
    <row r="72" spans="1:11" x14ac:dyDescent="0.2">
      <c r="A72" s="175">
        <v>34333</v>
      </c>
      <c r="B72" s="176">
        <v>6.47</v>
      </c>
      <c r="C72" s="176"/>
      <c r="D72" s="176"/>
      <c r="E72" s="179">
        <f t="shared" si="0"/>
        <v>1958</v>
      </c>
      <c r="F72" s="170">
        <v>21398</v>
      </c>
      <c r="G72" s="171">
        <v>3.65</v>
      </c>
      <c r="J72" s="170">
        <v>34691</v>
      </c>
      <c r="K72" s="171">
        <v>7.97</v>
      </c>
    </row>
    <row r="73" spans="1:11" x14ac:dyDescent="0.2">
      <c r="A73" s="175">
        <v>34334</v>
      </c>
      <c r="B73" s="176">
        <v>6.48</v>
      </c>
      <c r="C73" s="176"/>
      <c r="D73" s="176"/>
      <c r="E73" s="179">
        <f t="shared" ref="E73:E136" si="1">YEAR(F73)</f>
        <v>1958</v>
      </c>
      <c r="F73" s="170">
        <v>21429</v>
      </c>
      <c r="G73" s="171">
        <v>3.8</v>
      </c>
      <c r="J73" s="170">
        <v>34698</v>
      </c>
      <c r="K73" s="171">
        <v>7.96</v>
      </c>
    </row>
    <row r="74" spans="1:11" x14ac:dyDescent="0.2">
      <c r="A74" s="175">
        <v>34337</v>
      </c>
      <c r="B74" s="176">
        <v>6.54</v>
      </c>
      <c r="C74" s="176"/>
      <c r="D74" s="176"/>
      <c r="E74" s="179">
        <f t="shared" si="1"/>
        <v>1958</v>
      </c>
      <c r="F74" s="170">
        <v>21459</v>
      </c>
      <c r="G74" s="171">
        <v>3.81</v>
      </c>
      <c r="J74" s="170">
        <v>34705</v>
      </c>
      <c r="K74" s="171">
        <v>8.02</v>
      </c>
    </row>
    <row r="75" spans="1:11" x14ac:dyDescent="0.2">
      <c r="A75" s="175">
        <v>34338</v>
      </c>
      <c r="B75" s="176">
        <v>6.51</v>
      </c>
      <c r="C75" s="176"/>
      <c r="D75" s="176"/>
      <c r="E75" s="179">
        <f t="shared" si="1"/>
        <v>1958</v>
      </c>
      <c r="F75" s="170">
        <v>21490</v>
      </c>
      <c r="G75" s="171">
        <v>3.76</v>
      </c>
      <c r="J75" s="170">
        <v>34712</v>
      </c>
      <c r="K75" s="171">
        <v>7.99</v>
      </c>
    </row>
    <row r="76" spans="1:11" x14ac:dyDescent="0.2">
      <c r="A76" s="175">
        <v>34339</v>
      </c>
      <c r="B76" s="176">
        <v>6.54</v>
      </c>
      <c r="C76" s="176"/>
      <c r="D76" s="176"/>
      <c r="E76" s="179">
        <f t="shared" si="1"/>
        <v>1958</v>
      </c>
      <c r="F76" s="170">
        <v>21520</v>
      </c>
      <c r="G76" s="171">
        <v>3.86</v>
      </c>
      <c r="J76" s="170">
        <v>34719</v>
      </c>
      <c r="K76" s="171">
        <v>7.95</v>
      </c>
    </row>
    <row r="77" spans="1:11" x14ac:dyDescent="0.2">
      <c r="A77" s="175">
        <v>34340</v>
      </c>
      <c r="B77" s="176">
        <v>6.48</v>
      </c>
      <c r="C77" s="176"/>
      <c r="D77" s="176"/>
      <c r="E77" s="179">
        <f t="shared" si="1"/>
        <v>1959</v>
      </c>
      <c r="F77" s="170">
        <v>21551</v>
      </c>
      <c r="G77" s="171">
        <v>3.95</v>
      </c>
      <c r="J77" s="170">
        <v>34726</v>
      </c>
      <c r="K77" s="171">
        <v>7.97</v>
      </c>
    </row>
    <row r="78" spans="1:11" x14ac:dyDescent="0.2">
      <c r="A78" s="175">
        <v>34341</v>
      </c>
      <c r="B78" s="176">
        <v>6.35</v>
      </c>
      <c r="C78" s="176"/>
      <c r="D78" s="176"/>
      <c r="E78" s="179">
        <f t="shared" si="1"/>
        <v>1959</v>
      </c>
      <c r="F78" s="170">
        <v>21582</v>
      </c>
      <c r="G78" s="171">
        <v>3.96</v>
      </c>
      <c r="J78" s="170">
        <v>34733</v>
      </c>
      <c r="K78" s="171">
        <v>7.81</v>
      </c>
    </row>
    <row r="79" spans="1:11" x14ac:dyDescent="0.2">
      <c r="A79" s="175">
        <v>34344</v>
      </c>
      <c r="B79" s="176">
        <v>6.35</v>
      </c>
      <c r="C79" s="176"/>
      <c r="D79" s="176"/>
      <c r="E79" s="179">
        <f t="shared" si="1"/>
        <v>1959</v>
      </c>
      <c r="F79" s="170">
        <v>21610</v>
      </c>
      <c r="G79" s="171">
        <v>3.99</v>
      </c>
      <c r="J79" s="170">
        <v>34740</v>
      </c>
      <c r="K79" s="171">
        <v>7.76</v>
      </c>
    </row>
    <row r="80" spans="1:11" x14ac:dyDescent="0.2">
      <c r="A80" s="175">
        <v>34345</v>
      </c>
      <c r="B80" s="176">
        <v>6.34</v>
      </c>
      <c r="C80" s="176"/>
      <c r="D80" s="176"/>
      <c r="E80" s="179">
        <f t="shared" si="1"/>
        <v>1959</v>
      </c>
      <c r="F80" s="170">
        <v>21641</v>
      </c>
      <c r="G80" s="171">
        <v>4.0599999999999996</v>
      </c>
      <c r="J80" s="170">
        <v>34747</v>
      </c>
      <c r="K80" s="171">
        <v>7.73</v>
      </c>
    </row>
    <row r="81" spans="1:11" x14ac:dyDescent="0.2">
      <c r="A81" s="175">
        <v>34346</v>
      </c>
      <c r="B81" s="176">
        <v>6.26</v>
      </c>
      <c r="C81" s="176"/>
      <c r="D81" s="176"/>
      <c r="E81" s="179">
        <f t="shared" si="1"/>
        <v>1959</v>
      </c>
      <c r="F81" s="170">
        <v>21671</v>
      </c>
      <c r="G81" s="171">
        <v>4.13</v>
      </c>
      <c r="J81" s="170">
        <v>34754</v>
      </c>
      <c r="K81" s="171">
        <v>7.69</v>
      </c>
    </row>
    <row r="82" spans="1:11" x14ac:dyDescent="0.2">
      <c r="A82" s="175">
        <v>34347</v>
      </c>
      <c r="B82" s="176">
        <v>6.36</v>
      </c>
      <c r="C82" s="176"/>
      <c r="D82" s="176"/>
      <c r="E82" s="179">
        <f t="shared" si="1"/>
        <v>1959</v>
      </c>
      <c r="F82" s="170">
        <v>21702</v>
      </c>
      <c r="G82" s="171">
        <v>4.1399999999999997</v>
      </c>
      <c r="J82" s="170">
        <v>34761</v>
      </c>
      <c r="K82" s="171">
        <v>7.61</v>
      </c>
    </row>
    <row r="83" spans="1:11" x14ac:dyDescent="0.2">
      <c r="A83" s="175">
        <v>34348</v>
      </c>
      <c r="B83" s="176">
        <v>6.41</v>
      </c>
      <c r="C83" s="176"/>
      <c r="D83" s="176"/>
      <c r="E83" s="179">
        <f t="shared" si="1"/>
        <v>1959</v>
      </c>
      <c r="F83" s="170">
        <v>21732</v>
      </c>
      <c r="G83" s="171">
        <v>4.16</v>
      </c>
      <c r="J83" s="170">
        <v>34768</v>
      </c>
      <c r="K83" s="171">
        <v>7.68</v>
      </c>
    </row>
    <row r="84" spans="1:11" x14ac:dyDescent="0.2">
      <c r="A84" s="175">
        <v>34351</v>
      </c>
      <c r="B84" s="177" t="e">
        <f>NA()</f>
        <v>#N/A</v>
      </c>
      <c r="C84" s="177"/>
      <c r="D84" s="177"/>
      <c r="E84" s="179">
        <f t="shared" si="1"/>
        <v>1959</v>
      </c>
      <c r="F84" s="170">
        <v>21763</v>
      </c>
      <c r="G84" s="171">
        <v>4.1500000000000004</v>
      </c>
      <c r="J84" s="170">
        <v>34775</v>
      </c>
      <c r="K84" s="171">
        <v>7.48</v>
      </c>
    </row>
    <row r="85" spans="1:11" x14ac:dyDescent="0.2">
      <c r="A85" s="175">
        <v>34352</v>
      </c>
      <c r="B85" s="176">
        <v>6.38</v>
      </c>
      <c r="C85" s="176"/>
      <c r="D85" s="176"/>
      <c r="E85" s="179">
        <f t="shared" si="1"/>
        <v>1959</v>
      </c>
      <c r="F85" s="170">
        <v>21794</v>
      </c>
      <c r="G85" s="171">
        <v>4.29</v>
      </c>
      <c r="J85" s="170">
        <v>34782</v>
      </c>
      <c r="K85" s="171">
        <v>7.55</v>
      </c>
    </row>
    <row r="86" spans="1:11" x14ac:dyDescent="0.2">
      <c r="A86" s="175">
        <v>34353</v>
      </c>
      <c r="B86" s="176">
        <v>6.4</v>
      </c>
      <c r="C86" s="176"/>
      <c r="D86" s="176"/>
      <c r="E86" s="179">
        <f t="shared" si="1"/>
        <v>1959</v>
      </c>
      <c r="F86" s="170">
        <v>21824</v>
      </c>
      <c r="G86" s="171">
        <v>4.1900000000000004</v>
      </c>
      <c r="J86" s="170">
        <v>34789</v>
      </c>
      <c r="K86" s="171">
        <v>7.51</v>
      </c>
    </row>
    <row r="87" spans="1:11" x14ac:dyDescent="0.2">
      <c r="A87" s="175">
        <v>34354</v>
      </c>
      <c r="B87" s="176">
        <v>6.36</v>
      </c>
      <c r="C87" s="176"/>
      <c r="D87" s="176"/>
      <c r="E87" s="179">
        <f t="shared" si="1"/>
        <v>1959</v>
      </c>
      <c r="F87" s="170">
        <v>21855</v>
      </c>
      <c r="G87" s="171">
        <v>4.2</v>
      </c>
      <c r="J87" s="170">
        <v>34796</v>
      </c>
      <c r="K87" s="171">
        <v>7.48</v>
      </c>
    </row>
    <row r="88" spans="1:11" x14ac:dyDescent="0.2">
      <c r="A88" s="175">
        <v>34355</v>
      </c>
      <c r="B88" s="176">
        <v>6.36</v>
      </c>
      <c r="C88" s="176"/>
      <c r="D88" s="176"/>
      <c r="E88" s="179">
        <f t="shared" si="1"/>
        <v>1959</v>
      </c>
      <c r="F88" s="170">
        <v>21885</v>
      </c>
      <c r="G88" s="171">
        <v>4.33</v>
      </c>
      <c r="J88" s="170">
        <v>34803</v>
      </c>
      <c r="K88" s="171">
        <v>7.46</v>
      </c>
    </row>
    <row r="89" spans="1:11" x14ac:dyDescent="0.2">
      <c r="A89" s="175">
        <v>34358</v>
      </c>
      <c r="B89" s="176">
        <v>6.38</v>
      </c>
      <c r="C89" s="176"/>
      <c r="D89" s="176"/>
      <c r="E89" s="179">
        <f t="shared" si="1"/>
        <v>1960</v>
      </c>
      <c r="F89" s="170">
        <v>21916</v>
      </c>
      <c r="G89" s="171">
        <v>4.42</v>
      </c>
      <c r="J89" s="170">
        <v>34810</v>
      </c>
      <c r="K89" s="171">
        <v>7.46</v>
      </c>
    </row>
    <row r="90" spans="1:11" x14ac:dyDescent="0.2">
      <c r="A90" s="175">
        <v>34359</v>
      </c>
      <c r="B90" s="176">
        <v>6.4</v>
      </c>
      <c r="C90" s="176"/>
      <c r="D90" s="176"/>
      <c r="E90" s="179">
        <f t="shared" si="1"/>
        <v>1960</v>
      </c>
      <c r="F90" s="170">
        <v>21947</v>
      </c>
      <c r="G90" s="171">
        <v>4.28</v>
      </c>
      <c r="J90" s="170">
        <v>34817</v>
      </c>
      <c r="K90" s="171">
        <v>7.41</v>
      </c>
    </row>
    <row r="91" spans="1:11" x14ac:dyDescent="0.2">
      <c r="A91" s="175">
        <v>34360</v>
      </c>
      <c r="B91" s="176">
        <v>6.39</v>
      </c>
      <c r="C91" s="176"/>
      <c r="D91" s="176"/>
      <c r="E91" s="179">
        <f t="shared" si="1"/>
        <v>1960</v>
      </c>
      <c r="F91" s="170">
        <v>21976</v>
      </c>
      <c r="G91" s="171">
        <v>4.1399999999999997</v>
      </c>
      <c r="J91" s="170">
        <v>34824</v>
      </c>
      <c r="K91" s="171">
        <v>7.29</v>
      </c>
    </row>
    <row r="92" spans="1:11" x14ac:dyDescent="0.2">
      <c r="A92" s="175">
        <v>34361</v>
      </c>
      <c r="B92" s="176">
        <v>6.33</v>
      </c>
      <c r="C92" s="176"/>
      <c r="D92" s="176"/>
      <c r="E92" s="179">
        <f t="shared" si="1"/>
        <v>1960</v>
      </c>
      <c r="F92" s="170">
        <v>22007</v>
      </c>
      <c r="G92" s="171">
        <v>4.2300000000000004</v>
      </c>
      <c r="J92" s="170">
        <v>34831</v>
      </c>
      <c r="K92" s="171">
        <v>7.04</v>
      </c>
    </row>
    <row r="93" spans="1:11" x14ac:dyDescent="0.2">
      <c r="A93" s="175">
        <v>34362</v>
      </c>
      <c r="B93" s="176">
        <v>6.27</v>
      </c>
      <c r="C93" s="176"/>
      <c r="D93" s="176"/>
      <c r="E93" s="179">
        <f t="shared" si="1"/>
        <v>1960</v>
      </c>
      <c r="F93" s="170">
        <v>22037</v>
      </c>
      <c r="G93" s="171">
        <v>4.2</v>
      </c>
      <c r="J93" s="170">
        <v>34838</v>
      </c>
      <c r="K93" s="171">
        <v>6.95</v>
      </c>
    </row>
    <row r="94" spans="1:11" x14ac:dyDescent="0.2">
      <c r="A94" s="175">
        <v>34365</v>
      </c>
      <c r="B94" s="176">
        <v>6.29</v>
      </c>
      <c r="C94" s="176"/>
      <c r="D94" s="176"/>
      <c r="E94" s="179">
        <f t="shared" si="1"/>
        <v>1960</v>
      </c>
      <c r="F94" s="170">
        <v>22068</v>
      </c>
      <c r="G94" s="171">
        <v>4.04</v>
      </c>
      <c r="J94" s="170">
        <v>34845</v>
      </c>
      <c r="K94" s="171">
        <v>6.86</v>
      </c>
    </row>
    <row r="95" spans="1:11" x14ac:dyDescent="0.2">
      <c r="A95" s="175">
        <v>34366</v>
      </c>
      <c r="B95" s="176">
        <v>6.37</v>
      </c>
      <c r="C95" s="176"/>
      <c r="D95" s="176"/>
      <c r="E95" s="179">
        <f t="shared" si="1"/>
        <v>1960</v>
      </c>
      <c r="F95" s="170">
        <v>22098</v>
      </c>
      <c r="G95" s="171">
        <v>3.91</v>
      </c>
      <c r="J95" s="170">
        <v>34852</v>
      </c>
      <c r="K95" s="171">
        <v>6.66</v>
      </c>
    </row>
    <row r="96" spans="1:11" x14ac:dyDescent="0.2">
      <c r="A96" s="175">
        <v>34367</v>
      </c>
      <c r="B96" s="176">
        <v>6.36</v>
      </c>
      <c r="C96" s="176"/>
      <c r="D96" s="176"/>
      <c r="E96" s="179">
        <f t="shared" si="1"/>
        <v>1960</v>
      </c>
      <c r="F96" s="170">
        <v>22129</v>
      </c>
      <c r="G96" s="171">
        <v>3.84</v>
      </c>
      <c r="J96" s="170">
        <v>34859</v>
      </c>
      <c r="K96" s="171">
        <v>6.6</v>
      </c>
    </row>
    <row r="97" spans="1:11" x14ac:dyDescent="0.2">
      <c r="A97" s="175">
        <v>34368</v>
      </c>
      <c r="B97" s="176">
        <v>6.38</v>
      </c>
      <c r="C97" s="176"/>
      <c r="D97" s="176"/>
      <c r="E97" s="179">
        <f t="shared" si="1"/>
        <v>1960</v>
      </c>
      <c r="F97" s="170">
        <v>22160</v>
      </c>
      <c r="G97" s="171">
        <v>3.86</v>
      </c>
      <c r="J97" s="170">
        <v>34866</v>
      </c>
      <c r="K97" s="171">
        <v>6.64</v>
      </c>
    </row>
    <row r="98" spans="1:11" x14ac:dyDescent="0.2">
      <c r="A98" s="175">
        <v>34369</v>
      </c>
      <c r="B98" s="176">
        <v>6.49</v>
      </c>
      <c r="C98" s="176"/>
      <c r="D98" s="176"/>
      <c r="E98" s="179">
        <f t="shared" si="1"/>
        <v>1960</v>
      </c>
      <c r="F98" s="170">
        <v>22190</v>
      </c>
      <c r="G98" s="171">
        <v>3.92</v>
      </c>
      <c r="J98" s="170">
        <v>34873</v>
      </c>
      <c r="K98" s="171">
        <v>6.54</v>
      </c>
    </row>
    <row r="99" spans="1:11" x14ac:dyDescent="0.2">
      <c r="A99" s="175">
        <v>34372</v>
      </c>
      <c r="B99" s="176">
        <v>6.5</v>
      </c>
      <c r="C99" s="176"/>
      <c r="D99" s="176"/>
      <c r="E99" s="179">
        <f t="shared" si="1"/>
        <v>1960</v>
      </c>
      <c r="F99" s="170">
        <v>22221</v>
      </c>
      <c r="G99" s="171">
        <v>3.96</v>
      </c>
      <c r="J99" s="170">
        <v>34880</v>
      </c>
      <c r="K99" s="171">
        <v>6.6</v>
      </c>
    </row>
    <row r="100" spans="1:11" x14ac:dyDescent="0.2">
      <c r="A100" s="175">
        <v>34373</v>
      </c>
      <c r="B100" s="176">
        <v>6.55</v>
      </c>
      <c r="C100" s="176"/>
      <c r="D100" s="176"/>
      <c r="E100" s="179">
        <f t="shared" si="1"/>
        <v>1960</v>
      </c>
      <c r="F100" s="170">
        <v>22251</v>
      </c>
      <c r="G100" s="171">
        <v>3.91</v>
      </c>
      <c r="J100" s="170">
        <v>34887</v>
      </c>
      <c r="K100" s="171">
        <v>6.59</v>
      </c>
    </row>
    <row r="101" spans="1:11" x14ac:dyDescent="0.2">
      <c r="A101" s="175">
        <v>34374</v>
      </c>
      <c r="B101" s="176">
        <v>6.52</v>
      </c>
      <c r="C101" s="176"/>
      <c r="D101" s="176"/>
      <c r="E101" s="179">
        <f t="shared" si="1"/>
        <v>1961</v>
      </c>
      <c r="F101" s="170">
        <v>22282</v>
      </c>
      <c r="G101" s="171">
        <v>3.9</v>
      </c>
      <c r="J101" s="170">
        <v>34894</v>
      </c>
      <c r="K101" s="171">
        <v>6.56</v>
      </c>
    </row>
    <row r="102" spans="1:11" x14ac:dyDescent="0.2">
      <c r="A102" s="175">
        <v>34375</v>
      </c>
      <c r="B102" s="176">
        <v>6.53</v>
      </c>
      <c r="C102" s="176"/>
      <c r="D102" s="176"/>
      <c r="E102" s="179">
        <f t="shared" si="1"/>
        <v>1961</v>
      </c>
      <c r="F102" s="170">
        <v>22313</v>
      </c>
      <c r="G102" s="171">
        <v>3.84</v>
      </c>
      <c r="J102" s="170">
        <v>34901</v>
      </c>
      <c r="K102" s="171">
        <v>6.84</v>
      </c>
    </row>
    <row r="103" spans="1:11" x14ac:dyDescent="0.2">
      <c r="A103" s="175">
        <v>34376</v>
      </c>
      <c r="B103" s="176">
        <v>6.5</v>
      </c>
      <c r="C103" s="176"/>
      <c r="D103" s="176"/>
      <c r="E103" s="179">
        <f t="shared" si="1"/>
        <v>1961</v>
      </c>
      <c r="F103" s="170">
        <v>22341</v>
      </c>
      <c r="G103" s="171">
        <v>3.81</v>
      </c>
      <c r="J103" s="170">
        <v>34908</v>
      </c>
      <c r="K103" s="171">
        <v>6.9</v>
      </c>
    </row>
    <row r="104" spans="1:11" x14ac:dyDescent="0.2">
      <c r="A104" s="175">
        <v>34379</v>
      </c>
      <c r="B104" s="176">
        <v>6.53</v>
      </c>
      <c r="C104" s="176"/>
      <c r="D104" s="176"/>
      <c r="E104" s="179">
        <f t="shared" si="1"/>
        <v>1961</v>
      </c>
      <c r="F104" s="170">
        <v>22372</v>
      </c>
      <c r="G104" s="171">
        <v>3.81</v>
      </c>
      <c r="J104" s="170">
        <v>34915</v>
      </c>
      <c r="K104" s="171">
        <v>6.92</v>
      </c>
    </row>
    <row r="105" spans="1:11" x14ac:dyDescent="0.2">
      <c r="A105" s="175">
        <v>34380</v>
      </c>
      <c r="B105" s="176">
        <v>6.53</v>
      </c>
      <c r="C105" s="176"/>
      <c r="D105" s="176"/>
      <c r="E105" s="179">
        <f t="shared" si="1"/>
        <v>1961</v>
      </c>
      <c r="F105" s="170">
        <v>22402</v>
      </c>
      <c r="G105" s="171">
        <v>3.74</v>
      </c>
      <c r="J105" s="170">
        <v>34922</v>
      </c>
      <c r="K105" s="171">
        <v>6.95</v>
      </c>
    </row>
    <row r="106" spans="1:11" x14ac:dyDescent="0.2">
      <c r="A106" s="175">
        <v>34381</v>
      </c>
      <c r="B106" s="176">
        <v>6.53</v>
      </c>
      <c r="C106" s="176"/>
      <c r="D106" s="176"/>
      <c r="E106" s="179">
        <f t="shared" si="1"/>
        <v>1961</v>
      </c>
      <c r="F106" s="170">
        <v>22433</v>
      </c>
      <c r="G106" s="171">
        <v>3.89</v>
      </c>
      <c r="J106" s="170">
        <v>34929</v>
      </c>
      <c r="K106" s="171">
        <v>7</v>
      </c>
    </row>
    <row r="107" spans="1:11" x14ac:dyDescent="0.2">
      <c r="A107" s="175">
        <v>34382</v>
      </c>
      <c r="B107" s="177">
        <v>6.62</v>
      </c>
      <c r="C107" s="177"/>
      <c r="D107" s="177"/>
      <c r="E107" s="179">
        <f t="shared" si="1"/>
        <v>1961</v>
      </c>
      <c r="F107" s="170">
        <v>22463</v>
      </c>
      <c r="G107" s="171">
        <v>3.93</v>
      </c>
      <c r="J107" s="170">
        <v>34936</v>
      </c>
      <c r="K107" s="171">
        <v>6.93</v>
      </c>
    </row>
    <row r="108" spans="1:11" x14ac:dyDescent="0.2">
      <c r="A108" s="175">
        <v>34383</v>
      </c>
      <c r="B108" s="176">
        <v>6.7</v>
      </c>
      <c r="C108" s="176"/>
      <c r="D108" s="176"/>
      <c r="E108" s="179">
        <f t="shared" si="1"/>
        <v>1961</v>
      </c>
      <c r="F108" s="170">
        <v>22494</v>
      </c>
      <c r="G108" s="171">
        <v>4.04</v>
      </c>
      <c r="J108" s="170">
        <v>34943</v>
      </c>
      <c r="K108" s="171">
        <v>6.74</v>
      </c>
    </row>
    <row r="109" spans="1:11" x14ac:dyDescent="0.2">
      <c r="A109" s="175">
        <v>34386</v>
      </c>
      <c r="B109" s="176" t="e">
        <f>NA()</f>
        <v>#N/A</v>
      </c>
      <c r="C109" s="176"/>
      <c r="D109" s="176"/>
      <c r="E109" s="179">
        <f t="shared" si="1"/>
        <v>1961</v>
      </c>
      <c r="F109" s="170">
        <v>22525</v>
      </c>
      <c r="G109" s="171">
        <v>4.04</v>
      </c>
      <c r="J109" s="170">
        <v>34950</v>
      </c>
      <c r="K109" s="171">
        <v>6.65</v>
      </c>
    </row>
    <row r="110" spans="1:11" x14ac:dyDescent="0.2">
      <c r="A110" s="175">
        <v>34387</v>
      </c>
      <c r="B110" s="176">
        <v>6.67</v>
      </c>
      <c r="C110" s="176"/>
      <c r="D110" s="176"/>
      <c r="E110" s="179">
        <f t="shared" si="1"/>
        <v>1961</v>
      </c>
      <c r="F110" s="170">
        <v>22555</v>
      </c>
      <c r="G110" s="171">
        <v>4.01</v>
      </c>
      <c r="J110" s="170">
        <v>34957</v>
      </c>
      <c r="K110" s="171">
        <v>6.61</v>
      </c>
    </row>
    <row r="111" spans="1:11" x14ac:dyDescent="0.2">
      <c r="A111" s="175">
        <v>34388</v>
      </c>
      <c r="B111" s="176">
        <v>6.73</v>
      </c>
      <c r="C111" s="176"/>
      <c r="D111" s="176"/>
      <c r="E111" s="179">
        <f t="shared" si="1"/>
        <v>1961</v>
      </c>
      <c r="F111" s="170">
        <v>22586</v>
      </c>
      <c r="G111" s="171">
        <v>4</v>
      </c>
      <c r="J111" s="170">
        <v>34964</v>
      </c>
      <c r="K111" s="171">
        <v>6.64</v>
      </c>
    </row>
    <row r="112" spans="1:11" x14ac:dyDescent="0.2">
      <c r="A112" s="175">
        <v>34389</v>
      </c>
      <c r="B112" s="176">
        <v>6.82</v>
      </c>
      <c r="C112" s="176"/>
      <c r="D112" s="176"/>
      <c r="E112" s="179">
        <f t="shared" si="1"/>
        <v>1961</v>
      </c>
      <c r="F112" s="170">
        <v>22616</v>
      </c>
      <c r="G112" s="171">
        <v>4.07</v>
      </c>
      <c r="J112" s="170">
        <v>34971</v>
      </c>
      <c r="K112" s="171">
        <v>6.7</v>
      </c>
    </row>
    <row r="113" spans="1:11" x14ac:dyDescent="0.2">
      <c r="A113" s="175">
        <v>34390</v>
      </c>
      <c r="B113" s="176">
        <v>6.8</v>
      </c>
      <c r="C113" s="176"/>
      <c r="D113" s="176"/>
      <c r="E113" s="179">
        <f t="shared" si="1"/>
        <v>1962</v>
      </c>
      <c r="F113" s="170">
        <v>22647</v>
      </c>
      <c r="G113" s="171">
        <v>4.0999999999999996</v>
      </c>
      <c r="J113" s="170">
        <v>34978</v>
      </c>
      <c r="K113" s="171">
        <v>6.55</v>
      </c>
    </row>
    <row r="114" spans="1:11" x14ac:dyDescent="0.2">
      <c r="A114" s="175">
        <v>34393</v>
      </c>
      <c r="B114" s="176">
        <v>6.75</v>
      </c>
      <c r="C114" s="176"/>
      <c r="D114" s="176"/>
      <c r="E114" s="179">
        <f t="shared" si="1"/>
        <v>1962</v>
      </c>
      <c r="F114" s="170">
        <v>22678</v>
      </c>
      <c r="G114" s="171">
        <v>4.12</v>
      </c>
      <c r="J114" s="170">
        <v>34985</v>
      </c>
      <c r="K114" s="171">
        <v>6.47</v>
      </c>
    </row>
    <row r="115" spans="1:11" x14ac:dyDescent="0.2">
      <c r="A115" s="175">
        <v>34394</v>
      </c>
      <c r="B115" s="176">
        <v>6.86</v>
      </c>
      <c r="C115" s="176"/>
      <c r="D115" s="176"/>
      <c r="E115" s="179">
        <f t="shared" si="1"/>
        <v>1962</v>
      </c>
      <c r="F115" s="170">
        <v>22706</v>
      </c>
      <c r="G115" s="171">
        <v>4.04</v>
      </c>
      <c r="J115" s="170">
        <v>34992</v>
      </c>
      <c r="K115" s="171">
        <v>6.38</v>
      </c>
    </row>
    <row r="116" spans="1:11" x14ac:dyDescent="0.2">
      <c r="A116" s="175">
        <v>34395</v>
      </c>
      <c r="B116" s="176">
        <v>6.87</v>
      </c>
      <c r="C116" s="176"/>
      <c r="D116" s="176"/>
      <c r="E116" s="179">
        <f t="shared" si="1"/>
        <v>1962</v>
      </c>
      <c r="F116" s="170">
        <v>22737</v>
      </c>
      <c r="G116" s="171">
        <v>3.93</v>
      </c>
      <c r="J116" s="170">
        <v>34999</v>
      </c>
      <c r="K116" s="171">
        <v>6.4</v>
      </c>
    </row>
    <row r="117" spans="1:11" x14ac:dyDescent="0.2">
      <c r="A117" s="175">
        <v>34396</v>
      </c>
      <c r="B117" s="177">
        <v>6.92</v>
      </c>
      <c r="C117" s="177"/>
      <c r="D117" s="177"/>
      <c r="E117" s="179">
        <f t="shared" si="1"/>
        <v>1962</v>
      </c>
      <c r="F117" s="170">
        <v>22767</v>
      </c>
      <c r="G117" s="171">
        <v>3.92</v>
      </c>
      <c r="J117" s="170">
        <v>35006</v>
      </c>
      <c r="K117" s="171">
        <v>6.36</v>
      </c>
    </row>
    <row r="118" spans="1:11" x14ac:dyDescent="0.2">
      <c r="A118" s="175">
        <v>34397</v>
      </c>
      <c r="B118" s="176">
        <v>6.92</v>
      </c>
      <c r="C118" s="176"/>
      <c r="D118" s="176"/>
      <c r="E118" s="179">
        <f t="shared" si="1"/>
        <v>1962</v>
      </c>
      <c r="F118" s="170">
        <v>22798</v>
      </c>
      <c r="G118" s="171">
        <v>3.96</v>
      </c>
      <c r="J118" s="170">
        <v>35013</v>
      </c>
      <c r="K118" s="171">
        <v>6.35</v>
      </c>
    </row>
    <row r="119" spans="1:11" x14ac:dyDescent="0.2">
      <c r="A119" s="175">
        <v>34400</v>
      </c>
      <c r="B119" s="176">
        <v>6.87</v>
      </c>
      <c r="C119" s="176"/>
      <c r="D119" s="176"/>
      <c r="E119" s="179">
        <f t="shared" si="1"/>
        <v>1962</v>
      </c>
      <c r="F119" s="170">
        <v>22828</v>
      </c>
      <c r="G119" s="171">
        <v>4.05</v>
      </c>
      <c r="J119" s="170">
        <v>35020</v>
      </c>
      <c r="K119" s="171">
        <v>6.34</v>
      </c>
    </row>
    <row r="120" spans="1:11" x14ac:dyDescent="0.2">
      <c r="A120" s="175">
        <v>34401</v>
      </c>
      <c r="B120" s="176">
        <v>6.92</v>
      </c>
      <c r="C120" s="176"/>
      <c r="D120" s="176"/>
      <c r="E120" s="179">
        <f t="shared" si="1"/>
        <v>1962</v>
      </c>
      <c r="F120" s="170">
        <v>22859</v>
      </c>
      <c r="G120" s="171">
        <v>4.01</v>
      </c>
      <c r="J120" s="170">
        <v>35027</v>
      </c>
      <c r="K120" s="171">
        <v>6.36</v>
      </c>
    </row>
    <row r="121" spans="1:11" x14ac:dyDescent="0.2">
      <c r="A121" s="175">
        <v>34402</v>
      </c>
      <c r="B121" s="176">
        <v>6.93</v>
      </c>
      <c r="C121" s="176"/>
      <c r="D121" s="176"/>
      <c r="E121" s="179">
        <f t="shared" si="1"/>
        <v>1962</v>
      </c>
      <c r="F121" s="170">
        <v>22890</v>
      </c>
      <c r="G121" s="171">
        <v>4</v>
      </c>
      <c r="J121" s="170">
        <v>35034</v>
      </c>
      <c r="K121" s="171">
        <v>6.25</v>
      </c>
    </row>
    <row r="122" spans="1:11" x14ac:dyDescent="0.2">
      <c r="A122" s="175">
        <v>34403</v>
      </c>
      <c r="B122" s="176">
        <v>7.02</v>
      </c>
      <c r="C122" s="176"/>
      <c r="D122" s="176"/>
      <c r="E122" s="179">
        <f t="shared" si="1"/>
        <v>1962</v>
      </c>
      <c r="F122" s="170">
        <v>22920</v>
      </c>
      <c r="G122" s="171">
        <v>3.94</v>
      </c>
      <c r="J122" s="170">
        <v>35041</v>
      </c>
      <c r="K122" s="171">
        <v>6.1</v>
      </c>
    </row>
    <row r="123" spans="1:11" x14ac:dyDescent="0.2">
      <c r="A123" s="175">
        <v>34404</v>
      </c>
      <c r="B123" s="176">
        <v>6.99</v>
      </c>
      <c r="C123" s="176"/>
      <c r="D123" s="176"/>
      <c r="E123" s="179">
        <f t="shared" si="1"/>
        <v>1962</v>
      </c>
      <c r="F123" s="170">
        <v>22951</v>
      </c>
      <c r="G123" s="171">
        <v>3.93</v>
      </c>
      <c r="J123" s="170">
        <v>35048</v>
      </c>
      <c r="K123" s="171">
        <v>6.13</v>
      </c>
    </row>
    <row r="124" spans="1:11" x14ac:dyDescent="0.2">
      <c r="A124" s="175">
        <v>34407</v>
      </c>
      <c r="B124" s="176">
        <v>7.01</v>
      </c>
      <c r="C124" s="176"/>
      <c r="D124" s="176"/>
      <c r="E124" s="179">
        <f t="shared" si="1"/>
        <v>1962</v>
      </c>
      <c r="F124" s="170">
        <v>22981</v>
      </c>
      <c r="G124" s="171">
        <v>3.92</v>
      </c>
      <c r="J124" s="170">
        <v>35055</v>
      </c>
      <c r="K124" s="171">
        <v>6.19</v>
      </c>
    </row>
    <row r="125" spans="1:11" x14ac:dyDescent="0.2">
      <c r="A125" s="175">
        <v>34408</v>
      </c>
      <c r="B125" s="176">
        <v>6.99</v>
      </c>
      <c r="C125" s="176"/>
      <c r="D125" s="176"/>
      <c r="E125" s="179">
        <f t="shared" si="1"/>
        <v>1963</v>
      </c>
      <c r="F125" s="170">
        <v>23012</v>
      </c>
      <c r="G125" s="171">
        <v>3.93</v>
      </c>
      <c r="J125" s="170">
        <v>35062</v>
      </c>
      <c r="K125" s="171">
        <v>6.06</v>
      </c>
    </row>
    <row r="126" spans="1:11" x14ac:dyDescent="0.2">
      <c r="A126" s="175">
        <v>34409</v>
      </c>
      <c r="B126" s="176">
        <v>6.9</v>
      </c>
      <c r="C126" s="176"/>
      <c r="D126" s="176"/>
      <c r="E126" s="179">
        <f t="shared" si="1"/>
        <v>1963</v>
      </c>
      <c r="F126" s="170">
        <v>23043</v>
      </c>
      <c r="G126" s="171">
        <v>3.97</v>
      </c>
      <c r="J126" s="170">
        <v>35069</v>
      </c>
      <c r="K126" s="171">
        <v>6.06</v>
      </c>
    </row>
    <row r="127" spans="1:11" x14ac:dyDescent="0.2">
      <c r="A127" s="175">
        <v>34410</v>
      </c>
      <c r="B127" s="176">
        <v>6.91</v>
      </c>
      <c r="C127" s="176"/>
      <c r="D127" s="176"/>
      <c r="E127" s="179">
        <f t="shared" si="1"/>
        <v>1963</v>
      </c>
      <c r="F127" s="170">
        <v>23071</v>
      </c>
      <c r="G127" s="171">
        <v>3.98</v>
      </c>
      <c r="J127" s="170">
        <v>35076</v>
      </c>
      <c r="K127" s="171">
        <v>6.18</v>
      </c>
    </row>
    <row r="128" spans="1:11" x14ac:dyDescent="0.2">
      <c r="A128" s="175">
        <v>34411</v>
      </c>
      <c r="B128" s="176">
        <v>6.99</v>
      </c>
      <c r="C128" s="176"/>
      <c r="D128" s="176"/>
      <c r="E128" s="179">
        <f t="shared" si="1"/>
        <v>1963</v>
      </c>
      <c r="F128" s="170">
        <v>23102</v>
      </c>
      <c r="G128" s="171">
        <v>4.03</v>
      </c>
      <c r="J128" s="170">
        <v>35083</v>
      </c>
      <c r="K128" s="171">
        <v>6.06</v>
      </c>
    </row>
    <row r="129" spans="1:11" x14ac:dyDescent="0.2">
      <c r="A129" s="175">
        <v>34414</v>
      </c>
      <c r="B129" s="176">
        <v>7.03</v>
      </c>
      <c r="C129" s="176"/>
      <c r="D129" s="176"/>
      <c r="E129" s="179">
        <f t="shared" si="1"/>
        <v>1963</v>
      </c>
      <c r="F129" s="170">
        <v>23132</v>
      </c>
      <c r="G129" s="171">
        <v>4.0199999999999996</v>
      </c>
      <c r="J129" s="170">
        <v>35090</v>
      </c>
      <c r="K129" s="171">
        <v>6.11</v>
      </c>
    </row>
    <row r="130" spans="1:11" x14ac:dyDescent="0.2">
      <c r="A130" s="175">
        <v>34415</v>
      </c>
      <c r="B130" s="176">
        <v>6.94</v>
      </c>
      <c r="C130" s="176"/>
      <c r="D130" s="176"/>
      <c r="E130" s="179">
        <f t="shared" si="1"/>
        <v>1963</v>
      </c>
      <c r="F130" s="170">
        <v>23163</v>
      </c>
      <c r="G130" s="171">
        <v>4.0199999999999996</v>
      </c>
      <c r="J130" s="170">
        <v>35097</v>
      </c>
      <c r="K130" s="171">
        <v>6.11</v>
      </c>
    </row>
    <row r="131" spans="1:11" x14ac:dyDescent="0.2">
      <c r="A131" s="175">
        <v>34416</v>
      </c>
      <c r="B131" s="176">
        <v>6.95</v>
      </c>
      <c r="C131" s="176"/>
      <c r="D131" s="176"/>
      <c r="E131" s="179">
        <f t="shared" si="1"/>
        <v>1963</v>
      </c>
      <c r="F131" s="170">
        <v>23193</v>
      </c>
      <c r="G131" s="171">
        <v>4.0599999999999996</v>
      </c>
      <c r="J131" s="170">
        <v>35104</v>
      </c>
      <c r="K131" s="171">
        <v>6.17</v>
      </c>
    </row>
    <row r="132" spans="1:11" x14ac:dyDescent="0.2">
      <c r="A132" s="175">
        <v>34417</v>
      </c>
      <c r="B132" s="176">
        <v>7.09</v>
      </c>
      <c r="C132" s="176"/>
      <c r="D132" s="176"/>
      <c r="E132" s="179">
        <f t="shared" si="1"/>
        <v>1963</v>
      </c>
      <c r="F132" s="170">
        <v>23224</v>
      </c>
      <c r="G132" s="171">
        <v>4.03</v>
      </c>
      <c r="J132" s="170">
        <v>35111</v>
      </c>
      <c r="K132" s="171">
        <v>6.16</v>
      </c>
    </row>
    <row r="133" spans="1:11" x14ac:dyDescent="0.2">
      <c r="A133" s="175">
        <v>34418</v>
      </c>
      <c r="B133" s="176">
        <v>7.1</v>
      </c>
      <c r="C133" s="176"/>
      <c r="D133" s="176"/>
      <c r="E133" s="179">
        <f t="shared" si="1"/>
        <v>1963</v>
      </c>
      <c r="F133" s="170">
        <v>23255</v>
      </c>
      <c r="G133" s="171">
        <v>4.09</v>
      </c>
      <c r="J133" s="170">
        <v>35118</v>
      </c>
      <c r="K133" s="171">
        <v>6.46</v>
      </c>
    </row>
    <row r="134" spans="1:11" x14ac:dyDescent="0.2">
      <c r="A134" s="175">
        <v>34421</v>
      </c>
      <c r="B134" s="176">
        <v>7.09</v>
      </c>
      <c r="C134" s="176"/>
      <c r="D134" s="176"/>
      <c r="E134" s="179">
        <f t="shared" si="1"/>
        <v>1963</v>
      </c>
      <c r="F134" s="170">
        <v>23285</v>
      </c>
      <c r="G134" s="171">
        <v>4.12</v>
      </c>
      <c r="J134" s="170">
        <v>35125</v>
      </c>
      <c r="K134" s="171">
        <v>6.55</v>
      </c>
    </row>
    <row r="135" spans="1:11" x14ac:dyDescent="0.2">
      <c r="A135" s="175">
        <v>34422</v>
      </c>
      <c r="B135" s="176">
        <v>7.17</v>
      </c>
      <c r="C135" s="176"/>
      <c r="D135" s="176"/>
      <c r="E135" s="179">
        <f t="shared" si="1"/>
        <v>1963</v>
      </c>
      <c r="F135" s="170">
        <v>23316</v>
      </c>
      <c r="G135" s="171">
        <v>4.16</v>
      </c>
      <c r="J135" s="170">
        <v>35132</v>
      </c>
      <c r="K135" s="171">
        <v>6.57</v>
      </c>
    </row>
    <row r="136" spans="1:11" x14ac:dyDescent="0.2">
      <c r="A136" s="175">
        <v>34423</v>
      </c>
      <c r="B136" s="176">
        <v>7.23</v>
      </c>
      <c r="C136" s="176"/>
      <c r="D136" s="176"/>
      <c r="E136" s="179">
        <f t="shared" si="1"/>
        <v>1963</v>
      </c>
      <c r="F136" s="170">
        <v>23346</v>
      </c>
      <c r="G136" s="171">
        <v>4.1900000000000004</v>
      </c>
      <c r="J136" s="170">
        <v>35139</v>
      </c>
      <c r="K136" s="171">
        <v>6.82</v>
      </c>
    </row>
    <row r="137" spans="1:11" x14ac:dyDescent="0.2">
      <c r="A137" s="175">
        <v>34424</v>
      </c>
      <c r="B137" s="176">
        <v>7.23</v>
      </c>
      <c r="C137" s="176"/>
      <c r="D137" s="176"/>
      <c r="E137" s="179">
        <f t="shared" ref="E137:E200" si="2">YEAR(F137)</f>
        <v>1964</v>
      </c>
      <c r="F137" s="170">
        <v>23377</v>
      </c>
      <c r="G137" s="171">
        <v>4.1900000000000004</v>
      </c>
      <c r="J137" s="170">
        <v>35146</v>
      </c>
      <c r="K137" s="171">
        <v>6.82</v>
      </c>
    </row>
    <row r="138" spans="1:11" x14ac:dyDescent="0.2">
      <c r="A138" s="175">
        <v>34425</v>
      </c>
      <c r="B138" s="177" t="e">
        <f>NA()</f>
        <v>#N/A</v>
      </c>
      <c r="C138" s="177"/>
      <c r="D138" s="177"/>
      <c r="E138" s="179">
        <f t="shared" si="2"/>
        <v>1964</v>
      </c>
      <c r="F138" s="170">
        <v>23408</v>
      </c>
      <c r="G138" s="171">
        <v>4.17</v>
      </c>
      <c r="J138" s="170">
        <v>35153</v>
      </c>
      <c r="K138" s="171">
        <v>6.81</v>
      </c>
    </row>
    <row r="139" spans="1:11" x14ac:dyDescent="0.2">
      <c r="A139" s="175">
        <v>34428</v>
      </c>
      <c r="B139" s="176">
        <v>7.55</v>
      </c>
      <c r="C139" s="176"/>
      <c r="D139" s="176"/>
      <c r="E139" s="179">
        <f t="shared" si="2"/>
        <v>1964</v>
      </c>
      <c r="F139" s="170">
        <v>23437</v>
      </c>
      <c r="G139" s="171">
        <v>4.22</v>
      </c>
      <c r="J139" s="170">
        <v>35160</v>
      </c>
      <c r="K139" s="171">
        <v>6.85</v>
      </c>
    </row>
    <row r="140" spans="1:11" x14ac:dyDescent="0.2">
      <c r="A140" s="175">
        <v>34429</v>
      </c>
      <c r="B140" s="176">
        <v>7.41</v>
      </c>
      <c r="C140" s="176"/>
      <c r="D140" s="176"/>
      <c r="E140" s="179">
        <f t="shared" si="2"/>
        <v>1964</v>
      </c>
      <c r="F140" s="170">
        <v>23468</v>
      </c>
      <c r="G140" s="171">
        <v>4.24</v>
      </c>
      <c r="J140" s="170">
        <v>35167</v>
      </c>
      <c r="K140" s="171">
        <v>7.07</v>
      </c>
    </row>
    <row r="141" spans="1:11" x14ac:dyDescent="0.2">
      <c r="A141" s="175">
        <v>34430</v>
      </c>
      <c r="B141" s="176">
        <v>7.38</v>
      </c>
      <c r="C141" s="176"/>
      <c r="D141" s="176"/>
      <c r="E141" s="179">
        <f t="shared" si="2"/>
        <v>1964</v>
      </c>
      <c r="F141" s="170">
        <v>23498</v>
      </c>
      <c r="G141" s="171">
        <v>4.2</v>
      </c>
      <c r="J141" s="170">
        <v>35174</v>
      </c>
      <c r="K141" s="171">
        <v>6.99</v>
      </c>
    </row>
    <row r="142" spans="1:11" x14ac:dyDescent="0.2">
      <c r="A142" s="175">
        <v>34431</v>
      </c>
      <c r="B142" s="176">
        <v>7.33</v>
      </c>
      <c r="C142" s="176"/>
      <c r="D142" s="176"/>
      <c r="E142" s="179">
        <f t="shared" si="2"/>
        <v>1964</v>
      </c>
      <c r="F142" s="170">
        <v>23529</v>
      </c>
      <c r="G142" s="171">
        <v>4.17</v>
      </c>
      <c r="J142" s="170">
        <v>35181</v>
      </c>
      <c r="K142" s="171">
        <v>6.98</v>
      </c>
    </row>
    <row r="143" spans="1:11" x14ac:dyDescent="0.2">
      <c r="A143" s="175">
        <v>34432</v>
      </c>
      <c r="B143" s="176">
        <v>7.4</v>
      </c>
      <c r="C143" s="176"/>
      <c r="D143" s="176"/>
      <c r="E143" s="179">
        <f t="shared" si="2"/>
        <v>1964</v>
      </c>
      <c r="F143" s="170">
        <v>23559</v>
      </c>
      <c r="G143" s="171">
        <v>4.16</v>
      </c>
      <c r="J143" s="170">
        <v>35188</v>
      </c>
      <c r="K143" s="171">
        <v>7.13</v>
      </c>
    </row>
    <row r="144" spans="1:11" x14ac:dyDescent="0.2">
      <c r="A144" s="175">
        <v>34435</v>
      </c>
      <c r="B144" s="176">
        <v>7.37</v>
      </c>
      <c r="C144" s="176"/>
      <c r="D144" s="176"/>
      <c r="E144" s="179">
        <f t="shared" si="2"/>
        <v>1964</v>
      </c>
      <c r="F144" s="170">
        <v>23590</v>
      </c>
      <c r="G144" s="171">
        <v>4.18</v>
      </c>
      <c r="J144" s="170">
        <v>35195</v>
      </c>
      <c r="K144" s="171">
        <v>7.21</v>
      </c>
    </row>
    <row r="145" spans="1:11" x14ac:dyDescent="0.2">
      <c r="A145" s="175">
        <v>34436</v>
      </c>
      <c r="B145" s="176">
        <v>7.32</v>
      </c>
      <c r="C145" s="176"/>
      <c r="D145" s="176"/>
      <c r="E145" s="179">
        <f t="shared" si="2"/>
        <v>1964</v>
      </c>
      <c r="F145" s="170">
        <v>23621</v>
      </c>
      <c r="G145" s="171">
        <v>4.2</v>
      </c>
      <c r="J145" s="170">
        <v>35202</v>
      </c>
      <c r="K145" s="171">
        <v>7.05</v>
      </c>
    </row>
    <row r="146" spans="1:11" x14ac:dyDescent="0.2">
      <c r="A146" s="175">
        <v>34437</v>
      </c>
      <c r="B146" s="176">
        <v>7.39</v>
      </c>
      <c r="C146" s="176"/>
      <c r="D146" s="176"/>
      <c r="E146" s="179">
        <f t="shared" si="2"/>
        <v>1964</v>
      </c>
      <c r="F146" s="170">
        <v>23651</v>
      </c>
      <c r="G146" s="171">
        <v>4.2</v>
      </c>
      <c r="J146" s="170">
        <v>35209</v>
      </c>
      <c r="K146" s="171">
        <v>7.02</v>
      </c>
    </row>
    <row r="147" spans="1:11" x14ac:dyDescent="0.2">
      <c r="A147" s="175">
        <v>34438</v>
      </c>
      <c r="B147" s="176">
        <v>7.43</v>
      </c>
      <c r="C147" s="176"/>
      <c r="D147" s="176"/>
      <c r="E147" s="179">
        <f t="shared" si="2"/>
        <v>1964</v>
      </c>
      <c r="F147" s="170">
        <v>23682</v>
      </c>
      <c r="G147" s="171">
        <v>4.17</v>
      </c>
      <c r="J147" s="170">
        <v>35216</v>
      </c>
      <c r="K147" s="171">
        <v>7.09</v>
      </c>
    </row>
    <row r="148" spans="1:11" x14ac:dyDescent="0.2">
      <c r="A148" s="175">
        <v>34439</v>
      </c>
      <c r="B148" s="176">
        <v>7.42</v>
      </c>
      <c r="C148" s="176"/>
      <c r="D148" s="176"/>
      <c r="E148" s="179">
        <f t="shared" si="2"/>
        <v>1964</v>
      </c>
      <c r="F148" s="170">
        <v>23712</v>
      </c>
      <c r="G148" s="171">
        <v>4.18</v>
      </c>
      <c r="J148" s="170">
        <v>35223</v>
      </c>
      <c r="K148" s="171">
        <v>7.16</v>
      </c>
    </row>
    <row r="149" spans="1:11" x14ac:dyDescent="0.2">
      <c r="A149" s="175">
        <v>34442</v>
      </c>
      <c r="B149" s="176">
        <v>7.55</v>
      </c>
      <c r="C149" s="176"/>
      <c r="D149" s="176"/>
      <c r="E149" s="179">
        <f t="shared" si="2"/>
        <v>1965</v>
      </c>
      <c r="F149" s="170">
        <v>23743</v>
      </c>
      <c r="G149" s="171">
        <v>4.1900000000000004</v>
      </c>
      <c r="J149" s="170">
        <v>35230</v>
      </c>
      <c r="K149" s="171">
        <v>7.3</v>
      </c>
    </row>
    <row r="150" spans="1:11" x14ac:dyDescent="0.2">
      <c r="A150" s="175">
        <v>34443</v>
      </c>
      <c r="B150" s="176">
        <v>7.5</v>
      </c>
      <c r="C150" s="176"/>
      <c r="D150" s="176"/>
      <c r="E150" s="179">
        <f t="shared" si="2"/>
        <v>1965</v>
      </c>
      <c r="F150" s="170">
        <v>23774</v>
      </c>
      <c r="G150" s="171">
        <v>4.21</v>
      </c>
      <c r="J150" s="170">
        <v>35237</v>
      </c>
      <c r="K150" s="171">
        <v>7.25</v>
      </c>
    </row>
    <row r="151" spans="1:11" x14ac:dyDescent="0.2">
      <c r="A151" s="175">
        <v>34444</v>
      </c>
      <c r="B151" s="176">
        <v>7.46</v>
      </c>
      <c r="C151" s="176"/>
      <c r="D151" s="176"/>
      <c r="E151" s="179">
        <f t="shared" si="2"/>
        <v>1965</v>
      </c>
      <c r="F151" s="170">
        <v>23802</v>
      </c>
      <c r="G151" s="171">
        <v>4.2</v>
      </c>
      <c r="J151" s="170">
        <v>35244</v>
      </c>
      <c r="K151" s="171">
        <v>7.16</v>
      </c>
    </row>
    <row r="152" spans="1:11" x14ac:dyDescent="0.2">
      <c r="A152" s="175">
        <v>34445</v>
      </c>
      <c r="B152" s="176">
        <v>7.33</v>
      </c>
      <c r="C152" s="176"/>
      <c r="D152" s="176"/>
      <c r="E152" s="179">
        <f t="shared" si="2"/>
        <v>1965</v>
      </c>
      <c r="F152" s="170">
        <v>23833</v>
      </c>
      <c r="G152" s="171">
        <v>4.2</v>
      </c>
      <c r="J152" s="170">
        <v>35251</v>
      </c>
      <c r="K152" s="171">
        <v>7.12</v>
      </c>
    </row>
    <row r="153" spans="1:11" x14ac:dyDescent="0.2">
      <c r="A153" s="175">
        <v>34446</v>
      </c>
      <c r="B153" s="176">
        <v>7.34</v>
      </c>
      <c r="C153" s="176"/>
      <c r="D153" s="176"/>
      <c r="E153" s="179">
        <f t="shared" si="2"/>
        <v>1965</v>
      </c>
      <c r="F153" s="170">
        <v>23863</v>
      </c>
      <c r="G153" s="171">
        <v>4.21</v>
      </c>
      <c r="J153" s="170">
        <v>35258</v>
      </c>
      <c r="K153" s="171">
        <v>7.23</v>
      </c>
    </row>
    <row r="154" spans="1:11" x14ac:dyDescent="0.2">
      <c r="A154" s="175">
        <v>34449</v>
      </c>
      <c r="B154" s="177">
        <v>7.26</v>
      </c>
      <c r="C154" s="177"/>
      <c r="D154" s="177"/>
      <c r="E154" s="179">
        <f t="shared" si="2"/>
        <v>1965</v>
      </c>
      <c r="F154" s="170">
        <v>23894</v>
      </c>
      <c r="G154" s="171">
        <v>4.21</v>
      </c>
      <c r="J154" s="170">
        <v>35265</v>
      </c>
      <c r="K154" s="171">
        <v>7.11</v>
      </c>
    </row>
    <row r="155" spans="1:11" x14ac:dyDescent="0.2">
      <c r="A155" s="175">
        <v>34450</v>
      </c>
      <c r="B155" s="176">
        <v>7.24</v>
      </c>
      <c r="C155" s="176"/>
      <c r="D155" s="176"/>
      <c r="E155" s="179">
        <f t="shared" si="2"/>
        <v>1965</v>
      </c>
      <c r="F155" s="170">
        <v>23924</v>
      </c>
      <c r="G155" s="171">
        <v>4.21</v>
      </c>
      <c r="J155" s="170">
        <v>35272</v>
      </c>
      <c r="K155" s="171">
        <v>7.12</v>
      </c>
    </row>
    <row r="156" spans="1:11" x14ac:dyDescent="0.2">
      <c r="A156" s="175">
        <v>34451</v>
      </c>
      <c r="B156" s="176" t="e">
        <f>NA()</f>
        <v>#N/A</v>
      </c>
      <c r="C156" s="176"/>
      <c r="D156" s="176"/>
      <c r="E156" s="179">
        <f t="shared" si="2"/>
        <v>1965</v>
      </c>
      <c r="F156" s="170">
        <v>23955</v>
      </c>
      <c r="G156" s="171">
        <v>4.25</v>
      </c>
      <c r="J156" s="170">
        <v>35279</v>
      </c>
      <c r="K156" s="171">
        <v>7.03</v>
      </c>
    </row>
    <row r="157" spans="1:11" x14ac:dyDescent="0.2">
      <c r="A157" s="175">
        <v>34452</v>
      </c>
      <c r="B157" s="176">
        <v>7.41</v>
      </c>
      <c r="C157" s="176"/>
      <c r="D157" s="176"/>
      <c r="E157" s="179">
        <f t="shared" si="2"/>
        <v>1965</v>
      </c>
      <c r="F157" s="170">
        <v>23986</v>
      </c>
      <c r="G157" s="171">
        <v>4.3</v>
      </c>
      <c r="J157" s="170">
        <v>35286</v>
      </c>
      <c r="K157" s="171">
        <v>6.86</v>
      </c>
    </row>
    <row r="158" spans="1:11" x14ac:dyDescent="0.2">
      <c r="A158" s="175">
        <v>34453</v>
      </c>
      <c r="B158" s="176">
        <v>7.44</v>
      </c>
      <c r="C158" s="176"/>
      <c r="D158" s="176"/>
      <c r="E158" s="179">
        <f t="shared" si="2"/>
        <v>1965</v>
      </c>
      <c r="F158" s="170">
        <v>24016</v>
      </c>
      <c r="G158" s="171">
        <v>4.32</v>
      </c>
      <c r="J158" s="170">
        <v>35293</v>
      </c>
      <c r="K158" s="171">
        <v>6.9</v>
      </c>
    </row>
    <row r="159" spans="1:11" x14ac:dyDescent="0.2">
      <c r="A159" s="175">
        <v>34456</v>
      </c>
      <c r="B159" s="176">
        <v>7.45</v>
      </c>
      <c r="C159" s="176"/>
      <c r="D159" s="176"/>
      <c r="E159" s="179">
        <f t="shared" si="2"/>
        <v>1965</v>
      </c>
      <c r="F159" s="170">
        <v>24047</v>
      </c>
      <c r="G159" s="171">
        <v>4.4000000000000004</v>
      </c>
      <c r="J159" s="170">
        <v>35300</v>
      </c>
      <c r="K159" s="171">
        <v>6.98</v>
      </c>
    </row>
    <row r="160" spans="1:11" x14ac:dyDescent="0.2">
      <c r="A160" s="175">
        <v>34457</v>
      </c>
      <c r="B160" s="176">
        <v>7.48</v>
      </c>
      <c r="C160" s="176"/>
      <c r="D160" s="176"/>
      <c r="E160" s="179">
        <f t="shared" si="2"/>
        <v>1965</v>
      </c>
      <c r="F160" s="170">
        <v>24077</v>
      </c>
      <c r="G160" s="171">
        <v>4.5</v>
      </c>
      <c r="J160" s="170">
        <v>35307</v>
      </c>
      <c r="K160" s="171">
        <v>7.17</v>
      </c>
    </row>
    <row r="161" spans="1:11" x14ac:dyDescent="0.2">
      <c r="A161" s="175">
        <v>34458</v>
      </c>
      <c r="B161" s="176">
        <v>7.49</v>
      </c>
      <c r="C161" s="176"/>
      <c r="D161" s="176"/>
      <c r="E161" s="179">
        <f t="shared" si="2"/>
        <v>1966</v>
      </c>
      <c r="F161" s="170">
        <v>24108</v>
      </c>
      <c r="G161" s="171">
        <v>4.5199999999999996</v>
      </c>
      <c r="J161" s="170">
        <v>35314</v>
      </c>
      <c r="K161" s="171">
        <v>7.26</v>
      </c>
    </row>
    <row r="162" spans="1:11" x14ac:dyDescent="0.2">
      <c r="A162" s="175">
        <v>34459</v>
      </c>
      <c r="B162" s="176">
        <v>7.46</v>
      </c>
      <c r="C162" s="176"/>
      <c r="D162" s="176"/>
      <c r="E162" s="179">
        <f t="shared" si="2"/>
        <v>1966</v>
      </c>
      <c r="F162" s="170">
        <v>24139</v>
      </c>
      <c r="G162" s="171">
        <v>4.71</v>
      </c>
      <c r="J162" s="170">
        <v>35321</v>
      </c>
      <c r="K162" s="171">
        <v>7.22</v>
      </c>
    </row>
    <row r="163" spans="1:11" x14ac:dyDescent="0.2">
      <c r="A163" s="175">
        <v>34460</v>
      </c>
      <c r="B163" s="176">
        <v>7.67</v>
      </c>
      <c r="C163" s="176"/>
      <c r="D163" s="176"/>
      <c r="E163" s="179">
        <f t="shared" si="2"/>
        <v>1966</v>
      </c>
      <c r="F163" s="170">
        <v>24167</v>
      </c>
      <c r="G163" s="171">
        <v>4.72</v>
      </c>
      <c r="J163" s="170">
        <v>35328</v>
      </c>
      <c r="K163" s="171">
        <v>7.15</v>
      </c>
    </row>
    <row r="164" spans="1:11" x14ac:dyDescent="0.2">
      <c r="A164" s="175">
        <v>34463</v>
      </c>
      <c r="B164" s="176">
        <v>7.76</v>
      </c>
      <c r="C164" s="176"/>
      <c r="D164" s="176"/>
      <c r="E164" s="179">
        <f t="shared" si="2"/>
        <v>1966</v>
      </c>
      <c r="F164" s="170">
        <v>24198</v>
      </c>
      <c r="G164" s="171">
        <v>4.6500000000000004</v>
      </c>
      <c r="J164" s="170">
        <v>35335</v>
      </c>
      <c r="K164" s="171">
        <v>7.07</v>
      </c>
    </row>
    <row r="165" spans="1:11" x14ac:dyDescent="0.2">
      <c r="A165" s="175">
        <v>34464</v>
      </c>
      <c r="B165" s="176">
        <v>7.62</v>
      </c>
      <c r="C165" s="176"/>
      <c r="D165" s="176"/>
      <c r="E165" s="179">
        <f t="shared" si="2"/>
        <v>1966</v>
      </c>
      <c r="F165" s="170">
        <v>24228</v>
      </c>
      <c r="G165" s="171">
        <v>4.6900000000000004</v>
      </c>
      <c r="J165" s="170">
        <v>35342</v>
      </c>
      <c r="K165" s="171">
        <v>6.95</v>
      </c>
    </row>
    <row r="166" spans="1:11" x14ac:dyDescent="0.2">
      <c r="A166" s="175">
        <v>34465</v>
      </c>
      <c r="B166" s="176">
        <v>7.73</v>
      </c>
      <c r="C166" s="176"/>
      <c r="D166" s="176"/>
      <c r="E166" s="179">
        <f t="shared" si="2"/>
        <v>1966</v>
      </c>
      <c r="F166" s="170">
        <v>24259</v>
      </c>
      <c r="G166" s="171">
        <v>4.7300000000000004</v>
      </c>
      <c r="J166" s="170">
        <v>35349</v>
      </c>
      <c r="K166" s="171">
        <v>6.92</v>
      </c>
    </row>
    <row r="167" spans="1:11" x14ac:dyDescent="0.2">
      <c r="A167" s="175">
        <v>34466</v>
      </c>
      <c r="B167" s="176">
        <v>7.69</v>
      </c>
      <c r="C167" s="176"/>
      <c r="D167" s="176"/>
      <c r="E167" s="179">
        <f t="shared" si="2"/>
        <v>1966</v>
      </c>
      <c r="F167" s="170">
        <v>24289</v>
      </c>
      <c r="G167" s="171">
        <v>4.84</v>
      </c>
      <c r="J167" s="170">
        <v>35356</v>
      </c>
      <c r="K167" s="171">
        <v>6.92</v>
      </c>
    </row>
    <row r="168" spans="1:11" x14ac:dyDescent="0.2">
      <c r="A168" s="175">
        <v>34467</v>
      </c>
      <c r="B168" s="176">
        <v>7.63</v>
      </c>
      <c r="C168" s="176"/>
      <c r="D168" s="176"/>
      <c r="E168" s="179">
        <f t="shared" si="2"/>
        <v>1966</v>
      </c>
      <c r="F168" s="170">
        <v>24320</v>
      </c>
      <c r="G168" s="171">
        <v>4.95</v>
      </c>
      <c r="J168" s="170">
        <v>35363</v>
      </c>
      <c r="K168" s="171">
        <v>6.92</v>
      </c>
    </row>
    <row r="169" spans="1:11" x14ac:dyDescent="0.2">
      <c r="A169" s="175">
        <v>34470</v>
      </c>
      <c r="B169" s="176">
        <v>7.58</v>
      </c>
      <c r="C169" s="176"/>
      <c r="D169" s="176"/>
      <c r="E169" s="179">
        <f t="shared" si="2"/>
        <v>1966</v>
      </c>
      <c r="F169" s="170">
        <v>24351</v>
      </c>
      <c r="G169" s="171">
        <v>4.9400000000000004</v>
      </c>
      <c r="J169" s="170">
        <v>35370</v>
      </c>
      <c r="K169" s="171">
        <v>6.79</v>
      </c>
    </row>
    <row r="170" spans="1:11" x14ac:dyDescent="0.2">
      <c r="A170" s="175">
        <v>34471</v>
      </c>
      <c r="B170" s="176">
        <v>7.39</v>
      </c>
      <c r="C170" s="176"/>
      <c r="D170" s="176"/>
      <c r="E170" s="179">
        <f t="shared" si="2"/>
        <v>1966</v>
      </c>
      <c r="F170" s="170">
        <v>24381</v>
      </c>
      <c r="G170" s="171">
        <v>4.83</v>
      </c>
      <c r="J170" s="170">
        <v>35377</v>
      </c>
      <c r="K170" s="171">
        <v>6.66</v>
      </c>
    </row>
    <row r="171" spans="1:11" x14ac:dyDescent="0.2">
      <c r="A171" s="175">
        <v>34472</v>
      </c>
      <c r="B171" s="176">
        <v>7.41</v>
      </c>
      <c r="C171" s="176"/>
      <c r="D171" s="176"/>
      <c r="E171" s="179">
        <f t="shared" si="2"/>
        <v>1966</v>
      </c>
      <c r="F171" s="170">
        <v>24412</v>
      </c>
      <c r="G171" s="171">
        <v>4.87</v>
      </c>
      <c r="J171" s="170">
        <v>35384</v>
      </c>
      <c r="K171" s="171">
        <v>6.56</v>
      </c>
    </row>
    <row r="172" spans="1:11" x14ac:dyDescent="0.2">
      <c r="A172" s="175">
        <v>34473</v>
      </c>
      <c r="B172" s="176">
        <v>7.37</v>
      </c>
      <c r="C172" s="176"/>
      <c r="D172" s="176"/>
      <c r="E172" s="179">
        <f t="shared" si="2"/>
        <v>1966</v>
      </c>
      <c r="F172" s="170">
        <v>24442</v>
      </c>
      <c r="G172" s="171">
        <v>4.76</v>
      </c>
      <c r="J172" s="170">
        <v>35391</v>
      </c>
      <c r="K172" s="171">
        <v>6.53</v>
      </c>
    </row>
    <row r="173" spans="1:11" x14ac:dyDescent="0.2">
      <c r="A173" s="175">
        <v>34474</v>
      </c>
      <c r="B173" s="176">
        <v>7.44</v>
      </c>
      <c r="C173" s="176"/>
      <c r="D173" s="176"/>
      <c r="E173" s="179">
        <f t="shared" si="2"/>
        <v>1967</v>
      </c>
      <c r="F173" s="170">
        <v>24473</v>
      </c>
      <c r="G173" s="171">
        <v>4.51</v>
      </c>
      <c r="J173" s="170">
        <v>35398</v>
      </c>
      <c r="K173" s="171">
        <v>6.51</v>
      </c>
    </row>
    <row r="174" spans="1:11" x14ac:dyDescent="0.2">
      <c r="A174" s="175">
        <v>34477</v>
      </c>
      <c r="B174" s="176">
        <v>7.58</v>
      </c>
      <c r="C174" s="176"/>
      <c r="D174" s="176"/>
      <c r="E174" s="179">
        <f t="shared" si="2"/>
        <v>1967</v>
      </c>
      <c r="F174" s="170">
        <v>24504</v>
      </c>
      <c r="G174" s="171">
        <v>4.6100000000000003</v>
      </c>
      <c r="J174" s="170">
        <v>35405</v>
      </c>
      <c r="K174" s="171">
        <v>6.52</v>
      </c>
    </row>
    <row r="175" spans="1:11" x14ac:dyDescent="0.2">
      <c r="A175" s="175">
        <v>34478</v>
      </c>
      <c r="B175" s="176">
        <v>7.54</v>
      </c>
      <c r="C175" s="176"/>
      <c r="D175" s="176"/>
      <c r="E175" s="179">
        <f t="shared" si="2"/>
        <v>1967</v>
      </c>
      <c r="F175" s="170">
        <v>24532</v>
      </c>
      <c r="G175" s="171">
        <v>4.5599999999999996</v>
      </c>
      <c r="J175" s="170">
        <v>35412</v>
      </c>
      <c r="K175" s="171">
        <v>6.66</v>
      </c>
    </row>
    <row r="176" spans="1:11" x14ac:dyDescent="0.2">
      <c r="A176" s="175">
        <v>34479</v>
      </c>
      <c r="B176" s="176">
        <v>7.51</v>
      </c>
      <c r="C176" s="176"/>
      <c r="D176" s="176"/>
      <c r="E176" s="179">
        <f t="shared" si="2"/>
        <v>1967</v>
      </c>
      <c r="F176" s="170">
        <v>24563</v>
      </c>
      <c r="G176" s="171">
        <v>4.6399999999999997</v>
      </c>
      <c r="J176" s="170">
        <v>35419</v>
      </c>
      <c r="K176" s="171">
        <v>6.73</v>
      </c>
    </row>
    <row r="177" spans="1:11" x14ac:dyDescent="0.2">
      <c r="A177" s="175">
        <v>34480</v>
      </c>
      <c r="B177" s="176">
        <v>7.51</v>
      </c>
      <c r="C177" s="176"/>
      <c r="D177" s="176"/>
      <c r="E177" s="179">
        <f t="shared" si="2"/>
        <v>1967</v>
      </c>
      <c r="F177" s="170">
        <v>24593</v>
      </c>
      <c r="G177" s="171">
        <v>4.9000000000000004</v>
      </c>
      <c r="J177" s="170">
        <v>35426</v>
      </c>
      <c r="K177" s="171">
        <v>6.67</v>
      </c>
    </row>
    <row r="178" spans="1:11" x14ac:dyDescent="0.2">
      <c r="A178" s="175">
        <v>34481</v>
      </c>
      <c r="B178" s="176">
        <v>7.55</v>
      </c>
      <c r="C178" s="176"/>
      <c r="D178" s="176"/>
      <c r="E178" s="179">
        <f t="shared" si="2"/>
        <v>1967</v>
      </c>
      <c r="F178" s="170">
        <v>24624</v>
      </c>
      <c r="G178" s="171">
        <v>4.99</v>
      </c>
      <c r="J178" s="170">
        <v>35433</v>
      </c>
      <c r="K178" s="171">
        <v>6.76</v>
      </c>
    </row>
    <row r="179" spans="1:11" x14ac:dyDescent="0.2">
      <c r="A179" s="175">
        <v>34484</v>
      </c>
      <c r="B179" s="177" t="e">
        <f>NA()</f>
        <v>#N/A</v>
      </c>
      <c r="C179" s="177"/>
      <c r="D179" s="177"/>
      <c r="E179" s="179">
        <f t="shared" si="2"/>
        <v>1967</v>
      </c>
      <c r="F179" s="170">
        <v>24654</v>
      </c>
      <c r="G179" s="171">
        <v>5.01</v>
      </c>
      <c r="J179" s="170">
        <v>35440</v>
      </c>
      <c r="K179" s="171">
        <v>6.89</v>
      </c>
    </row>
    <row r="180" spans="1:11" x14ac:dyDescent="0.2">
      <c r="A180" s="175">
        <v>34485</v>
      </c>
      <c r="B180" s="176">
        <v>7.58</v>
      </c>
      <c r="C180" s="176"/>
      <c r="D180" s="176"/>
      <c r="E180" s="179">
        <f t="shared" si="2"/>
        <v>1967</v>
      </c>
      <c r="F180" s="170">
        <v>24685</v>
      </c>
      <c r="G180" s="171">
        <v>5.12</v>
      </c>
      <c r="J180" s="170">
        <v>35447</v>
      </c>
      <c r="K180" s="171">
        <v>6.9</v>
      </c>
    </row>
    <row r="181" spans="1:11" x14ac:dyDescent="0.2">
      <c r="A181" s="175">
        <v>34486</v>
      </c>
      <c r="B181" s="176">
        <v>7.52</v>
      </c>
      <c r="C181" s="176"/>
      <c r="D181" s="176"/>
      <c r="E181" s="179">
        <f t="shared" si="2"/>
        <v>1967</v>
      </c>
      <c r="F181" s="170">
        <v>24716</v>
      </c>
      <c r="G181" s="171">
        <v>5.16</v>
      </c>
      <c r="J181" s="170">
        <v>35454</v>
      </c>
      <c r="K181" s="171">
        <v>6.92</v>
      </c>
    </row>
    <row r="182" spans="1:11" x14ac:dyDescent="0.2">
      <c r="A182" s="175">
        <v>34487</v>
      </c>
      <c r="B182" s="176">
        <v>7.49</v>
      </c>
      <c r="C182" s="176"/>
      <c r="D182" s="176"/>
      <c r="E182" s="179">
        <f t="shared" si="2"/>
        <v>1967</v>
      </c>
      <c r="F182" s="170">
        <v>24746</v>
      </c>
      <c r="G182" s="171">
        <v>5.36</v>
      </c>
      <c r="J182" s="170">
        <v>35461</v>
      </c>
      <c r="K182" s="171">
        <v>6.95</v>
      </c>
    </row>
    <row r="183" spans="1:11" x14ac:dyDescent="0.2">
      <c r="A183" s="175">
        <v>34488</v>
      </c>
      <c r="B183" s="176">
        <v>7.39</v>
      </c>
      <c r="C183" s="176"/>
      <c r="D183" s="176"/>
      <c r="E183" s="179">
        <f t="shared" si="2"/>
        <v>1967</v>
      </c>
      <c r="F183" s="170">
        <v>24777</v>
      </c>
      <c r="G183" s="171">
        <v>5.66</v>
      </c>
      <c r="J183" s="170">
        <v>35468</v>
      </c>
      <c r="K183" s="171">
        <v>6.8</v>
      </c>
    </row>
    <row r="184" spans="1:11" x14ac:dyDescent="0.2">
      <c r="A184" s="175">
        <v>34491</v>
      </c>
      <c r="B184" s="176">
        <v>7.34</v>
      </c>
      <c r="C184" s="176"/>
      <c r="D184" s="176"/>
      <c r="E184" s="179">
        <f t="shared" si="2"/>
        <v>1967</v>
      </c>
      <c r="F184" s="170">
        <v>24807</v>
      </c>
      <c r="G184" s="171">
        <v>5.59</v>
      </c>
      <c r="J184" s="170">
        <v>35475</v>
      </c>
      <c r="K184" s="171">
        <v>6.73</v>
      </c>
    </row>
    <row r="185" spans="1:11" x14ac:dyDescent="0.2">
      <c r="A185" s="175">
        <v>34492</v>
      </c>
      <c r="B185" s="176">
        <v>7.37</v>
      </c>
      <c r="C185" s="176"/>
      <c r="D185" s="176"/>
      <c r="E185" s="179">
        <f t="shared" si="2"/>
        <v>1968</v>
      </c>
      <c r="F185" s="170">
        <v>24838</v>
      </c>
      <c r="G185" s="171">
        <v>5.39</v>
      </c>
      <c r="J185" s="170">
        <v>35482</v>
      </c>
      <c r="K185" s="171">
        <v>6.7</v>
      </c>
    </row>
    <row r="186" spans="1:11" x14ac:dyDescent="0.2">
      <c r="A186" s="175">
        <v>34493</v>
      </c>
      <c r="B186" s="176">
        <v>7.39</v>
      </c>
      <c r="C186" s="176"/>
      <c r="D186" s="176"/>
      <c r="E186" s="179">
        <f t="shared" si="2"/>
        <v>1968</v>
      </c>
      <c r="F186" s="170">
        <v>24869</v>
      </c>
      <c r="G186" s="171">
        <v>5.38</v>
      </c>
      <c r="J186" s="170">
        <v>35489</v>
      </c>
      <c r="K186" s="171">
        <v>6.85</v>
      </c>
    </row>
    <row r="187" spans="1:11" x14ac:dyDescent="0.2">
      <c r="A187" s="175">
        <v>34494</v>
      </c>
      <c r="B187" s="176">
        <v>7.39</v>
      </c>
      <c r="C187" s="176"/>
      <c r="D187" s="176"/>
      <c r="E187" s="179">
        <f t="shared" si="2"/>
        <v>1968</v>
      </c>
      <c r="F187" s="170">
        <v>24898</v>
      </c>
      <c r="G187" s="171">
        <v>5.59</v>
      </c>
      <c r="J187" s="170">
        <v>35496</v>
      </c>
      <c r="K187" s="171">
        <v>6.96</v>
      </c>
    </row>
    <row r="188" spans="1:11" x14ac:dyDescent="0.2">
      <c r="A188" s="175">
        <v>34495</v>
      </c>
      <c r="B188" s="176">
        <v>7.44</v>
      </c>
      <c r="C188" s="176"/>
      <c r="D188" s="176"/>
      <c r="E188" s="179">
        <f t="shared" si="2"/>
        <v>1968</v>
      </c>
      <c r="F188" s="170">
        <v>24929</v>
      </c>
      <c r="G188" s="171">
        <v>5.46</v>
      </c>
      <c r="J188" s="170">
        <v>35503</v>
      </c>
      <c r="K188" s="171">
        <v>7.01</v>
      </c>
    </row>
    <row r="189" spans="1:11" x14ac:dyDescent="0.2">
      <c r="A189" s="175">
        <v>34498</v>
      </c>
      <c r="B189" s="176">
        <v>7.47</v>
      </c>
      <c r="C189" s="176"/>
      <c r="D189" s="176"/>
      <c r="E189" s="179">
        <f t="shared" si="2"/>
        <v>1968</v>
      </c>
      <c r="F189" s="170">
        <v>24959</v>
      </c>
      <c r="G189" s="171">
        <v>5.55</v>
      </c>
      <c r="J189" s="170">
        <v>35510</v>
      </c>
      <c r="K189" s="171">
        <v>7.09</v>
      </c>
    </row>
    <row r="190" spans="1:11" x14ac:dyDescent="0.2">
      <c r="A190" s="175">
        <v>34499</v>
      </c>
      <c r="B190" s="176">
        <v>7.41</v>
      </c>
      <c r="C190" s="176"/>
      <c r="D190" s="176"/>
      <c r="E190" s="179">
        <f t="shared" si="2"/>
        <v>1968</v>
      </c>
      <c r="F190" s="170">
        <v>24990</v>
      </c>
      <c r="G190" s="171">
        <v>5.4</v>
      </c>
      <c r="J190" s="170">
        <v>35517</v>
      </c>
      <c r="K190" s="171">
        <v>7.11</v>
      </c>
    </row>
    <row r="191" spans="1:11" x14ac:dyDescent="0.2">
      <c r="A191" s="175">
        <v>34500</v>
      </c>
      <c r="B191" s="176">
        <v>7.53</v>
      </c>
      <c r="C191" s="176"/>
      <c r="D191" s="176"/>
      <c r="E191" s="179">
        <f t="shared" si="2"/>
        <v>1968</v>
      </c>
      <c r="F191" s="170">
        <v>25020</v>
      </c>
      <c r="G191" s="171">
        <v>5.29</v>
      </c>
      <c r="J191" s="170">
        <v>35524</v>
      </c>
      <c r="K191" s="171">
        <v>7.21</v>
      </c>
    </row>
    <row r="192" spans="1:11" x14ac:dyDescent="0.2">
      <c r="A192" s="175">
        <v>34501</v>
      </c>
      <c r="B192" s="176">
        <v>7.49</v>
      </c>
      <c r="C192" s="176"/>
      <c r="D192" s="176"/>
      <c r="E192" s="179">
        <f t="shared" si="2"/>
        <v>1968</v>
      </c>
      <c r="F192" s="170">
        <v>25051</v>
      </c>
      <c r="G192" s="171">
        <v>5.23</v>
      </c>
      <c r="J192" s="170">
        <v>35531</v>
      </c>
      <c r="K192" s="171">
        <v>7.23</v>
      </c>
    </row>
    <row r="193" spans="1:11" x14ac:dyDescent="0.2">
      <c r="A193" s="175">
        <v>34502</v>
      </c>
      <c r="B193" s="176">
        <v>7.58</v>
      </c>
      <c r="C193" s="176"/>
      <c r="D193" s="176"/>
      <c r="E193" s="179">
        <f t="shared" si="2"/>
        <v>1968</v>
      </c>
      <c r="F193" s="170">
        <v>25082</v>
      </c>
      <c r="G193" s="171">
        <v>5.28</v>
      </c>
      <c r="J193" s="170">
        <v>35538</v>
      </c>
      <c r="K193" s="171">
        <v>7.21</v>
      </c>
    </row>
    <row r="194" spans="1:11" x14ac:dyDescent="0.2">
      <c r="A194" s="175">
        <v>34505</v>
      </c>
      <c r="B194" s="176">
        <v>7.58</v>
      </c>
      <c r="C194" s="176"/>
      <c r="D194" s="176"/>
      <c r="E194" s="179">
        <f t="shared" si="2"/>
        <v>1968</v>
      </c>
      <c r="F194" s="170">
        <v>25112</v>
      </c>
      <c r="G194" s="171">
        <v>5.44</v>
      </c>
      <c r="J194" s="170">
        <v>35545</v>
      </c>
      <c r="K194" s="171">
        <v>7.21</v>
      </c>
    </row>
    <row r="195" spans="1:11" x14ac:dyDescent="0.2">
      <c r="A195" s="175">
        <v>34506</v>
      </c>
      <c r="B195" s="176">
        <v>7.63</v>
      </c>
      <c r="C195" s="176"/>
      <c r="D195" s="176"/>
      <c r="E195" s="179">
        <f t="shared" si="2"/>
        <v>1968</v>
      </c>
      <c r="F195" s="170">
        <v>25143</v>
      </c>
      <c r="G195" s="171">
        <v>5.56</v>
      </c>
      <c r="J195" s="170">
        <v>35552</v>
      </c>
      <c r="K195" s="171">
        <v>7.08</v>
      </c>
    </row>
    <row r="196" spans="1:11" x14ac:dyDescent="0.2">
      <c r="A196" s="175">
        <v>34507</v>
      </c>
      <c r="B196" s="176">
        <v>7.52</v>
      </c>
      <c r="C196" s="176"/>
      <c r="D196" s="176"/>
      <c r="E196" s="179">
        <f t="shared" si="2"/>
        <v>1968</v>
      </c>
      <c r="F196" s="170">
        <v>25173</v>
      </c>
      <c r="G196" s="171">
        <v>5.88</v>
      </c>
      <c r="J196" s="170">
        <v>35559</v>
      </c>
      <c r="K196" s="171">
        <v>7</v>
      </c>
    </row>
    <row r="197" spans="1:11" x14ac:dyDescent="0.2">
      <c r="A197" s="175">
        <v>34508</v>
      </c>
      <c r="B197" s="176">
        <v>7.51</v>
      </c>
      <c r="C197" s="176"/>
      <c r="D197" s="176"/>
      <c r="E197" s="179">
        <f t="shared" si="2"/>
        <v>1969</v>
      </c>
      <c r="F197" s="170">
        <v>25204</v>
      </c>
      <c r="G197" s="171">
        <v>5.99</v>
      </c>
      <c r="J197" s="170">
        <v>35566</v>
      </c>
      <c r="K197" s="171">
        <v>6.98</v>
      </c>
    </row>
    <row r="198" spans="1:11" x14ac:dyDescent="0.2">
      <c r="A198" s="175">
        <v>34509</v>
      </c>
      <c r="B198" s="176">
        <v>7.63</v>
      </c>
      <c r="C198" s="176"/>
      <c r="D198" s="176"/>
      <c r="E198" s="179">
        <f t="shared" si="2"/>
        <v>1969</v>
      </c>
      <c r="F198" s="170">
        <v>25235</v>
      </c>
      <c r="G198" s="171">
        <v>6.11</v>
      </c>
      <c r="J198" s="170">
        <v>35573</v>
      </c>
      <c r="K198" s="171">
        <v>7.04</v>
      </c>
    </row>
    <row r="199" spans="1:11" x14ac:dyDescent="0.2">
      <c r="A199" s="175">
        <v>34512</v>
      </c>
      <c r="B199" s="176">
        <v>7.57</v>
      </c>
      <c r="C199" s="176"/>
      <c r="D199" s="176"/>
      <c r="E199" s="179">
        <f t="shared" si="2"/>
        <v>1969</v>
      </c>
      <c r="F199" s="170">
        <v>25263</v>
      </c>
      <c r="G199" s="171">
        <v>6.22</v>
      </c>
      <c r="J199" s="170">
        <v>35580</v>
      </c>
      <c r="K199" s="171">
        <v>7.07</v>
      </c>
    </row>
    <row r="200" spans="1:11" x14ac:dyDescent="0.2">
      <c r="A200" s="175">
        <v>34513</v>
      </c>
      <c r="B200" s="176">
        <v>7.65</v>
      </c>
      <c r="C200" s="176"/>
      <c r="D200" s="176"/>
      <c r="E200" s="179">
        <f t="shared" si="2"/>
        <v>1969</v>
      </c>
      <c r="F200" s="170">
        <v>25294</v>
      </c>
      <c r="G200" s="171">
        <v>6.03</v>
      </c>
      <c r="J200" s="170">
        <v>35587</v>
      </c>
      <c r="K200" s="171">
        <v>6.93</v>
      </c>
    </row>
    <row r="201" spans="1:11" x14ac:dyDescent="0.2">
      <c r="A201" s="175">
        <v>34514</v>
      </c>
      <c r="B201" s="176">
        <v>7.63</v>
      </c>
      <c r="C201" s="176"/>
      <c r="D201" s="176"/>
      <c r="E201" s="179">
        <f t="shared" ref="E201:E264" si="3">YEAR(F201)</f>
        <v>1969</v>
      </c>
      <c r="F201" s="170">
        <v>25324</v>
      </c>
      <c r="G201" s="171">
        <v>6.11</v>
      </c>
      <c r="J201" s="170">
        <v>35594</v>
      </c>
      <c r="K201" s="171">
        <v>6.87</v>
      </c>
    </row>
    <row r="202" spans="1:11" x14ac:dyDescent="0.2">
      <c r="A202" s="175">
        <v>34515</v>
      </c>
      <c r="B202" s="176">
        <v>7.75</v>
      </c>
      <c r="C202" s="176"/>
      <c r="D202" s="176"/>
      <c r="E202" s="179">
        <f t="shared" si="3"/>
        <v>1969</v>
      </c>
      <c r="F202" s="170">
        <v>25355</v>
      </c>
      <c r="G202" s="171">
        <v>6.28</v>
      </c>
      <c r="J202" s="170">
        <v>35601</v>
      </c>
      <c r="K202" s="171">
        <v>6.76</v>
      </c>
    </row>
    <row r="203" spans="1:11" x14ac:dyDescent="0.2">
      <c r="A203" s="175">
        <v>34516</v>
      </c>
      <c r="B203" s="177">
        <v>7.74</v>
      </c>
      <c r="C203" s="177"/>
      <c r="D203" s="177"/>
      <c r="E203" s="179">
        <f t="shared" si="3"/>
        <v>1969</v>
      </c>
      <c r="F203" s="170">
        <v>25385</v>
      </c>
      <c r="G203" s="171">
        <v>6.27</v>
      </c>
      <c r="J203" s="170">
        <v>35608</v>
      </c>
      <c r="K203" s="171">
        <v>6.8</v>
      </c>
    </row>
    <row r="204" spans="1:11" x14ac:dyDescent="0.2">
      <c r="A204" s="175">
        <v>34519</v>
      </c>
      <c r="B204" s="176" t="e">
        <f>NA()</f>
        <v>#N/A</v>
      </c>
      <c r="C204" s="176"/>
      <c r="D204" s="176"/>
      <c r="E204" s="179">
        <f t="shared" si="3"/>
        <v>1969</v>
      </c>
      <c r="F204" s="170">
        <v>25416</v>
      </c>
      <c r="G204" s="171">
        <v>6.22</v>
      </c>
      <c r="J204" s="170">
        <v>35615</v>
      </c>
      <c r="K204" s="171">
        <v>6.78</v>
      </c>
    </row>
    <row r="205" spans="1:11" x14ac:dyDescent="0.2">
      <c r="A205" s="175">
        <v>34520</v>
      </c>
      <c r="B205" s="176">
        <v>7.71</v>
      </c>
      <c r="C205" s="176"/>
      <c r="D205" s="176"/>
      <c r="E205" s="179">
        <f t="shared" si="3"/>
        <v>1969</v>
      </c>
      <c r="F205" s="170">
        <v>25447</v>
      </c>
      <c r="G205" s="171">
        <v>6.55</v>
      </c>
      <c r="J205" s="170">
        <v>35622</v>
      </c>
      <c r="K205" s="171">
        <v>6.61</v>
      </c>
    </row>
    <row r="206" spans="1:11" x14ac:dyDescent="0.2">
      <c r="A206" s="175">
        <v>34521</v>
      </c>
      <c r="B206" s="176">
        <v>7.72</v>
      </c>
      <c r="C206" s="176"/>
      <c r="D206" s="176"/>
      <c r="E206" s="179">
        <f t="shared" si="3"/>
        <v>1969</v>
      </c>
      <c r="F206" s="170">
        <v>25477</v>
      </c>
      <c r="G206" s="171">
        <v>6.49</v>
      </c>
      <c r="J206" s="170">
        <v>35629</v>
      </c>
      <c r="K206" s="171">
        <v>6.57</v>
      </c>
    </row>
    <row r="207" spans="1:11" x14ac:dyDescent="0.2">
      <c r="A207" s="175">
        <v>34522</v>
      </c>
      <c r="B207" s="176">
        <v>7.71</v>
      </c>
      <c r="C207" s="176"/>
      <c r="D207" s="176"/>
      <c r="E207" s="179">
        <f t="shared" si="3"/>
        <v>1969</v>
      </c>
      <c r="F207" s="170">
        <v>25508</v>
      </c>
      <c r="G207" s="171">
        <v>6.74</v>
      </c>
      <c r="J207" s="170">
        <v>35636</v>
      </c>
      <c r="K207" s="171">
        <v>6.52</v>
      </c>
    </row>
    <row r="208" spans="1:11" x14ac:dyDescent="0.2">
      <c r="A208" s="175">
        <v>34523</v>
      </c>
      <c r="B208" s="176">
        <v>7.81</v>
      </c>
      <c r="C208" s="176"/>
      <c r="D208" s="176"/>
      <c r="E208" s="179">
        <f t="shared" si="3"/>
        <v>1969</v>
      </c>
      <c r="F208" s="170">
        <v>25538</v>
      </c>
      <c r="G208" s="171">
        <v>6.91</v>
      </c>
      <c r="J208" s="170">
        <v>35643</v>
      </c>
      <c r="K208" s="171">
        <v>6.44</v>
      </c>
    </row>
    <row r="209" spans="1:11" x14ac:dyDescent="0.2">
      <c r="A209" s="175">
        <v>34526</v>
      </c>
      <c r="B209" s="176">
        <v>7.84</v>
      </c>
      <c r="C209" s="176"/>
      <c r="D209" s="176"/>
      <c r="E209" s="179">
        <f t="shared" si="3"/>
        <v>1970</v>
      </c>
      <c r="F209" s="170">
        <v>25569</v>
      </c>
      <c r="G209" s="171">
        <v>6.92</v>
      </c>
      <c r="J209" s="170">
        <v>35650</v>
      </c>
      <c r="K209" s="171">
        <v>6.59</v>
      </c>
    </row>
    <row r="210" spans="1:11" x14ac:dyDescent="0.2">
      <c r="A210" s="175">
        <v>34527</v>
      </c>
      <c r="B210" s="176">
        <v>7.8</v>
      </c>
      <c r="C210" s="176"/>
      <c r="D210" s="176"/>
      <c r="E210" s="179">
        <f t="shared" si="3"/>
        <v>1970</v>
      </c>
      <c r="F210" s="170">
        <v>25600</v>
      </c>
      <c r="G210" s="171">
        <v>6.67</v>
      </c>
      <c r="J210" s="170">
        <v>35657</v>
      </c>
      <c r="K210" s="171">
        <v>6.7</v>
      </c>
    </row>
    <row r="211" spans="1:11" x14ac:dyDescent="0.2">
      <c r="A211" s="175">
        <v>34528</v>
      </c>
      <c r="B211" s="176">
        <v>7.79</v>
      </c>
      <c r="C211" s="176"/>
      <c r="D211" s="176"/>
      <c r="E211" s="179">
        <f t="shared" si="3"/>
        <v>1970</v>
      </c>
      <c r="F211" s="170">
        <v>25628</v>
      </c>
      <c r="G211" s="171">
        <v>6.72</v>
      </c>
      <c r="J211" s="170">
        <v>35664</v>
      </c>
      <c r="K211" s="171">
        <v>6.65</v>
      </c>
    </row>
    <row r="212" spans="1:11" x14ac:dyDescent="0.2">
      <c r="A212" s="175">
        <v>34529</v>
      </c>
      <c r="B212" s="176">
        <v>7.63</v>
      </c>
      <c r="C212" s="176"/>
      <c r="D212" s="176"/>
      <c r="E212" s="179">
        <f t="shared" si="3"/>
        <v>1970</v>
      </c>
      <c r="F212" s="170">
        <v>25659</v>
      </c>
      <c r="G212" s="171">
        <v>6.85</v>
      </c>
      <c r="J212" s="170">
        <v>35671</v>
      </c>
      <c r="K212" s="171">
        <v>6.71</v>
      </c>
    </row>
    <row r="213" spans="1:11" x14ac:dyDescent="0.2">
      <c r="A213" s="175">
        <v>34530</v>
      </c>
      <c r="B213" s="176">
        <v>7.64</v>
      </c>
      <c r="C213" s="176"/>
      <c r="D213" s="176"/>
      <c r="E213" s="179">
        <f t="shared" si="3"/>
        <v>1970</v>
      </c>
      <c r="F213" s="170">
        <v>25689</v>
      </c>
      <c r="G213" s="171">
        <v>7.24</v>
      </c>
      <c r="J213" s="170">
        <v>35678</v>
      </c>
      <c r="K213" s="171">
        <v>6.68</v>
      </c>
    </row>
    <row r="214" spans="1:11" x14ac:dyDescent="0.2">
      <c r="A214" s="175">
        <v>34533</v>
      </c>
      <c r="B214" s="176">
        <v>7.6</v>
      </c>
      <c r="C214" s="176"/>
      <c r="D214" s="176"/>
      <c r="E214" s="179">
        <f t="shared" si="3"/>
        <v>1970</v>
      </c>
      <c r="F214" s="170">
        <v>25720</v>
      </c>
      <c r="G214" s="171">
        <v>7.34</v>
      </c>
      <c r="J214" s="170">
        <v>35685</v>
      </c>
      <c r="K214" s="171">
        <v>6.7</v>
      </c>
    </row>
    <row r="215" spans="1:11" x14ac:dyDescent="0.2">
      <c r="A215" s="175">
        <v>34534</v>
      </c>
      <c r="B215" s="176">
        <v>7.56</v>
      </c>
      <c r="C215" s="176"/>
      <c r="D215" s="176"/>
      <c r="E215" s="179">
        <f t="shared" si="3"/>
        <v>1970</v>
      </c>
      <c r="F215" s="170">
        <v>25750</v>
      </c>
      <c r="G215" s="171">
        <v>6.92</v>
      </c>
      <c r="J215" s="170">
        <v>35692</v>
      </c>
      <c r="K215" s="171">
        <v>6.49</v>
      </c>
    </row>
    <row r="216" spans="1:11" x14ac:dyDescent="0.2">
      <c r="A216" s="175">
        <v>34535</v>
      </c>
      <c r="B216" s="176">
        <v>7.64</v>
      </c>
      <c r="C216" s="176"/>
      <c r="D216" s="176"/>
      <c r="E216" s="179">
        <f t="shared" si="3"/>
        <v>1970</v>
      </c>
      <c r="F216" s="170">
        <v>25781</v>
      </c>
      <c r="G216" s="171">
        <v>7.07</v>
      </c>
      <c r="J216" s="170">
        <v>35699</v>
      </c>
      <c r="K216" s="171">
        <v>6.43</v>
      </c>
    </row>
    <row r="217" spans="1:11" x14ac:dyDescent="0.2">
      <c r="A217" s="175">
        <v>34536</v>
      </c>
      <c r="B217" s="176">
        <v>7.64</v>
      </c>
      <c r="C217" s="176"/>
      <c r="D217" s="176"/>
      <c r="E217" s="179">
        <f t="shared" si="3"/>
        <v>1970</v>
      </c>
      <c r="F217" s="170">
        <v>25812</v>
      </c>
      <c r="G217" s="171">
        <v>6.88</v>
      </c>
      <c r="J217" s="170">
        <v>35706</v>
      </c>
      <c r="K217" s="171">
        <v>6.4</v>
      </c>
    </row>
    <row r="218" spans="1:11" x14ac:dyDescent="0.2">
      <c r="A218" s="175">
        <v>34537</v>
      </c>
      <c r="B218" s="176">
        <v>7.65</v>
      </c>
      <c r="C218" s="176"/>
      <c r="D218" s="176"/>
      <c r="E218" s="179">
        <f t="shared" si="3"/>
        <v>1970</v>
      </c>
      <c r="F218" s="170">
        <v>25842</v>
      </c>
      <c r="G218" s="171">
        <v>6.88</v>
      </c>
      <c r="J218" s="170">
        <v>35713</v>
      </c>
      <c r="K218" s="171">
        <v>6.39</v>
      </c>
    </row>
    <row r="219" spans="1:11" x14ac:dyDescent="0.2">
      <c r="A219" s="175">
        <v>34540</v>
      </c>
      <c r="B219" s="176">
        <v>7.61</v>
      </c>
      <c r="C219" s="176"/>
      <c r="D219" s="176"/>
      <c r="E219" s="179">
        <f t="shared" si="3"/>
        <v>1970</v>
      </c>
      <c r="F219" s="170">
        <v>25873</v>
      </c>
      <c r="G219" s="171">
        <v>6.58</v>
      </c>
      <c r="J219" s="170">
        <v>35720</v>
      </c>
      <c r="K219" s="171">
        <v>6.46</v>
      </c>
    </row>
    <row r="220" spans="1:11" x14ac:dyDescent="0.2">
      <c r="A220" s="175">
        <v>34541</v>
      </c>
      <c r="B220" s="176">
        <v>7.63</v>
      </c>
      <c r="C220" s="176"/>
      <c r="D220" s="176"/>
      <c r="E220" s="179">
        <f t="shared" si="3"/>
        <v>1970</v>
      </c>
      <c r="F220" s="170">
        <v>25903</v>
      </c>
      <c r="G220" s="171">
        <v>6.28</v>
      </c>
      <c r="J220" s="170">
        <v>35727</v>
      </c>
      <c r="K220" s="171">
        <v>6.44</v>
      </c>
    </row>
    <row r="221" spans="1:11" x14ac:dyDescent="0.2">
      <c r="A221" s="175">
        <v>34542</v>
      </c>
      <c r="B221" s="176">
        <v>7.69</v>
      </c>
      <c r="C221" s="176"/>
      <c r="D221" s="176"/>
      <c r="E221" s="179">
        <f t="shared" si="3"/>
        <v>1971</v>
      </c>
      <c r="F221" s="170">
        <v>25934</v>
      </c>
      <c r="G221" s="171">
        <v>6.18</v>
      </c>
      <c r="J221" s="170">
        <v>35734</v>
      </c>
      <c r="K221" s="171">
        <v>6.27</v>
      </c>
    </row>
    <row r="222" spans="1:11" x14ac:dyDescent="0.2">
      <c r="A222" s="175">
        <v>34543</v>
      </c>
      <c r="B222" s="176">
        <v>7.62</v>
      </c>
      <c r="C222" s="176"/>
      <c r="D222" s="176"/>
      <c r="E222" s="179">
        <f t="shared" si="3"/>
        <v>1971</v>
      </c>
      <c r="F222" s="170">
        <v>25965</v>
      </c>
      <c r="G222" s="171">
        <v>6.14</v>
      </c>
      <c r="J222" s="170">
        <v>35741</v>
      </c>
      <c r="K222" s="171">
        <v>6.27</v>
      </c>
    </row>
    <row r="223" spans="1:11" x14ac:dyDescent="0.2">
      <c r="A223" s="175">
        <v>34544</v>
      </c>
      <c r="B223" s="176">
        <v>7.46</v>
      </c>
      <c r="C223" s="176"/>
      <c r="D223" s="176"/>
      <c r="E223" s="179">
        <f t="shared" si="3"/>
        <v>1971</v>
      </c>
      <c r="F223" s="170">
        <v>25993</v>
      </c>
      <c r="G223" s="171">
        <v>5.94</v>
      </c>
      <c r="J223" s="170">
        <v>35748</v>
      </c>
      <c r="K223" s="171">
        <v>6.22</v>
      </c>
    </row>
    <row r="224" spans="1:11" x14ac:dyDescent="0.2">
      <c r="A224" s="175">
        <v>34547</v>
      </c>
      <c r="B224" s="176">
        <v>7.47</v>
      </c>
      <c r="C224" s="176"/>
      <c r="D224" s="176"/>
      <c r="E224" s="179">
        <f t="shared" si="3"/>
        <v>1971</v>
      </c>
      <c r="F224" s="170">
        <v>26024</v>
      </c>
      <c r="G224" s="171">
        <v>6</v>
      </c>
      <c r="J224" s="170">
        <v>35755</v>
      </c>
      <c r="K224" s="171">
        <v>6.15</v>
      </c>
    </row>
    <row r="225" spans="1:11" x14ac:dyDescent="0.2">
      <c r="A225" s="175">
        <v>34548</v>
      </c>
      <c r="B225" s="176">
        <v>7.46</v>
      </c>
      <c r="C225" s="176"/>
      <c r="D225" s="176"/>
      <c r="E225" s="179">
        <f t="shared" si="3"/>
        <v>1971</v>
      </c>
      <c r="F225" s="170">
        <v>26054</v>
      </c>
      <c r="G225" s="171">
        <v>6.32</v>
      </c>
      <c r="J225" s="170">
        <v>35762</v>
      </c>
      <c r="K225" s="171">
        <v>6.15</v>
      </c>
    </row>
    <row r="226" spans="1:11" x14ac:dyDescent="0.2">
      <c r="A226" s="175">
        <v>34549</v>
      </c>
      <c r="B226" s="176">
        <v>7.44</v>
      </c>
      <c r="C226" s="176"/>
      <c r="D226" s="176"/>
      <c r="E226" s="179">
        <f t="shared" si="3"/>
        <v>1971</v>
      </c>
      <c r="F226" s="170">
        <v>26085</v>
      </c>
      <c r="G226" s="171">
        <v>6.38</v>
      </c>
      <c r="J226" s="170">
        <v>35769</v>
      </c>
      <c r="K226" s="171">
        <v>6.12</v>
      </c>
    </row>
    <row r="227" spans="1:11" x14ac:dyDescent="0.2">
      <c r="A227" s="175">
        <v>34550</v>
      </c>
      <c r="B227" s="176">
        <v>7.47</v>
      </c>
      <c r="C227" s="176"/>
      <c r="D227" s="176"/>
      <c r="E227" s="179">
        <f t="shared" si="3"/>
        <v>1971</v>
      </c>
      <c r="F227" s="170">
        <v>26115</v>
      </c>
      <c r="G227" s="171">
        <v>6.38</v>
      </c>
      <c r="J227" s="170">
        <v>35776</v>
      </c>
      <c r="K227" s="171">
        <v>6.15</v>
      </c>
    </row>
    <row r="228" spans="1:11" x14ac:dyDescent="0.2">
      <c r="A228" s="175">
        <v>34551</v>
      </c>
      <c r="B228" s="176">
        <v>7.62</v>
      </c>
      <c r="C228" s="176"/>
      <c r="D228" s="176"/>
      <c r="E228" s="179">
        <f t="shared" si="3"/>
        <v>1971</v>
      </c>
      <c r="F228" s="170">
        <v>26146</v>
      </c>
      <c r="G228" s="171">
        <v>6.27</v>
      </c>
      <c r="J228" s="170">
        <v>35783</v>
      </c>
      <c r="K228" s="171">
        <v>6.04</v>
      </c>
    </row>
    <row r="229" spans="1:11" x14ac:dyDescent="0.2">
      <c r="A229" s="175">
        <v>34554</v>
      </c>
      <c r="B229" s="176">
        <v>7.61</v>
      </c>
      <c r="C229" s="176"/>
      <c r="D229" s="176"/>
      <c r="E229" s="179">
        <f t="shared" si="3"/>
        <v>1971</v>
      </c>
      <c r="F229" s="170">
        <v>26177</v>
      </c>
      <c r="G229" s="171">
        <v>6.05</v>
      </c>
      <c r="J229" s="170">
        <v>35790</v>
      </c>
      <c r="K229" s="171">
        <v>5.99</v>
      </c>
    </row>
    <row r="230" spans="1:11" x14ac:dyDescent="0.2">
      <c r="A230" s="175">
        <v>34555</v>
      </c>
      <c r="B230" s="176">
        <v>7.65</v>
      </c>
      <c r="C230" s="176"/>
      <c r="D230" s="176"/>
      <c r="E230" s="179">
        <f t="shared" si="3"/>
        <v>1971</v>
      </c>
      <c r="F230" s="170">
        <v>26207</v>
      </c>
      <c r="G230" s="171">
        <v>5.92</v>
      </c>
      <c r="J230" s="170">
        <v>35797</v>
      </c>
      <c r="K230" s="171">
        <v>6.01</v>
      </c>
    </row>
    <row r="231" spans="1:11" x14ac:dyDescent="0.2">
      <c r="A231" s="175">
        <v>34556</v>
      </c>
      <c r="B231" s="176">
        <v>7.66</v>
      </c>
      <c r="C231" s="176"/>
      <c r="D231" s="176"/>
      <c r="E231" s="179">
        <f t="shared" si="3"/>
        <v>1971</v>
      </c>
      <c r="F231" s="170">
        <v>26238</v>
      </c>
      <c r="G231" s="171">
        <v>5.86</v>
      </c>
      <c r="J231" s="170">
        <v>35804</v>
      </c>
      <c r="K231" s="171">
        <v>5.82</v>
      </c>
    </row>
    <row r="232" spans="1:11" x14ac:dyDescent="0.2">
      <c r="A232" s="175">
        <v>34557</v>
      </c>
      <c r="B232" s="176">
        <v>7.72</v>
      </c>
      <c r="C232" s="176"/>
      <c r="D232" s="176"/>
      <c r="E232" s="179">
        <f t="shared" si="3"/>
        <v>1971</v>
      </c>
      <c r="F232" s="170">
        <v>26268</v>
      </c>
      <c r="G232" s="171">
        <v>6</v>
      </c>
      <c r="J232" s="170">
        <v>35811</v>
      </c>
      <c r="K232" s="171">
        <v>5.8</v>
      </c>
    </row>
    <row r="233" spans="1:11" x14ac:dyDescent="0.2">
      <c r="A233" s="175">
        <v>34558</v>
      </c>
      <c r="B233" s="176">
        <v>7.66</v>
      </c>
      <c r="C233" s="176"/>
      <c r="D233" s="176"/>
      <c r="E233" s="179">
        <f t="shared" si="3"/>
        <v>1972</v>
      </c>
      <c r="F233" s="170">
        <v>26299</v>
      </c>
      <c r="G233" s="171">
        <v>6.01</v>
      </c>
      <c r="J233" s="170">
        <v>35818</v>
      </c>
      <c r="K233" s="171">
        <v>5.93</v>
      </c>
    </row>
    <row r="234" spans="1:11" x14ac:dyDescent="0.2">
      <c r="A234" s="175">
        <v>34561</v>
      </c>
      <c r="B234" s="176">
        <v>7.68</v>
      </c>
      <c r="C234" s="176"/>
      <c r="D234" s="176"/>
      <c r="E234" s="179">
        <f t="shared" si="3"/>
        <v>1972</v>
      </c>
      <c r="F234" s="170">
        <v>26330</v>
      </c>
      <c r="G234" s="171">
        <v>6.06</v>
      </c>
      <c r="J234" s="170">
        <v>35825</v>
      </c>
      <c r="K234" s="171">
        <v>5.96</v>
      </c>
    </row>
    <row r="235" spans="1:11" x14ac:dyDescent="0.2">
      <c r="A235" s="175">
        <v>34562</v>
      </c>
      <c r="B235" s="176">
        <v>7.56</v>
      </c>
      <c r="C235" s="176"/>
      <c r="D235" s="176"/>
      <c r="E235" s="179">
        <f t="shared" si="3"/>
        <v>1972</v>
      </c>
      <c r="F235" s="170">
        <v>26359</v>
      </c>
      <c r="G235" s="171">
        <v>6.06</v>
      </c>
      <c r="J235" s="170">
        <v>35832</v>
      </c>
      <c r="K235" s="171">
        <v>5.96</v>
      </c>
    </row>
    <row r="236" spans="1:11" x14ac:dyDescent="0.2">
      <c r="A236" s="175">
        <v>34563</v>
      </c>
      <c r="B236" s="176">
        <v>7.55</v>
      </c>
      <c r="C236" s="176"/>
      <c r="D236" s="176"/>
      <c r="E236" s="179">
        <f t="shared" si="3"/>
        <v>1972</v>
      </c>
      <c r="F236" s="170">
        <v>26390</v>
      </c>
      <c r="G236" s="171">
        <v>6.16</v>
      </c>
      <c r="J236" s="170">
        <v>35839</v>
      </c>
      <c r="K236" s="171">
        <v>5.96</v>
      </c>
    </row>
    <row r="237" spans="1:11" x14ac:dyDescent="0.2">
      <c r="A237" s="175">
        <v>34564</v>
      </c>
      <c r="B237" s="176">
        <v>7.67</v>
      </c>
      <c r="C237" s="176"/>
      <c r="D237" s="176"/>
      <c r="E237" s="179">
        <f t="shared" si="3"/>
        <v>1972</v>
      </c>
      <c r="F237" s="170">
        <v>26420</v>
      </c>
      <c r="G237" s="171">
        <v>6.07</v>
      </c>
      <c r="J237" s="170">
        <v>35846</v>
      </c>
      <c r="K237" s="171">
        <v>5.9</v>
      </c>
    </row>
    <row r="238" spans="1:11" x14ac:dyDescent="0.2">
      <c r="A238" s="175">
        <v>34565</v>
      </c>
      <c r="B238" s="176">
        <v>7.67</v>
      </c>
      <c r="C238" s="176"/>
      <c r="D238" s="176"/>
      <c r="E238" s="179">
        <f t="shared" si="3"/>
        <v>1972</v>
      </c>
      <c r="F238" s="170">
        <v>26451</v>
      </c>
      <c r="G238" s="171">
        <v>6.01</v>
      </c>
      <c r="J238" s="170">
        <v>35853</v>
      </c>
      <c r="K238" s="171">
        <v>6</v>
      </c>
    </row>
    <row r="239" spans="1:11" x14ac:dyDescent="0.2">
      <c r="A239" s="175">
        <v>34568</v>
      </c>
      <c r="B239" s="176">
        <v>7.73</v>
      </c>
      <c r="C239" s="176"/>
      <c r="D239" s="176"/>
      <c r="E239" s="179">
        <f t="shared" si="3"/>
        <v>1972</v>
      </c>
      <c r="F239" s="170">
        <v>26481</v>
      </c>
      <c r="G239" s="171">
        <v>6.01</v>
      </c>
      <c r="J239" s="170">
        <v>35860</v>
      </c>
      <c r="K239" s="171">
        <v>6.11</v>
      </c>
    </row>
    <row r="240" spans="1:11" x14ac:dyDescent="0.2">
      <c r="A240" s="175">
        <v>34569</v>
      </c>
      <c r="B240" s="176">
        <v>7.71</v>
      </c>
      <c r="C240" s="176"/>
      <c r="D240" s="176"/>
      <c r="E240" s="179">
        <f t="shared" si="3"/>
        <v>1972</v>
      </c>
      <c r="F240" s="170">
        <v>26512</v>
      </c>
      <c r="G240" s="171">
        <v>5.94</v>
      </c>
      <c r="J240" s="170">
        <v>35867</v>
      </c>
      <c r="K240" s="171">
        <v>5.99</v>
      </c>
    </row>
    <row r="241" spans="1:11" x14ac:dyDescent="0.2">
      <c r="A241" s="175">
        <v>34570</v>
      </c>
      <c r="B241" s="176">
        <v>7.63</v>
      </c>
      <c r="C241" s="176"/>
      <c r="D241" s="176"/>
      <c r="E241" s="179">
        <f t="shared" si="3"/>
        <v>1972</v>
      </c>
      <c r="F241" s="170">
        <v>26543</v>
      </c>
      <c r="G241" s="171">
        <v>6.05</v>
      </c>
      <c r="J241" s="170">
        <v>35874</v>
      </c>
      <c r="K241" s="171">
        <v>5.95</v>
      </c>
    </row>
    <row r="242" spans="1:11" x14ac:dyDescent="0.2">
      <c r="A242" s="175">
        <v>34571</v>
      </c>
      <c r="B242" s="176">
        <v>7.71</v>
      </c>
      <c r="C242" s="176"/>
      <c r="D242" s="176"/>
      <c r="E242" s="179">
        <f t="shared" si="3"/>
        <v>1972</v>
      </c>
      <c r="F242" s="170">
        <v>26573</v>
      </c>
      <c r="G242" s="171">
        <v>6</v>
      </c>
      <c r="J242" s="170">
        <v>35881</v>
      </c>
      <c r="K242" s="171">
        <v>5.99</v>
      </c>
    </row>
    <row r="243" spans="1:11" x14ac:dyDescent="0.2">
      <c r="A243" s="175">
        <v>34572</v>
      </c>
      <c r="B243" s="176">
        <v>7.65</v>
      </c>
      <c r="C243" s="176"/>
      <c r="D243" s="176"/>
      <c r="E243" s="179">
        <f t="shared" si="3"/>
        <v>1972</v>
      </c>
      <c r="F243" s="170">
        <v>26604</v>
      </c>
      <c r="G243" s="171">
        <v>5.79</v>
      </c>
      <c r="J243" s="170">
        <v>35888</v>
      </c>
      <c r="K243" s="171">
        <v>5.97</v>
      </c>
    </row>
    <row r="244" spans="1:11" x14ac:dyDescent="0.2">
      <c r="A244" s="175">
        <v>34575</v>
      </c>
      <c r="B244" s="176">
        <v>7.66</v>
      </c>
      <c r="C244" s="176"/>
      <c r="D244" s="176"/>
      <c r="E244" s="179">
        <f t="shared" si="3"/>
        <v>1972</v>
      </c>
      <c r="F244" s="170">
        <v>26634</v>
      </c>
      <c r="G244" s="171">
        <v>5.96</v>
      </c>
      <c r="J244" s="170">
        <v>35895</v>
      </c>
      <c r="K244" s="171">
        <v>5.93</v>
      </c>
    </row>
    <row r="245" spans="1:11" x14ac:dyDescent="0.2">
      <c r="A245" s="175">
        <v>34576</v>
      </c>
      <c r="B245" s="176">
        <v>7.62</v>
      </c>
      <c r="C245" s="176"/>
      <c r="D245" s="176"/>
      <c r="E245" s="179">
        <f t="shared" si="3"/>
        <v>1973</v>
      </c>
      <c r="F245" s="170">
        <v>26665</v>
      </c>
      <c r="G245" s="171">
        <v>6.78</v>
      </c>
      <c r="J245" s="170">
        <v>35902</v>
      </c>
      <c r="K245" s="171">
        <v>5.97</v>
      </c>
    </row>
    <row r="246" spans="1:11" x14ac:dyDescent="0.2">
      <c r="A246" s="175">
        <v>34577</v>
      </c>
      <c r="B246" s="176">
        <v>7.6</v>
      </c>
      <c r="C246" s="176"/>
      <c r="D246" s="176"/>
      <c r="E246" s="179">
        <f t="shared" si="3"/>
        <v>1973</v>
      </c>
      <c r="F246" s="170">
        <v>26696</v>
      </c>
      <c r="G246" s="171">
        <v>6.88</v>
      </c>
      <c r="J246" s="170">
        <v>35909</v>
      </c>
      <c r="K246" s="171">
        <v>6.03</v>
      </c>
    </row>
    <row r="247" spans="1:11" x14ac:dyDescent="0.2">
      <c r="A247" s="175">
        <v>34578</v>
      </c>
      <c r="B247" s="176">
        <v>7.6</v>
      </c>
      <c r="C247" s="176"/>
      <c r="D247" s="176"/>
      <c r="E247" s="179">
        <f t="shared" si="3"/>
        <v>1973</v>
      </c>
      <c r="F247" s="170">
        <v>26724</v>
      </c>
      <c r="G247" s="171">
        <v>6.91</v>
      </c>
      <c r="J247" s="170">
        <v>35916</v>
      </c>
      <c r="K247" s="171">
        <v>6.1</v>
      </c>
    </row>
    <row r="248" spans="1:11" x14ac:dyDescent="0.2">
      <c r="A248" s="175">
        <v>34579</v>
      </c>
      <c r="B248" s="176">
        <v>7.64</v>
      </c>
      <c r="C248" s="176"/>
      <c r="D248" s="176"/>
      <c r="E248" s="179">
        <f t="shared" si="3"/>
        <v>1973</v>
      </c>
      <c r="F248" s="170">
        <v>26755</v>
      </c>
      <c r="G248" s="171">
        <v>6.86</v>
      </c>
      <c r="J248" s="170">
        <v>35923</v>
      </c>
      <c r="K248" s="171">
        <v>6.03</v>
      </c>
    </row>
    <row r="249" spans="1:11" x14ac:dyDescent="0.2">
      <c r="A249" s="175">
        <v>34582</v>
      </c>
      <c r="B249" s="177" t="e">
        <f>NA()</f>
        <v>#N/A</v>
      </c>
      <c r="C249" s="177"/>
      <c r="D249" s="177"/>
      <c r="E249" s="179">
        <f t="shared" si="3"/>
        <v>1973</v>
      </c>
      <c r="F249" s="170">
        <v>26785</v>
      </c>
      <c r="G249" s="171">
        <v>6.99</v>
      </c>
      <c r="J249" s="170">
        <v>35930</v>
      </c>
      <c r="K249" s="171">
        <v>6.06</v>
      </c>
    </row>
    <row r="250" spans="1:11" x14ac:dyDescent="0.2">
      <c r="A250" s="175">
        <v>34583</v>
      </c>
      <c r="B250" s="176">
        <v>7.71</v>
      </c>
      <c r="C250" s="176"/>
      <c r="D250" s="176"/>
      <c r="E250" s="179">
        <f t="shared" si="3"/>
        <v>1973</v>
      </c>
      <c r="F250" s="170">
        <v>26816</v>
      </c>
      <c r="G250" s="171">
        <v>7.06</v>
      </c>
      <c r="J250" s="170">
        <v>35937</v>
      </c>
      <c r="K250" s="171">
        <v>6</v>
      </c>
    </row>
    <row r="251" spans="1:11" x14ac:dyDescent="0.2">
      <c r="A251" s="175">
        <v>34584</v>
      </c>
      <c r="B251" s="176">
        <v>7.73</v>
      </c>
      <c r="C251" s="176"/>
      <c r="D251" s="176"/>
      <c r="E251" s="179">
        <f t="shared" si="3"/>
        <v>1973</v>
      </c>
      <c r="F251" s="170">
        <v>26846</v>
      </c>
      <c r="G251" s="171">
        <v>7.29</v>
      </c>
      <c r="J251" s="170">
        <v>35944</v>
      </c>
      <c r="K251" s="171">
        <v>5.93</v>
      </c>
    </row>
    <row r="252" spans="1:11" x14ac:dyDescent="0.2">
      <c r="A252" s="175">
        <v>34585</v>
      </c>
      <c r="B252" s="176">
        <v>7.73</v>
      </c>
      <c r="C252" s="176"/>
      <c r="D252" s="176"/>
      <c r="E252" s="179">
        <f t="shared" si="3"/>
        <v>1973</v>
      </c>
      <c r="F252" s="170">
        <v>26877</v>
      </c>
      <c r="G252" s="171">
        <v>7.61</v>
      </c>
      <c r="J252" s="170">
        <v>35951</v>
      </c>
      <c r="K252" s="171">
        <v>5.89</v>
      </c>
    </row>
    <row r="253" spans="1:11" x14ac:dyDescent="0.2">
      <c r="A253" s="175">
        <v>34586</v>
      </c>
      <c r="B253" s="176">
        <v>7.88</v>
      </c>
      <c r="C253" s="176"/>
      <c r="D253" s="176"/>
      <c r="E253" s="179">
        <f t="shared" si="3"/>
        <v>1973</v>
      </c>
      <c r="F253" s="170">
        <v>26908</v>
      </c>
      <c r="G253" s="171">
        <v>7.25</v>
      </c>
      <c r="J253" s="170">
        <v>35958</v>
      </c>
      <c r="K253" s="171">
        <v>5.81</v>
      </c>
    </row>
    <row r="254" spans="1:11" x14ac:dyDescent="0.2">
      <c r="A254" s="175">
        <v>34589</v>
      </c>
      <c r="B254" s="176">
        <v>7.89</v>
      </c>
      <c r="C254" s="176"/>
      <c r="D254" s="176"/>
      <c r="E254" s="179">
        <f t="shared" si="3"/>
        <v>1973</v>
      </c>
      <c r="F254" s="170">
        <v>26938</v>
      </c>
      <c r="G254" s="171">
        <v>7.18</v>
      </c>
      <c r="J254" s="170">
        <v>35965</v>
      </c>
      <c r="K254" s="171">
        <v>5.77</v>
      </c>
    </row>
    <row r="255" spans="1:11" x14ac:dyDescent="0.2">
      <c r="A255" s="175">
        <v>34590</v>
      </c>
      <c r="B255" s="176">
        <v>7.87</v>
      </c>
      <c r="C255" s="176"/>
      <c r="D255" s="176"/>
      <c r="E255" s="179">
        <f t="shared" si="3"/>
        <v>1973</v>
      </c>
      <c r="F255" s="170">
        <v>26969</v>
      </c>
      <c r="G255" s="171">
        <v>7.3</v>
      </c>
      <c r="J255" s="170">
        <v>35972</v>
      </c>
      <c r="K255" s="171">
        <v>5.75</v>
      </c>
    </row>
    <row r="256" spans="1:11" x14ac:dyDescent="0.2">
      <c r="A256" s="175">
        <v>34591</v>
      </c>
      <c r="B256" s="176">
        <v>7.83</v>
      </c>
      <c r="C256" s="176"/>
      <c r="D256" s="176"/>
      <c r="E256" s="179">
        <f t="shared" si="3"/>
        <v>1973</v>
      </c>
      <c r="F256" s="170">
        <v>26999</v>
      </c>
      <c r="G256" s="171">
        <v>7.29</v>
      </c>
      <c r="J256" s="170">
        <v>35979</v>
      </c>
      <c r="K256" s="171">
        <v>5.73</v>
      </c>
    </row>
    <row r="257" spans="1:11" x14ac:dyDescent="0.2">
      <c r="A257" s="175">
        <v>34592</v>
      </c>
      <c r="B257" s="176">
        <v>7.8</v>
      </c>
      <c r="C257" s="176"/>
      <c r="D257" s="176"/>
      <c r="E257" s="179">
        <f t="shared" si="3"/>
        <v>1974</v>
      </c>
      <c r="F257" s="170">
        <v>27030</v>
      </c>
      <c r="G257" s="171">
        <v>7.47</v>
      </c>
      <c r="J257" s="170">
        <v>35986</v>
      </c>
      <c r="K257" s="171">
        <v>5.71</v>
      </c>
    </row>
    <row r="258" spans="1:11" x14ac:dyDescent="0.2">
      <c r="A258" s="175">
        <v>34593</v>
      </c>
      <c r="B258" s="176">
        <v>7.95</v>
      </c>
      <c r="C258" s="176"/>
      <c r="D258" s="176"/>
      <c r="E258" s="179">
        <f t="shared" si="3"/>
        <v>1974</v>
      </c>
      <c r="F258" s="170">
        <v>27061</v>
      </c>
      <c r="G258" s="171">
        <v>7.46</v>
      </c>
      <c r="J258" s="170">
        <v>35993</v>
      </c>
      <c r="K258" s="171">
        <v>5.82</v>
      </c>
    </row>
    <row r="259" spans="1:11" x14ac:dyDescent="0.2">
      <c r="A259" s="175">
        <v>34596</v>
      </c>
      <c r="B259" s="176">
        <v>7.9</v>
      </c>
      <c r="C259" s="176"/>
      <c r="D259" s="176"/>
      <c r="E259" s="179">
        <f t="shared" si="3"/>
        <v>1974</v>
      </c>
      <c r="F259" s="170">
        <v>27089</v>
      </c>
      <c r="G259" s="171">
        <v>7.73</v>
      </c>
      <c r="J259" s="170">
        <v>36000</v>
      </c>
      <c r="K259" s="171">
        <v>5.79</v>
      </c>
    </row>
    <row r="260" spans="1:11" x14ac:dyDescent="0.2">
      <c r="A260" s="175">
        <v>34597</v>
      </c>
      <c r="B260" s="176">
        <v>7.93</v>
      </c>
      <c r="C260" s="176"/>
      <c r="D260" s="176"/>
      <c r="E260" s="179">
        <f t="shared" si="3"/>
        <v>1974</v>
      </c>
      <c r="F260" s="170">
        <v>27120</v>
      </c>
      <c r="G260" s="171">
        <v>8.01</v>
      </c>
      <c r="J260" s="170">
        <v>36007</v>
      </c>
      <c r="K260" s="171">
        <v>5.83</v>
      </c>
    </row>
    <row r="261" spans="1:11" x14ac:dyDescent="0.2">
      <c r="A261" s="175">
        <v>34598</v>
      </c>
      <c r="B261" s="176">
        <v>7.95</v>
      </c>
      <c r="C261" s="176"/>
      <c r="D261" s="176"/>
      <c r="E261" s="179">
        <f t="shared" si="3"/>
        <v>1974</v>
      </c>
      <c r="F261" s="170">
        <v>27150</v>
      </c>
      <c r="G261" s="171">
        <v>8.14</v>
      </c>
      <c r="J261" s="170">
        <v>36014</v>
      </c>
      <c r="K261" s="171">
        <v>5.74</v>
      </c>
    </row>
    <row r="262" spans="1:11" x14ac:dyDescent="0.2">
      <c r="A262" s="175">
        <v>34599</v>
      </c>
      <c r="B262" s="176">
        <v>7.94</v>
      </c>
      <c r="C262" s="176"/>
      <c r="D262" s="176"/>
      <c r="E262" s="179">
        <f t="shared" si="3"/>
        <v>1974</v>
      </c>
      <c r="F262" s="170">
        <v>27181</v>
      </c>
      <c r="G262" s="171">
        <v>8.1</v>
      </c>
      <c r="J262" s="170">
        <v>36021</v>
      </c>
      <c r="K262" s="171">
        <v>5.7</v>
      </c>
    </row>
    <row r="263" spans="1:11" x14ac:dyDescent="0.2">
      <c r="A263" s="175">
        <v>34600</v>
      </c>
      <c r="B263" s="176">
        <v>7.95</v>
      </c>
      <c r="C263" s="176"/>
      <c r="D263" s="176"/>
      <c r="E263" s="179">
        <f t="shared" si="3"/>
        <v>1974</v>
      </c>
      <c r="F263" s="170">
        <v>27211</v>
      </c>
      <c r="G263" s="171">
        <v>8.26</v>
      </c>
      <c r="J263" s="170">
        <v>36028</v>
      </c>
      <c r="K263" s="171">
        <v>5.68</v>
      </c>
    </row>
    <row r="264" spans="1:11" x14ac:dyDescent="0.2">
      <c r="A264" s="175">
        <v>34603</v>
      </c>
      <c r="B264" s="176">
        <v>7.95</v>
      </c>
      <c r="C264" s="176"/>
      <c r="D264" s="176"/>
      <c r="E264" s="179">
        <f t="shared" si="3"/>
        <v>1974</v>
      </c>
      <c r="F264" s="170">
        <v>27242</v>
      </c>
      <c r="G264" s="171">
        <v>8.6</v>
      </c>
      <c r="J264" s="170">
        <v>36035</v>
      </c>
      <c r="K264" s="171">
        <v>5.57</v>
      </c>
    </row>
    <row r="265" spans="1:11" x14ac:dyDescent="0.2">
      <c r="A265" s="175">
        <v>34604</v>
      </c>
      <c r="B265" s="176">
        <v>8.01</v>
      </c>
      <c r="C265" s="176"/>
      <c r="D265" s="176"/>
      <c r="E265" s="179">
        <f t="shared" ref="E265:E328" si="4">YEAR(F265)</f>
        <v>1974</v>
      </c>
      <c r="F265" s="170">
        <v>27273</v>
      </c>
      <c r="G265" s="171">
        <v>8.59</v>
      </c>
      <c r="J265" s="170">
        <v>36042</v>
      </c>
      <c r="K265" s="171">
        <v>5.47</v>
      </c>
    </row>
    <row r="266" spans="1:11" x14ac:dyDescent="0.2">
      <c r="A266" s="175">
        <v>34605</v>
      </c>
      <c r="B266" s="176">
        <v>7.97</v>
      </c>
      <c r="C266" s="176"/>
      <c r="D266" s="176"/>
      <c r="E266" s="179">
        <f t="shared" si="4"/>
        <v>1974</v>
      </c>
      <c r="F266" s="170">
        <v>27303</v>
      </c>
      <c r="G266" s="171">
        <v>8.3699999999999992</v>
      </c>
      <c r="J266" s="170">
        <v>36049</v>
      </c>
      <c r="K266" s="171">
        <v>5.41</v>
      </c>
    </row>
    <row r="267" spans="1:11" x14ac:dyDescent="0.2">
      <c r="A267" s="175">
        <v>34606</v>
      </c>
      <c r="B267" s="176">
        <v>8.02</v>
      </c>
      <c r="C267" s="176"/>
      <c r="D267" s="176"/>
      <c r="E267" s="179">
        <f t="shared" si="4"/>
        <v>1974</v>
      </c>
      <c r="F267" s="170">
        <v>27334</v>
      </c>
      <c r="G267" s="171">
        <v>7.98</v>
      </c>
      <c r="J267" s="170">
        <v>36056</v>
      </c>
      <c r="K267" s="171">
        <v>5.38</v>
      </c>
    </row>
    <row r="268" spans="1:11" x14ac:dyDescent="0.2">
      <c r="A268" s="175">
        <v>34607</v>
      </c>
      <c r="B268" s="176">
        <v>7.98</v>
      </c>
      <c r="C268" s="176"/>
      <c r="D268" s="176"/>
      <c r="E268" s="179">
        <f t="shared" si="4"/>
        <v>1974</v>
      </c>
      <c r="F268" s="170">
        <v>27364</v>
      </c>
      <c r="G268" s="171">
        <v>7.91</v>
      </c>
      <c r="J268" s="170">
        <v>36063</v>
      </c>
      <c r="K268" s="171">
        <v>5.34</v>
      </c>
    </row>
    <row r="269" spans="1:11" x14ac:dyDescent="0.2">
      <c r="A269" s="175">
        <v>34610</v>
      </c>
      <c r="B269" s="176">
        <v>8.02</v>
      </c>
      <c r="C269" s="176"/>
      <c r="D269" s="176"/>
      <c r="E269" s="179">
        <f t="shared" si="4"/>
        <v>1975</v>
      </c>
      <c r="F269" s="170">
        <v>27395</v>
      </c>
      <c r="G269" s="171">
        <v>7.88</v>
      </c>
      <c r="J269" s="170">
        <v>36070</v>
      </c>
      <c r="K269" s="171">
        <v>5.19</v>
      </c>
    </row>
    <row r="270" spans="1:11" x14ac:dyDescent="0.2">
      <c r="A270" s="175">
        <v>34611</v>
      </c>
      <c r="B270" s="176">
        <v>8.06</v>
      </c>
      <c r="C270" s="176"/>
      <c r="D270" s="176"/>
      <c r="E270" s="179">
        <f t="shared" si="4"/>
        <v>1975</v>
      </c>
      <c r="F270" s="170">
        <v>27426</v>
      </c>
      <c r="G270" s="171">
        <v>7.71</v>
      </c>
      <c r="J270" s="170">
        <v>36077</v>
      </c>
      <c r="K270" s="171">
        <v>5.16</v>
      </c>
    </row>
    <row r="271" spans="1:11" x14ac:dyDescent="0.2">
      <c r="A271" s="175">
        <v>34612</v>
      </c>
      <c r="B271" s="176">
        <v>8.1199999999999992</v>
      </c>
      <c r="C271" s="176"/>
      <c r="D271" s="176"/>
      <c r="E271" s="179">
        <f t="shared" si="4"/>
        <v>1975</v>
      </c>
      <c r="F271" s="170">
        <v>27454</v>
      </c>
      <c r="G271" s="171">
        <v>7.99</v>
      </c>
      <c r="J271" s="170">
        <v>36084</v>
      </c>
      <c r="K271" s="171">
        <v>5.39</v>
      </c>
    </row>
    <row r="272" spans="1:11" x14ac:dyDescent="0.2">
      <c r="A272" s="175">
        <v>34613</v>
      </c>
      <c r="B272" s="176">
        <v>8.1199999999999992</v>
      </c>
      <c r="C272" s="176"/>
      <c r="D272" s="176"/>
      <c r="E272" s="179">
        <f t="shared" si="4"/>
        <v>1975</v>
      </c>
      <c r="F272" s="170">
        <v>27485</v>
      </c>
      <c r="G272" s="171">
        <v>8.36</v>
      </c>
      <c r="J272" s="170">
        <v>36091</v>
      </c>
      <c r="K272" s="171">
        <v>5.42</v>
      </c>
    </row>
    <row r="273" spans="1:11" x14ac:dyDescent="0.2">
      <c r="A273" s="175">
        <v>34614</v>
      </c>
      <c r="B273" s="176">
        <v>8.07</v>
      </c>
      <c r="C273" s="176"/>
      <c r="D273" s="176"/>
      <c r="E273" s="179">
        <f t="shared" si="4"/>
        <v>1975</v>
      </c>
      <c r="F273" s="170">
        <v>27515</v>
      </c>
      <c r="G273" s="171">
        <v>8.2200000000000006</v>
      </c>
      <c r="J273" s="170">
        <v>36098</v>
      </c>
      <c r="K273" s="171">
        <v>5.35</v>
      </c>
    </row>
    <row r="274" spans="1:11" x14ac:dyDescent="0.2">
      <c r="A274" s="175">
        <v>34617</v>
      </c>
      <c r="B274" s="177" t="e">
        <f>NA()</f>
        <v>#N/A</v>
      </c>
      <c r="C274" s="177"/>
      <c r="D274" s="177"/>
      <c r="E274" s="179">
        <f t="shared" si="4"/>
        <v>1975</v>
      </c>
      <c r="F274" s="170">
        <v>27546</v>
      </c>
      <c r="G274" s="171">
        <v>8.0399999999999991</v>
      </c>
      <c r="J274" s="170">
        <v>36105</v>
      </c>
      <c r="K274" s="171">
        <v>5.54</v>
      </c>
    </row>
    <row r="275" spans="1:11" x14ac:dyDescent="0.2">
      <c r="A275" s="175">
        <v>34618</v>
      </c>
      <c r="B275" s="176">
        <v>8.02</v>
      </c>
      <c r="C275" s="176"/>
      <c r="D275" s="176"/>
      <c r="E275" s="179">
        <f t="shared" si="4"/>
        <v>1975</v>
      </c>
      <c r="F275" s="170">
        <v>27576</v>
      </c>
      <c r="G275" s="171">
        <v>8.17</v>
      </c>
      <c r="J275" s="170">
        <v>36112</v>
      </c>
      <c r="K275" s="171">
        <v>5.48</v>
      </c>
    </row>
    <row r="276" spans="1:11" x14ac:dyDescent="0.2">
      <c r="A276" s="175">
        <v>34619</v>
      </c>
      <c r="B276" s="176">
        <v>8.0399999999999991</v>
      </c>
      <c r="C276" s="176"/>
      <c r="D276" s="176"/>
      <c r="E276" s="179">
        <f t="shared" si="4"/>
        <v>1975</v>
      </c>
      <c r="F276" s="170">
        <v>27607</v>
      </c>
      <c r="G276" s="171">
        <v>8.5</v>
      </c>
      <c r="J276" s="170">
        <v>36119</v>
      </c>
      <c r="K276" s="171">
        <v>5.46</v>
      </c>
    </row>
    <row r="277" spans="1:11" x14ac:dyDescent="0.2">
      <c r="A277" s="175">
        <v>34620</v>
      </c>
      <c r="B277" s="176">
        <v>7.99</v>
      </c>
      <c r="C277" s="176"/>
      <c r="D277" s="176"/>
      <c r="E277" s="179">
        <f t="shared" si="4"/>
        <v>1975</v>
      </c>
      <c r="F277" s="170">
        <v>27638</v>
      </c>
      <c r="G277" s="171">
        <v>8.57</v>
      </c>
      <c r="J277" s="170">
        <v>36126</v>
      </c>
      <c r="K277" s="171">
        <v>5.46</v>
      </c>
    </row>
    <row r="278" spans="1:11" x14ac:dyDescent="0.2">
      <c r="A278" s="175">
        <v>34621</v>
      </c>
      <c r="B278" s="176">
        <v>7.98</v>
      </c>
      <c r="C278" s="176"/>
      <c r="D278" s="176"/>
      <c r="E278" s="179">
        <f t="shared" si="4"/>
        <v>1975</v>
      </c>
      <c r="F278" s="170">
        <v>27668</v>
      </c>
      <c r="G278" s="171">
        <v>8.35</v>
      </c>
      <c r="J278" s="170">
        <v>36133</v>
      </c>
      <c r="K278" s="171">
        <v>5.31</v>
      </c>
    </row>
    <row r="279" spans="1:11" x14ac:dyDescent="0.2">
      <c r="A279" s="175">
        <v>34624</v>
      </c>
      <c r="B279" s="176">
        <v>7.97</v>
      </c>
      <c r="C279" s="176"/>
      <c r="D279" s="176"/>
      <c r="E279" s="179">
        <f t="shared" si="4"/>
        <v>1975</v>
      </c>
      <c r="F279" s="170">
        <v>27699</v>
      </c>
      <c r="G279" s="171">
        <v>8.2799999999999994</v>
      </c>
      <c r="J279" s="170">
        <v>36140</v>
      </c>
      <c r="K279" s="171">
        <v>5.29</v>
      </c>
    </row>
    <row r="280" spans="1:11" x14ac:dyDescent="0.2">
      <c r="A280" s="175">
        <v>34625</v>
      </c>
      <c r="B280" s="176">
        <v>8.01</v>
      </c>
      <c r="C280" s="176"/>
      <c r="D280" s="176"/>
      <c r="E280" s="179">
        <f t="shared" si="4"/>
        <v>1975</v>
      </c>
      <c r="F280" s="170">
        <v>27729</v>
      </c>
      <c r="G280" s="171">
        <v>8.23</v>
      </c>
      <c r="J280" s="170">
        <v>36147</v>
      </c>
      <c r="K280" s="171">
        <v>5.32</v>
      </c>
    </row>
    <row r="281" spans="1:11" x14ac:dyDescent="0.2">
      <c r="A281" s="175">
        <v>34626</v>
      </c>
      <c r="B281" s="176">
        <v>8.0399999999999991</v>
      </c>
      <c r="C281" s="176"/>
      <c r="D281" s="176"/>
      <c r="E281" s="179">
        <f t="shared" si="4"/>
        <v>1976</v>
      </c>
      <c r="F281" s="170">
        <v>27760</v>
      </c>
      <c r="G281" s="171">
        <v>8.01</v>
      </c>
      <c r="J281" s="170">
        <v>36154</v>
      </c>
      <c r="K281" s="171">
        <v>5.47</v>
      </c>
    </row>
    <row r="282" spans="1:11" x14ac:dyDescent="0.2">
      <c r="A282" s="175">
        <v>34627</v>
      </c>
      <c r="B282" s="176">
        <v>8.14</v>
      </c>
      <c r="C282" s="176"/>
      <c r="D282" s="176"/>
      <c r="E282" s="179">
        <f t="shared" si="4"/>
        <v>1976</v>
      </c>
      <c r="F282" s="170">
        <v>27791</v>
      </c>
      <c r="G282" s="171">
        <v>8.0299999999999994</v>
      </c>
      <c r="J282" s="170">
        <v>36161</v>
      </c>
      <c r="K282" s="171">
        <v>5.42</v>
      </c>
    </row>
    <row r="283" spans="1:11" x14ac:dyDescent="0.2">
      <c r="A283" s="175">
        <v>34628</v>
      </c>
      <c r="B283" s="176">
        <v>8.1199999999999992</v>
      </c>
      <c r="C283" s="176"/>
      <c r="D283" s="176"/>
      <c r="E283" s="179">
        <f t="shared" si="4"/>
        <v>1976</v>
      </c>
      <c r="F283" s="170">
        <v>27820</v>
      </c>
      <c r="G283" s="171">
        <v>7.97</v>
      </c>
      <c r="J283" s="170">
        <v>36168</v>
      </c>
      <c r="K283" s="171">
        <v>5.47</v>
      </c>
    </row>
    <row r="284" spans="1:11" x14ac:dyDescent="0.2">
      <c r="A284" s="175">
        <v>34631</v>
      </c>
      <c r="B284" s="176">
        <v>8.17</v>
      </c>
      <c r="C284" s="176"/>
      <c r="D284" s="176"/>
      <c r="E284" s="179">
        <f t="shared" si="4"/>
        <v>1976</v>
      </c>
      <c r="F284" s="170">
        <v>27851</v>
      </c>
      <c r="G284" s="171">
        <v>7.86</v>
      </c>
      <c r="J284" s="170">
        <v>36175</v>
      </c>
      <c r="K284" s="171">
        <v>5.49</v>
      </c>
    </row>
    <row r="285" spans="1:11" x14ac:dyDescent="0.2">
      <c r="A285" s="175">
        <v>34632</v>
      </c>
      <c r="B285" s="176">
        <v>8.18</v>
      </c>
      <c r="C285" s="176"/>
      <c r="D285" s="176"/>
      <c r="E285" s="179">
        <f t="shared" si="4"/>
        <v>1976</v>
      </c>
      <c r="F285" s="170">
        <v>27881</v>
      </c>
      <c r="G285" s="171">
        <v>8.1300000000000008</v>
      </c>
      <c r="J285" s="170">
        <v>36182</v>
      </c>
      <c r="K285" s="171">
        <v>5.44</v>
      </c>
    </row>
    <row r="286" spans="1:11" x14ac:dyDescent="0.2">
      <c r="A286" s="175">
        <v>34633</v>
      </c>
      <c r="B286" s="176">
        <v>8.19</v>
      </c>
      <c r="C286" s="176"/>
      <c r="D286" s="176"/>
      <c r="E286" s="179">
        <f t="shared" si="4"/>
        <v>1976</v>
      </c>
      <c r="F286" s="170">
        <v>27912</v>
      </c>
      <c r="G286" s="171">
        <v>8.0299999999999994</v>
      </c>
      <c r="J286" s="170">
        <v>36189</v>
      </c>
      <c r="K286" s="171">
        <v>5.39</v>
      </c>
    </row>
    <row r="287" spans="1:11" x14ac:dyDescent="0.2">
      <c r="A287" s="175">
        <v>34634</v>
      </c>
      <c r="B287" s="176">
        <v>8.17</v>
      </c>
      <c r="C287" s="176"/>
      <c r="D287" s="176"/>
      <c r="E287" s="179">
        <f t="shared" si="4"/>
        <v>1976</v>
      </c>
      <c r="F287" s="170">
        <v>27942</v>
      </c>
      <c r="G287" s="171">
        <v>8</v>
      </c>
      <c r="J287" s="170">
        <v>36196</v>
      </c>
      <c r="K287" s="171">
        <v>5.53</v>
      </c>
    </row>
    <row r="288" spans="1:11" x14ac:dyDescent="0.2">
      <c r="A288" s="175">
        <v>34635</v>
      </c>
      <c r="B288" s="176">
        <v>8.09</v>
      </c>
      <c r="C288" s="176"/>
      <c r="D288" s="176"/>
      <c r="E288" s="179">
        <f t="shared" si="4"/>
        <v>1976</v>
      </c>
      <c r="F288" s="170">
        <v>27973</v>
      </c>
      <c r="G288" s="171">
        <v>7.91</v>
      </c>
      <c r="J288" s="170">
        <v>36203</v>
      </c>
      <c r="K288" s="171">
        <v>5.62</v>
      </c>
    </row>
    <row r="289" spans="1:11" x14ac:dyDescent="0.2">
      <c r="A289" s="175">
        <v>34638</v>
      </c>
      <c r="B289" s="176">
        <v>8.09</v>
      </c>
      <c r="C289" s="176"/>
      <c r="D289" s="176"/>
      <c r="E289" s="179">
        <f t="shared" si="4"/>
        <v>1976</v>
      </c>
      <c r="F289" s="170">
        <v>28004</v>
      </c>
      <c r="G289" s="171">
        <v>7.78</v>
      </c>
      <c r="J289" s="170">
        <v>36210</v>
      </c>
      <c r="K289" s="171">
        <v>5.69</v>
      </c>
    </row>
    <row r="290" spans="1:11" x14ac:dyDescent="0.2">
      <c r="A290" s="175">
        <v>34639</v>
      </c>
      <c r="B290" s="176">
        <v>8.1999999999999993</v>
      </c>
      <c r="C290" s="176"/>
      <c r="D290" s="176"/>
      <c r="E290" s="179">
        <f t="shared" si="4"/>
        <v>1976</v>
      </c>
      <c r="F290" s="170">
        <v>28034</v>
      </c>
      <c r="G290" s="171">
        <v>7.7</v>
      </c>
      <c r="J290" s="170">
        <v>36217</v>
      </c>
      <c r="K290" s="171">
        <v>5.8</v>
      </c>
    </row>
    <row r="291" spans="1:11" x14ac:dyDescent="0.2">
      <c r="A291" s="175">
        <v>34640</v>
      </c>
      <c r="B291" s="176">
        <v>8.2200000000000006</v>
      </c>
      <c r="C291" s="176"/>
      <c r="D291" s="176"/>
      <c r="E291" s="179">
        <f t="shared" si="4"/>
        <v>1976</v>
      </c>
      <c r="F291" s="170">
        <v>28065</v>
      </c>
      <c r="G291" s="171">
        <v>7.64</v>
      </c>
      <c r="J291" s="170">
        <v>36224</v>
      </c>
      <c r="K291" s="171">
        <v>5.93</v>
      </c>
    </row>
    <row r="292" spans="1:11" x14ac:dyDescent="0.2">
      <c r="A292" s="175">
        <v>34641</v>
      </c>
      <c r="B292" s="176">
        <v>8.24</v>
      </c>
      <c r="C292" s="176"/>
      <c r="D292" s="176"/>
      <c r="E292" s="179">
        <f t="shared" si="4"/>
        <v>1976</v>
      </c>
      <c r="F292" s="170">
        <v>28095</v>
      </c>
      <c r="G292" s="171">
        <v>7.3</v>
      </c>
      <c r="J292" s="170">
        <v>36231</v>
      </c>
      <c r="K292" s="171">
        <v>5.86</v>
      </c>
    </row>
    <row r="293" spans="1:11" x14ac:dyDescent="0.2">
      <c r="A293" s="175">
        <v>34642</v>
      </c>
      <c r="B293" s="176">
        <v>8.3000000000000007</v>
      </c>
      <c r="C293" s="176"/>
      <c r="D293" s="176"/>
      <c r="E293" s="179">
        <f t="shared" si="4"/>
        <v>1977</v>
      </c>
      <c r="F293" s="170">
        <v>28126</v>
      </c>
      <c r="G293" s="171">
        <v>7.48</v>
      </c>
      <c r="J293" s="170">
        <v>36238</v>
      </c>
      <c r="K293" s="171">
        <v>5.78</v>
      </c>
    </row>
    <row r="294" spans="1:11" x14ac:dyDescent="0.2">
      <c r="A294" s="175">
        <v>34645</v>
      </c>
      <c r="B294" s="176">
        <v>8.3000000000000007</v>
      </c>
      <c r="C294" s="176"/>
      <c r="D294" s="176"/>
      <c r="E294" s="179">
        <f t="shared" si="4"/>
        <v>1977</v>
      </c>
      <c r="F294" s="170">
        <v>28157</v>
      </c>
      <c r="G294" s="171">
        <v>7.64</v>
      </c>
      <c r="J294" s="170">
        <v>36245</v>
      </c>
      <c r="K294" s="171">
        <v>5.87</v>
      </c>
    </row>
    <row r="295" spans="1:11" x14ac:dyDescent="0.2">
      <c r="A295" s="175">
        <v>34646</v>
      </c>
      <c r="B295" s="176">
        <v>8.24</v>
      </c>
      <c r="C295" s="176"/>
      <c r="D295" s="176"/>
      <c r="E295" s="179">
        <f t="shared" si="4"/>
        <v>1977</v>
      </c>
      <c r="F295" s="170">
        <v>28185</v>
      </c>
      <c r="G295" s="171">
        <v>7.73</v>
      </c>
      <c r="J295" s="170">
        <v>36252</v>
      </c>
      <c r="K295" s="171">
        <v>5.92</v>
      </c>
    </row>
    <row r="296" spans="1:11" x14ac:dyDescent="0.2">
      <c r="A296" s="175">
        <v>34647</v>
      </c>
      <c r="B296" s="176">
        <v>8.2100000000000009</v>
      </c>
      <c r="C296" s="176"/>
      <c r="D296" s="176"/>
      <c r="E296" s="179">
        <f t="shared" si="4"/>
        <v>1977</v>
      </c>
      <c r="F296" s="170">
        <v>28216</v>
      </c>
      <c r="G296" s="171">
        <v>7.67</v>
      </c>
      <c r="J296" s="170">
        <v>36259</v>
      </c>
      <c r="K296" s="171">
        <v>5.78</v>
      </c>
    </row>
    <row r="297" spans="1:11" x14ac:dyDescent="0.2">
      <c r="A297" s="175">
        <v>34648</v>
      </c>
      <c r="B297" s="176">
        <v>8.27</v>
      </c>
      <c r="C297" s="176"/>
      <c r="D297" s="176"/>
      <c r="E297" s="179">
        <f t="shared" si="4"/>
        <v>1977</v>
      </c>
      <c r="F297" s="170">
        <v>28246</v>
      </c>
      <c r="G297" s="171">
        <v>7.74</v>
      </c>
      <c r="J297" s="170">
        <v>36266</v>
      </c>
      <c r="K297" s="171">
        <v>5.78</v>
      </c>
    </row>
    <row r="298" spans="1:11" x14ac:dyDescent="0.2">
      <c r="A298" s="175">
        <v>34649</v>
      </c>
      <c r="B298" s="176" t="e">
        <f>NA()</f>
        <v>#N/A</v>
      </c>
      <c r="C298" s="176"/>
      <c r="D298" s="176"/>
      <c r="E298" s="179">
        <f t="shared" si="4"/>
        <v>1977</v>
      </c>
      <c r="F298" s="170">
        <v>28277</v>
      </c>
      <c r="G298" s="171">
        <v>7.64</v>
      </c>
      <c r="J298" s="170">
        <v>36273</v>
      </c>
      <c r="K298" s="171">
        <v>5.83</v>
      </c>
    </row>
    <row r="299" spans="1:11" x14ac:dyDescent="0.2">
      <c r="A299" s="175">
        <v>34652</v>
      </c>
      <c r="B299" s="176">
        <v>8.1999999999999993</v>
      </c>
      <c r="C299" s="176"/>
      <c r="D299" s="176"/>
      <c r="E299" s="179">
        <f t="shared" si="4"/>
        <v>1977</v>
      </c>
      <c r="F299" s="170">
        <v>28307</v>
      </c>
      <c r="G299" s="171">
        <v>7.6</v>
      </c>
      <c r="J299" s="170">
        <v>36280</v>
      </c>
      <c r="K299" s="171">
        <v>5.85</v>
      </c>
    </row>
    <row r="300" spans="1:11" x14ac:dyDescent="0.2">
      <c r="A300" s="175">
        <v>34653</v>
      </c>
      <c r="B300" s="176">
        <v>8.15</v>
      </c>
      <c r="C300" s="176"/>
      <c r="D300" s="176"/>
      <c r="E300" s="179">
        <f t="shared" si="4"/>
        <v>1977</v>
      </c>
      <c r="F300" s="170">
        <v>28338</v>
      </c>
      <c r="G300" s="171">
        <v>7.64</v>
      </c>
      <c r="J300" s="170">
        <v>36287</v>
      </c>
      <c r="K300" s="171">
        <v>6.01</v>
      </c>
    </row>
    <row r="301" spans="1:11" x14ac:dyDescent="0.2">
      <c r="A301" s="175">
        <v>34654</v>
      </c>
      <c r="B301" s="176">
        <v>8.2200000000000006</v>
      </c>
      <c r="C301" s="176"/>
      <c r="D301" s="176"/>
      <c r="E301" s="179">
        <f t="shared" si="4"/>
        <v>1977</v>
      </c>
      <c r="F301" s="170">
        <v>28369</v>
      </c>
      <c r="G301" s="171">
        <v>7.57</v>
      </c>
      <c r="J301" s="170">
        <v>36294</v>
      </c>
      <c r="K301" s="171">
        <v>6.09</v>
      </c>
    </row>
    <row r="302" spans="1:11" x14ac:dyDescent="0.2">
      <c r="A302" s="175">
        <v>34655</v>
      </c>
      <c r="B302" s="176">
        <v>8.27</v>
      </c>
      <c r="C302" s="176"/>
      <c r="D302" s="176"/>
      <c r="E302" s="179">
        <f t="shared" si="4"/>
        <v>1977</v>
      </c>
      <c r="F302" s="170">
        <v>28399</v>
      </c>
      <c r="G302" s="171">
        <v>7.71</v>
      </c>
      <c r="J302" s="170">
        <v>36301</v>
      </c>
      <c r="K302" s="171">
        <v>6.12</v>
      </c>
    </row>
    <row r="303" spans="1:11" x14ac:dyDescent="0.2">
      <c r="A303" s="175">
        <v>34656</v>
      </c>
      <c r="B303" s="176">
        <v>8.26</v>
      </c>
      <c r="C303" s="176"/>
      <c r="D303" s="176"/>
      <c r="E303" s="179">
        <f t="shared" si="4"/>
        <v>1977</v>
      </c>
      <c r="F303" s="170">
        <v>28430</v>
      </c>
      <c r="G303" s="171">
        <v>7.76</v>
      </c>
      <c r="J303" s="170">
        <v>36308</v>
      </c>
      <c r="K303" s="171">
        <v>6.11</v>
      </c>
    </row>
    <row r="304" spans="1:11" x14ac:dyDescent="0.2">
      <c r="A304" s="175">
        <v>34659</v>
      </c>
      <c r="B304" s="176">
        <v>8.26</v>
      </c>
      <c r="C304" s="176"/>
      <c r="D304" s="176"/>
      <c r="E304" s="179">
        <f t="shared" si="4"/>
        <v>1977</v>
      </c>
      <c r="F304" s="170">
        <v>28460</v>
      </c>
      <c r="G304" s="171">
        <v>7.87</v>
      </c>
      <c r="J304" s="170">
        <v>36315</v>
      </c>
      <c r="K304" s="171">
        <v>6.27</v>
      </c>
    </row>
    <row r="305" spans="1:11" x14ac:dyDescent="0.2">
      <c r="A305" s="175">
        <v>34660</v>
      </c>
      <c r="B305" s="176">
        <v>8.23</v>
      </c>
      <c r="C305" s="176"/>
      <c r="D305" s="176"/>
      <c r="E305" s="179">
        <f t="shared" si="4"/>
        <v>1978</v>
      </c>
      <c r="F305" s="170">
        <v>28491</v>
      </c>
      <c r="G305" s="171">
        <v>8.14</v>
      </c>
      <c r="J305" s="170">
        <v>36322</v>
      </c>
      <c r="K305" s="171">
        <v>6.35</v>
      </c>
    </row>
    <row r="306" spans="1:11" x14ac:dyDescent="0.2">
      <c r="A306" s="175">
        <v>34661</v>
      </c>
      <c r="B306" s="176">
        <v>8.06</v>
      </c>
      <c r="C306" s="176"/>
      <c r="D306" s="176"/>
      <c r="E306" s="179">
        <f t="shared" si="4"/>
        <v>1978</v>
      </c>
      <c r="F306" s="170">
        <v>28522</v>
      </c>
      <c r="G306" s="171">
        <v>8.2200000000000006</v>
      </c>
      <c r="J306" s="170">
        <v>36329</v>
      </c>
      <c r="K306" s="171">
        <v>6.37</v>
      </c>
    </row>
    <row r="307" spans="1:11" x14ac:dyDescent="0.2">
      <c r="A307" s="175">
        <v>34662</v>
      </c>
      <c r="B307" s="176" t="e">
        <f>NA()</f>
        <v>#N/A</v>
      </c>
      <c r="C307" s="176"/>
      <c r="D307" s="176"/>
      <c r="E307" s="179">
        <f t="shared" si="4"/>
        <v>1978</v>
      </c>
      <c r="F307" s="170">
        <v>28550</v>
      </c>
      <c r="G307" s="171">
        <v>8.2100000000000009</v>
      </c>
      <c r="J307" s="170">
        <v>36336</v>
      </c>
      <c r="K307" s="171">
        <v>6.45</v>
      </c>
    </row>
    <row r="308" spans="1:11" x14ac:dyDescent="0.2">
      <c r="A308" s="175">
        <v>34663</v>
      </c>
      <c r="B308" s="176">
        <v>8.0399999999999991</v>
      </c>
      <c r="C308" s="176"/>
      <c r="D308" s="176"/>
      <c r="E308" s="179">
        <f t="shared" si="4"/>
        <v>1978</v>
      </c>
      <c r="F308" s="170">
        <v>28581</v>
      </c>
      <c r="G308" s="171">
        <v>8.32</v>
      </c>
      <c r="J308" s="170">
        <v>36343</v>
      </c>
      <c r="K308" s="171">
        <v>6.34</v>
      </c>
    </row>
    <row r="309" spans="1:11" x14ac:dyDescent="0.2">
      <c r="A309" s="175">
        <v>34666</v>
      </c>
      <c r="B309" s="176">
        <v>8.1</v>
      </c>
      <c r="C309" s="176"/>
      <c r="D309" s="176"/>
      <c r="E309" s="179">
        <f t="shared" si="4"/>
        <v>1978</v>
      </c>
      <c r="F309" s="170">
        <v>28611</v>
      </c>
      <c r="G309" s="171">
        <v>8.44</v>
      </c>
      <c r="J309" s="170">
        <v>36350</v>
      </c>
      <c r="K309" s="171">
        <v>6.33</v>
      </c>
    </row>
    <row r="310" spans="1:11" x14ac:dyDescent="0.2">
      <c r="A310" s="175">
        <v>34667</v>
      </c>
      <c r="B310" s="176">
        <v>8.15</v>
      </c>
      <c r="C310" s="176"/>
      <c r="D310" s="176"/>
      <c r="E310" s="179">
        <f t="shared" si="4"/>
        <v>1978</v>
      </c>
      <c r="F310" s="170">
        <v>28642</v>
      </c>
      <c r="G310" s="171">
        <v>8.5299999999999994</v>
      </c>
      <c r="J310" s="170">
        <v>36357</v>
      </c>
      <c r="K310" s="171">
        <v>6.2</v>
      </c>
    </row>
    <row r="311" spans="1:11" x14ac:dyDescent="0.2">
      <c r="A311" s="175">
        <v>34668</v>
      </c>
      <c r="B311" s="176">
        <v>8.1</v>
      </c>
      <c r="C311" s="176"/>
      <c r="D311" s="176"/>
      <c r="E311" s="179">
        <f t="shared" si="4"/>
        <v>1978</v>
      </c>
      <c r="F311" s="170">
        <v>28672</v>
      </c>
      <c r="G311" s="171">
        <v>8.69</v>
      </c>
      <c r="J311" s="170">
        <v>36364</v>
      </c>
      <c r="K311" s="171">
        <v>6.23</v>
      </c>
    </row>
    <row r="312" spans="1:11" x14ac:dyDescent="0.2">
      <c r="A312" s="175">
        <v>34669</v>
      </c>
      <c r="B312" s="176">
        <v>8.1199999999999992</v>
      </c>
      <c r="C312" s="176"/>
      <c r="D312" s="176"/>
      <c r="E312" s="179">
        <f t="shared" si="4"/>
        <v>1978</v>
      </c>
      <c r="F312" s="170">
        <v>28703</v>
      </c>
      <c r="G312" s="171">
        <v>8.4499999999999993</v>
      </c>
      <c r="J312" s="170">
        <v>36371</v>
      </c>
      <c r="K312" s="171">
        <v>6.34</v>
      </c>
    </row>
    <row r="313" spans="1:11" x14ac:dyDescent="0.2">
      <c r="A313" s="175">
        <v>34670</v>
      </c>
      <c r="B313" s="176">
        <v>8.01</v>
      </c>
      <c r="C313" s="176"/>
      <c r="D313" s="176"/>
      <c r="E313" s="179">
        <f t="shared" si="4"/>
        <v>1978</v>
      </c>
      <c r="F313" s="170">
        <v>28734</v>
      </c>
      <c r="G313" s="171">
        <v>8.4700000000000006</v>
      </c>
      <c r="J313" s="170">
        <v>36378</v>
      </c>
      <c r="K313" s="171">
        <v>6.42</v>
      </c>
    </row>
    <row r="314" spans="1:11" x14ac:dyDescent="0.2">
      <c r="A314" s="175">
        <v>34673</v>
      </c>
      <c r="B314" s="176">
        <v>8.0399999999999991</v>
      </c>
      <c r="C314" s="176"/>
      <c r="D314" s="176"/>
      <c r="E314" s="179">
        <f t="shared" si="4"/>
        <v>1978</v>
      </c>
      <c r="F314" s="170">
        <v>28764</v>
      </c>
      <c r="G314" s="171">
        <v>8.69</v>
      </c>
      <c r="J314" s="170">
        <v>36385</v>
      </c>
      <c r="K314" s="171">
        <v>6.52</v>
      </c>
    </row>
    <row r="315" spans="1:11" x14ac:dyDescent="0.2">
      <c r="A315" s="175">
        <v>34674</v>
      </c>
      <c r="B315" s="176">
        <v>7.93</v>
      </c>
      <c r="C315" s="176"/>
      <c r="D315" s="176"/>
      <c r="E315" s="179">
        <f t="shared" si="4"/>
        <v>1978</v>
      </c>
      <c r="F315" s="170">
        <v>28795</v>
      </c>
      <c r="G315" s="171">
        <v>8.75</v>
      </c>
      <c r="J315" s="170">
        <v>36392</v>
      </c>
      <c r="K315" s="171">
        <v>6.43</v>
      </c>
    </row>
    <row r="316" spans="1:11" x14ac:dyDescent="0.2">
      <c r="A316" s="175">
        <v>34675</v>
      </c>
      <c r="B316" s="176">
        <v>8.01</v>
      </c>
      <c r="C316" s="176"/>
      <c r="D316" s="176"/>
      <c r="E316" s="179">
        <f t="shared" si="4"/>
        <v>1978</v>
      </c>
      <c r="F316" s="170">
        <v>28825</v>
      </c>
      <c r="G316" s="171">
        <v>8.9</v>
      </c>
      <c r="J316" s="170">
        <v>36399</v>
      </c>
      <c r="K316" s="171">
        <v>6.35</v>
      </c>
    </row>
    <row r="317" spans="1:11" x14ac:dyDescent="0.2">
      <c r="A317" s="175">
        <v>34676</v>
      </c>
      <c r="B317" s="176">
        <v>7.99</v>
      </c>
      <c r="C317" s="176"/>
      <c r="D317" s="176"/>
      <c r="E317" s="179">
        <f t="shared" si="4"/>
        <v>1979</v>
      </c>
      <c r="F317" s="170">
        <v>28856</v>
      </c>
      <c r="G317" s="171">
        <v>8.98</v>
      </c>
      <c r="J317" s="170">
        <v>36406</v>
      </c>
      <c r="K317" s="171">
        <v>6.5</v>
      </c>
    </row>
    <row r="318" spans="1:11" x14ac:dyDescent="0.2">
      <c r="A318" s="175">
        <v>34677</v>
      </c>
      <c r="B318" s="176">
        <v>7.97</v>
      </c>
      <c r="C318" s="176"/>
      <c r="D318" s="176"/>
      <c r="E318" s="179">
        <f t="shared" si="4"/>
        <v>1979</v>
      </c>
      <c r="F318" s="170">
        <v>28887</v>
      </c>
      <c r="G318" s="171">
        <v>9.0299999999999994</v>
      </c>
      <c r="J318" s="170">
        <v>36413</v>
      </c>
      <c r="K318" s="171">
        <v>6.51</v>
      </c>
    </row>
    <row r="319" spans="1:11" x14ac:dyDescent="0.2">
      <c r="A319" s="175">
        <v>34680</v>
      </c>
      <c r="B319" s="177">
        <v>8.0399999999999991</v>
      </c>
      <c r="C319" s="177"/>
      <c r="D319" s="177"/>
      <c r="E319" s="179">
        <f t="shared" si="4"/>
        <v>1979</v>
      </c>
      <c r="F319" s="170">
        <v>28915</v>
      </c>
      <c r="G319" s="171">
        <v>9.08</v>
      </c>
      <c r="J319" s="170">
        <v>36420</v>
      </c>
      <c r="K319" s="171">
        <v>6.52</v>
      </c>
    </row>
    <row r="320" spans="1:11" x14ac:dyDescent="0.2">
      <c r="A320" s="175">
        <v>34681</v>
      </c>
      <c r="B320" s="176">
        <v>7.97</v>
      </c>
      <c r="C320" s="176"/>
      <c r="D320" s="176"/>
      <c r="E320" s="179">
        <f t="shared" si="4"/>
        <v>1979</v>
      </c>
      <c r="F320" s="170">
        <v>28946</v>
      </c>
      <c r="G320" s="171">
        <v>9.1199999999999992</v>
      </c>
      <c r="J320" s="170">
        <v>36427</v>
      </c>
      <c r="K320" s="171">
        <v>6.46</v>
      </c>
    </row>
    <row r="321" spans="1:11" x14ac:dyDescent="0.2">
      <c r="A321" s="175">
        <v>34682</v>
      </c>
      <c r="B321" s="176">
        <v>8</v>
      </c>
      <c r="C321" s="176"/>
      <c r="D321" s="176"/>
      <c r="E321" s="179">
        <f t="shared" si="4"/>
        <v>1979</v>
      </c>
      <c r="F321" s="170">
        <v>28976</v>
      </c>
      <c r="G321" s="171">
        <v>9.2100000000000009</v>
      </c>
      <c r="J321" s="170">
        <v>36434</v>
      </c>
      <c r="K321" s="171">
        <v>6.5</v>
      </c>
    </row>
    <row r="322" spans="1:11" x14ac:dyDescent="0.2">
      <c r="A322" s="175">
        <v>34683</v>
      </c>
      <c r="B322" s="176">
        <v>7.99</v>
      </c>
      <c r="C322" s="176"/>
      <c r="D322" s="176"/>
      <c r="E322" s="179">
        <f t="shared" si="4"/>
        <v>1979</v>
      </c>
      <c r="F322" s="170">
        <v>29007</v>
      </c>
      <c r="G322" s="171">
        <v>8.91</v>
      </c>
      <c r="J322" s="170">
        <v>36441</v>
      </c>
      <c r="K322" s="171">
        <v>6.58</v>
      </c>
    </row>
    <row r="323" spans="1:11" x14ac:dyDescent="0.2">
      <c r="A323" s="175">
        <v>34684</v>
      </c>
      <c r="B323" s="176">
        <v>7.98</v>
      </c>
      <c r="C323" s="176"/>
      <c r="D323" s="176"/>
      <c r="E323" s="179">
        <f t="shared" si="4"/>
        <v>1979</v>
      </c>
      <c r="F323" s="170">
        <v>29037</v>
      </c>
      <c r="G323" s="171">
        <v>8.92</v>
      </c>
      <c r="J323" s="170">
        <v>36448</v>
      </c>
      <c r="K323" s="171">
        <v>6.68</v>
      </c>
    </row>
    <row r="324" spans="1:11" x14ac:dyDescent="0.2">
      <c r="A324" s="175">
        <v>34687</v>
      </c>
      <c r="B324" s="176">
        <v>7.96</v>
      </c>
      <c r="C324" s="176"/>
      <c r="D324" s="176"/>
      <c r="E324" s="179">
        <f t="shared" si="4"/>
        <v>1979</v>
      </c>
      <c r="F324" s="170">
        <v>29068</v>
      </c>
      <c r="G324" s="171">
        <v>8.9700000000000006</v>
      </c>
      <c r="J324" s="170">
        <v>36455</v>
      </c>
      <c r="K324" s="171">
        <v>6.74</v>
      </c>
    </row>
    <row r="325" spans="1:11" x14ac:dyDescent="0.2">
      <c r="A325" s="175">
        <v>34688</v>
      </c>
      <c r="B325" s="176">
        <v>7.98</v>
      </c>
      <c r="C325" s="176"/>
      <c r="D325" s="176"/>
      <c r="E325" s="179">
        <f t="shared" si="4"/>
        <v>1979</v>
      </c>
      <c r="F325" s="170">
        <v>29099</v>
      </c>
      <c r="G325" s="171">
        <v>9.2100000000000009</v>
      </c>
      <c r="J325" s="170">
        <v>36462</v>
      </c>
      <c r="K325" s="171">
        <v>6.68</v>
      </c>
    </row>
    <row r="326" spans="1:11" x14ac:dyDescent="0.2">
      <c r="A326" s="175">
        <v>34689</v>
      </c>
      <c r="B326" s="176">
        <v>7.96</v>
      </c>
      <c r="C326" s="176"/>
      <c r="D326" s="176"/>
      <c r="E326" s="179">
        <f t="shared" si="4"/>
        <v>1979</v>
      </c>
      <c r="F326" s="170">
        <v>29129</v>
      </c>
      <c r="G326" s="171">
        <v>9.99</v>
      </c>
      <c r="J326" s="170">
        <v>36469</v>
      </c>
      <c r="K326" s="171">
        <v>6.48</v>
      </c>
    </row>
    <row r="327" spans="1:11" x14ac:dyDescent="0.2">
      <c r="A327" s="175">
        <v>34690</v>
      </c>
      <c r="B327" s="176">
        <v>7.99</v>
      </c>
      <c r="C327" s="176"/>
      <c r="D327" s="176"/>
      <c r="E327" s="179">
        <f t="shared" si="4"/>
        <v>1979</v>
      </c>
      <c r="F327" s="170">
        <v>29160</v>
      </c>
      <c r="G327" s="171">
        <v>10.37</v>
      </c>
      <c r="J327" s="170">
        <v>36476</v>
      </c>
      <c r="K327" s="171">
        <v>6.42</v>
      </c>
    </row>
    <row r="328" spans="1:11" x14ac:dyDescent="0.2">
      <c r="A328" s="175">
        <v>34691</v>
      </c>
      <c r="B328" s="176">
        <v>7.96</v>
      </c>
      <c r="C328" s="176"/>
      <c r="D328" s="176"/>
      <c r="E328" s="179">
        <f t="shared" si="4"/>
        <v>1979</v>
      </c>
      <c r="F328" s="170">
        <v>29190</v>
      </c>
      <c r="G328" s="171">
        <v>10.18</v>
      </c>
      <c r="J328" s="170">
        <v>36483</v>
      </c>
      <c r="K328" s="171">
        <v>6.44</v>
      </c>
    </row>
    <row r="329" spans="1:11" x14ac:dyDescent="0.2">
      <c r="A329" s="175">
        <v>34694</v>
      </c>
      <c r="B329" s="176" t="e">
        <f>NA()</f>
        <v>#N/A</v>
      </c>
      <c r="C329" s="176"/>
      <c r="D329" s="176"/>
      <c r="E329" s="179">
        <f t="shared" ref="E329:E392" si="5">YEAR(F329)</f>
        <v>1980</v>
      </c>
      <c r="F329" s="170">
        <v>29221</v>
      </c>
      <c r="G329" s="171">
        <v>10.65</v>
      </c>
      <c r="J329" s="170">
        <v>36490</v>
      </c>
      <c r="K329" s="171">
        <v>6.53</v>
      </c>
    </row>
    <row r="330" spans="1:11" x14ac:dyDescent="0.2">
      <c r="A330" s="175">
        <v>34695</v>
      </c>
      <c r="B330" s="176">
        <v>7.87</v>
      </c>
      <c r="C330" s="176"/>
      <c r="D330" s="176"/>
      <c r="E330" s="179">
        <f t="shared" si="5"/>
        <v>1980</v>
      </c>
      <c r="F330" s="170">
        <v>29252</v>
      </c>
      <c r="G330" s="171">
        <v>12.21</v>
      </c>
      <c r="J330" s="170">
        <v>36497</v>
      </c>
      <c r="K330" s="171">
        <v>6.64</v>
      </c>
    </row>
    <row r="331" spans="1:11" x14ac:dyDescent="0.2">
      <c r="A331" s="175">
        <v>34696</v>
      </c>
      <c r="B331" s="176">
        <v>7.96</v>
      </c>
      <c r="C331" s="176"/>
      <c r="D331" s="176"/>
      <c r="E331" s="179">
        <f t="shared" si="5"/>
        <v>1980</v>
      </c>
      <c r="F331" s="170">
        <v>29281</v>
      </c>
      <c r="G331" s="171">
        <v>12.49</v>
      </c>
      <c r="J331" s="170">
        <v>36504</v>
      </c>
      <c r="K331" s="171">
        <v>6.54</v>
      </c>
    </row>
    <row r="332" spans="1:11" x14ac:dyDescent="0.2">
      <c r="A332" s="175">
        <v>34697</v>
      </c>
      <c r="B332" s="176">
        <v>7.99</v>
      </c>
      <c r="C332" s="176"/>
      <c r="D332" s="176"/>
      <c r="E332" s="179">
        <f t="shared" si="5"/>
        <v>1980</v>
      </c>
      <c r="F332" s="170">
        <v>29312</v>
      </c>
      <c r="G332" s="171">
        <v>11.42</v>
      </c>
      <c r="J332" s="170">
        <v>36511</v>
      </c>
      <c r="K332" s="171">
        <v>6.67</v>
      </c>
    </row>
    <row r="333" spans="1:11" x14ac:dyDescent="0.2">
      <c r="A333" s="175">
        <v>34698</v>
      </c>
      <c r="B333" s="176">
        <v>8.02</v>
      </c>
      <c r="C333" s="176"/>
      <c r="D333" s="176"/>
      <c r="E333" s="179">
        <f t="shared" si="5"/>
        <v>1980</v>
      </c>
      <c r="F333" s="170">
        <v>29342</v>
      </c>
      <c r="G333" s="171">
        <v>10.44</v>
      </c>
      <c r="J333" s="170">
        <v>36518</v>
      </c>
      <c r="K333" s="171">
        <v>6.82</v>
      </c>
    </row>
    <row r="334" spans="1:11" x14ac:dyDescent="0.2">
      <c r="A334" s="175">
        <v>34701</v>
      </c>
      <c r="B334" s="176" t="e">
        <f>NA()</f>
        <v>#N/A</v>
      </c>
      <c r="C334" s="176"/>
      <c r="D334" s="176"/>
      <c r="E334" s="179">
        <f t="shared" si="5"/>
        <v>1980</v>
      </c>
      <c r="F334" s="170">
        <v>29373</v>
      </c>
      <c r="G334" s="171">
        <v>9.89</v>
      </c>
      <c r="J334" s="170">
        <v>36525</v>
      </c>
      <c r="K334" s="171">
        <v>6.8</v>
      </c>
    </row>
    <row r="335" spans="1:11" x14ac:dyDescent="0.2">
      <c r="A335" s="175">
        <v>34702</v>
      </c>
      <c r="B335" s="176">
        <v>8.07</v>
      </c>
      <c r="C335" s="176"/>
      <c r="D335" s="176"/>
      <c r="E335" s="179">
        <f t="shared" si="5"/>
        <v>1980</v>
      </c>
      <c r="F335" s="170">
        <v>29403</v>
      </c>
      <c r="G335" s="171">
        <v>10.32</v>
      </c>
      <c r="J335" s="170">
        <v>36532</v>
      </c>
      <c r="K335" s="171">
        <v>6.88</v>
      </c>
    </row>
    <row r="336" spans="1:11" x14ac:dyDescent="0.2">
      <c r="A336" s="175">
        <v>34703</v>
      </c>
      <c r="B336" s="176">
        <v>7.98</v>
      </c>
      <c r="C336" s="176"/>
      <c r="D336" s="176"/>
      <c r="E336" s="179">
        <f t="shared" si="5"/>
        <v>1980</v>
      </c>
      <c r="F336" s="170">
        <v>29434</v>
      </c>
      <c r="G336" s="171">
        <v>11.07</v>
      </c>
      <c r="J336" s="170">
        <v>36539</v>
      </c>
      <c r="K336" s="171">
        <v>6.91</v>
      </c>
    </row>
    <row r="337" spans="1:11" x14ac:dyDescent="0.2">
      <c r="A337" s="175">
        <v>34704</v>
      </c>
      <c r="B337" s="176">
        <v>8.0299999999999994</v>
      </c>
      <c r="C337" s="176"/>
      <c r="D337" s="176"/>
      <c r="E337" s="179">
        <f t="shared" si="5"/>
        <v>1980</v>
      </c>
      <c r="F337" s="170">
        <v>29465</v>
      </c>
      <c r="G337" s="171">
        <v>11.47</v>
      </c>
      <c r="J337" s="170">
        <v>36546</v>
      </c>
      <c r="K337" s="171">
        <v>6.92</v>
      </c>
    </row>
    <row r="338" spans="1:11" x14ac:dyDescent="0.2">
      <c r="A338" s="175">
        <v>34705</v>
      </c>
      <c r="B338" s="176">
        <v>8</v>
      </c>
      <c r="C338" s="176"/>
      <c r="D338" s="176"/>
      <c r="E338" s="179">
        <f t="shared" si="5"/>
        <v>1980</v>
      </c>
      <c r="F338" s="170">
        <v>29495</v>
      </c>
      <c r="G338" s="171">
        <v>11.75</v>
      </c>
      <c r="J338" s="170">
        <v>36553</v>
      </c>
      <c r="K338" s="171">
        <v>6.77</v>
      </c>
    </row>
    <row r="339" spans="1:11" x14ac:dyDescent="0.2">
      <c r="A339" s="175">
        <v>34708</v>
      </c>
      <c r="B339" s="176">
        <v>8.0299999999999994</v>
      </c>
      <c r="C339" s="176"/>
      <c r="D339" s="176"/>
      <c r="E339" s="179">
        <f t="shared" si="5"/>
        <v>1980</v>
      </c>
      <c r="F339" s="170">
        <v>29526</v>
      </c>
      <c r="G339" s="171">
        <v>12.44</v>
      </c>
      <c r="J339" s="170">
        <v>36560</v>
      </c>
      <c r="K339" s="171">
        <v>6.61</v>
      </c>
    </row>
    <row r="340" spans="1:11" x14ac:dyDescent="0.2">
      <c r="A340" s="175">
        <v>34709</v>
      </c>
      <c r="B340" s="176">
        <v>8</v>
      </c>
      <c r="C340" s="176"/>
      <c r="D340" s="176"/>
      <c r="E340" s="179">
        <f t="shared" si="5"/>
        <v>1980</v>
      </c>
      <c r="F340" s="170">
        <v>29556</v>
      </c>
      <c r="G340" s="171">
        <v>12.49</v>
      </c>
      <c r="J340" s="170">
        <v>36567</v>
      </c>
      <c r="K340" s="171">
        <v>6.6</v>
      </c>
    </row>
    <row r="341" spans="1:11" x14ac:dyDescent="0.2">
      <c r="A341" s="175">
        <v>34710</v>
      </c>
      <c r="B341" s="176">
        <v>7.98</v>
      </c>
      <c r="C341" s="176"/>
      <c r="D341" s="176"/>
      <c r="E341" s="179">
        <f t="shared" si="5"/>
        <v>1981</v>
      </c>
      <c r="F341" s="170">
        <v>29587</v>
      </c>
      <c r="G341" s="171">
        <v>12.29</v>
      </c>
      <c r="J341" s="170">
        <v>36574</v>
      </c>
      <c r="K341" s="171">
        <v>6.55</v>
      </c>
    </row>
    <row r="342" spans="1:11" x14ac:dyDescent="0.2">
      <c r="A342" s="175">
        <v>34711</v>
      </c>
      <c r="B342" s="176">
        <v>8.02</v>
      </c>
      <c r="C342" s="176"/>
      <c r="D342" s="176"/>
      <c r="E342" s="179">
        <f t="shared" si="5"/>
        <v>1981</v>
      </c>
      <c r="F342" s="170">
        <v>29618</v>
      </c>
      <c r="G342" s="171">
        <v>12.98</v>
      </c>
      <c r="J342" s="170">
        <v>36581</v>
      </c>
      <c r="K342" s="171">
        <v>6.44</v>
      </c>
    </row>
    <row r="343" spans="1:11" x14ac:dyDescent="0.2">
      <c r="A343" s="175">
        <v>34712</v>
      </c>
      <c r="B343" s="176">
        <v>7.93</v>
      </c>
      <c r="C343" s="176"/>
      <c r="D343" s="176"/>
      <c r="E343" s="179">
        <f t="shared" si="5"/>
        <v>1981</v>
      </c>
      <c r="F343" s="170">
        <v>29646</v>
      </c>
      <c r="G343" s="171">
        <v>12.94</v>
      </c>
      <c r="J343" s="170">
        <v>36588</v>
      </c>
      <c r="K343" s="171">
        <v>6.45</v>
      </c>
    </row>
    <row r="344" spans="1:11" x14ac:dyDescent="0.2">
      <c r="A344" s="175">
        <v>34715</v>
      </c>
      <c r="B344" s="177" t="e">
        <f>NA()</f>
        <v>#N/A</v>
      </c>
      <c r="C344" s="177"/>
      <c r="D344" s="177"/>
      <c r="E344" s="179">
        <f t="shared" si="5"/>
        <v>1981</v>
      </c>
      <c r="F344" s="170">
        <v>29677</v>
      </c>
      <c r="G344" s="171">
        <v>13.46</v>
      </c>
      <c r="J344" s="170">
        <v>36595</v>
      </c>
      <c r="K344" s="171">
        <v>6.48</v>
      </c>
    </row>
    <row r="345" spans="1:11" x14ac:dyDescent="0.2">
      <c r="A345" s="175">
        <v>34716</v>
      </c>
      <c r="B345" s="176">
        <v>7.92</v>
      </c>
      <c r="C345" s="176"/>
      <c r="D345" s="176"/>
      <c r="E345" s="179">
        <f t="shared" si="5"/>
        <v>1981</v>
      </c>
      <c r="F345" s="170">
        <v>29707</v>
      </c>
      <c r="G345" s="171">
        <v>13.82</v>
      </c>
      <c r="J345" s="170">
        <v>36602</v>
      </c>
      <c r="K345" s="171">
        <v>6.4</v>
      </c>
    </row>
    <row r="346" spans="1:11" x14ac:dyDescent="0.2">
      <c r="A346" s="175">
        <v>34717</v>
      </c>
      <c r="B346" s="176">
        <v>7.91</v>
      </c>
      <c r="C346" s="176"/>
      <c r="D346" s="176"/>
      <c r="E346" s="179">
        <f t="shared" si="5"/>
        <v>1981</v>
      </c>
      <c r="F346" s="170">
        <v>29738</v>
      </c>
      <c r="G346" s="171">
        <v>13.2</v>
      </c>
      <c r="J346" s="170">
        <v>36609</v>
      </c>
      <c r="K346" s="171">
        <v>6.3</v>
      </c>
    </row>
    <row r="347" spans="1:11" x14ac:dyDescent="0.2">
      <c r="A347" s="175">
        <v>34718</v>
      </c>
      <c r="B347" s="176">
        <v>7.95</v>
      </c>
      <c r="C347" s="176"/>
      <c r="D347" s="176"/>
      <c r="E347" s="179">
        <f t="shared" si="5"/>
        <v>1981</v>
      </c>
      <c r="F347" s="170">
        <v>29768</v>
      </c>
      <c r="G347" s="171">
        <v>13.92</v>
      </c>
      <c r="J347" s="170">
        <v>36616</v>
      </c>
      <c r="K347" s="171">
        <v>6.3</v>
      </c>
    </row>
    <row r="348" spans="1:11" x14ac:dyDescent="0.2">
      <c r="A348" s="175">
        <v>34719</v>
      </c>
      <c r="B348" s="176">
        <v>8.02</v>
      </c>
      <c r="C348" s="176"/>
      <c r="D348" s="176"/>
      <c r="E348" s="179">
        <f t="shared" si="5"/>
        <v>1981</v>
      </c>
      <c r="F348" s="170">
        <v>29799</v>
      </c>
      <c r="G348" s="171">
        <v>14.52</v>
      </c>
      <c r="J348" s="170">
        <v>36623</v>
      </c>
      <c r="K348" s="171">
        <v>6.12</v>
      </c>
    </row>
    <row r="349" spans="1:11" x14ac:dyDescent="0.2">
      <c r="A349" s="175">
        <v>34722</v>
      </c>
      <c r="B349" s="176">
        <v>8.02</v>
      </c>
      <c r="C349" s="176"/>
      <c r="D349" s="176"/>
      <c r="E349" s="179">
        <f t="shared" si="5"/>
        <v>1981</v>
      </c>
      <c r="F349" s="170">
        <v>29830</v>
      </c>
      <c r="G349" s="171">
        <v>15.07</v>
      </c>
      <c r="J349" s="170">
        <v>36630</v>
      </c>
      <c r="K349" s="171">
        <v>6.13</v>
      </c>
    </row>
    <row r="350" spans="1:11" x14ac:dyDescent="0.2">
      <c r="A350" s="175">
        <v>34723</v>
      </c>
      <c r="B350" s="176">
        <v>8.0500000000000007</v>
      </c>
      <c r="C350" s="176"/>
      <c r="D350" s="176"/>
      <c r="E350" s="179">
        <f t="shared" si="5"/>
        <v>1981</v>
      </c>
      <c r="F350" s="170">
        <v>29860</v>
      </c>
      <c r="G350" s="171">
        <v>15.13</v>
      </c>
      <c r="J350" s="170">
        <v>36637</v>
      </c>
      <c r="K350" s="171">
        <v>6.22</v>
      </c>
    </row>
    <row r="351" spans="1:11" x14ac:dyDescent="0.2">
      <c r="A351" s="175">
        <v>34724</v>
      </c>
      <c r="B351" s="176">
        <v>7.99</v>
      </c>
      <c r="C351" s="176"/>
      <c r="D351" s="176"/>
      <c r="E351" s="179">
        <f t="shared" si="5"/>
        <v>1981</v>
      </c>
      <c r="F351" s="170">
        <v>29891</v>
      </c>
      <c r="G351" s="171">
        <v>13.56</v>
      </c>
      <c r="J351" s="170">
        <v>36644</v>
      </c>
      <c r="K351" s="171">
        <v>6.28</v>
      </c>
    </row>
    <row r="352" spans="1:11" x14ac:dyDescent="0.2">
      <c r="A352" s="175">
        <v>34725</v>
      </c>
      <c r="B352" s="176">
        <v>7.95</v>
      </c>
      <c r="C352" s="176"/>
      <c r="D352" s="176"/>
      <c r="E352" s="179">
        <f t="shared" si="5"/>
        <v>1981</v>
      </c>
      <c r="F352" s="170">
        <v>29921</v>
      </c>
      <c r="G352" s="171">
        <v>13.73</v>
      </c>
      <c r="J352" s="170">
        <v>36651</v>
      </c>
      <c r="K352" s="171">
        <v>6.48</v>
      </c>
    </row>
    <row r="353" spans="1:11" x14ac:dyDescent="0.2">
      <c r="A353" s="175">
        <v>34726</v>
      </c>
      <c r="B353" s="176">
        <v>7.83</v>
      </c>
      <c r="C353" s="176"/>
      <c r="D353" s="176"/>
      <c r="E353" s="179">
        <f t="shared" si="5"/>
        <v>1982</v>
      </c>
      <c r="F353" s="170">
        <v>29952</v>
      </c>
      <c r="G353" s="171">
        <v>14.57</v>
      </c>
      <c r="J353" s="170">
        <v>36658</v>
      </c>
      <c r="K353" s="171">
        <v>6.61</v>
      </c>
    </row>
    <row r="354" spans="1:11" x14ac:dyDescent="0.2">
      <c r="A354" s="175">
        <v>34729</v>
      </c>
      <c r="B354" s="176">
        <v>7.86</v>
      </c>
      <c r="C354" s="176"/>
      <c r="D354" s="176"/>
      <c r="E354" s="179">
        <f t="shared" si="5"/>
        <v>1982</v>
      </c>
      <c r="F354" s="170">
        <v>29983</v>
      </c>
      <c r="G354" s="171">
        <v>14.48</v>
      </c>
      <c r="J354" s="170">
        <v>36665</v>
      </c>
      <c r="K354" s="171">
        <v>6.59</v>
      </c>
    </row>
    <row r="355" spans="1:11" x14ac:dyDescent="0.2">
      <c r="A355" s="175">
        <v>34730</v>
      </c>
      <c r="B355" s="176">
        <v>7.81</v>
      </c>
      <c r="C355" s="176"/>
      <c r="D355" s="176"/>
      <c r="E355" s="179">
        <f t="shared" si="5"/>
        <v>1982</v>
      </c>
      <c r="F355" s="170">
        <v>30011</v>
      </c>
      <c r="G355" s="171">
        <v>13.75</v>
      </c>
      <c r="J355" s="170">
        <v>36672</v>
      </c>
      <c r="K355" s="171">
        <v>6.54</v>
      </c>
    </row>
    <row r="356" spans="1:11" x14ac:dyDescent="0.2">
      <c r="A356" s="175">
        <v>34731</v>
      </c>
      <c r="B356" s="176">
        <v>7.85</v>
      </c>
      <c r="C356" s="176"/>
      <c r="D356" s="176"/>
      <c r="E356" s="179">
        <f t="shared" si="5"/>
        <v>1982</v>
      </c>
      <c r="F356" s="170">
        <v>30042</v>
      </c>
      <c r="G356" s="171">
        <v>13.57</v>
      </c>
      <c r="J356" s="170">
        <v>36679</v>
      </c>
      <c r="K356" s="171">
        <v>6.39</v>
      </c>
    </row>
    <row r="357" spans="1:11" x14ac:dyDescent="0.2">
      <c r="A357" s="175">
        <v>34732</v>
      </c>
      <c r="B357" s="176">
        <v>7.85</v>
      </c>
      <c r="C357" s="176"/>
      <c r="D357" s="176"/>
      <c r="E357" s="179">
        <f t="shared" si="5"/>
        <v>1982</v>
      </c>
      <c r="F357" s="170">
        <v>30072</v>
      </c>
      <c r="G357" s="171">
        <v>13.46</v>
      </c>
      <c r="J357" s="170">
        <v>36686</v>
      </c>
      <c r="K357" s="171">
        <v>6.27</v>
      </c>
    </row>
    <row r="358" spans="1:11" x14ac:dyDescent="0.2">
      <c r="A358" s="175">
        <v>34733</v>
      </c>
      <c r="B358" s="176">
        <v>7.7</v>
      </c>
      <c r="C358" s="176"/>
      <c r="D358" s="176"/>
      <c r="E358" s="179">
        <f t="shared" si="5"/>
        <v>1982</v>
      </c>
      <c r="F358" s="170">
        <v>30103</v>
      </c>
      <c r="G358" s="171">
        <v>14.18</v>
      </c>
      <c r="J358" s="170">
        <v>36693</v>
      </c>
      <c r="K358" s="171">
        <v>6.25</v>
      </c>
    </row>
    <row r="359" spans="1:11" x14ac:dyDescent="0.2">
      <c r="A359" s="175">
        <v>34736</v>
      </c>
      <c r="B359" s="176">
        <v>7.72</v>
      </c>
      <c r="C359" s="176"/>
      <c r="D359" s="176"/>
      <c r="E359" s="179">
        <f t="shared" si="5"/>
        <v>1982</v>
      </c>
      <c r="F359" s="170">
        <v>30133</v>
      </c>
      <c r="G359" s="171">
        <v>13.76</v>
      </c>
      <c r="J359" s="170">
        <v>36700</v>
      </c>
      <c r="K359" s="171">
        <v>6.3</v>
      </c>
    </row>
    <row r="360" spans="1:11" x14ac:dyDescent="0.2">
      <c r="A360" s="175">
        <v>34737</v>
      </c>
      <c r="B360" s="176">
        <v>7.73</v>
      </c>
      <c r="C360" s="176"/>
      <c r="D360" s="176"/>
      <c r="E360" s="179">
        <f t="shared" si="5"/>
        <v>1982</v>
      </c>
      <c r="F360" s="170">
        <v>30164</v>
      </c>
      <c r="G360" s="171">
        <v>12.91</v>
      </c>
      <c r="J360" s="170">
        <v>36707</v>
      </c>
      <c r="K360" s="171">
        <v>6.3</v>
      </c>
    </row>
    <row r="361" spans="1:11" x14ac:dyDescent="0.2">
      <c r="A361" s="175">
        <v>34738</v>
      </c>
      <c r="B361" s="176">
        <v>7.74</v>
      </c>
      <c r="C361" s="176"/>
      <c r="D361" s="176"/>
      <c r="E361" s="179">
        <f t="shared" si="5"/>
        <v>1982</v>
      </c>
      <c r="F361" s="170">
        <v>30195</v>
      </c>
      <c r="G361" s="171">
        <v>12.16</v>
      </c>
      <c r="J361" s="170">
        <v>36714</v>
      </c>
      <c r="K361" s="171">
        <v>6.23</v>
      </c>
    </row>
    <row r="362" spans="1:11" x14ac:dyDescent="0.2">
      <c r="A362" s="175">
        <v>34739</v>
      </c>
      <c r="B362" s="176">
        <v>7.78</v>
      </c>
      <c r="C362" s="176"/>
      <c r="D362" s="176"/>
      <c r="E362" s="179">
        <f t="shared" si="5"/>
        <v>1982</v>
      </c>
      <c r="F362" s="170">
        <v>30225</v>
      </c>
      <c r="G362" s="171">
        <v>10.97</v>
      </c>
      <c r="J362" s="170">
        <v>36721</v>
      </c>
      <c r="K362" s="171">
        <v>6.22</v>
      </c>
    </row>
    <row r="363" spans="1:11" x14ac:dyDescent="0.2">
      <c r="A363" s="175">
        <v>34740</v>
      </c>
      <c r="B363" s="176">
        <v>7.81</v>
      </c>
      <c r="C363" s="176"/>
      <c r="D363" s="176"/>
      <c r="E363" s="179">
        <f t="shared" si="5"/>
        <v>1982</v>
      </c>
      <c r="F363" s="170">
        <v>30256</v>
      </c>
      <c r="G363" s="171">
        <v>10.57</v>
      </c>
      <c r="J363" s="170">
        <v>36728</v>
      </c>
      <c r="K363" s="171">
        <v>6.23</v>
      </c>
    </row>
    <row r="364" spans="1:11" x14ac:dyDescent="0.2">
      <c r="A364" s="175">
        <v>34743</v>
      </c>
      <c r="B364" s="176">
        <v>7.8</v>
      </c>
      <c r="C364" s="176"/>
      <c r="D364" s="176"/>
      <c r="E364" s="179">
        <f t="shared" si="5"/>
        <v>1982</v>
      </c>
      <c r="F364" s="170">
        <v>30286</v>
      </c>
      <c r="G364" s="171">
        <v>10.62</v>
      </c>
      <c r="J364" s="170">
        <v>36735</v>
      </c>
      <c r="K364" s="171">
        <v>6.13</v>
      </c>
    </row>
    <row r="365" spans="1:11" x14ac:dyDescent="0.2">
      <c r="A365" s="175">
        <v>34744</v>
      </c>
      <c r="B365" s="176">
        <v>7.75</v>
      </c>
      <c r="C365" s="176"/>
      <c r="D365" s="176"/>
      <c r="E365" s="179">
        <f t="shared" si="5"/>
        <v>1983</v>
      </c>
      <c r="F365" s="170">
        <v>30317</v>
      </c>
      <c r="G365" s="171">
        <v>10.78</v>
      </c>
      <c r="J365" s="170">
        <v>36742</v>
      </c>
      <c r="K365" s="171">
        <v>6.08</v>
      </c>
    </row>
    <row r="366" spans="1:11" x14ac:dyDescent="0.2">
      <c r="A366" s="175">
        <v>34745</v>
      </c>
      <c r="B366" s="176">
        <v>7.7</v>
      </c>
      <c r="C366" s="176"/>
      <c r="D366" s="176"/>
      <c r="E366" s="179">
        <f t="shared" si="5"/>
        <v>1983</v>
      </c>
      <c r="F366" s="170">
        <v>30348</v>
      </c>
      <c r="G366" s="171">
        <v>11.03</v>
      </c>
      <c r="J366" s="170">
        <v>36749</v>
      </c>
      <c r="K366" s="171">
        <v>6.03</v>
      </c>
    </row>
    <row r="367" spans="1:11" x14ac:dyDescent="0.2">
      <c r="A367" s="175">
        <v>34746</v>
      </c>
      <c r="B367" s="176">
        <v>7.7</v>
      </c>
      <c r="C367" s="176"/>
      <c r="D367" s="176"/>
      <c r="E367" s="179">
        <f t="shared" si="5"/>
        <v>1983</v>
      </c>
      <c r="F367" s="170">
        <v>30376</v>
      </c>
      <c r="G367" s="171">
        <v>10.8</v>
      </c>
      <c r="J367" s="170">
        <v>36756</v>
      </c>
      <c r="K367" s="171">
        <v>6.02</v>
      </c>
    </row>
    <row r="368" spans="1:11" x14ac:dyDescent="0.2">
      <c r="A368" s="175">
        <v>34747</v>
      </c>
      <c r="B368" s="177">
        <v>7.71</v>
      </c>
      <c r="C368" s="177"/>
      <c r="D368" s="177"/>
      <c r="E368" s="179">
        <f t="shared" si="5"/>
        <v>1983</v>
      </c>
      <c r="F368" s="170">
        <v>30407</v>
      </c>
      <c r="G368" s="171">
        <v>10.63</v>
      </c>
      <c r="J368" s="170">
        <v>36763</v>
      </c>
      <c r="K368" s="171">
        <v>5.98</v>
      </c>
    </row>
    <row r="369" spans="1:11" x14ac:dyDescent="0.2">
      <c r="A369" s="175">
        <v>34750</v>
      </c>
      <c r="B369" s="176" t="e">
        <f>NA()</f>
        <v>#N/A</v>
      </c>
      <c r="C369" s="176"/>
      <c r="D369" s="176"/>
      <c r="E369" s="179">
        <f t="shared" si="5"/>
        <v>1983</v>
      </c>
      <c r="F369" s="170">
        <v>30437</v>
      </c>
      <c r="G369" s="171">
        <v>10.67</v>
      </c>
      <c r="J369" s="170">
        <v>36770</v>
      </c>
      <c r="K369" s="171">
        <v>6</v>
      </c>
    </row>
    <row r="370" spans="1:11" x14ac:dyDescent="0.2">
      <c r="A370" s="175">
        <v>34751</v>
      </c>
      <c r="B370" s="176">
        <v>7.74</v>
      </c>
      <c r="C370" s="176"/>
      <c r="D370" s="176"/>
      <c r="E370" s="179">
        <f t="shared" si="5"/>
        <v>1983</v>
      </c>
      <c r="F370" s="170">
        <v>30468</v>
      </c>
      <c r="G370" s="171">
        <v>11.12</v>
      </c>
      <c r="J370" s="170">
        <v>36777</v>
      </c>
      <c r="K370" s="171">
        <v>5.99</v>
      </c>
    </row>
    <row r="371" spans="1:11" x14ac:dyDescent="0.2">
      <c r="A371" s="175">
        <v>34752</v>
      </c>
      <c r="B371" s="176">
        <v>7.67</v>
      </c>
      <c r="C371" s="176"/>
      <c r="D371" s="176"/>
      <c r="E371" s="179">
        <f t="shared" si="5"/>
        <v>1983</v>
      </c>
      <c r="F371" s="170">
        <v>30498</v>
      </c>
      <c r="G371" s="171">
        <v>11.59</v>
      </c>
      <c r="J371" s="170">
        <v>36784</v>
      </c>
      <c r="K371" s="171">
        <v>6.06</v>
      </c>
    </row>
    <row r="372" spans="1:11" x14ac:dyDescent="0.2">
      <c r="A372" s="175">
        <v>34753</v>
      </c>
      <c r="B372" s="176">
        <v>7.68</v>
      </c>
      <c r="C372" s="176"/>
      <c r="D372" s="176"/>
      <c r="E372" s="179">
        <f t="shared" si="5"/>
        <v>1983</v>
      </c>
      <c r="F372" s="170">
        <v>30529</v>
      </c>
      <c r="G372" s="171">
        <v>11.96</v>
      </c>
      <c r="J372" s="170">
        <v>36791</v>
      </c>
      <c r="K372" s="171">
        <v>6.19</v>
      </c>
    </row>
    <row r="373" spans="1:11" x14ac:dyDescent="0.2">
      <c r="A373" s="175">
        <v>34754</v>
      </c>
      <c r="B373" s="176">
        <v>7.66</v>
      </c>
      <c r="C373" s="176"/>
      <c r="D373" s="176"/>
      <c r="E373" s="179">
        <f t="shared" si="5"/>
        <v>1983</v>
      </c>
      <c r="F373" s="170">
        <v>30560</v>
      </c>
      <c r="G373" s="171">
        <v>11.82</v>
      </c>
      <c r="J373" s="170">
        <v>36798</v>
      </c>
      <c r="K373" s="171">
        <v>6.14</v>
      </c>
    </row>
    <row r="374" spans="1:11" x14ac:dyDescent="0.2">
      <c r="A374" s="175">
        <v>34757</v>
      </c>
      <c r="B374" s="176">
        <v>7.61</v>
      </c>
      <c r="C374" s="176"/>
      <c r="D374" s="176"/>
      <c r="E374" s="179">
        <f t="shared" si="5"/>
        <v>1983</v>
      </c>
      <c r="F374" s="170">
        <v>30590</v>
      </c>
      <c r="G374" s="171">
        <v>11.77</v>
      </c>
      <c r="J374" s="170">
        <v>36805</v>
      </c>
      <c r="K374" s="171">
        <v>6.17</v>
      </c>
    </row>
    <row r="375" spans="1:11" x14ac:dyDescent="0.2">
      <c r="A375" s="175">
        <v>34758</v>
      </c>
      <c r="B375" s="176">
        <v>7.58</v>
      </c>
      <c r="C375" s="176"/>
      <c r="D375" s="176"/>
      <c r="E375" s="179">
        <f t="shared" si="5"/>
        <v>1983</v>
      </c>
      <c r="F375" s="170">
        <v>30621</v>
      </c>
      <c r="G375" s="171">
        <v>11.92</v>
      </c>
      <c r="J375" s="170">
        <v>36812</v>
      </c>
      <c r="K375" s="171">
        <v>6.06</v>
      </c>
    </row>
    <row r="376" spans="1:11" x14ac:dyDescent="0.2">
      <c r="A376" s="175">
        <v>34759</v>
      </c>
      <c r="B376" s="176">
        <v>7.57</v>
      </c>
      <c r="C376" s="176"/>
      <c r="D376" s="176"/>
      <c r="E376" s="179">
        <f t="shared" si="5"/>
        <v>1983</v>
      </c>
      <c r="F376" s="170">
        <v>30651</v>
      </c>
      <c r="G376" s="171">
        <v>12.02</v>
      </c>
      <c r="J376" s="170">
        <v>36819</v>
      </c>
      <c r="K376" s="171">
        <v>6</v>
      </c>
    </row>
    <row r="377" spans="1:11" x14ac:dyDescent="0.2">
      <c r="A377" s="175">
        <v>34760</v>
      </c>
      <c r="B377" s="177">
        <v>7.62</v>
      </c>
      <c r="C377" s="177"/>
      <c r="D377" s="177"/>
      <c r="E377" s="179">
        <f t="shared" si="5"/>
        <v>1984</v>
      </c>
      <c r="F377" s="170">
        <v>30682</v>
      </c>
      <c r="G377" s="171">
        <v>11.82</v>
      </c>
      <c r="J377" s="170">
        <v>36826</v>
      </c>
      <c r="K377" s="171">
        <v>5.94</v>
      </c>
    </row>
    <row r="378" spans="1:11" x14ac:dyDescent="0.2">
      <c r="A378" s="175">
        <v>34761</v>
      </c>
      <c r="B378" s="176">
        <v>7.68</v>
      </c>
      <c r="C378" s="176"/>
      <c r="D378" s="176"/>
      <c r="E378" s="179">
        <f t="shared" si="5"/>
        <v>1984</v>
      </c>
      <c r="F378" s="170">
        <v>30713</v>
      </c>
      <c r="G378" s="171">
        <v>12</v>
      </c>
      <c r="J378" s="170">
        <v>36833</v>
      </c>
      <c r="K378" s="171">
        <v>6.02</v>
      </c>
    </row>
    <row r="379" spans="1:11" x14ac:dyDescent="0.2">
      <c r="A379" s="175">
        <v>34764</v>
      </c>
      <c r="B379" s="176">
        <v>7.73</v>
      </c>
      <c r="C379" s="176"/>
      <c r="D379" s="176"/>
      <c r="E379" s="179">
        <f t="shared" si="5"/>
        <v>1984</v>
      </c>
      <c r="F379" s="170">
        <v>30742</v>
      </c>
      <c r="G379" s="171">
        <v>12.45</v>
      </c>
      <c r="J379" s="170">
        <v>36840</v>
      </c>
      <c r="K379" s="171">
        <v>6.09</v>
      </c>
    </row>
    <row r="380" spans="1:11" x14ac:dyDescent="0.2">
      <c r="A380" s="175">
        <v>34765</v>
      </c>
      <c r="B380" s="176">
        <v>7.78</v>
      </c>
      <c r="C380" s="176"/>
      <c r="D380" s="176"/>
      <c r="E380" s="179">
        <f t="shared" si="5"/>
        <v>1984</v>
      </c>
      <c r="F380" s="170">
        <v>30773</v>
      </c>
      <c r="G380" s="171">
        <v>12.65</v>
      </c>
      <c r="J380" s="170">
        <v>36847</v>
      </c>
      <c r="K380" s="171">
        <v>5.99</v>
      </c>
    </row>
    <row r="381" spans="1:11" x14ac:dyDescent="0.2">
      <c r="A381" s="175">
        <v>34766</v>
      </c>
      <c r="B381" s="176">
        <v>7.69</v>
      </c>
      <c r="C381" s="176"/>
      <c r="D381" s="176"/>
      <c r="E381" s="179">
        <f t="shared" si="5"/>
        <v>1984</v>
      </c>
      <c r="F381" s="170">
        <v>30803</v>
      </c>
      <c r="G381" s="171">
        <v>13.43</v>
      </c>
      <c r="J381" s="170">
        <v>36854</v>
      </c>
      <c r="K381" s="171">
        <v>5.91</v>
      </c>
    </row>
    <row r="382" spans="1:11" x14ac:dyDescent="0.2">
      <c r="A382" s="175">
        <v>34767</v>
      </c>
      <c r="B382" s="176">
        <v>7.65</v>
      </c>
      <c r="C382" s="176"/>
      <c r="D382" s="176"/>
      <c r="E382" s="179">
        <f t="shared" si="5"/>
        <v>1984</v>
      </c>
      <c r="F382" s="170">
        <v>30834</v>
      </c>
      <c r="G382" s="171">
        <v>13.54</v>
      </c>
      <c r="J382" s="170">
        <v>36861</v>
      </c>
      <c r="K382" s="171">
        <v>5.84</v>
      </c>
    </row>
    <row r="383" spans="1:11" x14ac:dyDescent="0.2">
      <c r="A383" s="175">
        <v>34768</v>
      </c>
      <c r="B383" s="176">
        <v>7.57</v>
      </c>
      <c r="C383" s="176"/>
      <c r="D383" s="176"/>
      <c r="E383" s="179">
        <f t="shared" si="5"/>
        <v>1984</v>
      </c>
      <c r="F383" s="170">
        <v>30864</v>
      </c>
      <c r="G383" s="171">
        <v>13.36</v>
      </c>
      <c r="J383" s="170">
        <v>36868</v>
      </c>
      <c r="K383" s="171">
        <v>5.73</v>
      </c>
    </row>
    <row r="384" spans="1:11" x14ac:dyDescent="0.2">
      <c r="A384" s="175">
        <v>34771</v>
      </c>
      <c r="B384" s="176">
        <v>7.56</v>
      </c>
      <c r="C384" s="176"/>
      <c r="D384" s="176"/>
      <c r="E384" s="179">
        <f t="shared" si="5"/>
        <v>1984</v>
      </c>
      <c r="F384" s="170">
        <v>30895</v>
      </c>
      <c r="G384" s="171">
        <v>12.71</v>
      </c>
      <c r="J384" s="170">
        <v>36875</v>
      </c>
      <c r="K384" s="171">
        <v>5.65</v>
      </c>
    </row>
    <row r="385" spans="1:11" x14ac:dyDescent="0.2">
      <c r="A385" s="175">
        <v>34772</v>
      </c>
      <c r="B385" s="176">
        <v>7.45</v>
      </c>
      <c r="C385" s="176"/>
      <c r="D385" s="176"/>
      <c r="E385" s="179">
        <f t="shared" si="5"/>
        <v>1984</v>
      </c>
      <c r="F385" s="170">
        <v>30926</v>
      </c>
      <c r="G385" s="171">
        <v>12.42</v>
      </c>
      <c r="J385" s="170">
        <v>36882</v>
      </c>
      <c r="K385" s="171">
        <v>5.56</v>
      </c>
    </row>
    <row r="386" spans="1:11" x14ac:dyDescent="0.2">
      <c r="A386" s="175">
        <v>34773</v>
      </c>
      <c r="B386" s="176">
        <v>7.47</v>
      </c>
      <c r="C386" s="176"/>
      <c r="D386" s="176"/>
      <c r="E386" s="179">
        <f t="shared" si="5"/>
        <v>1984</v>
      </c>
      <c r="F386" s="170">
        <v>30956</v>
      </c>
      <c r="G386" s="171">
        <v>12.04</v>
      </c>
      <c r="J386" s="170">
        <v>36889</v>
      </c>
      <c r="K386" s="171">
        <v>5.58</v>
      </c>
    </row>
    <row r="387" spans="1:11" x14ac:dyDescent="0.2">
      <c r="A387" s="175">
        <v>34774</v>
      </c>
      <c r="B387" s="176">
        <v>7.45</v>
      </c>
      <c r="C387" s="176"/>
      <c r="D387" s="176"/>
      <c r="E387" s="179">
        <f t="shared" si="5"/>
        <v>1984</v>
      </c>
      <c r="F387" s="170">
        <v>30987</v>
      </c>
      <c r="G387" s="171">
        <v>11.66</v>
      </c>
      <c r="J387" s="170">
        <v>36896</v>
      </c>
      <c r="K387" s="171">
        <v>5.54</v>
      </c>
    </row>
    <row r="388" spans="1:11" x14ac:dyDescent="0.2">
      <c r="A388" s="175">
        <v>34775</v>
      </c>
      <c r="B388" s="176">
        <v>7.48</v>
      </c>
      <c r="C388" s="176"/>
      <c r="D388" s="176"/>
      <c r="E388" s="179">
        <f t="shared" si="5"/>
        <v>1984</v>
      </c>
      <c r="F388" s="170">
        <v>31017</v>
      </c>
      <c r="G388" s="171">
        <v>11.64</v>
      </c>
      <c r="J388" s="170">
        <v>36903</v>
      </c>
      <c r="K388" s="171">
        <v>5.61</v>
      </c>
    </row>
    <row r="389" spans="1:11" x14ac:dyDescent="0.2">
      <c r="A389" s="175">
        <v>34778</v>
      </c>
      <c r="B389" s="176">
        <v>7.52</v>
      </c>
      <c r="C389" s="176"/>
      <c r="D389" s="176"/>
      <c r="E389" s="179">
        <f t="shared" si="5"/>
        <v>1985</v>
      </c>
      <c r="F389" s="170">
        <v>31048</v>
      </c>
      <c r="G389" s="171">
        <v>11.58</v>
      </c>
      <c r="J389" s="170">
        <v>36910</v>
      </c>
      <c r="K389" s="171">
        <v>5.65</v>
      </c>
    </row>
    <row r="390" spans="1:11" x14ac:dyDescent="0.2">
      <c r="A390" s="175">
        <v>34779</v>
      </c>
      <c r="B390" s="176">
        <v>7.57</v>
      </c>
      <c r="C390" s="176"/>
      <c r="D390" s="176"/>
      <c r="E390" s="179">
        <f t="shared" si="5"/>
        <v>1985</v>
      </c>
      <c r="F390" s="170">
        <v>31079</v>
      </c>
      <c r="G390" s="171">
        <v>11.7</v>
      </c>
      <c r="J390" s="170">
        <v>36917</v>
      </c>
      <c r="K390" s="171">
        <v>5.75</v>
      </c>
    </row>
    <row r="391" spans="1:11" x14ac:dyDescent="0.2">
      <c r="A391" s="175">
        <v>34780</v>
      </c>
      <c r="B391" s="176">
        <v>7.58</v>
      </c>
      <c r="C391" s="176"/>
      <c r="D391" s="176"/>
      <c r="E391" s="179">
        <f t="shared" si="5"/>
        <v>1985</v>
      </c>
      <c r="F391" s="170">
        <v>31107</v>
      </c>
      <c r="G391" s="171">
        <v>12.06</v>
      </c>
      <c r="J391" s="170">
        <v>36924</v>
      </c>
      <c r="K391" s="171">
        <v>5.65</v>
      </c>
    </row>
    <row r="392" spans="1:11" x14ac:dyDescent="0.2">
      <c r="A392" s="175">
        <v>34781</v>
      </c>
      <c r="B392" s="176">
        <v>7.6</v>
      </c>
      <c r="C392" s="176"/>
      <c r="D392" s="176"/>
      <c r="E392" s="179">
        <f t="shared" si="5"/>
        <v>1985</v>
      </c>
      <c r="F392" s="170">
        <v>31138</v>
      </c>
      <c r="G392" s="171">
        <v>11.69</v>
      </c>
      <c r="J392" s="170">
        <v>36931</v>
      </c>
      <c r="K392" s="171">
        <v>5.59</v>
      </c>
    </row>
    <row r="393" spans="1:11" x14ac:dyDescent="0.2">
      <c r="A393" s="175">
        <v>34782</v>
      </c>
      <c r="B393" s="176">
        <v>7.5</v>
      </c>
      <c r="C393" s="176"/>
      <c r="D393" s="176"/>
      <c r="E393" s="179">
        <f t="shared" ref="E393:E456" si="6">YEAR(F393)</f>
        <v>1985</v>
      </c>
      <c r="F393" s="170">
        <v>31168</v>
      </c>
      <c r="G393" s="171">
        <v>11.19</v>
      </c>
      <c r="J393" s="170">
        <v>36938</v>
      </c>
      <c r="K393" s="171">
        <v>5.65</v>
      </c>
    </row>
    <row r="394" spans="1:11" x14ac:dyDescent="0.2">
      <c r="A394" s="175">
        <v>34785</v>
      </c>
      <c r="B394" s="176">
        <v>7.44</v>
      </c>
      <c r="C394" s="176"/>
      <c r="D394" s="176"/>
      <c r="E394" s="179">
        <f t="shared" si="6"/>
        <v>1985</v>
      </c>
      <c r="F394" s="170">
        <v>31199</v>
      </c>
      <c r="G394" s="171">
        <v>10.57</v>
      </c>
      <c r="J394" s="170">
        <v>36945</v>
      </c>
      <c r="K394" s="171">
        <v>5.69</v>
      </c>
    </row>
    <row r="395" spans="1:11" x14ac:dyDescent="0.2">
      <c r="A395" s="175">
        <v>34786</v>
      </c>
      <c r="B395" s="176">
        <v>7.52</v>
      </c>
      <c r="C395" s="176"/>
      <c r="D395" s="176"/>
      <c r="E395" s="179">
        <f t="shared" si="6"/>
        <v>1985</v>
      </c>
      <c r="F395" s="170">
        <v>31229</v>
      </c>
      <c r="G395" s="171">
        <v>10.68</v>
      </c>
      <c r="J395" s="170">
        <v>36952</v>
      </c>
      <c r="K395" s="171">
        <v>5.53</v>
      </c>
    </row>
    <row r="396" spans="1:11" x14ac:dyDescent="0.2">
      <c r="A396" s="175">
        <v>34787</v>
      </c>
      <c r="B396" s="176">
        <v>7.5</v>
      </c>
      <c r="C396" s="176"/>
      <c r="D396" s="176"/>
      <c r="E396" s="179">
        <f t="shared" si="6"/>
        <v>1985</v>
      </c>
      <c r="F396" s="170">
        <v>31260</v>
      </c>
      <c r="G396" s="171">
        <v>10.73</v>
      </c>
      <c r="J396" s="170">
        <v>36959</v>
      </c>
      <c r="K396" s="171">
        <v>5.52</v>
      </c>
    </row>
    <row r="397" spans="1:11" x14ac:dyDescent="0.2">
      <c r="A397" s="175">
        <v>34788</v>
      </c>
      <c r="B397" s="176">
        <v>7.54</v>
      </c>
      <c r="C397" s="176"/>
      <c r="D397" s="176"/>
      <c r="E397" s="179">
        <f t="shared" si="6"/>
        <v>1985</v>
      </c>
      <c r="F397" s="170">
        <v>31291</v>
      </c>
      <c r="G397" s="171">
        <v>10.8</v>
      </c>
      <c r="J397" s="170">
        <v>36966</v>
      </c>
      <c r="K397" s="171">
        <v>5.45</v>
      </c>
    </row>
    <row r="398" spans="1:11" x14ac:dyDescent="0.2">
      <c r="A398" s="175">
        <v>34789</v>
      </c>
      <c r="B398" s="176">
        <v>7.54</v>
      </c>
      <c r="C398" s="176"/>
      <c r="D398" s="176"/>
      <c r="E398" s="179">
        <f t="shared" si="6"/>
        <v>1985</v>
      </c>
      <c r="F398" s="170">
        <v>31321</v>
      </c>
      <c r="G398" s="171">
        <v>10.67</v>
      </c>
      <c r="J398" s="170">
        <v>36973</v>
      </c>
      <c r="K398" s="171">
        <v>5.42</v>
      </c>
    </row>
    <row r="399" spans="1:11" x14ac:dyDescent="0.2">
      <c r="A399" s="175">
        <v>34792</v>
      </c>
      <c r="B399" s="177">
        <v>7.49</v>
      </c>
      <c r="C399" s="177"/>
      <c r="D399" s="177"/>
      <c r="E399" s="179">
        <f t="shared" si="6"/>
        <v>1985</v>
      </c>
      <c r="F399" s="170">
        <v>31352</v>
      </c>
      <c r="G399" s="171">
        <v>10.24</v>
      </c>
      <c r="J399" s="170">
        <v>36980</v>
      </c>
      <c r="K399" s="171">
        <v>5.59</v>
      </c>
    </row>
    <row r="400" spans="1:11" x14ac:dyDescent="0.2">
      <c r="A400" s="175">
        <v>34793</v>
      </c>
      <c r="B400" s="176">
        <v>7.48</v>
      </c>
      <c r="C400" s="176"/>
      <c r="D400" s="176"/>
      <c r="E400" s="179">
        <f t="shared" si="6"/>
        <v>1985</v>
      </c>
      <c r="F400" s="170">
        <v>31382</v>
      </c>
      <c r="G400" s="171">
        <v>9.75</v>
      </c>
      <c r="J400" s="170">
        <v>36987</v>
      </c>
      <c r="K400" s="171">
        <v>5.62</v>
      </c>
    </row>
    <row r="401" spans="1:11" x14ac:dyDescent="0.2">
      <c r="A401" s="175">
        <v>34794</v>
      </c>
      <c r="B401" s="176">
        <v>7.48</v>
      </c>
      <c r="C401" s="176"/>
      <c r="D401" s="176"/>
      <c r="E401" s="179">
        <f t="shared" si="6"/>
        <v>1986</v>
      </c>
      <c r="F401" s="170">
        <v>31413</v>
      </c>
      <c r="G401" s="171">
        <v>9.59</v>
      </c>
      <c r="J401" s="170">
        <v>36994</v>
      </c>
      <c r="K401" s="171">
        <v>5.72</v>
      </c>
    </row>
    <row r="402" spans="1:11" x14ac:dyDescent="0.2">
      <c r="A402" s="175">
        <v>34795</v>
      </c>
      <c r="B402" s="176">
        <v>7.47</v>
      </c>
      <c r="C402" s="176"/>
      <c r="D402" s="176"/>
      <c r="E402" s="179">
        <f t="shared" si="6"/>
        <v>1986</v>
      </c>
      <c r="F402" s="170">
        <v>31444</v>
      </c>
      <c r="G402" s="171">
        <v>9.08</v>
      </c>
      <c r="J402" s="170">
        <v>37001</v>
      </c>
      <c r="K402" s="171">
        <v>5.86</v>
      </c>
    </row>
    <row r="403" spans="1:11" x14ac:dyDescent="0.2">
      <c r="A403" s="175">
        <v>34796</v>
      </c>
      <c r="B403" s="176">
        <v>7.5</v>
      </c>
      <c r="C403" s="176"/>
      <c r="D403" s="176"/>
      <c r="E403" s="179">
        <f t="shared" si="6"/>
        <v>1986</v>
      </c>
      <c r="F403" s="170">
        <v>31472</v>
      </c>
      <c r="G403" s="171">
        <v>8.09</v>
      </c>
      <c r="J403" s="170">
        <v>37008</v>
      </c>
      <c r="K403" s="171">
        <v>5.88</v>
      </c>
    </row>
    <row r="404" spans="1:11" x14ac:dyDescent="0.2">
      <c r="A404" s="175">
        <v>34799</v>
      </c>
      <c r="B404" s="177">
        <v>7.49</v>
      </c>
      <c r="C404" s="177"/>
      <c r="D404" s="177"/>
      <c r="E404" s="179">
        <f t="shared" si="6"/>
        <v>1986</v>
      </c>
      <c r="F404" s="170">
        <v>31503</v>
      </c>
      <c r="G404" s="171">
        <v>7.5</v>
      </c>
      <c r="J404" s="170">
        <v>37015</v>
      </c>
      <c r="K404" s="171">
        <v>5.83</v>
      </c>
    </row>
    <row r="405" spans="1:11" x14ac:dyDescent="0.2">
      <c r="A405" s="175">
        <v>34800</v>
      </c>
      <c r="B405" s="176">
        <v>7.47</v>
      </c>
      <c r="C405" s="176"/>
      <c r="D405" s="176"/>
      <c r="E405" s="179">
        <f t="shared" si="6"/>
        <v>1986</v>
      </c>
      <c r="F405" s="170">
        <v>31533</v>
      </c>
      <c r="G405" s="171">
        <v>7.81</v>
      </c>
      <c r="J405" s="170">
        <v>37022</v>
      </c>
      <c r="K405" s="171">
        <v>5.85</v>
      </c>
    </row>
    <row r="406" spans="1:11" x14ac:dyDescent="0.2">
      <c r="A406" s="175">
        <v>34801</v>
      </c>
      <c r="B406" s="176">
        <v>7.46</v>
      </c>
      <c r="C406" s="176"/>
      <c r="D406" s="176"/>
      <c r="E406" s="179">
        <f t="shared" si="6"/>
        <v>1986</v>
      </c>
      <c r="F406" s="170">
        <v>31564</v>
      </c>
      <c r="G406" s="171">
        <v>7.69</v>
      </c>
      <c r="J406" s="170">
        <v>37029</v>
      </c>
      <c r="K406" s="171">
        <v>5.98</v>
      </c>
    </row>
    <row r="407" spans="1:11" x14ac:dyDescent="0.2">
      <c r="A407" s="175">
        <v>34802</v>
      </c>
      <c r="B407" s="176">
        <v>7.42</v>
      </c>
      <c r="C407" s="176"/>
      <c r="D407" s="176"/>
      <c r="E407" s="179">
        <f t="shared" si="6"/>
        <v>1986</v>
      </c>
      <c r="F407" s="170">
        <v>31594</v>
      </c>
      <c r="G407" s="171">
        <v>7.29</v>
      </c>
      <c r="J407" s="170">
        <v>37036</v>
      </c>
      <c r="K407" s="171">
        <v>5.98</v>
      </c>
    </row>
    <row r="408" spans="1:11" x14ac:dyDescent="0.2">
      <c r="A408" s="175">
        <v>34803</v>
      </c>
      <c r="B408" s="176" t="e">
        <f>NA()</f>
        <v>#N/A</v>
      </c>
      <c r="C408" s="176"/>
      <c r="D408" s="176"/>
      <c r="E408" s="179">
        <f t="shared" si="6"/>
        <v>1986</v>
      </c>
      <c r="F408" s="170">
        <v>31625</v>
      </c>
      <c r="G408" s="171">
        <v>7.28</v>
      </c>
      <c r="J408" s="170">
        <v>37043</v>
      </c>
      <c r="K408" s="171">
        <v>5.98</v>
      </c>
    </row>
    <row r="409" spans="1:11" x14ac:dyDescent="0.2">
      <c r="A409" s="175">
        <v>34806</v>
      </c>
      <c r="B409" s="176">
        <v>7.48</v>
      </c>
      <c r="C409" s="176"/>
      <c r="D409" s="176"/>
      <c r="E409" s="179">
        <f t="shared" si="6"/>
        <v>1986</v>
      </c>
      <c r="F409" s="170">
        <v>31656</v>
      </c>
      <c r="G409" s="171">
        <v>7.56</v>
      </c>
      <c r="J409" s="170">
        <v>37050</v>
      </c>
      <c r="K409" s="171">
        <v>5.87</v>
      </c>
    </row>
    <row r="410" spans="1:11" x14ac:dyDescent="0.2">
      <c r="A410" s="175">
        <v>34807</v>
      </c>
      <c r="B410" s="176">
        <v>7.49</v>
      </c>
      <c r="C410" s="176"/>
      <c r="D410" s="176"/>
      <c r="E410" s="179">
        <f t="shared" si="6"/>
        <v>1986</v>
      </c>
      <c r="F410" s="170">
        <v>31686</v>
      </c>
      <c r="G410" s="171">
        <v>7.61</v>
      </c>
      <c r="J410" s="170">
        <v>37057</v>
      </c>
      <c r="K410" s="171">
        <v>5.82</v>
      </c>
    </row>
    <row r="411" spans="1:11" x14ac:dyDescent="0.2">
      <c r="A411" s="175">
        <v>34808</v>
      </c>
      <c r="B411" s="176">
        <v>7.46</v>
      </c>
      <c r="C411" s="176"/>
      <c r="D411" s="176"/>
      <c r="E411" s="179">
        <f t="shared" si="6"/>
        <v>1986</v>
      </c>
      <c r="F411" s="170">
        <v>31717</v>
      </c>
      <c r="G411" s="171">
        <v>7.42</v>
      </c>
      <c r="J411" s="170">
        <v>37064</v>
      </c>
      <c r="K411" s="171">
        <v>5.79</v>
      </c>
    </row>
    <row r="412" spans="1:11" x14ac:dyDescent="0.2">
      <c r="A412" s="175">
        <v>34809</v>
      </c>
      <c r="B412" s="176">
        <v>7.43</v>
      </c>
      <c r="C412" s="176"/>
      <c r="D412" s="176"/>
      <c r="E412" s="179">
        <f t="shared" si="6"/>
        <v>1986</v>
      </c>
      <c r="F412" s="170">
        <v>31747</v>
      </c>
      <c r="G412" s="171">
        <v>7.28</v>
      </c>
      <c r="J412" s="170">
        <v>37071</v>
      </c>
      <c r="K412" s="171">
        <v>5.81</v>
      </c>
    </row>
    <row r="413" spans="1:11" x14ac:dyDescent="0.2">
      <c r="A413" s="175">
        <v>34810</v>
      </c>
      <c r="B413" s="176">
        <v>7.42</v>
      </c>
      <c r="C413" s="176"/>
      <c r="D413" s="176"/>
      <c r="E413" s="179">
        <f t="shared" si="6"/>
        <v>1987</v>
      </c>
      <c r="F413" s="170">
        <v>31778</v>
      </c>
      <c r="G413" s="171" t="e">
        <f>NA()</f>
        <v>#N/A</v>
      </c>
      <c r="J413" s="170">
        <v>37078</v>
      </c>
      <c r="K413" s="171">
        <v>5.91</v>
      </c>
    </row>
    <row r="414" spans="1:11" x14ac:dyDescent="0.2">
      <c r="A414" s="175">
        <v>34813</v>
      </c>
      <c r="B414" s="177">
        <v>7.39</v>
      </c>
      <c r="C414" s="177"/>
      <c r="D414" s="177"/>
      <c r="E414" s="179">
        <f t="shared" si="6"/>
        <v>1987</v>
      </c>
      <c r="F414" s="170">
        <v>31809</v>
      </c>
      <c r="G414" s="171" t="e">
        <f>NA()</f>
        <v>#N/A</v>
      </c>
      <c r="J414" s="170">
        <v>37085</v>
      </c>
      <c r="K414" s="171">
        <v>5.83</v>
      </c>
    </row>
    <row r="415" spans="1:11" x14ac:dyDescent="0.2">
      <c r="A415" s="175">
        <v>34814</v>
      </c>
      <c r="B415" s="176">
        <v>7.41</v>
      </c>
      <c r="C415" s="176"/>
      <c r="D415" s="176"/>
      <c r="E415" s="179">
        <f t="shared" si="6"/>
        <v>1987</v>
      </c>
      <c r="F415" s="170">
        <v>31837</v>
      </c>
      <c r="G415" s="171" t="e">
        <f>NA()</f>
        <v>#N/A</v>
      </c>
      <c r="J415" s="170">
        <v>37092</v>
      </c>
      <c r="K415" s="171">
        <v>5.69</v>
      </c>
    </row>
    <row r="416" spans="1:11" x14ac:dyDescent="0.2">
      <c r="A416" s="175">
        <v>34815</v>
      </c>
      <c r="B416" s="176">
        <v>7.4</v>
      </c>
      <c r="C416" s="176"/>
      <c r="D416" s="176"/>
      <c r="E416" s="179">
        <f t="shared" si="6"/>
        <v>1987</v>
      </c>
      <c r="F416" s="170">
        <v>31868</v>
      </c>
      <c r="G416" s="171" t="e">
        <f>NA()</f>
        <v>#N/A</v>
      </c>
      <c r="J416" s="170">
        <v>37099</v>
      </c>
      <c r="K416" s="171">
        <v>5.67</v>
      </c>
    </row>
    <row r="417" spans="1:11" x14ac:dyDescent="0.2">
      <c r="A417" s="175">
        <v>34816</v>
      </c>
      <c r="B417" s="176">
        <v>7.42</v>
      </c>
      <c r="C417" s="176"/>
      <c r="D417" s="176"/>
      <c r="E417" s="179">
        <f t="shared" si="6"/>
        <v>1987</v>
      </c>
      <c r="F417" s="170">
        <v>31898</v>
      </c>
      <c r="G417" s="171" t="e">
        <f>NA()</f>
        <v>#N/A</v>
      </c>
      <c r="J417" s="170">
        <v>37106</v>
      </c>
      <c r="K417" s="171">
        <v>5.65</v>
      </c>
    </row>
    <row r="418" spans="1:11" x14ac:dyDescent="0.2">
      <c r="A418" s="175">
        <v>34817</v>
      </c>
      <c r="B418" s="176">
        <v>7.42</v>
      </c>
      <c r="C418" s="176"/>
      <c r="D418" s="176"/>
      <c r="E418" s="179">
        <f t="shared" si="6"/>
        <v>1987</v>
      </c>
      <c r="F418" s="170">
        <v>31929</v>
      </c>
      <c r="G418" s="171" t="e">
        <f>NA()</f>
        <v>#N/A</v>
      </c>
      <c r="J418" s="170">
        <v>37113</v>
      </c>
      <c r="K418" s="171">
        <v>5.65</v>
      </c>
    </row>
    <row r="419" spans="1:11" x14ac:dyDescent="0.2">
      <c r="A419" s="175">
        <v>34820</v>
      </c>
      <c r="B419" s="176">
        <v>7.43</v>
      </c>
      <c r="C419" s="176"/>
      <c r="D419" s="176"/>
      <c r="E419" s="179">
        <f t="shared" si="6"/>
        <v>1987</v>
      </c>
      <c r="F419" s="170">
        <v>31959</v>
      </c>
      <c r="G419" s="171" t="e">
        <f>NA()</f>
        <v>#N/A</v>
      </c>
      <c r="J419" s="170">
        <v>37120</v>
      </c>
      <c r="K419" s="171">
        <v>5.58</v>
      </c>
    </row>
    <row r="420" spans="1:11" x14ac:dyDescent="0.2">
      <c r="A420" s="175">
        <v>34821</v>
      </c>
      <c r="B420" s="176">
        <v>7.41</v>
      </c>
      <c r="C420" s="176"/>
      <c r="D420" s="176"/>
      <c r="E420" s="179">
        <f t="shared" si="6"/>
        <v>1987</v>
      </c>
      <c r="F420" s="170">
        <v>31990</v>
      </c>
      <c r="G420" s="171" t="e">
        <f>NA()</f>
        <v>#N/A</v>
      </c>
      <c r="J420" s="170">
        <v>37127</v>
      </c>
      <c r="K420" s="171">
        <v>5.53</v>
      </c>
    </row>
    <row r="421" spans="1:11" x14ac:dyDescent="0.2">
      <c r="A421" s="175">
        <v>34822</v>
      </c>
      <c r="B421" s="176">
        <v>7.32</v>
      </c>
      <c r="C421" s="176"/>
      <c r="D421" s="176"/>
      <c r="E421" s="179">
        <f t="shared" si="6"/>
        <v>1987</v>
      </c>
      <c r="F421" s="170">
        <v>32021</v>
      </c>
      <c r="G421" s="171" t="e">
        <f>NA()</f>
        <v>#N/A</v>
      </c>
      <c r="J421" s="170">
        <v>37134</v>
      </c>
      <c r="K421" s="171">
        <v>5.48</v>
      </c>
    </row>
    <row r="422" spans="1:11" x14ac:dyDescent="0.2">
      <c r="A422" s="175">
        <v>34823</v>
      </c>
      <c r="B422" s="176">
        <v>7.22</v>
      </c>
      <c r="C422" s="176"/>
      <c r="D422" s="176"/>
      <c r="E422" s="179">
        <f t="shared" si="6"/>
        <v>1987</v>
      </c>
      <c r="F422" s="170">
        <v>32051</v>
      </c>
      <c r="G422" s="171" t="e">
        <f>NA()</f>
        <v>#N/A</v>
      </c>
      <c r="J422" s="170">
        <v>37141</v>
      </c>
      <c r="K422" s="171">
        <v>5.53</v>
      </c>
    </row>
    <row r="423" spans="1:11" x14ac:dyDescent="0.2">
      <c r="A423" s="175">
        <v>34824</v>
      </c>
      <c r="B423" s="176">
        <v>7.07</v>
      </c>
      <c r="C423" s="176"/>
      <c r="D423" s="176"/>
      <c r="E423" s="179">
        <f t="shared" si="6"/>
        <v>1987</v>
      </c>
      <c r="F423" s="170">
        <v>32082</v>
      </c>
      <c r="G423" s="171" t="e">
        <f>NA()</f>
        <v>#N/A</v>
      </c>
      <c r="J423" s="170">
        <v>37148</v>
      </c>
      <c r="K423" s="171">
        <v>5.43</v>
      </c>
    </row>
    <row r="424" spans="1:11" x14ac:dyDescent="0.2">
      <c r="A424" s="175">
        <v>34827</v>
      </c>
      <c r="B424" s="176">
        <v>7.08</v>
      </c>
      <c r="C424" s="176"/>
      <c r="D424" s="176"/>
      <c r="E424" s="179">
        <f t="shared" si="6"/>
        <v>1987</v>
      </c>
      <c r="F424" s="170">
        <v>32112</v>
      </c>
      <c r="G424" s="171" t="e">
        <f>NA()</f>
        <v>#N/A</v>
      </c>
      <c r="J424" s="170">
        <v>37155</v>
      </c>
      <c r="K424" s="171">
        <v>5.58</v>
      </c>
    </row>
    <row r="425" spans="1:11" x14ac:dyDescent="0.2">
      <c r="A425" s="175">
        <v>34828</v>
      </c>
      <c r="B425" s="176">
        <v>6.99</v>
      </c>
      <c r="C425" s="176"/>
      <c r="D425" s="176"/>
      <c r="E425" s="179">
        <f t="shared" si="6"/>
        <v>1988</v>
      </c>
      <c r="F425" s="170">
        <v>32143</v>
      </c>
      <c r="G425" s="171" t="e">
        <f>NA()</f>
        <v>#N/A</v>
      </c>
      <c r="J425" s="170">
        <v>37162</v>
      </c>
      <c r="K425" s="171">
        <v>5.53</v>
      </c>
    </row>
    <row r="426" spans="1:11" x14ac:dyDescent="0.2">
      <c r="A426" s="175">
        <v>34829</v>
      </c>
      <c r="B426" s="176">
        <v>7.04</v>
      </c>
      <c r="C426" s="176"/>
      <c r="D426" s="176"/>
      <c r="E426" s="179">
        <f t="shared" si="6"/>
        <v>1988</v>
      </c>
      <c r="F426" s="170">
        <v>32174</v>
      </c>
      <c r="G426" s="171" t="e">
        <f>NA()</f>
        <v>#N/A</v>
      </c>
      <c r="J426" s="170">
        <v>37169</v>
      </c>
      <c r="K426" s="171">
        <v>5.35</v>
      </c>
    </row>
    <row r="427" spans="1:11" x14ac:dyDescent="0.2">
      <c r="A427" s="175">
        <v>34830</v>
      </c>
      <c r="B427" s="176">
        <v>7.05</v>
      </c>
      <c r="C427" s="176"/>
      <c r="D427" s="176"/>
      <c r="E427" s="179">
        <f t="shared" si="6"/>
        <v>1988</v>
      </c>
      <c r="F427" s="170">
        <v>32203</v>
      </c>
      <c r="G427" s="171" t="e">
        <f>NA()</f>
        <v>#N/A</v>
      </c>
      <c r="J427" s="170">
        <v>37176</v>
      </c>
      <c r="K427" s="171">
        <v>5.43</v>
      </c>
    </row>
    <row r="428" spans="1:11" x14ac:dyDescent="0.2">
      <c r="A428" s="175">
        <v>34831</v>
      </c>
      <c r="B428" s="176">
        <v>7.05</v>
      </c>
      <c r="C428" s="176"/>
      <c r="D428" s="176"/>
      <c r="E428" s="179">
        <f t="shared" si="6"/>
        <v>1988</v>
      </c>
      <c r="F428" s="170">
        <v>32234</v>
      </c>
      <c r="G428" s="171" t="e">
        <f>NA()</f>
        <v>#N/A</v>
      </c>
      <c r="J428" s="170">
        <v>37183</v>
      </c>
      <c r="K428" s="171">
        <v>5.37</v>
      </c>
    </row>
    <row r="429" spans="1:11" x14ac:dyDescent="0.2">
      <c r="A429" s="175">
        <v>34834</v>
      </c>
      <c r="B429" s="176">
        <v>7</v>
      </c>
      <c r="C429" s="176"/>
      <c r="D429" s="176"/>
      <c r="E429" s="179">
        <f t="shared" si="6"/>
        <v>1988</v>
      </c>
      <c r="F429" s="170">
        <v>32264</v>
      </c>
      <c r="G429" s="171" t="e">
        <f>NA()</f>
        <v>#N/A</v>
      </c>
      <c r="J429" s="170">
        <v>37190</v>
      </c>
      <c r="K429" s="171">
        <v>5.33</v>
      </c>
    </row>
    <row r="430" spans="1:11" x14ac:dyDescent="0.2">
      <c r="A430" s="175">
        <v>34835</v>
      </c>
      <c r="B430" s="176">
        <v>6.92</v>
      </c>
      <c r="C430" s="176"/>
      <c r="D430" s="176"/>
      <c r="E430" s="179">
        <f t="shared" si="6"/>
        <v>1988</v>
      </c>
      <c r="F430" s="170">
        <v>32295</v>
      </c>
      <c r="G430" s="171" t="e">
        <f>NA()</f>
        <v>#N/A</v>
      </c>
      <c r="J430" s="170">
        <v>37197</v>
      </c>
      <c r="K430" s="171">
        <v>5.13</v>
      </c>
    </row>
    <row r="431" spans="1:11" x14ac:dyDescent="0.2">
      <c r="A431" s="175">
        <v>34836</v>
      </c>
      <c r="B431" s="176">
        <v>6.91</v>
      </c>
      <c r="C431" s="176"/>
      <c r="D431" s="176"/>
      <c r="E431" s="179">
        <f t="shared" si="6"/>
        <v>1988</v>
      </c>
      <c r="F431" s="170">
        <v>32325</v>
      </c>
      <c r="G431" s="171" t="e">
        <f>NA()</f>
        <v>#N/A</v>
      </c>
      <c r="J431" s="170">
        <v>37204</v>
      </c>
      <c r="K431" s="171">
        <v>5.03</v>
      </c>
    </row>
    <row r="432" spans="1:11" x14ac:dyDescent="0.2">
      <c r="A432" s="175">
        <v>34837</v>
      </c>
      <c r="B432" s="176">
        <v>6.96</v>
      </c>
      <c r="C432" s="176"/>
      <c r="D432" s="176"/>
      <c r="E432" s="179">
        <f t="shared" si="6"/>
        <v>1988</v>
      </c>
      <c r="F432" s="170">
        <v>32356</v>
      </c>
      <c r="G432" s="171" t="e">
        <f>NA()</f>
        <v>#N/A</v>
      </c>
      <c r="J432" s="170">
        <v>37211</v>
      </c>
      <c r="K432" s="171">
        <v>5.31</v>
      </c>
    </row>
    <row r="433" spans="1:11" x14ac:dyDescent="0.2">
      <c r="A433" s="175">
        <v>34838</v>
      </c>
      <c r="B433" s="176">
        <v>6.96</v>
      </c>
      <c r="C433" s="176"/>
      <c r="D433" s="176"/>
      <c r="E433" s="179">
        <f t="shared" si="6"/>
        <v>1988</v>
      </c>
      <c r="F433" s="170">
        <v>32387</v>
      </c>
      <c r="G433" s="171" t="e">
        <f>NA()</f>
        <v>#N/A</v>
      </c>
      <c r="J433" s="170">
        <v>37218</v>
      </c>
      <c r="K433" s="171">
        <v>5.54</v>
      </c>
    </row>
    <row r="434" spans="1:11" x14ac:dyDescent="0.2">
      <c r="A434" s="175">
        <v>34841</v>
      </c>
      <c r="B434" s="176">
        <v>6.98</v>
      </c>
      <c r="C434" s="176"/>
      <c r="D434" s="176"/>
      <c r="E434" s="179">
        <f t="shared" si="6"/>
        <v>1988</v>
      </c>
      <c r="F434" s="170">
        <v>32417</v>
      </c>
      <c r="G434" s="171" t="e">
        <f>NA()</f>
        <v>#N/A</v>
      </c>
      <c r="J434" s="170">
        <v>37225</v>
      </c>
      <c r="K434" s="171">
        <v>5.6</v>
      </c>
    </row>
    <row r="435" spans="1:11" x14ac:dyDescent="0.2">
      <c r="A435" s="175">
        <v>34842</v>
      </c>
      <c r="B435" s="176">
        <v>6.93</v>
      </c>
      <c r="C435" s="176"/>
      <c r="D435" s="176"/>
      <c r="E435" s="179">
        <f t="shared" si="6"/>
        <v>1988</v>
      </c>
      <c r="F435" s="170">
        <v>32448</v>
      </c>
      <c r="G435" s="171" t="e">
        <f>NA()</f>
        <v>#N/A</v>
      </c>
      <c r="J435" s="170">
        <v>37232</v>
      </c>
      <c r="K435" s="171">
        <v>5.63</v>
      </c>
    </row>
    <row r="436" spans="1:11" x14ac:dyDescent="0.2">
      <c r="A436" s="175">
        <v>34843</v>
      </c>
      <c r="B436" s="176">
        <v>6.81</v>
      </c>
      <c r="C436" s="176"/>
      <c r="D436" s="176"/>
      <c r="E436" s="179">
        <f t="shared" si="6"/>
        <v>1988</v>
      </c>
      <c r="F436" s="170">
        <v>32478</v>
      </c>
      <c r="G436" s="171" t="e">
        <f>NA()</f>
        <v>#N/A</v>
      </c>
      <c r="J436" s="170">
        <v>37239</v>
      </c>
      <c r="K436" s="171">
        <v>5.83</v>
      </c>
    </row>
    <row r="437" spans="1:11" x14ac:dyDescent="0.2">
      <c r="A437" s="175">
        <v>34844</v>
      </c>
      <c r="B437" s="176">
        <v>6.78</v>
      </c>
      <c r="C437" s="176"/>
      <c r="D437" s="176"/>
      <c r="E437" s="179">
        <f t="shared" si="6"/>
        <v>1989</v>
      </c>
      <c r="F437" s="170">
        <v>32509</v>
      </c>
      <c r="G437" s="171" t="e">
        <f>NA()</f>
        <v>#N/A</v>
      </c>
      <c r="J437" s="170">
        <v>37246</v>
      </c>
      <c r="K437" s="171">
        <v>5.79</v>
      </c>
    </row>
    <row r="438" spans="1:11" x14ac:dyDescent="0.2">
      <c r="A438" s="175">
        <v>34845</v>
      </c>
      <c r="B438" s="176">
        <v>6.8</v>
      </c>
      <c r="C438" s="176"/>
      <c r="D438" s="176"/>
      <c r="E438" s="179">
        <f t="shared" si="6"/>
        <v>1989</v>
      </c>
      <c r="F438" s="170">
        <v>32540</v>
      </c>
      <c r="G438" s="171" t="e">
        <f>NA()</f>
        <v>#N/A</v>
      </c>
      <c r="J438" s="170">
        <v>37253</v>
      </c>
      <c r="K438" s="171">
        <v>5.81</v>
      </c>
    </row>
    <row r="439" spans="1:11" x14ac:dyDescent="0.2">
      <c r="A439" s="175">
        <v>34848</v>
      </c>
      <c r="B439" s="177" t="e">
        <f>NA()</f>
        <v>#N/A</v>
      </c>
      <c r="C439" s="177"/>
      <c r="D439" s="177"/>
      <c r="E439" s="179">
        <f t="shared" si="6"/>
        <v>1989</v>
      </c>
      <c r="F439" s="170">
        <v>32568</v>
      </c>
      <c r="G439" s="171" t="e">
        <f>NA()</f>
        <v>#N/A</v>
      </c>
      <c r="J439" s="170">
        <v>37260</v>
      </c>
      <c r="K439" s="171">
        <v>5.83</v>
      </c>
    </row>
    <row r="440" spans="1:11" x14ac:dyDescent="0.2">
      <c r="A440" s="175">
        <v>34849</v>
      </c>
      <c r="B440" s="176">
        <v>6.72</v>
      </c>
      <c r="C440" s="176"/>
      <c r="D440" s="176"/>
      <c r="E440" s="179">
        <f t="shared" si="6"/>
        <v>1989</v>
      </c>
      <c r="F440" s="170">
        <v>32599</v>
      </c>
      <c r="G440" s="171" t="e">
        <f>NA()</f>
        <v>#N/A</v>
      </c>
      <c r="J440" s="170">
        <v>37267</v>
      </c>
      <c r="K440" s="171">
        <v>5.71</v>
      </c>
    </row>
    <row r="441" spans="1:11" x14ac:dyDescent="0.2">
      <c r="A441" s="175">
        <v>34850</v>
      </c>
      <c r="B441" s="176">
        <v>6.72</v>
      </c>
      <c r="C441" s="176"/>
      <c r="D441" s="176"/>
      <c r="E441" s="179">
        <f t="shared" si="6"/>
        <v>1989</v>
      </c>
      <c r="F441" s="170">
        <v>32629</v>
      </c>
      <c r="G441" s="171" t="e">
        <f>NA()</f>
        <v>#N/A</v>
      </c>
      <c r="J441" s="170">
        <v>37274</v>
      </c>
      <c r="K441" s="171">
        <v>5.6</v>
      </c>
    </row>
    <row r="442" spans="1:11" x14ac:dyDescent="0.2">
      <c r="A442" s="175">
        <v>34851</v>
      </c>
      <c r="B442" s="176">
        <v>6.64</v>
      </c>
      <c r="C442" s="176"/>
      <c r="D442" s="176"/>
      <c r="E442" s="179">
        <f t="shared" si="6"/>
        <v>1989</v>
      </c>
      <c r="F442" s="170">
        <v>32660</v>
      </c>
      <c r="G442" s="171" t="e">
        <f>NA()</f>
        <v>#N/A</v>
      </c>
      <c r="J442" s="170">
        <v>37281</v>
      </c>
      <c r="K442" s="171">
        <v>5.7</v>
      </c>
    </row>
    <row r="443" spans="1:11" x14ac:dyDescent="0.2">
      <c r="A443" s="175">
        <v>34852</v>
      </c>
      <c r="B443" s="176">
        <v>6.55</v>
      </c>
      <c r="C443" s="176"/>
      <c r="D443" s="176"/>
      <c r="E443" s="179">
        <f t="shared" si="6"/>
        <v>1989</v>
      </c>
      <c r="F443" s="170">
        <v>32690</v>
      </c>
      <c r="G443" s="171" t="e">
        <f>NA()</f>
        <v>#N/A</v>
      </c>
      <c r="J443" s="170">
        <v>37288</v>
      </c>
      <c r="K443" s="171">
        <v>5.66</v>
      </c>
    </row>
    <row r="444" spans="1:11" x14ac:dyDescent="0.2">
      <c r="A444" s="175">
        <v>34855</v>
      </c>
      <c r="B444" s="176">
        <v>6.54</v>
      </c>
      <c r="C444" s="176"/>
      <c r="D444" s="176"/>
      <c r="E444" s="179">
        <f t="shared" si="6"/>
        <v>1989</v>
      </c>
      <c r="F444" s="170">
        <v>32721</v>
      </c>
      <c r="G444" s="171" t="e">
        <f>NA()</f>
        <v>#N/A</v>
      </c>
      <c r="J444" s="170">
        <v>37295</v>
      </c>
      <c r="K444" s="171">
        <v>5.6</v>
      </c>
    </row>
    <row r="445" spans="1:11" x14ac:dyDescent="0.2">
      <c r="A445" s="175">
        <v>34856</v>
      </c>
      <c r="B445" s="176">
        <v>6.54</v>
      </c>
      <c r="C445" s="176"/>
      <c r="D445" s="176"/>
      <c r="E445" s="179">
        <f t="shared" si="6"/>
        <v>1989</v>
      </c>
      <c r="F445" s="170">
        <v>32752</v>
      </c>
      <c r="G445" s="171" t="e">
        <f>NA()</f>
        <v>#N/A</v>
      </c>
      <c r="J445" s="170">
        <v>37302</v>
      </c>
      <c r="K445" s="171">
        <v>5.65</v>
      </c>
    </row>
    <row r="446" spans="1:11" x14ac:dyDescent="0.2">
      <c r="A446" s="175">
        <v>34857</v>
      </c>
      <c r="B446" s="176">
        <v>6.56</v>
      </c>
      <c r="C446" s="176"/>
      <c r="D446" s="176"/>
      <c r="E446" s="179">
        <f t="shared" si="6"/>
        <v>1989</v>
      </c>
      <c r="F446" s="170">
        <v>32782</v>
      </c>
      <c r="G446" s="171" t="e">
        <f>NA()</f>
        <v>#N/A</v>
      </c>
      <c r="J446" s="170">
        <v>37309</v>
      </c>
      <c r="K446" s="171">
        <v>5.59</v>
      </c>
    </row>
    <row r="447" spans="1:11" x14ac:dyDescent="0.2">
      <c r="A447" s="175">
        <v>34858</v>
      </c>
      <c r="B447" s="176">
        <v>6.59</v>
      </c>
      <c r="C447" s="176"/>
      <c r="D447" s="176"/>
      <c r="E447" s="179">
        <f t="shared" si="6"/>
        <v>1989</v>
      </c>
      <c r="F447" s="170">
        <v>32813</v>
      </c>
      <c r="G447" s="171" t="e">
        <f>NA()</f>
        <v>#N/A</v>
      </c>
      <c r="J447" s="170">
        <v>37316</v>
      </c>
      <c r="K447" s="171">
        <v>5.61</v>
      </c>
    </row>
    <row r="448" spans="1:11" x14ac:dyDescent="0.2">
      <c r="A448" s="175">
        <v>34859</v>
      </c>
      <c r="B448" s="176">
        <v>6.76</v>
      </c>
      <c r="C448" s="176"/>
      <c r="D448" s="176"/>
      <c r="E448" s="179">
        <f t="shared" si="6"/>
        <v>1989</v>
      </c>
      <c r="F448" s="170">
        <v>32843</v>
      </c>
      <c r="G448" s="171" t="e">
        <f>NA()</f>
        <v>#N/A</v>
      </c>
      <c r="J448" s="170">
        <v>37323</v>
      </c>
      <c r="K448" s="171">
        <v>5.8</v>
      </c>
    </row>
    <row r="449" spans="1:11" x14ac:dyDescent="0.2">
      <c r="A449" s="175">
        <v>34862</v>
      </c>
      <c r="B449" s="176">
        <v>6.76</v>
      </c>
      <c r="C449" s="176"/>
      <c r="D449" s="176"/>
      <c r="E449" s="179">
        <f t="shared" si="6"/>
        <v>1990</v>
      </c>
      <c r="F449" s="170">
        <v>32874</v>
      </c>
      <c r="G449" s="171" t="e">
        <f>NA()</f>
        <v>#N/A</v>
      </c>
      <c r="J449" s="170">
        <v>37330</v>
      </c>
      <c r="K449" s="171">
        <v>5.98</v>
      </c>
    </row>
    <row r="450" spans="1:11" x14ac:dyDescent="0.2">
      <c r="A450" s="175">
        <v>34863</v>
      </c>
      <c r="B450" s="176">
        <v>6.58</v>
      </c>
      <c r="C450" s="176"/>
      <c r="D450" s="176"/>
      <c r="E450" s="179">
        <f t="shared" si="6"/>
        <v>1990</v>
      </c>
      <c r="F450" s="170">
        <v>32905</v>
      </c>
      <c r="G450" s="171" t="e">
        <f>NA()</f>
        <v>#N/A</v>
      </c>
      <c r="J450" s="170">
        <v>37337</v>
      </c>
      <c r="K450" s="171">
        <v>6</v>
      </c>
    </row>
    <row r="451" spans="1:11" x14ac:dyDescent="0.2">
      <c r="A451" s="175">
        <v>34864</v>
      </c>
      <c r="B451" s="176">
        <v>6.59</v>
      </c>
      <c r="C451" s="176"/>
      <c r="D451" s="176"/>
      <c r="E451" s="179">
        <f t="shared" si="6"/>
        <v>1990</v>
      </c>
      <c r="F451" s="170">
        <v>32933</v>
      </c>
      <c r="G451" s="171" t="e">
        <f>NA()</f>
        <v>#N/A</v>
      </c>
      <c r="J451" s="170">
        <v>37344</v>
      </c>
      <c r="K451" s="171">
        <v>6</v>
      </c>
    </row>
    <row r="452" spans="1:11" x14ac:dyDescent="0.2">
      <c r="A452" s="175">
        <v>34865</v>
      </c>
      <c r="B452" s="176">
        <v>6.64</v>
      </c>
      <c r="C452" s="176"/>
      <c r="D452" s="176"/>
      <c r="E452" s="179">
        <f t="shared" si="6"/>
        <v>1990</v>
      </c>
      <c r="F452" s="170">
        <v>32964</v>
      </c>
      <c r="G452" s="171" t="e">
        <f>NA()</f>
        <v>#N/A</v>
      </c>
      <c r="J452" s="170">
        <v>37351</v>
      </c>
      <c r="K452" s="171">
        <v>5.93</v>
      </c>
    </row>
    <row r="453" spans="1:11" x14ac:dyDescent="0.2">
      <c r="A453" s="175">
        <v>34866</v>
      </c>
      <c r="B453" s="176">
        <v>6.64</v>
      </c>
      <c r="C453" s="176"/>
      <c r="D453" s="176"/>
      <c r="E453" s="179">
        <f t="shared" si="6"/>
        <v>1990</v>
      </c>
      <c r="F453" s="170">
        <v>32994</v>
      </c>
      <c r="G453" s="171" t="e">
        <f>NA()</f>
        <v>#N/A</v>
      </c>
      <c r="J453" s="170">
        <v>37358</v>
      </c>
      <c r="K453" s="171">
        <v>5.85</v>
      </c>
    </row>
    <row r="454" spans="1:11" x14ac:dyDescent="0.2">
      <c r="A454" s="175">
        <v>34869</v>
      </c>
      <c r="B454" s="176">
        <v>6.59</v>
      </c>
      <c r="C454" s="176"/>
      <c r="D454" s="176"/>
      <c r="E454" s="179">
        <f t="shared" si="6"/>
        <v>1990</v>
      </c>
      <c r="F454" s="170">
        <v>33025</v>
      </c>
      <c r="G454" s="171" t="e">
        <f>NA()</f>
        <v>#N/A</v>
      </c>
      <c r="J454" s="170">
        <v>37365</v>
      </c>
      <c r="K454" s="171">
        <v>5.85</v>
      </c>
    </row>
    <row r="455" spans="1:11" x14ac:dyDescent="0.2">
      <c r="A455" s="175">
        <v>34870</v>
      </c>
      <c r="B455" s="176">
        <v>6.58</v>
      </c>
      <c r="C455" s="176"/>
      <c r="D455" s="176"/>
      <c r="E455" s="179">
        <f t="shared" si="6"/>
        <v>1990</v>
      </c>
      <c r="F455" s="170">
        <v>33055</v>
      </c>
      <c r="G455" s="171" t="e">
        <f>NA()</f>
        <v>#N/A</v>
      </c>
      <c r="J455" s="170">
        <v>37372</v>
      </c>
      <c r="K455" s="171">
        <v>5.79</v>
      </c>
    </row>
    <row r="456" spans="1:11" x14ac:dyDescent="0.2">
      <c r="A456" s="175">
        <v>34871</v>
      </c>
      <c r="B456" s="176">
        <v>6.56</v>
      </c>
      <c r="C456" s="176"/>
      <c r="D456" s="176"/>
      <c r="E456" s="179">
        <f t="shared" si="6"/>
        <v>1990</v>
      </c>
      <c r="F456" s="170">
        <v>33086</v>
      </c>
      <c r="G456" s="171" t="e">
        <f>NA()</f>
        <v>#N/A</v>
      </c>
      <c r="J456" s="170">
        <v>37379</v>
      </c>
      <c r="K456" s="171">
        <v>5.73</v>
      </c>
    </row>
    <row r="457" spans="1:11" x14ac:dyDescent="0.2">
      <c r="A457" s="175">
        <v>34872</v>
      </c>
      <c r="B457" s="176">
        <v>6.47</v>
      </c>
      <c r="C457" s="176"/>
      <c r="D457" s="176"/>
      <c r="E457" s="179">
        <f t="shared" ref="E457:E520" si="7">YEAR(F457)</f>
        <v>1990</v>
      </c>
      <c r="F457" s="170">
        <v>33117</v>
      </c>
      <c r="G457" s="171" t="e">
        <f>NA()</f>
        <v>#N/A</v>
      </c>
      <c r="J457" s="170">
        <v>37386</v>
      </c>
      <c r="K457" s="171">
        <v>5.77</v>
      </c>
    </row>
    <row r="458" spans="1:11" x14ac:dyDescent="0.2">
      <c r="A458" s="175">
        <v>34873</v>
      </c>
      <c r="B458" s="176">
        <v>6.51</v>
      </c>
      <c r="C458" s="176"/>
      <c r="D458" s="176"/>
      <c r="E458" s="179">
        <f t="shared" si="7"/>
        <v>1990</v>
      </c>
      <c r="F458" s="170">
        <v>33147</v>
      </c>
      <c r="G458" s="171" t="e">
        <f>NA()</f>
        <v>#N/A</v>
      </c>
      <c r="J458" s="170">
        <v>37393</v>
      </c>
      <c r="K458" s="171">
        <v>5.91</v>
      </c>
    </row>
    <row r="459" spans="1:11" x14ac:dyDescent="0.2">
      <c r="A459" s="175">
        <v>34876</v>
      </c>
      <c r="B459" s="176">
        <v>6.55</v>
      </c>
      <c r="C459" s="176"/>
      <c r="D459" s="176"/>
      <c r="E459" s="179">
        <f t="shared" si="7"/>
        <v>1990</v>
      </c>
      <c r="F459" s="170">
        <v>33178</v>
      </c>
      <c r="G459" s="171" t="e">
        <f>NA()</f>
        <v>#N/A</v>
      </c>
      <c r="J459" s="170">
        <v>37400</v>
      </c>
      <c r="K459" s="171">
        <v>5.84</v>
      </c>
    </row>
    <row r="460" spans="1:11" x14ac:dyDescent="0.2">
      <c r="A460" s="175">
        <v>34877</v>
      </c>
      <c r="B460" s="176">
        <v>6.57</v>
      </c>
      <c r="C460" s="176"/>
      <c r="D460" s="176"/>
      <c r="E460" s="179">
        <f t="shared" si="7"/>
        <v>1990</v>
      </c>
      <c r="F460" s="170">
        <v>33208</v>
      </c>
      <c r="G460" s="171" t="e">
        <f>NA()</f>
        <v>#N/A</v>
      </c>
      <c r="J460" s="170">
        <v>37407</v>
      </c>
      <c r="K460" s="171">
        <v>5.78</v>
      </c>
    </row>
    <row r="461" spans="1:11" x14ac:dyDescent="0.2">
      <c r="A461" s="175">
        <v>34878</v>
      </c>
      <c r="B461" s="176">
        <v>6.53</v>
      </c>
      <c r="C461" s="176"/>
      <c r="D461" s="176"/>
      <c r="E461" s="179">
        <f t="shared" si="7"/>
        <v>1991</v>
      </c>
      <c r="F461" s="170">
        <v>33239</v>
      </c>
      <c r="G461" s="171" t="e">
        <f>NA()</f>
        <v>#N/A</v>
      </c>
      <c r="J461" s="170">
        <v>37414</v>
      </c>
      <c r="K461" s="171">
        <v>5.77</v>
      </c>
    </row>
    <row r="462" spans="1:11" x14ac:dyDescent="0.2">
      <c r="A462" s="175">
        <v>34879</v>
      </c>
      <c r="B462" s="176">
        <v>6.69</v>
      </c>
      <c r="C462" s="176"/>
      <c r="D462" s="176"/>
      <c r="E462" s="179">
        <f t="shared" si="7"/>
        <v>1991</v>
      </c>
      <c r="F462" s="170">
        <v>33270</v>
      </c>
      <c r="G462" s="171" t="e">
        <f>NA()</f>
        <v>#N/A</v>
      </c>
      <c r="J462" s="170">
        <v>37421</v>
      </c>
      <c r="K462" s="171">
        <v>5.67</v>
      </c>
    </row>
    <row r="463" spans="1:11" x14ac:dyDescent="0.2">
      <c r="A463" s="175">
        <v>34880</v>
      </c>
      <c r="B463" s="176">
        <v>6.64</v>
      </c>
      <c r="C463" s="176"/>
      <c r="D463" s="176"/>
      <c r="E463" s="179">
        <f t="shared" si="7"/>
        <v>1991</v>
      </c>
      <c r="F463" s="170">
        <v>33298</v>
      </c>
      <c r="G463" s="171" t="e">
        <f>NA()</f>
        <v>#N/A</v>
      </c>
      <c r="J463" s="170">
        <v>37428</v>
      </c>
      <c r="K463" s="171">
        <v>5.57</v>
      </c>
    </row>
    <row r="464" spans="1:11" x14ac:dyDescent="0.2">
      <c r="A464" s="175">
        <v>34883</v>
      </c>
      <c r="B464" s="176">
        <v>6.68</v>
      </c>
      <c r="C464" s="176"/>
      <c r="D464" s="176"/>
      <c r="E464" s="179">
        <f t="shared" si="7"/>
        <v>1991</v>
      </c>
      <c r="F464" s="170">
        <v>33329</v>
      </c>
      <c r="G464" s="171" t="e">
        <f>NA()</f>
        <v>#N/A</v>
      </c>
      <c r="J464" s="170">
        <v>37435</v>
      </c>
      <c r="K464" s="171">
        <v>5.61</v>
      </c>
    </row>
    <row r="465" spans="1:11" x14ac:dyDescent="0.2">
      <c r="A465" s="175">
        <v>34884</v>
      </c>
      <c r="B465" s="176" t="e">
        <f>NA()</f>
        <v>#N/A</v>
      </c>
      <c r="C465" s="176"/>
      <c r="D465" s="176"/>
      <c r="E465" s="179">
        <f t="shared" si="7"/>
        <v>1991</v>
      </c>
      <c r="F465" s="170">
        <v>33359</v>
      </c>
      <c r="G465" s="171" t="e">
        <f>NA()</f>
        <v>#N/A</v>
      </c>
      <c r="J465" s="170">
        <v>37442</v>
      </c>
      <c r="K465" s="171">
        <v>5.61</v>
      </c>
    </row>
    <row r="466" spans="1:11" x14ac:dyDescent="0.2">
      <c r="A466" s="175">
        <v>34885</v>
      </c>
      <c r="B466" s="176">
        <v>6.64</v>
      </c>
      <c r="C466" s="176"/>
      <c r="D466" s="176"/>
      <c r="E466" s="179">
        <f t="shared" si="7"/>
        <v>1991</v>
      </c>
      <c r="F466" s="170">
        <v>33390</v>
      </c>
      <c r="G466" s="171" t="e">
        <f>NA()</f>
        <v>#N/A</v>
      </c>
      <c r="J466" s="170">
        <v>37449</v>
      </c>
      <c r="K466" s="171">
        <v>5.52</v>
      </c>
    </row>
    <row r="467" spans="1:11" x14ac:dyDescent="0.2">
      <c r="A467" s="175">
        <v>34886</v>
      </c>
      <c r="B467" s="176">
        <v>6.53</v>
      </c>
      <c r="C467" s="176"/>
      <c r="D467" s="176"/>
      <c r="E467" s="179">
        <f t="shared" si="7"/>
        <v>1991</v>
      </c>
      <c r="F467" s="170">
        <v>33420</v>
      </c>
      <c r="G467" s="171" t="e">
        <f>NA()</f>
        <v>#N/A</v>
      </c>
      <c r="J467" s="170">
        <v>37456</v>
      </c>
      <c r="K467" s="171">
        <v>5.52</v>
      </c>
    </row>
    <row r="468" spans="1:11" x14ac:dyDescent="0.2">
      <c r="A468" s="175">
        <v>34887</v>
      </c>
      <c r="B468" s="176">
        <v>6.52</v>
      </c>
      <c r="C468" s="176"/>
      <c r="D468" s="176"/>
      <c r="E468" s="179">
        <f t="shared" si="7"/>
        <v>1991</v>
      </c>
      <c r="F468" s="170">
        <v>33451</v>
      </c>
      <c r="G468" s="171" t="e">
        <f>NA()</f>
        <v>#N/A</v>
      </c>
      <c r="J468" s="170">
        <v>37463</v>
      </c>
      <c r="K468" s="171">
        <v>5.4</v>
      </c>
    </row>
    <row r="469" spans="1:11" x14ac:dyDescent="0.2">
      <c r="A469" s="175">
        <v>34890</v>
      </c>
      <c r="B469" s="176">
        <v>6.51</v>
      </c>
      <c r="C469" s="176"/>
      <c r="D469" s="176"/>
      <c r="E469" s="179">
        <f t="shared" si="7"/>
        <v>1991</v>
      </c>
      <c r="F469" s="170">
        <v>33482</v>
      </c>
      <c r="G469" s="171" t="e">
        <f>NA()</f>
        <v>#N/A</v>
      </c>
      <c r="J469" s="170">
        <v>37470</v>
      </c>
      <c r="K469" s="171">
        <v>5.44</v>
      </c>
    </row>
    <row r="470" spans="1:11" x14ac:dyDescent="0.2">
      <c r="A470" s="175">
        <v>34891</v>
      </c>
      <c r="B470" s="176">
        <v>6.57</v>
      </c>
      <c r="C470" s="176"/>
      <c r="D470" s="176"/>
      <c r="E470" s="179">
        <f t="shared" si="7"/>
        <v>1991</v>
      </c>
      <c r="F470" s="170">
        <v>33512</v>
      </c>
      <c r="G470" s="171" t="e">
        <f>NA()</f>
        <v>#N/A</v>
      </c>
      <c r="J470" s="170">
        <v>37477</v>
      </c>
      <c r="K470" s="171">
        <v>5.3</v>
      </c>
    </row>
    <row r="471" spans="1:11" x14ac:dyDescent="0.2">
      <c r="A471" s="175">
        <v>34892</v>
      </c>
      <c r="B471" s="176">
        <v>6.55</v>
      </c>
      <c r="C471" s="176"/>
      <c r="D471" s="176"/>
      <c r="E471" s="179">
        <f t="shared" si="7"/>
        <v>1991</v>
      </c>
      <c r="F471" s="170">
        <v>33543</v>
      </c>
      <c r="G471" s="171" t="e">
        <f>NA()</f>
        <v>#N/A</v>
      </c>
      <c r="J471" s="170">
        <v>37484</v>
      </c>
      <c r="K471" s="171">
        <v>5.13</v>
      </c>
    </row>
    <row r="472" spans="1:11" x14ac:dyDescent="0.2">
      <c r="A472" s="175">
        <v>34893</v>
      </c>
      <c r="B472" s="176">
        <v>6.56</v>
      </c>
      <c r="C472" s="176"/>
      <c r="D472" s="176"/>
      <c r="E472" s="179">
        <f t="shared" si="7"/>
        <v>1991</v>
      </c>
      <c r="F472" s="170">
        <v>33573</v>
      </c>
      <c r="G472" s="171" t="e">
        <f>NA()</f>
        <v>#N/A</v>
      </c>
      <c r="J472" s="170">
        <v>37491</v>
      </c>
      <c r="K472" s="171">
        <v>5.17</v>
      </c>
    </row>
    <row r="473" spans="1:11" x14ac:dyDescent="0.2">
      <c r="A473" s="175">
        <v>34894</v>
      </c>
      <c r="B473" s="176">
        <v>6.61</v>
      </c>
      <c r="C473" s="176"/>
      <c r="D473" s="176"/>
      <c r="E473" s="179">
        <f t="shared" si="7"/>
        <v>1992</v>
      </c>
      <c r="F473" s="170">
        <v>33604</v>
      </c>
      <c r="G473" s="171" t="e">
        <f>NA()</f>
        <v>#N/A</v>
      </c>
      <c r="J473" s="170">
        <v>37498</v>
      </c>
      <c r="K473" s="171">
        <v>5.12</v>
      </c>
    </row>
    <row r="474" spans="1:11" x14ac:dyDescent="0.2">
      <c r="A474" s="175">
        <v>34897</v>
      </c>
      <c r="B474" s="176">
        <v>6.69</v>
      </c>
      <c r="C474" s="176"/>
      <c r="D474" s="176"/>
      <c r="E474" s="179">
        <f t="shared" si="7"/>
        <v>1992</v>
      </c>
      <c r="F474" s="170">
        <v>33635</v>
      </c>
      <c r="G474" s="171" t="e">
        <f>NA()</f>
        <v>#N/A</v>
      </c>
      <c r="J474" s="170">
        <v>37505</v>
      </c>
      <c r="K474" s="171">
        <v>4.93</v>
      </c>
    </row>
    <row r="475" spans="1:11" x14ac:dyDescent="0.2">
      <c r="A475" s="175">
        <v>34898</v>
      </c>
      <c r="B475" s="176">
        <v>6.74</v>
      </c>
      <c r="C475" s="176"/>
      <c r="D475" s="176"/>
      <c r="E475" s="179">
        <f t="shared" si="7"/>
        <v>1992</v>
      </c>
      <c r="F475" s="170">
        <v>33664</v>
      </c>
      <c r="G475" s="171" t="e">
        <f>NA()</f>
        <v>#N/A</v>
      </c>
      <c r="J475" s="170">
        <v>37512</v>
      </c>
      <c r="K475" s="171">
        <v>4.95</v>
      </c>
    </row>
    <row r="476" spans="1:11" x14ac:dyDescent="0.2">
      <c r="A476" s="175">
        <v>34899</v>
      </c>
      <c r="B476" s="176">
        <v>6.9</v>
      </c>
      <c r="C476" s="176"/>
      <c r="D476" s="176"/>
      <c r="E476" s="179">
        <f t="shared" si="7"/>
        <v>1992</v>
      </c>
      <c r="F476" s="170">
        <v>33695</v>
      </c>
      <c r="G476" s="171" t="e">
        <f>NA()</f>
        <v>#N/A</v>
      </c>
      <c r="J476" s="170">
        <v>37519</v>
      </c>
      <c r="K476" s="171">
        <v>4.83</v>
      </c>
    </row>
    <row r="477" spans="1:11" x14ac:dyDescent="0.2">
      <c r="A477" s="175">
        <v>34900</v>
      </c>
      <c r="B477" s="176">
        <v>6.89</v>
      </c>
      <c r="C477" s="176"/>
      <c r="D477" s="176"/>
      <c r="E477" s="179">
        <f t="shared" si="7"/>
        <v>1992</v>
      </c>
      <c r="F477" s="170">
        <v>33725</v>
      </c>
      <c r="G477" s="171" t="e">
        <f>NA()</f>
        <v>#N/A</v>
      </c>
      <c r="J477" s="170">
        <v>37526</v>
      </c>
      <c r="K477" s="171">
        <v>4.79</v>
      </c>
    </row>
    <row r="478" spans="1:11" x14ac:dyDescent="0.2">
      <c r="A478" s="175">
        <v>34901</v>
      </c>
      <c r="B478" s="177">
        <v>6.98</v>
      </c>
      <c r="C478" s="177"/>
      <c r="D478" s="177"/>
      <c r="E478" s="179">
        <f t="shared" si="7"/>
        <v>1992</v>
      </c>
      <c r="F478" s="170">
        <v>33756</v>
      </c>
      <c r="G478" s="171" t="e">
        <f>NA()</f>
        <v>#N/A</v>
      </c>
      <c r="J478" s="170">
        <v>37533</v>
      </c>
      <c r="K478" s="171">
        <v>4.78</v>
      </c>
    </row>
    <row r="479" spans="1:11" x14ac:dyDescent="0.2">
      <c r="A479" s="175">
        <v>34904</v>
      </c>
      <c r="B479" s="176">
        <v>6.91</v>
      </c>
      <c r="C479" s="176"/>
      <c r="D479" s="176"/>
      <c r="E479" s="179">
        <f t="shared" si="7"/>
        <v>1992</v>
      </c>
      <c r="F479" s="170">
        <v>33786</v>
      </c>
      <c r="G479" s="171" t="e">
        <f>NA()</f>
        <v>#N/A</v>
      </c>
      <c r="J479" s="170">
        <v>37540</v>
      </c>
      <c r="K479" s="171">
        <v>4.78</v>
      </c>
    </row>
    <row r="480" spans="1:11" x14ac:dyDescent="0.2">
      <c r="A480" s="175">
        <v>34905</v>
      </c>
      <c r="B480" s="176">
        <v>6.86</v>
      </c>
      <c r="C480" s="176"/>
      <c r="D480" s="176"/>
      <c r="E480" s="179">
        <f t="shared" si="7"/>
        <v>1992</v>
      </c>
      <c r="F480" s="170">
        <v>33817</v>
      </c>
      <c r="G480" s="171" t="e">
        <f>NA()</f>
        <v>#N/A</v>
      </c>
      <c r="J480" s="170">
        <v>37547</v>
      </c>
      <c r="K480" s="171">
        <v>5.14</v>
      </c>
    </row>
    <row r="481" spans="1:11" x14ac:dyDescent="0.2">
      <c r="A481" s="175">
        <v>34906</v>
      </c>
      <c r="B481" s="176">
        <v>6.92</v>
      </c>
      <c r="C481" s="176"/>
      <c r="D481" s="176"/>
      <c r="E481" s="179">
        <f t="shared" si="7"/>
        <v>1992</v>
      </c>
      <c r="F481" s="170">
        <v>33848</v>
      </c>
      <c r="G481" s="171" t="e">
        <f>NA()</f>
        <v>#N/A</v>
      </c>
      <c r="J481" s="170">
        <v>37554</v>
      </c>
      <c r="K481" s="171">
        <v>5.22</v>
      </c>
    </row>
    <row r="482" spans="1:11" x14ac:dyDescent="0.2">
      <c r="A482" s="175">
        <v>34907</v>
      </c>
      <c r="B482" s="176">
        <v>6.86</v>
      </c>
      <c r="C482" s="176"/>
      <c r="D482" s="176"/>
      <c r="E482" s="179">
        <f t="shared" si="7"/>
        <v>1992</v>
      </c>
      <c r="F482" s="170">
        <v>33878</v>
      </c>
      <c r="G482" s="171" t="e">
        <f>NA()</f>
        <v>#N/A</v>
      </c>
      <c r="J482" s="170">
        <v>37561</v>
      </c>
      <c r="K482" s="171">
        <v>5.07</v>
      </c>
    </row>
    <row r="483" spans="1:11" x14ac:dyDescent="0.2">
      <c r="A483" s="175">
        <v>34908</v>
      </c>
      <c r="B483" s="176">
        <v>6.93</v>
      </c>
      <c r="C483" s="176"/>
      <c r="D483" s="176"/>
      <c r="E483" s="179">
        <f t="shared" si="7"/>
        <v>1992</v>
      </c>
      <c r="F483" s="170">
        <v>33909</v>
      </c>
      <c r="G483" s="171" t="e">
        <f>NA()</f>
        <v>#N/A</v>
      </c>
      <c r="J483" s="170">
        <v>37568</v>
      </c>
      <c r="K483" s="171">
        <v>5.03</v>
      </c>
    </row>
    <row r="484" spans="1:11" x14ac:dyDescent="0.2">
      <c r="A484" s="175">
        <v>34911</v>
      </c>
      <c r="B484" s="176">
        <v>6.88</v>
      </c>
      <c r="C484" s="176"/>
      <c r="D484" s="176"/>
      <c r="E484" s="179">
        <f t="shared" si="7"/>
        <v>1992</v>
      </c>
      <c r="F484" s="170">
        <v>33939</v>
      </c>
      <c r="G484" s="171" t="e">
        <f>NA()</f>
        <v>#N/A</v>
      </c>
      <c r="J484" s="170">
        <v>37575</v>
      </c>
      <c r="K484" s="171">
        <v>4.9400000000000004</v>
      </c>
    </row>
    <row r="485" spans="1:11" x14ac:dyDescent="0.2">
      <c r="A485" s="175">
        <v>34912</v>
      </c>
      <c r="B485" s="176">
        <v>6.95</v>
      </c>
      <c r="C485" s="176"/>
      <c r="D485" s="176"/>
      <c r="E485" s="179">
        <f t="shared" si="7"/>
        <v>1993</v>
      </c>
      <c r="F485" s="170">
        <v>33970</v>
      </c>
      <c r="G485" s="171" t="e">
        <f>NA()</f>
        <v>#N/A</v>
      </c>
      <c r="J485" s="170">
        <v>37582</v>
      </c>
      <c r="K485" s="171">
        <v>5.04</v>
      </c>
    </row>
    <row r="486" spans="1:11" x14ac:dyDescent="0.2">
      <c r="A486" s="175">
        <v>34913</v>
      </c>
      <c r="B486" s="176">
        <v>6.88</v>
      </c>
      <c r="C486" s="176"/>
      <c r="D486" s="176"/>
      <c r="E486" s="179">
        <f t="shared" si="7"/>
        <v>1993</v>
      </c>
      <c r="F486" s="170">
        <v>34001</v>
      </c>
      <c r="G486" s="171" t="e">
        <f>NA()</f>
        <v>#N/A</v>
      </c>
      <c r="J486" s="170">
        <v>37589</v>
      </c>
      <c r="K486" s="171">
        <v>5.14</v>
      </c>
    </row>
    <row r="487" spans="1:11" x14ac:dyDescent="0.2">
      <c r="A487" s="175">
        <v>34914</v>
      </c>
      <c r="B487" s="176">
        <v>6.95</v>
      </c>
      <c r="C487" s="176"/>
      <c r="D487" s="176"/>
      <c r="E487" s="179">
        <f t="shared" si="7"/>
        <v>1993</v>
      </c>
      <c r="F487" s="170">
        <v>34029</v>
      </c>
      <c r="G487" s="171" t="e">
        <f>NA()</f>
        <v>#N/A</v>
      </c>
      <c r="J487" s="170">
        <v>37596</v>
      </c>
      <c r="K487" s="171">
        <v>5.13</v>
      </c>
    </row>
    <row r="488" spans="1:11" x14ac:dyDescent="0.2">
      <c r="A488" s="175">
        <v>34915</v>
      </c>
      <c r="B488" s="176">
        <v>6.92</v>
      </c>
      <c r="C488" s="176"/>
      <c r="D488" s="176"/>
      <c r="E488" s="179">
        <f t="shared" si="7"/>
        <v>1993</v>
      </c>
      <c r="F488" s="170">
        <v>34060</v>
      </c>
      <c r="G488" s="171" t="e">
        <f>NA()</f>
        <v>#N/A</v>
      </c>
      <c r="J488" s="170">
        <v>37603</v>
      </c>
      <c r="K488" s="171">
        <v>5.01</v>
      </c>
    </row>
    <row r="489" spans="1:11" x14ac:dyDescent="0.2">
      <c r="A489" s="175">
        <v>34918</v>
      </c>
      <c r="B489" s="176">
        <v>6.91</v>
      </c>
      <c r="C489" s="176"/>
      <c r="D489" s="176"/>
      <c r="E489" s="179">
        <f t="shared" si="7"/>
        <v>1993</v>
      </c>
      <c r="F489" s="170">
        <v>34090</v>
      </c>
      <c r="G489" s="171" t="e">
        <f>NA()</f>
        <v>#N/A</v>
      </c>
      <c r="J489" s="170">
        <v>37610</v>
      </c>
      <c r="K489" s="171">
        <v>5.04</v>
      </c>
    </row>
    <row r="490" spans="1:11" x14ac:dyDescent="0.2">
      <c r="A490" s="175">
        <v>34919</v>
      </c>
      <c r="B490" s="176">
        <v>6.9</v>
      </c>
      <c r="C490" s="176"/>
      <c r="D490" s="176"/>
      <c r="E490" s="179">
        <f t="shared" si="7"/>
        <v>1993</v>
      </c>
      <c r="F490" s="170">
        <v>34121</v>
      </c>
      <c r="G490" s="171" t="e">
        <f>NA()</f>
        <v>#N/A</v>
      </c>
      <c r="J490" s="170">
        <v>37617</v>
      </c>
      <c r="K490" s="171">
        <v>4.91</v>
      </c>
    </row>
    <row r="491" spans="1:11" x14ac:dyDescent="0.2">
      <c r="A491" s="175">
        <v>34920</v>
      </c>
      <c r="B491" s="176">
        <v>6.93</v>
      </c>
      <c r="C491" s="176"/>
      <c r="D491" s="176"/>
      <c r="E491" s="179">
        <f t="shared" si="7"/>
        <v>1993</v>
      </c>
      <c r="F491" s="170">
        <v>34151</v>
      </c>
      <c r="G491" s="171" t="e">
        <f>NA()</f>
        <v>#N/A</v>
      </c>
      <c r="J491" s="170">
        <v>37624</v>
      </c>
      <c r="K491" s="171">
        <v>4.93</v>
      </c>
    </row>
    <row r="492" spans="1:11" x14ac:dyDescent="0.2">
      <c r="A492" s="175">
        <v>34921</v>
      </c>
      <c r="B492" s="176">
        <v>6.97</v>
      </c>
      <c r="C492" s="176"/>
      <c r="D492" s="176"/>
      <c r="E492" s="179">
        <f t="shared" si="7"/>
        <v>1993</v>
      </c>
      <c r="F492" s="170">
        <v>34182</v>
      </c>
      <c r="G492" s="171" t="e">
        <f>NA()</f>
        <v>#N/A</v>
      </c>
      <c r="J492" s="170">
        <v>37631</v>
      </c>
      <c r="K492" s="171">
        <v>5.08</v>
      </c>
    </row>
    <row r="493" spans="1:11" x14ac:dyDescent="0.2">
      <c r="A493" s="175">
        <v>34922</v>
      </c>
      <c r="B493" s="176">
        <v>7.06</v>
      </c>
      <c r="C493" s="176"/>
      <c r="D493" s="176"/>
      <c r="E493" s="179">
        <f t="shared" si="7"/>
        <v>1993</v>
      </c>
      <c r="F493" s="170">
        <v>34213</v>
      </c>
      <c r="G493" s="171" t="e">
        <f>NA()</f>
        <v>#N/A</v>
      </c>
      <c r="J493" s="170">
        <v>37638</v>
      </c>
      <c r="K493" s="171">
        <v>5.07</v>
      </c>
    </row>
    <row r="494" spans="1:11" x14ac:dyDescent="0.2">
      <c r="A494" s="175">
        <v>34925</v>
      </c>
      <c r="B494" s="176">
        <v>7.06</v>
      </c>
      <c r="C494" s="176"/>
      <c r="D494" s="176"/>
      <c r="E494" s="179">
        <f t="shared" si="7"/>
        <v>1993</v>
      </c>
      <c r="F494" s="170">
        <v>34243</v>
      </c>
      <c r="G494" s="171">
        <v>6.07</v>
      </c>
      <c r="J494" s="170">
        <v>37645</v>
      </c>
      <c r="K494" s="171">
        <v>4.96</v>
      </c>
    </row>
    <row r="495" spans="1:11" x14ac:dyDescent="0.2">
      <c r="A495" s="175">
        <v>34926</v>
      </c>
      <c r="B495" s="176">
        <v>7</v>
      </c>
      <c r="C495" s="176"/>
      <c r="D495" s="176"/>
      <c r="E495" s="179">
        <f t="shared" si="7"/>
        <v>1993</v>
      </c>
      <c r="F495" s="170">
        <v>34274</v>
      </c>
      <c r="G495" s="171">
        <v>6.38</v>
      </c>
      <c r="J495" s="170">
        <v>37652</v>
      </c>
      <c r="K495" s="171">
        <v>4.96</v>
      </c>
    </row>
    <row r="496" spans="1:11" x14ac:dyDescent="0.2">
      <c r="A496" s="175">
        <v>34927</v>
      </c>
      <c r="B496" s="176">
        <v>6.97</v>
      </c>
      <c r="C496" s="176"/>
      <c r="D496" s="176"/>
      <c r="E496" s="179">
        <f t="shared" si="7"/>
        <v>1993</v>
      </c>
      <c r="F496" s="170">
        <v>34304</v>
      </c>
      <c r="G496" s="171">
        <v>6.4</v>
      </c>
      <c r="J496" s="170">
        <v>37659</v>
      </c>
      <c r="K496" s="171">
        <v>4.92</v>
      </c>
    </row>
    <row r="497" spans="1:11" x14ac:dyDescent="0.2">
      <c r="A497" s="175">
        <v>34928</v>
      </c>
      <c r="B497" s="176">
        <v>6.99</v>
      </c>
      <c r="C497" s="176"/>
      <c r="D497" s="176"/>
      <c r="E497" s="179">
        <f t="shared" si="7"/>
        <v>1994</v>
      </c>
      <c r="F497" s="170">
        <v>34335</v>
      </c>
      <c r="G497" s="171">
        <v>6.39</v>
      </c>
      <c r="J497" s="170">
        <v>37666</v>
      </c>
      <c r="K497" s="171">
        <v>4.91</v>
      </c>
    </row>
    <row r="498" spans="1:11" x14ac:dyDescent="0.2">
      <c r="A498" s="175">
        <v>34929</v>
      </c>
      <c r="B498" s="176">
        <v>7</v>
      </c>
      <c r="C498" s="176"/>
      <c r="D498" s="176"/>
      <c r="E498" s="179">
        <f t="shared" si="7"/>
        <v>1994</v>
      </c>
      <c r="F498" s="170">
        <v>34366</v>
      </c>
      <c r="G498" s="171">
        <v>6.57</v>
      </c>
      <c r="J498" s="170">
        <v>37673</v>
      </c>
      <c r="K498" s="171">
        <v>4.88</v>
      </c>
    </row>
    <row r="499" spans="1:11" x14ac:dyDescent="0.2">
      <c r="A499" s="175">
        <v>34932</v>
      </c>
      <c r="B499" s="176">
        <v>6.95</v>
      </c>
      <c r="C499" s="176"/>
      <c r="D499" s="176"/>
      <c r="E499" s="179">
        <f t="shared" si="7"/>
        <v>1994</v>
      </c>
      <c r="F499" s="170">
        <v>34394</v>
      </c>
      <c r="G499" s="171">
        <v>7</v>
      </c>
      <c r="J499" s="170">
        <v>37680</v>
      </c>
      <c r="K499" s="171">
        <v>4.78</v>
      </c>
    </row>
    <row r="500" spans="1:11" x14ac:dyDescent="0.2">
      <c r="A500" s="175">
        <v>34933</v>
      </c>
      <c r="B500" s="176">
        <v>6.98</v>
      </c>
      <c r="C500" s="176"/>
      <c r="D500" s="176"/>
      <c r="E500" s="179">
        <f t="shared" si="7"/>
        <v>1994</v>
      </c>
      <c r="F500" s="170">
        <v>34425</v>
      </c>
      <c r="G500" s="171">
        <v>7.4</v>
      </c>
      <c r="J500" s="170">
        <v>37687</v>
      </c>
      <c r="K500" s="171">
        <v>4.68</v>
      </c>
    </row>
    <row r="501" spans="1:11" x14ac:dyDescent="0.2">
      <c r="A501" s="175">
        <v>34934</v>
      </c>
      <c r="B501" s="176">
        <v>7.01</v>
      </c>
      <c r="C501" s="176"/>
      <c r="D501" s="176"/>
      <c r="E501" s="179">
        <f t="shared" si="7"/>
        <v>1994</v>
      </c>
      <c r="F501" s="170">
        <v>34455</v>
      </c>
      <c r="G501" s="171">
        <v>7.54</v>
      </c>
      <c r="J501" s="170">
        <v>37694</v>
      </c>
      <c r="K501" s="171">
        <v>4.68</v>
      </c>
    </row>
    <row r="502" spans="1:11" x14ac:dyDescent="0.2">
      <c r="A502" s="175">
        <v>34935</v>
      </c>
      <c r="B502" s="176">
        <v>6.92</v>
      </c>
      <c r="C502" s="176"/>
      <c r="D502" s="176"/>
      <c r="E502" s="179">
        <f t="shared" si="7"/>
        <v>1994</v>
      </c>
      <c r="F502" s="170">
        <v>34486</v>
      </c>
      <c r="G502" s="171">
        <v>7.51</v>
      </c>
      <c r="J502" s="170">
        <v>37701</v>
      </c>
      <c r="K502" s="171">
        <v>4.9400000000000004</v>
      </c>
    </row>
    <row r="503" spans="1:11" x14ac:dyDescent="0.2">
      <c r="A503" s="175">
        <v>34936</v>
      </c>
      <c r="B503" s="176">
        <v>6.8</v>
      </c>
      <c r="C503" s="176"/>
      <c r="D503" s="176"/>
      <c r="E503" s="179">
        <f t="shared" si="7"/>
        <v>1994</v>
      </c>
      <c r="F503" s="170">
        <v>34516</v>
      </c>
      <c r="G503" s="171">
        <v>7.67</v>
      </c>
      <c r="J503" s="170">
        <v>37708</v>
      </c>
      <c r="K503" s="171">
        <v>4.96</v>
      </c>
    </row>
    <row r="504" spans="1:11" x14ac:dyDescent="0.2">
      <c r="A504" s="175">
        <v>34939</v>
      </c>
      <c r="B504" s="176">
        <v>6.77</v>
      </c>
      <c r="C504" s="176"/>
      <c r="D504" s="176"/>
      <c r="E504" s="179">
        <f t="shared" si="7"/>
        <v>1994</v>
      </c>
      <c r="F504" s="170">
        <v>34547</v>
      </c>
      <c r="G504" s="171">
        <v>7.62</v>
      </c>
      <c r="J504" s="170">
        <v>37715</v>
      </c>
      <c r="K504" s="171">
        <v>4.91</v>
      </c>
    </row>
    <row r="505" spans="1:11" x14ac:dyDescent="0.2">
      <c r="A505" s="175">
        <v>34940</v>
      </c>
      <c r="B505" s="176">
        <v>6.79</v>
      </c>
      <c r="C505" s="176"/>
      <c r="D505" s="176"/>
      <c r="E505" s="179">
        <f t="shared" si="7"/>
        <v>1994</v>
      </c>
      <c r="F505" s="170">
        <v>34578</v>
      </c>
      <c r="G505" s="171">
        <v>7.87</v>
      </c>
      <c r="J505" s="170">
        <v>37722</v>
      </c>
      <c r="K505" s="171">
        <v>4.95</v>
      </c>
    </row>
    <row r="506" spans="1:11" x14ac:dyDescent="0.2">
      <c r="A506" s="175">
        <v>34941</v>
      </c>
      <c r="B506" s="176">
        <v>6.77</v>
      </c>
      <c r="C506" s="176"/>
      <c r="D506" s="176"/>
      <c r="E506" s="179">
        <f t="shared" si="7"/>
        <v>1994</v>
      </c>
      <c r="F506" s="170">
        <v>34608</v>
      </c>
      <c r="G506" s="171">
        <v>8.08</v>
      </c>
      <c r="J506" s="170">
        <v>37729</v>
      </c>
      <c r="K506" s="171">
        <v>4.9400000000000004</v>
      </c>
    </row>
    <row r="507" spans="1:11" x14ac:dyDescent="0.2">
      <c r="A507" s="175">
        <v>34942</v>
      </c>
      <c r="B507" s="176">
        <v>6.72</v>
      </c>
      <c r="C507" s="176"/>
      <c r="D507" s="176"/>
      <c r="E507" s="179">
        <f t="shared" si="7"/>
        <v>1994</v>
      </c>
      <c r="F507" s="170">
        <v>34639</v>
      </c>
      <c r="G507" s="171">
        <v>8.1999999999999993</v>
      </c>
      <c r="J507" s="170">
        <v>37736</v>
      </c>
      <c r="K507" s="171">
        <v>4.8899999999999997</v>
      </c>
    </row>
    <row r="508" spans="1:11" x14ac:dyDescent="0.2">
      <c r="A508" s="175">
        <v>34943</v>
      </c>
      <c r="B508" s="176">
        <v>6.67</v>
      </c>
      <c r="C508" s="176"/>
      <c r="D508" s="176"/>
      <c r="E508" s="179">
        <f t="shared" si="7"/>
        <v>1994</v>
      </c>
      <c r="F508" s="170">
        <v>34669</v>
      </c>
      <c r="G508" s="171">
        <v>7.99</v>
      </c>
      <c r="J508" s="170">
        <v>37743</v>
      </c>
      <c r="K508" s="171">
        <v>4.82</v>
      </c>
    </row>
    <row r="509" spans="1:11" x14ac:dyDescent="0.2">
      <c r="A509" s="175">
        <v>34946</v>
      </c>
      <c r="B509" s="177" t="e">
        <f>NA()</f>
        <v>#N/A</v>
      </c>
      <c r="C509" s="177"/>
      <c r="D509" s="177"/>
      <c r="E509" s="179">
        <f t="shared" si="7"/>
        <v>1995</v>
      </c>
      <c r="F509" s="170">
        <v>34700</v>
      </c>
      <c r="G509" s="171">
        <v>7.97</v>
      </c>
      <c r="J509" s="170">
        <v>37750</v>
      </c>
      <c r="K509" s="171">
        <v>4.7</v>
      </c>
    </row>
    <row r="510" spans="1:11" x14ac:dyDescent="0.2">
      <c r="A510" s="175">
        <v>34947</v>
      </c>
      <c r="B510" s="176">
        <v>6.63</v>
      </c>
      <c r="C510" s="176"/>
      <c r="D510" s="176"/>
      <c r="E510" s="179">
        <f t="shared" si="7"/>
        <v>1995</v>
      </c>
      <c r="F510" s="170">
        <v>34731</v>
      </c>
      <c r="G510" s="171">
        <v>7.73</v>
      </c>
      <c r="J510" s="170">
        <v>37757</v>
      </c>
      <c r="K510" s="171">
        <v>4.51</v>
      </c>
    </row>
    <row r="511" spans="1:11" x14ac:dyDescent="0.2">
      <c r="A511" s="175">
        <v>34948</v>
      </c>
      <c r="B511" s="176">
        <v>6.63</v>
      </c>
      <c r="C511" s="176"/>
      <c r="D511" s="176"/>
      <c r="E511" s="179">
        <f t="shared" si="7"/>
        <v>1995</v>
      </c>
      <c r="F511" s="170">
        <v>34759</v>
      </c>
      <c r="G511" s="171">
        <v>7.57</v>
      </c>
      <c r="J511" s="170">
        <v>37764</v>
      </c>
      <c r="K511" s="171">
        <v>4.34</v>
      </c>
    </row>
    <row r="512" spans="1:11" x14ac:dyDescent="0.2">
      <c r="A512" s="175">
        <v>34949</v>
      </c>
      <c r="B512" s="176">
        <v>6.66</v>
      </c>
      <c r="C512" s="176"/>
      <c r="D512" s="176"/>
      <c r="E512" s="179">
        <f t="shared" si="7"/>
        <v>1995</v>
      </c>
      <c r="F512" s="170">
        <v>34790</v>
      </c>
      <c r="G512" s="171">
        <v>7.45</v>
      </c>
      <c r="J512" s="170">
        <v>37771</v>
      </c>
      <c r="K512" s="171">
        <v>4.38</v>
      </c>
    </row>
    <row r="513" spans="1:11" x14ac:dyDescent="0.2">
      <c r="A513" s="175">
        <v>34950</v>
      </c>
      <c r="B513" s="176">
        <v>6.66</v>
      </c>
      <c r="C513" s="176"/>
      <c r="D513" s="176"/>
      <c r="E513" s="179">
        <f t="shared" si="7"/>
        <v>1995</v>
      </c>
      <c r="F513" s="170">
        <v>34820</v>
      </c>
      <c r="G513" s="171">
        <v>7.01</v>
      </c>
      <c r="J513" s="170">
        <v>37778</v>
      </c>
      <c r="K513" s="171">
        <v>4.37</v>
      </c>
    </row>
    <row r="514" spans="1:11" x14ac:dyDescent="0.2">
      <c r="A514" s="175">
        <v>34953</v>
      </c>
      <c r="B514" s="176">
        <v>6.67</v>
      </c>
      <c r="C514" s="176"/>
      <c r="D514" s="176"/>
      <c r="E514" s="179">
        <f t="shared" si="7"/>
        <v>1995</v>
      </c>
      <c r="F514" s="170">
        <v>34851</v>
      </c>
      <c r="G514" s="171">
        <v>6.59</v>
      </c>
      <c r="J514" s="170">
        <v>37785</v>
      </c>
      <c r="K514" s="171">
        <v>4.21</v>
      </c>
    </row>
    <row r="515" spans="1:11" x14ac:dyDescent="0.2">
      <c r="A515" s="175">
        <v>34954</v>
      </c>
      <c r="B515" s="176">
        <v>6.6</v>
      </c>
      <c r="C515" s="176"/>
      <c r="D515" s="176"/>
      <c r="E515" s="179">
        <f t="shared" si="7"/>
        <v>1995</v>
      </c>
      <c r="F515" s="170">
        <v>34881</v>
      </c>
      <c r="G515" s="171">
        <v>6.74</v>
      </c>
      <c r="J515" s="170">
        <v>37792</v>
      </c>
      <c r="K515" s="171">
        <v>4.3099999999999996</v>
      </c>
    </row>
    <row r="516" spans="1:11" x14ac:dyDescent="0.2">
      <c r="A516" s="175">
        <v>34955</v>
      </c>
      <c r="B516" s="176">
        <v>6.63</v>
      </c>
      <c r="C516" s="176"/>
      <c r="D516" s="176"/>
      <c r="E516" s="179">
        <f t="shared" si="7"/>
        <v>1995</v>
      </c>
      <c r="F516" s="170">
        <v>34912</v>
      </c>
      <c r="G516" s="171">
        <v>6.92</v>
      </c>
      <c r="J516" s="170">
        <v>37799</v>
      </c>
      <c r="K516" s="171">
        <v>4.43</v>
      </c>
    </row>
    <row r="517" spans="1:11" x14ac:dyDescent="0.2">
      <c r="A517" s="175">
        <v>34956</v>
      </c>
      <c r="B517" s="176">
        <v>6.56</v>
      </c>
      <c r="C517" s="176"/>
      <c r="D517" s="176"/>
      <c r="E517" s="179">
        <f t="shared" si="7"/>
        <v>1995</v>
      </c>
      <c r="F517" s="170">
        <v>34943</v>
      </c>
      <c r="G517" s="171">
        <v>6.65</v>
      </c>
      <c r="J517" s="170">
        <v>37806</v>
      </c>
      <c r="K517" s="171">
        <v>4.5599999999999996</v>
      </c>
    </row>
    <row r="518" spans="1:11" x14ac:dyDescent="0.2">
      <c r="A518" s="175">
        <v>34957</v>
      </c>
      <c r="B518" s="176">
        <v>6.58</v>
      </c>
      <c r="C518" s="176"/>
      <c r="D518" s="176"/>
      <c r="E518" s="179">
        <f t="shared" si="7"/>
        <v>1995</v>
      </c>
      <c r="F518" s="170">
        <v>34973</v>
      </c>
      <c r="G518" s="171">
        <v>6.45</v>
      </c>
      <c r="J518" s="170">
        <v>37813</v>
      </c>
      <c r="K518" s="171">
        <v>4.68</v>
      </c>
    </row>
    <row r="519" spans="1:11" x14ac:dyDescent="0.2">
      <c r="A519" s="175">
        <v>34960</v>
      </c>
      <c r="B519" s="176">
        <v>6.64</v>
      </c>
      <c r="C519" s="176"/>
      <c r="D519" s="176"/>
      <c r="E519" s="179">
        <f t="shared" si="7"/>
        <v>1995</v>
      </c>
      <c r="F519" s="170">
        <v>35004</v>
      </c>
      <c r="G519" s="171">
        <v>6.33</v>
      </c>
      <c r="J519" s="170">
        <v>37820</v>
      </c>
      <c r="K519" s="171">
        <v>4.88</v>
      </c>
    </row>
    <row r="520" spans="1:11" x14ac:dyDescent="0.2">
      <c r="A520" s="175">
        <v>34961</v>
      </c>
      <c r="B520" s="176">
        <v>6.61</v>
      </c>
      <c r="C520" s="176"/>
      <c r="D520" s="176"/>
      <c r="E520" s="179">
        <f t="shared" si="7"/>
        <v>1995</v>
      </c>
      <c r="F520" s="170">
        <v>35034</v>
      </c>
      <c r="G520" s="171">
        <v>6.12</v>
      </c>
      <c r="J520" s="170">
        <v>37827</v>
      </c>
      <c r="K520" s="171">
        <v>5.09</v>
      </c>
    </row>
    <row r="521" spans="1:11" x14ac:dyDescent="0.2">
      <c r="A521" s="175">
        <v>34962</v>
      </c>
      <c r="B521" s="176">
        <v>6.57</v>
      </c>
      <c r="C521" s="176"/>
      <c r="D521" s="176"/>
      <c r="E521" s="179">
        <f t="shared" ref="E521:E584" si="8">YEAR(F521)</f>
        <v>1996</v>
      </c>
      <c r="F521" s="170">
        <v>35065</v>
      </c>
      <c r="G521" s="171">
        <v>6.11</v>
      </c>
      <c r="J521" s="170">
        <v>37834</v>
      </c>
      <c r="K521" s="171">
        <v>5.34</v>
      </c>
    </row>
    <row r="522" spans="1:11" x14ac:dyDescent="0.2">
      <c r="A522" s="175">
        <v>34963</v>
      </c>
      <c r="B522" s="176">
        <v>6.66</v>
      </c>
      <c r="C522" s="176"/>
      <c r="D522" s="176"/>
      <c r="E522" s="179">
        <f t="shared" si="8"/>
        <v>1996</v>
      </c>
      <c r="F522" s="170">
        <v>35096</v>
      </c>
      <c r="G522" s="171">
        <v>6.3</v>
      </c>
      <c r="J522" s="170">
        <v>37841</v>
      </c>
      <c r="K522" s="171">
        <v>5.34</v>
      </c>
    </row>
    <row r="523" spans="1:11" x14ac:dyDescent="0.2">
      <c r="A523" s="175">
        <v>34964</v>
      </c>
      <c r="B523" s="176">
        <v>6.7</v>
      </c>
      <c r="C523" s="176"/>
      <c r="D523" s="176"/>
      <c r="E523" s="179">
        <f t="shared" si="8"/>
        <v>1996</v>
      </c>
      <c r="F523" s="170">
        <v>35125</v>
      </c>
      <c r="G523" s="171">
        <v>6.74</v>
      </c>
      <c r="J523" s="170">
        <v>37848</v>
      </c>
      <c r="K523" s="171">
        <v>5.45</v>
      </c>
    </row>
    <row r="524" spans="1:11" x14ac:dyDescent="0.2">
      <c r="A524" s="175">
        <v>34967</v>
      </c>
      <c r="B524" s="176">
        <v>6.7</v>
      </c>
      <c r="C524" s="176"/>
      <c r="D524" s="176"/>
      <c r="E524" s="179">
        <f t="shared" si="8"/>
        <v>1996</v>
      </c>
      <c r="F524" s="170">
        <v>35156</v>
      </c>
      <c r="G524" s="171">
        <v>6.98</v>
      </c>
      <c r="J524" s="170">
        <v>37855</v>
      </c>
      <c r="K524" s="171">
        <v>5.39</v>
      </c>
    </row>
    <row r="525" spans="1:11" x14ac:dyDescent="0.2">
      <c r="A525" s="175">
        <v>34968</v>
      </c>
      <c r="B525" s="176">
        <v>6.71</v>
      </c>
      <c r="C525" s="176"/>
      <c r="D525" s="176"/>
      <c r="E525" s="179">
        <f t="shared" si="8"/>
        <v>1996</v>
      </c>
      <c r="F525" s="170">
        <v>35186</v>
      </c>
      <c r="G525" s="171">
        <v>7.11</v>
      </c>
      <c r="J525" s="170">
        <v>37862</v>
      </c>
      <c r="K525" s="171">
        <v>5.38</v>
      </c>
    </row>
    <row r="526" spans="1:11" x14ac:dyDescent="0.2">
      <c r="A526" s="175">
        <v>34969</v>
      </c>
      <c r="B526" s="176">
        <v>6.76</v>
      </c>
      <c r="C526" s="176"/>
      <c r="D526" s="176"/>
      <c r="E526" s="179">
        <f t="shared" si="8"/>
        <v>1996</v>
      </c>
      <c r="F526" s="170">
        <v>35217</v>
      </c>
      <c r="G526" s="171">
        <v>7.22</v>
      </c>
      <c r="J526" s="170">
        <v>37869</v>
      </c>
      <c r="K526" s="171">
        <v>5.42</v>
      </c>
    </row>
    <row r="527" spans="1:11" x14ac:dyDescent="0.2">
      <c r="A527" s="175">
        <v>34970</v>
      </c>
      <c r="B527" s="176">
        <v>6.71</v>
      </c>
      <c r="C527" s="176"/>
      <c r="D527" s="176"/>
      <c r="E527" s="179">
        <f t="shared" si="8"/>
        <v>1996</v>
      </c>
      <c r="F527" s="170">
        <v>35247</v>
      </c>
      <c r="G527" s="171">
        <v>7.14</v>
      </c>
      <c r="J527" s="170">
        <v>37876</v>
      </c>
      <c r="K527" s="171">
        <v>5.27</v>
      </c>
    </row>
    <row r="528" spans="1:11" x14ac:dyDescent="0.2">
      <c r="A528" s="175">
        <v>34971</v>
      </c>
      <c r="B528" s="176">
        <v>6.6</v>
      </c>
      <c r="C528" s="176"/>
      <c r="D528" s="176"/>
      <c r="E528" s="179">
        <f t="shared" si="8"/>
        <v>1996</v>
      </c>
      <c r="F528" s="170">
        <v>35278</v>
      </c>
      <c r="G528" s="171">
        <v>6.97</v>
      </c>
      <c r="J528" s="170">
        <v>37883</v>
      </c>
      <c r="K528" s="171">
        <v>5.18</v>
      </c>
    </row>
    <row r="529" spans="1:11" x14ac:dyDescent="0.2">
      <c r="A529" s="175">
        <v>34974</v>
      </c>
      <c r="B529" s="176">
        <v>6.61</v>
      </c>
      <c r="C529" s="176"/>
      <c r="D529" s="176"/>
      <c r="E529" s="179">
        <f t="shared" si="8"/>
        <v>1996</v>
      </c>
      <c r="F529" s="170">
        <v>35309</v>
      </c>
      <c r="G529" s="171">
        <v>7.17</v>
      </c>
      <c r="J529" s="170">
        <v>37890</v>
      </c>
      <c r="K529" s="171">
        <v>5.09</v>
      </c>
    </row>
    <row r="530" spans="1:11" x14ac:dyDescent="0.2">
      <c r="A530" s="175">
        <v>34975</v>
      </c>
      <c r="B530" s="176">
        <v>6.57</v>
      </c>
      <c r="C530" s="176"/>
      <c r="D530" s="176"/>
      <c r="E530" s="179">
        <f t="shared" si="8"/>
        <v>1996</v>
      </c>
      <c r="F530" s="170">
        <v>35339</v>
      </c>
      <c r="G530" s="171">
        <v>6.9</v>
      </c>
      <c r="J530" s="170">
        <v>37897</v>
      </c>
      <c r="K530" s="171">
        <v>5</v>
      </c>
    </row>
    <row r="531" spans="1:11" x14ac:dyDescent="0.2">
      <c r="A531" s="175">
        <v>34976</v>
      </c>
      <c r="B531" s="176">
        <v>6.54</v>
      </c>
      <c r="C531" s="176"/>
      <c r="D531" s="176"/>
      <c r="E531" s="179">
        <f t="shared" si="8"/>
        <v>1996</v>
      </c>
      <c r="F531" s="170">
        <v>35370</v>
      </c>
      <c r="G531" s="171">
        <v>6.58</v>
      </c>
      <c r="J531" s="170">
        <v>37904</v>
      </c>
      <c r="K531" s="171">
        <v>5.21</v>
      </c>
    </row>
    <row r="532" spans="1:11" x14ac:dyDescent="0.2">
      <c r="A532" s="175">
        <v>34977</v>
      </c>
      <c r="B532" s="176">
        <v>6.53</v>
      </c>
      <c r="C532" s="176"/>
      <c r="D532" s="176"/>
      <c r="E532" s="179">
        <f t="shared" si="8"/>
        <v>1996</v>
      </c>
      <c r="F532" s="170">
        <v>35400</v>
      </c>
      <c r="G532" s="171">
        <v>6.65</v>
      </c>
      <c r="J532" s="170">
        <v>37911</v>
      </c>
      <c r="K532" s="171">
        <v>5.35</v>
      </c>
    </row>
    <row r="533" spans="1:11" x14ac:dyDescent="0.2">
      <c r="A533" s="175">
        <v>34978</v>
      </c>
      <c r="B533" s="176">
        <v>6.51</v>
      </c>
      <c r="C533" s="176"/>
      <c r="D533" s="176"/>
      <c r="E533" s="179">
        <f t="shared" si="8"/>
        <v>1997</v>
      </c>
      <c r="F533" s="170">
        <v>35431</v>
      </c>
      <c r="G533" s="171">
        <v>6.91</v>
      </c>
      <c r="J533" s="170">
        <v>37918</v>
      </c>
      <c r="K533" s="171">
        <v>5.23</v>
      </c>
    </row>
    <row r="534" spans="1:11" x14ac:dyDescent="0.2">
      <c r="A534" s="175">
        <v>34981</v>
      </c>
      <c r="B534" s="176" t="e">
        <f>NA()</f>
        <v>#N/A</v>
      </c>
      <c r="C534" s="176"/>
      <c r="D534" s="176"/>
      <c r="E534" s="179">
        <f t="shared" si="8"/>
        <v>1997</v>
      </c>
      <c r="F534" s="170">
        <v>35462</v>
      </c>
      <c r="G534" s="171">
        <v>6.77</v>
      </c>
      <c r="J534" s="170">
        <v>37925</v>
      </c>
      <c r="K534" s="171">
        <v>5.2</v>
      </c>
    </row>
    <row r="535" spans="1:11" x14ac:dyDescent="0.2">
      <c r="A535" s="175">
        <v>34982</v>
      </c>
      <c r="B535" s="177">
        <v>6.51</v>
      </c>
      <c r="C535" s="177"/>
      <c r="D535" s="177"/>
      <c r="E535" s="179">
        <f t="shared" si="8"/>
        <v>1997</v>
      </c>
      <c r="F535" s="170">
        <v>35490</v>
      </c>
      <c r="G535" s="171">
        <v>7.05</v>
      </c>
      <c r="J535" s="170">
        <v>37932</v>
      </c>
      <c r="K535" s="171">
        <v>5.27</v>
      </c>
    </row>
    <row r="536" spans="1:11" x14ac:dyDescent="0.2">
      <c r="A536" s="175">
        <v>34983</v>
      </c>
      <c r="B536" s="176">
        <v>6.5</v>
      </c>
      <c r="C536" s="176"/>
      <c r="D536" s="176"/>
      <c r="E536" s="179">
        <f t="shared" si="8"/>
        <v>1997</v>
      </c>
      <c r="F536" s="170">
        <v>35521</v>
      </c>
      <c r="G536" s="171">
        <v>7.2</v>
      </c>
      <c r="J536" s="170">
        <v>37939</v>
      </c>
      <c r="K536" s="171">
        <v>5.22</v>
      </c>
    </row>
    <row r="537" spans="1:11" x14ac:dyDescent="0.2">
      <c r="A537" s="175">
        <v>34984</v>
      </c>
      <c r="B537" s="176">
        <v>6.48</v>
      </c>
      <c r="C537" s="176"/>
      <c r="D537" s="176"/>
      <c r="E537" s="179">
        <f t="shared" si="8"/>
        <v>1997</v>
      </c>
      <c r="F537" s="170">
        <v>35551</v>
      </c>
      <c r="G537" s="171">
        <v>7.02</v>
      </c>
      <c r="J537" s="170">
        <v>37946</v>
      </c>
      <c r="K537" s="171">
        <v>5.07</v>
      </c>
    </row>
    <row r="538" spans="1:11" x14ac:dyDescent="0.2">
      <c r="A538" s="175">
        <v>34985</v>
      </c>
      <c r="B538" s="176">
        <v>6.37</v>
      </c>
      <c r="C538" s="176"/>
      <c r="D538" s="176"/>
      <c r="E538" s="179">
        <f t="shared" si="8"/>
        <v>1997</v>
      </c>
      <c r="F538" s="170">
        <v>35582</v>
      </c>
      <c r="G538" s="171">
        <v>6.84</v>
      </c>
      <c r="J538" s="170">
        <v>37953</v>
      </c>
      <c r="K538" s="171">
        <v>5.13</v>
      </c>
    </row>
    <row r="539" spans="1:11" x14ac:dyDescent="0.2">
      <c r="A539" s="175">
        <v>34988</v>
      </c>
      <c r="B539" s="176">
        <v>6.38</v>
      </c>
      <c r="C539" s="176"/>
      <c r="D539" s="176"/>
      <c r="E539" s="179">
        <f t="shared" si="8"/>
        <v>1997</v>
      </c>
      <c r="F539" s="170">
        <v>35612</v>
      </c>
      <c r="G539" s="171">
        <v>6.56</v>
      </c>
      <c r="J539" s="170">
        <v>37960</v>
      </c>
      <c r="K539" s="171">
        <v>5.2</v>
      </c>
    </row>
    <row r="540" spans="1:11" x14ac:dyDescent="0.2">
      <c r="A540" s="175">
        <v>34989</v>
      </c>
      <c r="B540" s="176">
        <v>6.36</v>
      </c>
      <c r="C540" s="176"/>
      <c r="D540" s="176"/>
      <c r="E540" s="179">
        <f t="shared" si="8"/>
        <v>1997</v>
      </c>
      <c r="F540" s="170">
        <v>35643</v>
      </c>
      <c r="G540" s="171">
        <v>6.65</v>
      </c>
      <c r="J540" s="170">
        <v>37967</v>
      </c>
      <c r="K540" s="171">
        <v>5.15</v>
      </c>
    </row>
    <row r="541" spans="1:11" x14ac:dyDescent="0.2">
      <c r="A541" s="175">
        <v>34990</v>
      </c>
      <c r="B541" s="176">
        <v>6.38</v>
      </c>
      <c r="C541" s="176"/>
      <c r="D541" s="176"/>
      <c r="E541" s="179">
        <f t="shared" si="8"/>
        <v>1997</v>
      </c>
      <c r="F541" s="170">
        <v>35674</v>
      </c>
      <c r="G541" s="171">
        <v>6.56</v>
      </c>
      <c r="J541" s="170">
        <v>37974</v>
      </c>
      <c r="K541" s="171">
        <v>5.05</v>
      </c>
    </row>
    <row r="542" spans="1:11" x14ac:dyDescent="0.2">
      <c r="A542" s="175">
        <v>34991</v>
      </c>
      <c r="B542" s="176">
        <v>6.37</v>
      </c>
      <c r="C542" s="176"/>
      <c r="D542" s="176"/>
      <c r="E542" s="179">
        <f t="shared" si="8"/>
        <v>1997</v>
      </c>
      <c r="F542" s="170">
        <v>35704</v>
      </c>
      <c r="G542" s="171">
        <v>6.38</v>
      </c>
      <c r="J542" s="170">
        <v>37981</v>
      </c>
      <c r="K542" s="171">
        <v>5.03</v>
      </c>
    </row>
    <row r="543" spans="1:11" x14ac:dyDescent="0.2">
      <c r="A543" s="175">
        <v>34992</v>
      </c>
      <c r="B543" s="176">
        <v>6.42</v>
      </c>
      <c r="C543" s="176"/>
      <c r="D543" s="176"/>
      <c r="E543" s="179">
        <f t="shared" si="8"/>
        <v>1997</v>
      </c>
      <c r="F543" s="170">
        <v>35735</v>
      </c>
      <c r="G543" s="171">
        <v>6.2</v>
      </c>
      <c r="J543" s="170">
        <v>37988</v>
      </c>
      <c r="K543" s="171">
        <v>5.13</v>
      </c>
    </row>
    <row r="544" spans="1:11" x14ac:dyDescent="0.2">
      <c r="A544" s="175">
        <v>34995</v>
      </c>
      <c r="B544" s="176">
        <v>6.44</v>
      </c>
      <c r="C544" s="176"/>
      <c r="D544" s="176"/>
      <c r="E544" s="179">
        <f t="shared" si="8"/>
        <v>1997</v>
      </c>
      <c r="F544" s="170">
        <v>35765</v>
      </c>
      <c r="G544" s="171">
        <v>6.07</v>
      </c>
      <c r="J544" s="170">
        <v>37995</v>
      </c>
      <c r="K544" s="171">
        <v>5.1100000000000003</v>
      </c>
    </row>
    <row r="545" spans="1:11" x14ac:dyDescent="0.2">
      <c r="A545" s="175">
        <v>34996</v>
      </c>
      <c r="B545" s="176">
        <v>6.37</v>
      </c>
      <c r="C545" s="176"/>
      <c r="D545" s="176"/>
      <c r="E545" s="179">
        <f t="shared" si="8"/>
        <v>1998</v>
      </c>
      <c r="F545" s="170">
        <v>35796</v>
      </c>
      <c r="G545" s="171">
        <v>5.88</v>
      </c>
      <c r="J545" s="170">
        <v>38002</v>
      </c>
      <c r="K545" s="171">
        <v>4.92</v>
      </c>
    </row>
    <row r="546" spans="1:11" x14ac:dyDescent="0.2">
      <c r="A546" s="175">
        <v>34997</v>
      </c>
      <c r="B546" s="176">
        <v>6.37</v>
      </c>
      <c r="C546" s="176"/>
      <c r="D546" s="176"/>
      <c r="E546" s="179">
        <f t="shared" si="8"/>
        <v>1998</v>
      </c>
      <c r="F546" s="170">
        <v>35827</v>
      </c>
      <c r="G546" s="171">
        <v>5.96</v>
      </c>
      <c r="J546" s="170">
        <v>38009</v>
      </c>
      <c r="K546" s="171">
        <v>4.92</v>
      </c>
    </row>
    <row r="547" spans="1:11" x14ac:dyDescent="0.2">
      <c r="A547" s="175">
        <v>34998</v>
      </c>
      <c r="B547" s="176">
        <v>6.44</v>
      </c>
      <c r="C547" s="176"/>
      <c r="D547" s="176"/>
      <c r="E547" s="179">
        <f t="shared" si="8"/>
        <v>1998</v>
      </c>
      <c r="F547" s="170">
        <v>35855</v>
      </c>
      <c r="G547" s="171">
        <v>6.01</v>
      </c>
      <c r="J547" s="170">
        <v>38016</v>
      </c>
      <c r="K547" s="171">
        <v>5.0199999999999996</v>
      </c>
    </row>
    <row r="548" spans="1:11" x14ac:dyDescent="0.2">
      <c r="A548" s="175">
        <v>34999</v>
      </c>
      <c r="B548" s="176">
        <v>6.4</v>
      </c>
      <c r="C548" s="176"/>
      <c r="D548" s="176"/>
      <c r="E548" s="179">
        <f t="shared" si="8"/>
        <v>1998</v>
      </c>
      <c r="F548" s="170">
        <v>35886</v>
      </c>
      <c r="G548" s="171">
        <v>6</v>
      </c>
      <c r="J548" s="170">
        <v>38023</v>
      </c>
      <c r="K548" s="171">
        <v>4.99</v>
      </c>
    </row>
    <row r="549" spans="1:11" x14ac:dyDescent="0.2">
      <c r="A549" s="175">
        <v>35002</v>
      </c>
      <c r="B549" s="176">
        <v>6.41</v>
      </c>
      <c r="C549" s="176"/>
      <c r="D549" s="176"/>
      <c r="E549" s="179">
        <f t="shared" si="8"/>
        <v>1998</v>
      </c>
      <c r="F549" s="170">
        <v>35916</v>
      </c>
      <c r="G549" s="171">
        <v>6.01</v>
      </c>
      <c r="J549" s="170">
        <v>38030</v>
      </c>
      <c r="K549" s="171">
        <v>4.93</v>
      </c>
    </row>
    <row r="550" spans="1:11" x14ac:dyDescent="0.2">
      <c r="A550" s="175">
        <v>35003</v>
      </c>
      <c r="B550" s="176">
        <v>6.4</v>
      </c>
      <c r="C550" s="176"/>
      <c r="D550" s="176"/>
      <c r="E550" s="179">
        <f t="shared" si="8"/>
        <v>1998</v>
      </c>
      <c r="F550" s="170">
        <v>35947</v>
      </c>
      <c r="G550" s="171">
        <v>5.8</v>
      </c>
      <c r="J550" s="170">
        <v>38037</v>
      </c>
      <c r="K550" s="171">
        <v>4.92</v>
      </c>
    </row>
    <row r="551" spans="1:11" x14ac:dyDescent="0.2">
      <c r="A551" s="175">
        <v>35004</v>
      </c>
      <c r="B551" s="176">
        <v>6.36</v>
      </c>
      <c r="C551" s="176"/>
      <c r="D551" s="176"/>
      <c r="E551" s="179">
        <f t="shared" si="8"/>
        <v>1998</v>
      </c>
      <c r="F551" s="170">
        <v>35977</v>
      </c>
      <c r="G551" s="171">
        <v>5.78</v>
      </c>
      <c r="J551" s="170">
        <v>38044</v>
      </c>
      <c r="K551" s="171">
        <v>4.9000000000000004</v>
      </c>
    </row>
    <row r="552" spans="1:11" x14ac:dyDescent="0.2">
      <c r="A552" s="175">
        <v>35005</v>
      </c>
      <c r="B552" s="176">
        <v>6.31</v>
      </c>
      <c r="C552" s="176"/>
      <c r="D552" s="176"/>
      <c r="E552" s="179">
        <f t="shared" si="8"/>
        <v>1998</v>
      </c>
      <c r="F552" s="170">
        <v>36008</v>
      </c>
      <c r="G552" s="171">
        <v>5.66</v>
      </c>
      <c r="J552" s="170">
        <v>38051</v>
      </c>
      <c r="K552" s="171">
        <v>4.8600000000000003</v>
      </c>
    </row>
    <row r="553" spans="1:11" x14ac:dyDescent="0.2">
      <c r="A553" s="175">
        <v>35006</v>
      </c>
      <c r="B553" s="176">
        <v>6.33</v>
      </c>
      <c r="C553" s="176"/>
      <c r="D553" s="176"/>
      <c r="E553" s="179">
        <f t="shared" si="8"/>
        <v>1998</v>
      </c>
      <c r="F553" s="170">
        <v>36039</v>
      </c>
      <c r="G553" s="171">
        <v>5.38</v>
      </c>
      <c r="J553" s="170">
        <v>38058</v>
      </c>
      <c r="K553" s="171">
        <v>4.66</v>
      </c>
    </row>
    <row r="554" spans="1:11" x14ac:dyDescent="0.2">
      <c r="A554" s="175">
        <v>35009</v>
      </c>
      <c r="B554" s="176">
        <v>6.34</v>
      </c>
      <c r="C554" s="176"/>
      <c r="D554" s="176"/>
      <c r="E554" s="179">
        <f t="shared" si="8"/>
        <v>1998</v>
      </c>
      <c r="F554" s="170">
        <v>36069</v>
      </c>
      <c r="G554" s="171">
        <v>5.3</v>
      </c>
      <c r="J554" s="170">
        <v>38065</v>
      </c>
      <c r="K554" s="171">
        <v>4.6500000000000004</v>
      </c>
    </row>
    <row r="555" spans="1:11" x14ac:dyDescent="0.2">
      <c r="A555" s="175">
        <v>35010</v>
      </c>
      <c r="B555" s="176">
        <v>6.37</v>
      </c>
      <c r="C555" s="176"/>
      <c r="D555" s="176"/>
      <c r="E555" s="179">
        <f t="shared" si="8"/>
        <v>1998</v>
      </c>
      <c r="F555" s="170">
        <v>36100</v>
      </c>
      <c r="G555" s="171">
        <v>5.48</v>
      </c>
      <c r="J555" s="170">
        <v>38072</v>
      </c>
      <c r="K555" s="171">
        <v>4.6500000000000004</v>
      </c>
    </row>
    <row r="556" spans="1:11" x14ac:dyDescent="0.2">
      <c r="A556" s="175">
        <v>35011</v>
      </c>
      <c r="B556" s="176">
        <v>6.3</v>
      </c>
      <c r="C556" s="176"/>
      <c r="D556" s="176"/>
      <c r="E556" s="179">
        <f t="shared" si="8"/>
        <v>1998</v>
      </c>
      <c r="F556" s="170">
        <v>36130</v>
      </c>
      <c r="G556" s="171">
        <v>5.36</v>
      </c>
      <c r="J556" s="170">
        <v>38079</v>
      </c>
      <c r="K556" s="171">
        <v>4.82</v>
      </c>
    </row>
    <row r="557" spans="1:11" x14ac:dyDescent="0.2">
      <c r="A557" s="175">
        <v>35012</v>
      </c>
      <c r="B557" s="176">
        <v>6.35</v>
      </c>
      <c r="C557" s="176"/>
      <c r="D557" s="176"/>
      <c r="E557" s="179">
        <f t="shared" si="8"/>
        <v>1999</v>
      </c>
      <c r="F557" s="170">
        <v>36161</v>
      </c>
      <c r="G557" s="171">
        <v>5.45</v>
      </c>
      <c r="J557" s="170">
        <v>38086</v>
      </c>
      <c r="K557" s="171">
        <v>5.03</v>
      </c>
    </row>
    <row r="558" spans="1:11" x14ac:dyDescent="0.2">
      <c r="A558" s="175">
        <v>35013</v>
      </c>
      <c r="B558" s="176">
        <v>6.39</v>
      </c>
      <c r="C558" s="176"/>
      <c r="D558" s="176"/>
      <c r="E558" s="179">
        <f t="shared" si="8"/>
        <v>1999</v>
      </c>
      <c r="F558" s="170">
        <v>36192</v>
      </c>
      <c r="G558" s="171">
        <v>5.66</v>
      </c>
      <c r="J558" s="170">
        <v>38093</v>
      </c>
      <c r="K558" s="171">
        <v>5.18</v>
      </c>
    </row>
    <row r="559" spans="1:11" x14ac:dyDescent="0.2">
      <c r="A559" s="175">
        <v>35016</v>
      </c>
      <c r="B559" s="176">
        <v>6.34</v>
      </c>
      <c r="C559" s="176"/>
      <c r="D559" s="176"/>
      <c r="E559" s="179">
        <f t="shared" si="8"/>
        <v>1999</v>
      </c>
      <c r="F559" s="170">
        <v>36220</v>
      </c>
      <c r="G559" s="171">
        <v>5.87</v>
      </c>
      <c r="J559" s="170">
        <v>38100</v>
      </c>
      <c r="K559" s="171">
        <v>5.24</v>
      </c>
    </row>
    <row r="560" spans="1:11" x14ac:dyDescent="0.2">
      <c r="A560" s="175">
        <v>35017</v>
      </c>
      <c r="B560" s="176">
        <v>6.36</v>
      </c>
      <c r="C560" s="176"/>
      <c r="D560" s="176"/>
      <c r="E560" s="179">
        <f t="shared" si="8"/>
        <v>1999</v>
      </c>
      <c r="F560" s="170">
        <v>36251</v>
      </c>
      <c r="G560" s="171">
        <v>5.82</v>
      </c>
      <c r="J560" s="170">
        <v>38107</v>
      </c>
      <c r="K560" s="171">
        <v>5.28</v>
      </c>
    </row>
    <row r="561" spans="1:11" x14ac:dyDescent="0.2">
      <c r="A561" s="175">
        <v>35018</v>
      </c>
      <c r="B561" s="176">
        <v>6.37</v>
      </c>
      <c r="C561" s="176"/>
      <c r="D561" s="176"/>
      <c r="E561" s="179">
        <f t="shared" si="8"/>
        <v>1999</v>
      </c>
      <c r="F561" s="170">
        <v>36281</v>
      </c>
      <c r="G561" s="171">
        <v>6.08</v>
      </c>
      <c r="J561" s="170">
        <v>38114</v>
      </c>
      <c r="K561" s="171">
        <v>5.39</v>
      </c>
    </row>
    <row r="562" spans="1:11" x14ac:dyDescent="0.2">
      <c r="A562" s="175">
        <v>35019</v>
      </c>
      <c r="B562" s="176">
        <v>6.32</v>
      </c>
      <c r="C562" s="176"/>
      <c r="D562" s="176"/>
      <c r="E562" s="179">
        <f t="shared" si="8"/>
        <v>1999</v>
      </c>
      <c r="F562" s="170">
        <v>36312</v>
      </c>
      <c r="G562" s="171">
        <v>6.36</v>
      </c>
      <c r="J562" s="170">
        <v>38121</v>
      </c>
      <c r="K562" s="171">
        <v>5.56</v>
      </c>
    </row>
    <row r="563" spans="1:11" x14ac:dyDescent="0.2">
      <c r="A563" s="175">
        <v>35020</v>
      </c>
      <c r="B563" s="176">
        <v>6.33</v>
      </c>
      <c r="C563" s="176"/>
      <c r="D563" s="176"/>
      <c r="E563" s="179">
        <f t="shared" si="8"/>
        <v>1999</v>
      </c>
      <c r="F563" s="170">
        <v>36342</v>
      </c>
      <c r="G563" s="171">
        <v>6.28</v>
      </c>
      <c r="J563" s="170">
        <v>38128</v>
      </c>
      <c r="K563" s="171">
        <v>5.49</v>
      </c>
    </row>
    <row r="564" spans="1:11" x14ac:dyDescent="0.2">
      <c r="A564" s="175">
        <v>35023</v>
      </c>
      <c r="B564" s="176">
        <v>6.33</v>
      </c>
      <c r="C564" s="176"/>
      <c r="D564" s="176"/>
      <c r="E564" s="179">
        <f t="shared" si="8"/>
        <v>1999</v>
      </c>
      <c r="F564" s="170">
        <v>36373</v>
      </c>
      <c r="G564" s="171">
        <v>6.43</v>
      </c>
      <c r="J564" s="170">
        <v>38135</v>
      </c>
      <c r="K564" s="171">
        <v>5.41</v>
      </c>
    </row>
    <row r="565" spans="1:11" x14ac:dyDescent="0.2">
      <c r="A565" s="175">
        <v>35024</v>
      </c>
      <c r="B565" s="176">
        <v>6.36</v>
      </c>
      <c r="C565" s="176"/>
      <c r="D565" s="176"/>
      <c r="E565" s="179">
        <f t="shared" si="8"/>
        <v>1999</v>
      </c>
      <c r="F565" s="170">
        <v>36404</v>
      </c>
      <c r="G565" s="171">
        <v>6.5</v>
      </c>
      <c r="J565" s="170">
        <v>38142</v>
      </c>
      <c r="K565" s="171">
        <v>5.47</v>
      </c>
    </row>
    <row r="566" spans="1:11" x14ac:dyDescent="0.2">
      <c r="A566" s="175">
        <v>35025</v>
      </c>
      <c r="B566" s="176">
        <v>6.37</v>
      </c>
      <c r="C566" s="176"/>
      <c r="D566" s="176"/>
      <c r="E566" s="179">
        <f t="shared" si="8"/>
        <v>1999</v>
      </c>
      <c r="F566" s="170">
        <v>36434</v>
      </c>
      <c r="G566" s="171">
        <v>6.66</v>
      </c>
      <c r="J566" s="170">
        <v>38149</v>
      </c>
      <c r="K566" s="171">
        <v>5.52</v>
      </c>
    </row>
    <row r="567" spans="1:11" x14ac:dyDescent="0.2">
      <c r="A567" s="175">
        <v>35026</v>
      </c>
      <c r="B567" s="176" t="e">
        <f>NA()</f>
        <v>#N/A</v>
      </c>
      <c r="C567" s="176"/>
      <c r="D567" s="176"/>
      <c r="E567" s="179">
        <f t="shared" si="8"/>
        <v>1999</v>
      </c>
      <c r="F567" s="170">
        <v>36465</v>
      </c>
      <c r="G567" s="171">
        <v>6.48</v>
      </c>
      <c r="J567" s="170">
        <v>38156</v>
      </c>
      <c r="K567" s="171">
        <v>5.46</v>
      </c>
    </row>
    <row r="568" spans="1:11" x14ac:dyDescent="0.2">
      <c r="A568" s="175">
        <v>35027</v>
      </c>
      <c r="B568" s="176">
        <v>6.36</v>
      </c>
      <c r="C568" s="176"/>
      <c r="D568" s="176"/>
      <c r="E568" s="179">
        <f t="shared" si="8"/>
        <v>1999</v>
      </c>
      <c r="F568" s="170">
        <v>36495</v>
      </c>
      <c r="G568" s="171">
        <v>6.69</v>
      </c>
      <c r="J568" s="170">
        <v>38163</v>
      </c>
      <c r="K568" s="171">
        <v>5.4</v>
      </c>
    </row>
    <row r="569" spans="1:11" x14ac:dyDescent="0.2">
      <c r="A569" s="175">
        <v>35030</v>
      </c>
      <c r="B569" s="176">
        <v>6.31</v>
      </c>
      <c r="C569" s="176"/>
      <c r="D569" s="176"/>
      <c r="E569" s="179">
        <f t="shared" si="8"/>
        <v>2000</v>
      </c>
      <c r="F569" s="170">
        <v>36526</v>
      </c>
      <c r="G569" s="171">
        <v>6.86</v>
      </c>
      <c r="J569" s="170">
        <v>38170</v>
      </c>
      <c r="K569" s="171">
        <v>5.35</v>
      </c>
    </row>
    <row r="570" spans="1:11" x14ac:dyDescent="0.2">
      <c r="A570" s="175">
        <v>35031</v>
      </c>
      <c r="B570" s="176">
        <v>6.31</v>
      </c>
      <c r="C570" s="176"/>
      <c r="D570" s="176"/>
      <c r="E570" s="179">
        <f t="shared" si="8"/>
        <v>2000</v>
      </c>
      <c r="F570" s="170">
        <v>36557</v>
      </c>
      <c r="G570" s="171">
        <v>6.54</v>
      </c>
      <c r="J570" s="170">
        <v>38177</v>
      </c>
      <c r="K570" s="171">
        <v>5.24</v>
      </c>
    </row>
    <row r="571" spans="1:11" x14ac:dyDescent="0.2">
      <c r="A571" s="175">
        <v>35032</v>
      </c>
      <c r="B571" s="176">
        <v>6.29</v>
      </c>
      <c r="C571" s="176"/>
      <c r="D571" s="176"/>
      <c r="E571" s="179">
        <f t="shared" si="8"/>
        <v>2000</v>
      </c>
      <c r="F571" s="170">
        <v>36586</v>
      </c>
      <c r="G571" s="171">
        <v>6.38</v>
      </c>
      <c r="J571" s="170">
        <v>38184</v>
      </c>
      <c r="K571" s="171">
        <v>5.22</v>
      </c>
    </row>
    <row r="572" spans="1:11" x14ac:dyDescent="0.2">
      <c r="A572" s="175">
        <v>35033</v>
      </c>
      <c r="B572" s="176">
        <v>6.2</v>
      </c>
      <c r="C572" s="176"/>
      <c r="D572" s="176"/>
      <c r="E572" s="179">
        <f t="shared" si="8"/>
        <v>2000</v>
      </c>
      <c r="F572" s="170">
        <v>36617</v>
      </c>
      <c r="G572" s="171">
        <v>6.18</v>
      </c>
      <c r="J572" s="170">
        <v>38191</v>
      </c>
      <c r="K572" s="171">
        <v>5.2</v>
      </c>
    </row>
    <row r="573" spans="1:11" x14ac:dyDescent="0.2">
      <c r="A573" s="175">
        <v>35034</v>
      </c>
      <c r="B573" s="176">
        <v>6.16</v>
      </c>
      <c r="C573" s="176"/>
      <c r="D573" s="176"/>
      <c r="E573" s="179">
        <f t="shared" si="8"/>
        <v>2000</v>
      </c>
      <c r="F573" s="170">
        <v>36647</v>
      </c>
      <c r="G573" s="171">
        <v>6.55</v>
      </c>
      <c r="J573" s="170">
        <v>38198</v>
      </c>
      <c r="K573" s="171">
        <v>5.3</v>
      </c>
    </row>
    <row r="574" spans="1:11" x14ac:dyDescent="0.2">
      <c r="A574" s="175">
        <v>35037</v>
      </c>
      <c r="B574" s="176">
        <v>6.07</v>
      </c>
      <c r="C574" s="176"/>
      <c r="D574" s="176"/>
      <c r="E574" s="179">
        <f t="shared" si="8"/>
        <v>2000</v>
      </c>
      <c r="F574" s="170">
        <v>36678</v>
      </c>
      <c r="G574" s="171">
        <v>6.28</v>
      </c>
      <c r="J574" s="170">
        <v>38205</v>
      </c>
      <c r="K574" s="171">
        <v>5.17</v>
      </c>
    </row>
    <row r="575" spans="1:11" x14ac:dyDescent="0.2">
      <c r="A575" s="175">
        <v>35038</v>
      </c>
      <c r="B575" s="176">
        <v>6.09</v>
      </c>
      <c r="C575" s="176"/>
      <c r="D575" s="176"/>
      <c r="E575" s="179">
        <f t="shared" si="8"/>
        <v>2000</v>
      </c>
      <c r="F575" s="170">
        <v>36708</v>
      </c>
      <c r="G575" s="171">
        <v>6.2</v>
      </c>
      <c r="J575" s="170">
        <v>38212</v>
      </c>
      <c r="K575" s="171">
        <v>5.0599999999999996</v>
      </c>
    </row>
    <row r="576" spans="1:11" x14ac:dyDescent="0.2">
      <c r="A576" s="175">
        <v>35039</v>
      </c>
      <c r="B576" s="176">
        <v>6.09</v>
      </c>
      <c r="C576" s="176"/>
      <c r="D576" s="176"/>
      <c r="E576" s="179">
        <f t="shared" si="8"/>
        <v>2000</v>
      </c>
      <c r="F576" s="170">
        <v>36739</v>
      </c>
      <c r="G576" s="171">
        <v>6.02</v>
      </c>
      <c r="J576" s="170">
        <v>38219</v>
      </c>
      <c r="K576" s="171">
        <v>5.04</v>
      </c>
    </row>
    <row r="577" spans="1:11" x14ac:dyDescent="0.2">
      <c r="A577" s="175">
        <v>35040</v>
      </c>
      <c r="B577" s="176">
        <v>6.13</v>
      </c>
      <c r="C577" s="176"/>
      <c r="D577" s="176"/>
      <c r="E577" s="179">
        <f t="shared" si="8"/>
        <v>2000</v>
      </c>
      <c r="F577" s="170">
        <v>36770</v>
      </c>
      <c r="G577" s="171">
        <v>6.09</v>
      </c>
      <c r="J577" s="170">
        <v>38226</v>
      </c>
      <c r="K577" s="171">
        <v>5.05</v>
      </c>
    </row>
    <row r="578" spans="1:11" x14ac:dyDescent="0.2">
      <c r="A578" s="175">
        <v>35041</v>
      </c>
      <c r="B578" s="176">
        <v>6.12</v>
      </c>
      <c r="C578" s="176"/>
      <c r="D578" s="176"/>
      <c r="E578" s="179">
        <f t="shared" si="8"/>
        <v>2000</v>
      </c>
      <c r="F578" s="170">
        <v>36800</v>
      </c>
      <c r="G578" s="171">
        <v>6.04</v>
      </c>
      <c r="J578" s="170">
        <v>38233</v>
      </c>
      <c r="K578" s="171">
        <v>4.9800000000000004</v>
      </c>
    </row>
    <row r="579" spans="1:11" x14ac:dyDescent="0.2">
      <c r="A579" s="175">
        <v>35044</v>
      </c>
      <c r="B579" s="177">
        <v>6.11</v>
      </c>
      <c r="C579" s="177"/>
      <c r="D579" s="177"/>
      <c r="E579" s="179">
        <f t="shared" si="8"/>
        <v>2000</v>
      </c>
      <c r="F579" s="170">
        <v>36831</v>
      </c>
      <c r="G579" s="171">
        <v>5.98</v>
      </c>
      <c r="J579" s="170">
        <v>38240</v>
      </c>
      <c r="K579" s="171">
        <v>4.99</v>
      </c>
    </row>
    <row r="580" spans="1:11" x14ac:dyDescent="0.2">
      <c r="A580" s="175">
        <v>35045</v>
      </c>
      <c r="B580" s="176">
        <v>6.11</v>
      </c>
      <c r="C580" s="176"/>
      <c r="D580" s="176"/>
      <c r="E580" s="179">
        <f t="shared" si="8"/>
        <v>2000</v>
      </c>
      <c r="F580" s="170">
        <v>36861</v>
      </c>
      <c r="G580" s="171">
        <v>5.64</v>
      </c>
      <c r="J580" s="170">
        <v>38247</v>
      </c>
      <c r="K580" s="171">
        <v>4.92</v>
      </c>
    </row>
    <row r="581" spans="1:11" x14ac:dyDescent="0.2">
      <c r="A581" s="175">
        <v>35046</v>
      </c>
      <c r="B581" s="176">
        <v>6.12</v>
      </c>
      <c r="C581" s="176"/>
      <c r="D581" s="176"/>
      <c r="E581" s="179">
        <f t="shared" si="8"/>
        <v>2001</v>
      </c>
      <c r="F581" s="170">
        <v>36892</v>
      </c>
      <c r="G581" s="171">
        <v>5.65</v>
      </c>
      <c r="J581" s="170">
        <v>38254</v>
      </c>
      <c r="K581" s="171">
        <v>4.8</v>
      </c>
    </row>
    <row r="582" spans="1:11" x14ac:dyDescent="0.2">
      <c r="A582" s="175">
        <v>35047</v>
      </c>
      <c r="B582" s="176">
        <v>6.14</v>
      </c>
      <c r="C582" s="176"/>
      <c r="D582" s="176"/>
      <c r="E582" s="179">
        <f t="shared" si="8"/>
        <v>2001</v>
      </c>
      <c r="F582" s="170">
        <v>36923</v>
      </c>
      <c r="G582" s="171">
        <v>5.62</v>
      </c>
      <c r="J582" s="170">
        <v>38261</v>
      </c>
      <c r="K582" s="171">
        <v>4.84</v>
      </c>
    </row>
    <row r="583" spans="1:11" x14ac:dyDescent="0.2">
      <c r="A583" s="175">
        <v>35048</v>
      </c>
      <c r="B583" s="176">
        <v>6.15</v>
      </c>
      <c r="C583" s="176"/>
      <c r="D583" s="176"/>
      <c r="E583" s="179">
        <f t="shared" si="8"/>
        <v>2001</v>
      </c>
      <c r="F583" s="170">
        <v>36951</v>
      </c>
      <c r="G583" s="171">
        <v>5.49</v>
      </c>
      <c r="J583" s="170">
        <v>38268</v>
      </c>
      <c r="K583" s="171">
        <v>4.95</v>
      </c>
    </row>
    <row r="584" spans="1:11" x14ac:dyDescent="0.2">
      <c r="A584" s="175">
        <v>35051</v>
      </c>
      <c r="B584" s="176">
        <v>6.26</v>
      </c>
      <c r="C584" s="176"/>
      <c r="D584" s="176"/>
      <c r="E584" s="179">
        <f t="shared" si="8"/>
        <v>2001</v>
      </c>
      <c r="F584" s="170">
        <v>36982</v>
      </c>
      <c r="G584" s="171">
        <v>5.78</v>
      </c>
      <c r="J584" s="170">
        <v>38275</v>
      </c>
      <c r="K584" s="171">
        <v>4.8499999999999996</v>
      </c>
    </row>
    <row r="585" spans="1:11" x14ac:dyDescent="0.2">
      <c r="A585" s="175">
        <v>35052</v>
      </c>
      <c r="B585" s="176">
        <v>6.21</v>
      </c>
      <c r="C585" s="176"/>
      <c r="D585" s="176"/>
      <c r="E585" s="179">
        <f t="shared" ref="E585:E648" si="9">YEAR(F585)</f>
        <v>2001</v>
      </c>
      <c r="F585" s="170">
        <v>37012</v>
      </c>
      <c r="G585" s="171">
        <v>5.92</v>
      </c>
      <c r="J585" s="170">
        <v>38282</v>
      </c>
      <c r="K585" s="171">
        <v>4.79</v>
      </c>
    </row>
    <row r="586" spans="1:11" x14ac:dyDescent="0.2">
      <c r="A586" s="175">
        <v>35053</v>
      </c>
      <c r="B586" s="176">
        <v>6.18</v>
      </c>
      <c r="C586" s="176"/>
      <c r="D586" s="176"/>
      <c r="E586" s="179">
        <f t="shared" si="9"/>
        <v>2001</v>
      </c>
      <c r="F586" s="170">
        <v>37043</v>
      </c>
      <c r="G586" s="171">
        <v>5.82</v>
      </c>
      <c r="J586" s="170">
        <v>38289</v>
      </c>
      <c r="K586" s="171">
        <v>4.79</v>
      </c>
    </row>
    <row r="587" spans="1:11" x14ac:dyDescent="0.2">
      <c r="A587" s="175">
        <v>35054</v>
      </c>
      <c r="B587" s="176">
        <v>6.19</v>
      </c>
      <c r="C587" s="176"/>
      <c r="D587" s="176"/>
      <c r="E587" s="179">
        <f t="shared" si="9"/>
        <v>2001</v>
      </c>
      <c r="F587" s="170">
        <v>37073</v>
      </c>
      <c r="G587" s="171">
        <v>5.75</v>
      </c>
      <c r="J587" s="170">
        <v>38296</v>
      </c>
      <c r="K587" s="171">
        <v>4.8499999999999996</v>
      </c>
    </row>
    <row r="588" spans="1:11" x14ac:dyDescent="0.2">
      <c r="A588" s="175">
        <v>35055</v>
      </c>
      <c r="B588" s="176">
        <v>6.12</v>
      </c>
      <c r="C588" s="176"/>
      <c r="D588" s="176"/>
      <c r="E588" s="179">
        <f t="shared" si="9"/>
        <v>2001</v>
      </c>
      <c r="F588" s="170">
        <v>37104</v>
      </c>
      <c r="G588" s="171">
        <v>5.58</v>
      </c>
      <c r="J588" s="170">
        <v>38303</v>
      </c>
      <c r="K588" s="171">
        <v>4.95</v>
      </c>
    </row>
    <row r="589" spans="1:11" x14ac:dyDescent="0.2">
      <c r="A589" s="175">
        <v>35058</v>
      </c>
      <c r="B589" s="176" t="e">
        <f>NA()</f>
        <v>#N/A</v>
      </c>
      <c r="C589" s="176"/>
      <c r="D589" s="176"/>
      <c r="E589" s="179">
        <f t="shared" si="9"/>
        <v>2001</v>
      </c>
      <c r="F589" s="170">
        <v>37135</v>
      </c>
      <c r="G589" s="171">
        <v>5.53</v>
      </c>
      <c r="J589" s="170">
        <v>38310</v>
      </c>
      <c r="K589" s="171">
        <v>4.88</v>
      </c>
    </row>
    <row r="590" spans="1:11" x14ac:dyDescent="0.2">
      <c r="A590" s="175">
        <v>35059</v>
      </c>
      <c r="B590" s="176">
        <v>6.1</v>
      </c>
      <c r="C590" s="176"/>
      <c r="D590" s="176"/>
      <c r="E590" s="179">
        <f t="shared" si="9"/>
        <v>2001</v>
      </c>
      <c r="F590" s="170">
        <v>37165</v>
      </c>
      <c r="G590" s="171">
        <v>5.34</v>
      </c>
      <c r="J590" s="170">
        <v>38317</v>
      </c>
      <c r="K590" s="171">
        <v>4.8600000000000003</v>
      </c>
    </row>
    <row r="591" spans="1:11" x14ac:dyDescent="0.2">
      <c r="A591" s="175">
        <v>35060</v>
      </c>
      <c r="B591" s="176">
        <v>6.07</v>
      </c>
      <c r="C591" s="176"/>
      <c r="D591" s="176"/>
      <c r="E591" s="179">
        <f t="shared" si="9"/>
        <v>2001</v>
      </c>
      <c r="F591" s="170">
        <v>37196</v>
      </c>
      <c r="G591" s="171">
        <v>5.33</v>
      </c>
      <c r="J591" s="170">
        <v>38324</v>
      </c>
      <c r="K591" s="171">
        <v>5.0199999999999996</v>
      </c>
    </row>
    <row r="592" spans="1:11" x14ac:dyDescent="0.2">
      <c r="A592" s="175">
        <v>35061</v>
      </c>
      <c r="B592" s="176">
        <v>6.04</v>
      </c>
      <c r="C592" s="176"/>
      <c r="D592" s="176"/>
      <c r="E592" s="179">
        <f t="shared" si="9"/>
        <v>2001</v>
      </c>
      <c r="F592" s="170">
        <v>37226</v>
      </c>
      <c r="G592" s="171">
        <v>5.76</v>
      </c>
      <c r="J592" s="170">
        <v>38331</v>
      </c>
      <c r="K592" s="171">
        <v>4.8600000000000003</v>
      </c>
    </row>
    <row r="593" spans="1:11" x14ac:dyDescent="0.2">
      <c r="A593" s="175">
        <v>35062</v>
      </c>
      <c r="B593" s="176">
        <v>6.01</v>
      </c>
      <c r="C593" s="176"/>
      <c r="D593" s="176"/>
      <c r="E593" s="179">
        <f t="shared" si="9"/>
        <v>2002</v>
      </c>
      <c r="F593" s="170">
        <v>37257</v>
      </c>
      <c r="G593" s="171">
        <v>5.69</v>
      </c>
      <c r="J593" s="170">
        <v>38338</v>
      </c>
      <c r="K593" s="171">
        <v>4.8</v>
      </c>
    </row>
    <row r="594" spans="1:11" x14ac:dyDescent="0.2">
      <c r="A594" s="175">
        <v>35065</v>
      </c>
      <c r="B594" s="176" t="e">
        <f>NA()</f>
        <v>#N/A</v>
      </c>
      <c r="C594" s="176"/>
      <c r="D594" s="176"/>
      <c r="E594" s="179">
        <f t="shared" si="9"/>
        <v>2002</v>
      </c>
      <c r="F594" s="170">
        <v>37288</v>
      </c>
      <c r="G594" s="171">
        <v>5.61</v>
      </c>
      <c r="J594" s="170">
        <v>38345</v>
      </c>
      <c r="K594" s="171">
        <v>4.84</v>
      </c>
    </row>
    <row r="595" spans="1:11" x14ac:dyDescent="0.2">
      <c r="A595" s="175">
        <v>35066</v>
      </c>
      <c r="B595" s="176">
        <v>6.03</v>
      </c>
      <c r="C595" s="176"/>
      <c r="D595" s="176"/>
      <c r="E595" s="179">
        <f t="shared" si="9"/>
        <v>2002</v>
      </c>
      <c r="F595" s="170">
        <v>37316</v>
      </c>
      <c r="G595" s="171">
        <v>5.93</v>
      </c>
      <c r="J595" s="170">
        <v>38352</v>
      </c>
      <c r="K595" s="171">
        <v>4.92</v>
      </c>
    </row>
    <row r="596" spans="1:11" x14ac:dyDescent="0.2">
      <c r="A596" s="175">
        <v>35067</v>
      </c>
      <c r="B596" s="176">
        <v>6.01</v>
      </c>
      <c r="C596" s="176"/>
      <c r="D596" s="176"/>
      <c r="E596" s="179">
        <f t="shared" si="9"/>
        <v>2002</v>
      </c>
      <c r="F596" s="170">
        <v>37347</v>
      </c>
      <c r="G596" s="171">
        <v>5.85</v>
      </c>
      <c r="J596" s="170">
        <v>38359</v>
      </c>
      <c r="K596" s="171">
        <v>4.88</v>
      </c>
    </row>
    <row r="597" spans="1:11" x14ac:dyDescent="0.2">
      <c r="A597" s="175">
        <v>35068</v>
      </c>
      <c r="B597" s="176">
        <v>6.08</v>
      </c>
      <c r="C597" s="176"/>
      <c r="D597" s="176"/>
      <c r="E597" s="179">
        <f t="shared" si="9"/>
        <v>2002</v>
      </c>
      <c r="F597" s="170">
        <v>37377</v>
      </c>
      <c r="G597" s="171">
        <v>5.81</v>
      </c>
      <c r="J597" s="170">
        <v>38366</v>
      </c>
      <c r="K597" s="171">
        <v>4.8</v>
      </c>
    </row>
    <row r="598" spans="1:11" x14ac:dyDescent="0.2">
      <c r="A598" s="175">
        <v>35069</v>
      </c>
      <c r="B598" s="176">
        <v>6.11</v>
      </c>
      <c r="C598" s="176"/>
      <c r="D598" s="176"/>
      <c r="E598" s="179">
        <f t="shared" si="9"/>
        <v>2002</v>
      </c>
      <c r="F598" s="170">
        <v>37408</v>
      </c>
      <c r="G598" s="171">
        <v>5.65</v>
      </c>
      <c r="J598" s="170">
        <v>38373</v>
      </c>
      <c r="K598" s="171">
        <v>4.71</v>
      </c>
    </row>
    <row r="599" spans="1:11" x14ac:dyDescent="0.2">
      <c r="A599" s="175">
        <v>35072</v>
      </c>
      <c r="B599" s="176">
        <v>6.1</v>
      </c>
      <c r="C599" s="176"/>
      <c r="D599" s="176"/>
      <c r="E599" s="179">
        <f t="shared" si="9"/>
        <v>2002</v>
      </c>
      <c r="F599" s="170">
        <v>37438</v>
      </c>
      <c r="G599" s="171">
        <v>5.51</v>
      </c>
      <c r="J599" s="170">
        <v>38380</v>
      </c>
      <c r="K599" s="171">
        <v>4.7</v>
      </c>
    </row>
    <row r="600" spans="1:11" x14ac:dyDescent="0.2">
      <c r="A600" s="175">
        <v>35073</v>
      </c>
      <c r="B600" s="176">
        <v>6.12</v>
      </c>
      <c r="C600" s="176"/>
      <c r="D600" s="176"/>
      <c r="E600" s="179">
        <f t="shared" si="9"/>
        <v>2002</v>
      </c>
      <c r="F600" s="170">
        <v>37469</v>
      </c>
      <c r="G600" s="171">
        <v>5.19</v>
      </c>
      <c r="J600" s="170">
        <v>38387</v>
      </c>
      <c r="K600" s="171">
        <v>4.62</v>
      </c>
    </row>
    <row r="601" spans="1:11" x14ac:dyDescent="0.2">
      <c r="A601" s="175">
        <v>35074</v>
      </c>
      <c r="B601" s="176">
        <v>6.23</v>
      </c>
      <c r="C601" s="176"/>
      <c r="D601" s="176"/>
      <c r="E601" s="179">
        <f t="shared" si="9"/>
        <v>2002</v>
      </c>
      <c r="F601" s="170">
        <v>37500</v>
      </c>
      <c r="G601" s="171">
        <v>4.87</v>
      </c>
      <c r="J601" s="170">
        <v>38394</v>
      </c>
      <c r="K601" s="171">
        <v>4.49</v>
      </c>
    </row>
    <row r="602" spans="1:11" x14ac:dyDescent="0.2">
      <c r="A602" s="175">
        <v>35075</v>
      </c>
      <c r="B602" s="176">
        <v>6.22</v>
      </c>
      <c r="C602" s="176"/>
      <c r="D602" s="176"/>
      <c r="E602" s="179">
        <f t="shared" si="9"/>
        <v>2002</v>
      </c>
      <c r="F602" s="170">
        <v>37530</v>
      </c>
      <c r="G602" s="171">
        <v>5</v>
      </c>
      <c r="J602" s="170">
        <v>38401</v>
      </c>
      <c r="K602" s="171">
        <v>4.6100000000000003</v>
      </c>
    </row>
    <row r="603" spans="1:11" x14ac:dyDescent="0.2">
      <c r="A603" s="175">
        <v>35076</v>
      </c>
      <c r="B603" s="176">
        <v>6.22</v>
      </c>
      <c r="C603" s="176"/>
      <c r="D603" s="176"/>
      <c r="E603" s="179">
        <f t="shared" si="9"/>
        <v>2002</v>
      </c>
      <c r="F603" s="170">
        <v>37561</v>
      </c>
      <c r="G603" s="171">
        <v>5.04</v>
      </c>
      <c r="J603" s="170">
        <v>38408</v>
      </c>
      <c r="K603" s="171">
        <v>4.74</v>
      </c>
    </row>
    <row r="604" spans="1:11" x14ac:dyDescent="0.2">
      <c r="A604" s="175">
        <v>35079</v>
      </c>
      <c r="B604" s="177" t="e">
        <f>NA()</f>
        <v>#N/A</v>
      </c>
      <c r="C604" s="177"/>
      <c r="D604" s="177"/>
      <c r="E604" s="179">
        <f t="shared" si="9"/>
        <v>2002</v>
      </c>
      <c r="F604" s="170">
        <v>37591</v>
      </c>
      <c r="G604" s="171">
        <v>5.01</v>
      </c>
      <c r="J604" s="170">
        <v>38415</v>
      </c>
      <c r="K604" s="171">
        <v>4.79</v>
      </c>
    </row>
    <row r="605" spans="1:11" x14ac:dyDescent="0.2">
      <c r="A605" s="175">
        <v>35080</v>
      </c>
      <c r="B605" s="176">
        <v>6.14</v>
      </c>
      <c r="C605" s="176"/>
      <c r="D605" s="176"/>
      <c r="E605" s="179">
        <f t="shared" si="9"/>
        <v>2003</v>
      </c>
      <c r="F605" s="170">
        <v>37622</v>
      </c>
      <c r="G605" s="171">
        <v>5.0199999999999996</v>
      </c>
      <c r="J605" s="170">
        <v>38422</v>
      </c>
      <c r="K605" s="171">
        <v>4.84</v>
      </c>
    </row>
    <row r="606" spans="1:11" x14ac:dyDescent="0.2">
      <c r="A606" s="175">
        <v>35081</v>
      </c>
      <c r="B606" s="176">
        <v>6.05</v>
      </c>
      <c r="C606" s="176"/>
      <c r="D606" s="176"/>
      <c r="E606" s="179">
        <f t="shared" si="9"/>
        <v>2003</v>
      </c>
      <c r="F606" s="170">
        <v>37653</v>
      </c>
      <c r="G606" s="171">
        <v>4.87</v>
      </c>
      <c r="J606" s="170">
        <v>38429</v>
      </c>
      <c r="K606" s="171">
        <v>4.91</v>
      </c>
    </row>
    <row r="607" spans="1:11" x14ac:dyDescent="0.2">
      <c r="A607" s="175">
        <v>35082</v>
      </c>
      <c r="B607" s="176">
        <v>6.03</v>
      </c>
      <c r="C607" s="176"/>
      <c r="D607" s="176"/>
      <c r="E607" s="179">
        <f t="shared" si="9"/>
        <v>2003</v>
      </c>
      <c r="F607" s="170">
        <v>37681</v>
      </c>
      <c r="G607" s="171">
        <v>4.82</v>
      </c>
      <c r="J607" s="170">
        <v>38436</v>
      </c>
      <c r="K607" s="171">
        <v>4.9800000000000004</v>
      </c>
    </row>
    <row r="608" spans="1:11" x14ac:dyDescent="0.2">
      <c r="A608" s="175">
        <v>35083</v>
      </c>
      <c r="B608" s="176">
        <v>6.02</v>
      </c>
      <c r="C608" s="176"/>
      <c r="D608" s="176"/>
      <c r="E608" s="179">
        <f t="shared" si="9"/>
        <v>2003</v>
      </c>
      <c r="F608" s="170">
        <v>37712</v>
      </c>
      <c r="G608" s="171">
        <v>4.91</v>
      </c>
      <c r="J608" s="170">
        <v>38443</v>
      </c>
      <c r="K608" s="171">
        <v>4.93</v>
      </c>
    </row>
    <row r="609" spans="1:11" x14ac:dyDescent="0.2">
      <c r="A609" s="175">
        <v>35086</v>
      </c>
      <c r="B609" s="176">
        <v>6.09</v>
      </c>
      <c r="C609" s="176"/>
      <c r="D609" s="176"/>
      <c r="E609" s="179">
        <f t="shared" si="9"/>
        <v>2003</v>
      </c>
      <c r="F609" s="170">
        <v>37742</v>
      </c>
      <c r="G609" s="171">
        <v>4.5199999999999996</v>
      </c>
      <c r="J609" s="170">
        <v>38450</v>
      </c>
      <c r="K609" s="171">
        <v>4.87</v>
      </c>
    </row>
    <row r="610" spans="1:11" x14ac:dyDescent="0.2">
      <c r="A610" s="175">
        <v>35087</v>
      </c>
      <c r="B610" s="176">
        <v>6.14</v>
      </c>
      <c r="C610" s="176"/>
      <c r="D610" s="176"/>
      <c r="E610" s="179">
        <f t="shared" si="9"/>
        <v>2003</v>
      </c>
      <c r="F610" s="170">
        <v>37773</v>
      </c>
      <c r="G610" s="171">
        <v>4.34</v>
      </c>
      <c r="J610" s="170">
        <v>38457</v>
      </c>
      <c r="K610" s="171">
        <v>4.79</v>
      </c>
    </row>
    <row r="611" spans="1:11" x14ac:dyDescent="0.2">
      <c r="A611" s="175">
        <v>35088</v>
      </c>
      <c r="B611" s="176">
        <v>6.08</v>
      </c>
      <c r="C611" s="176"/>
      <c r="D611" s="176"/>
      <c r="E611" s="179">
        <f t="shared" si="9"/>
        <v>2003</v>
      </c>
      <c r="F611" s="170">
        <v>37803</v>
      </c>
      <c r="G611" s="171">
        <v>4.92</v>
      </c>
      <c r="J611" s="170">
        <v>38464</v>
      </c>
      <c r="K611" s="171">
        <v>4.68</v>
      </c>
    </row>
    <row r="612" spans="1:11" x14ac:dyDescent="0.2">
      <c r="A612" s="175">
        <v>35089</v>
      </c>
      <c r="B612" s="176">
        <v>6.16</v>
      </c>
      <c r="C612" s="176"/>
      <c r="D612" s="176"/>
      <c r="E612" s="179">
        <f t="shared" si="9"/>
        <v>2003</v>
      </c>
      <c r="F612" s="170">
        <v>37834</v>
      </c>
      <c r="G612" s="171">
        <v>5.39</v>
      </c>
      <c r="J612" s="170">
        <v>38471</v>
      </c>
      <c r="K612" s="171">
        <v>4.6399999999999997</v>
      </c>
    </row>
    <row r="613" spans="1:11" x14ac:dyDescent="0.2">
      <c r="A613" s="175">
        <v>35090</v>
      </c>
      <c r="B613" s="176">
        <v>6.1</v>
      </c>
      <c r="C613" s="176"/>
      <c r="D613" s="176"/>
      <c r="E613" s="179">
        <f t="shared" si="9"/>
        <v>2003</v>
      </c>
      <c r="F613" s="170">
        <v>37865</v>
      </c>
      <c r="G613" s="171">
        <v>5.21</v>
      </c>
      <c r="J613" s="170">
        <v>38478</v>
      </c>
      <c r="K613" s="171">
        <v>4.6399999999999997</v>
      </c>
    </row>
    <row r="614" spans="1:11" x14ac:dyDescent="0.2">
      <c r="A614" s="175">
        <v>35093</v>
      </c>
      <c r="B614" s="176">
        <v>6.14</v>
      </c>
      <c r="C614" s="176"/>
      <c r="D614" s="176"/>
      <c r="E614" s="179">
        <f t="shared" si="9"/>
        <v>2003</v>
      </c>
      <c r="F614" s="170">
        <v>37895</v>
      </c>
      <c r="G614" s="171">
        <v>5.21</v>
      </c>
      <c r="J614" s="170">
        <v>38485</v>
      </c>
      <c r="K614" s="171">
        <v>4.62</v>
      </c>
    </row>
    <row r="615" spans="1:11" x14ac:dyDescent="0.2">
      <c r="A615" s="175">
        <v>35094</v>
      </c>
      <c r="B615" s="176">
        <v>6.08</v>
      </c>
      <c r="C615" s="176"/>
      <c r="D615" s="176"/>
      <c r="E615" s="179">
        <f t="shared" si="9"/>
        <v>2003</v>
      </c>
      <c r="F615" s="170">
        <v>37926</v>
      </c>
      <c r="G615" s="171">
        <v>5.17</v>
      </c>
      <c r="J615" s="170">
        <v>38492</v>
      </c>
      <c r="K615" s="171">
        <v>4.53</v>
      </c>
    </row>
    <row r="616" spans="1:11" x14ac:dyDescent="0.2">
      <c r="A616" s="175">
        <v>35095</v>
      </c>
      <c r="B616" s="176">
        <v>6.07</v>
      </c>
      <c r="C616" s="176"/>
      <c r="D616" s="176"/>
      <c r="E616" s="179">
        <f t="shared" si="9"/>
        <v>2003</v>
      </c>
      <c r="F616" s="170">
        <v>37956</v>
      </c>
      <c r="G616" s="171">
        <v>5.1100000000000003</v>
      </c>
      <c r="J616" s="170">
        <v>38499</v>
      </c>
      <c r="K616" s="171">
        <v>4.47</v>
      </c>
    </row>
    <row r="617" spans="1:11" x14ac:dyDescent="0.2">
      <c r="A617" s="175">
        <v>35096</v>
      </c>
      <c r="B617" s="176">
        <v>6.11</v>
      </c>
      <c r="C617" s="176"/>
      <c r="D617" s="176"/>
      <c r="E617" s="179"/>
      <c r="F617" s="170">
        <v>37987</v>
      </c>
      <c r="G617" s="171">
        <v>5.01</v>
      </c>
      <c r="J617" s="170">
        <v>38506</v>
      </c>
      <c r="K617" s="171">
        <v>4.33</v>
      </c>
    </row>
    <row r="618" spans="1:11" x14ac:dyDescent="0.2">
      <c r="A618" s="175">
        <v>35097</v>
      </c>
      <c r="B618" s="176">
        <v>6.16</v>
      </c>
      <c r="C618" s="176"/>
      <c r="D618" s="176"/>
      <c r="E618" s="179"/>
      <c r="F618" s="170">
        <v>38018</v>
      </c>
      <c r="G618" s="171">
        <v>4.9400000000000004</v>
      </c>
      <c r="J618" s="170">
        <v>38513</v>
      </c>
      <c r="K618" s="171">
        <v>4.3099999999999996</v>
      </c>
    </row>
    <row r="619" spans="1:11" x14ac:dyDescent="0.2">
      <c r="A619" s="175">
        <v>35100</v>
      </c>
      <c r="B619" s="176">
        <v>6.17</v>
      </c>
      <c r="C619" s="176"/>
      <c r="D619" s="176"/>
      <c r="E619" s="179"/>
      <c r="F619" s="170">
        <v>38047</v>
      </c>
      <c r="G619" s="171">
        <v>4.72</v>
      </c>
      <c r="J619" s="170">
        <v>38520</v>
      </c>
      <c r="K619" s="171">
        <v>4.46</v>
      </c>
    </row>
    <row r="620" spans="1:11" x14ac:dyDescent="0.2">
      <c r="A620" s="175">
        <v>35101</v>
      </c>
      <c r="B620" s="176">
        <v>6.15</v>
      </c>
      <c r="C620" s="176"/>
      <c r="D620" s="176"/>
      <c r="E620" s="179"/>
      <c r="F620" s="170">
        <v>38078</v>
      </c>
      <c r="G620" s="171">
        <v>5.16</v>
      </c>
      <c r="J620" s="170">
        <v>38527</v>
      </c>
      <c r="K620" s="171">
        <v>4.3499999999999996</v>
      </c>
    </row>
    <row r="621" spans="1:11" x14ac:dyDescent="0.2">
      <c r="A621" s="175">
        <v>35102</v>
      </c>
      <c r="B621" s="176">
        <v>6.17</v>
      </c>
      <c r="C621" s="176"/>
      <c r="D621" s="176"/>
      <c r="E621" s="179"/>
      <c r="F621" s="170">
        <v>38108</v>
      </c>
      <c r="G621" s="171">
        <v>5.46</v>
      </c>
      <c r="J621" s="170">
        <v>38534</v>
      </c>
      <c r="K621" s="171">
        <v>4.3099999999999996</v>
      </c>
    </row>
    <row r="622" spans="1:11" x14ac:dyDescent="0.2">
      <c r="A622" s="175">
        <v>35103</v>
      </c>
      <c r="B622" s="176">
        <v>6.17</v>
      </c>
      <c r="C622" s="176"/>
      <c r="D622" s="176"/>
      <c r="E622" s="179"/>
      <c r="F622" s="170">
        <v>38139</v>
      </c>
      <c r="G622" s="171">
        <v>5.45</v>
      </c>
      <c r="J622" s="170">
        <v>38541</v>
      </c>
      <c r="K622" s="171">
        <v>4.41</v>
      </c>
    </row>
    <row r="623" spans="1:11" x14ac:dyDescent="0.2">
      <c r="A623" s="175">
        <v>35104</v>
      </c>
      <c r="B623" s="176">
        <v>6.17</v>
      </c>
      <c r="C623" s="176"/>
      <c r="D623" s="176"/>
      <c r="E623" s="179">
        <f t="shared" si="9"/>
        <v>2004</v>
      </c>
      <c r="F623" s="170">
        <v>38169</v>
      </c>
      <c r="G623" s="171">
        <v>5.24</v>
      </c>
      <c r="J623" s="170">
        <v>38548</v>
      </c>
      <c r="K623" s="171">
        <v>4.46</v>
      </c>
    </row>
    <row r="624" spans="1:11" x14ac:dyDescent="0.2">
      <c r="A624" s="175">
        <v>35107</v>
      </c>
      <c r="B624" s="176">
        <v>6.1</v>
      </c>
      <c r="C624" s="176"/>
      <c r="D624" s="176"/>
      <c r="E624" s="179">
        <f t="shared" si="9"/>
        <v>2004</v>
      </c>
      <c r="F624" s="170">
        <v>38200</v>
      </c>
      <c r="G624" s="171">
        <v>5.07</v>
      </c>
      <c r="J624" s="170">
        <v>38555</v>
      </c>
      <c r="K624" s="171">
        <v>4.5199999999999996</v>
      </c>
    </row>
    <row r="625" spans="1:11" x14ac:dyDescent="0.2">
      <c r="A625" s="175">
        <v>35108</v>
      </c>
      <c r="B625" s="176">
        <v>6.08</v>
      </c>
      <c r="C625" s="176"/>
      <c r="D625" s="176"/>
      <c r="E625" s="179">
        <f t="shared" si="9"/>
        <v>2004</v>
      </c>
      <c r="F625" s="170">
        <v>38231</v>
      </c>
      <c r="G625" s="171">
        <v>4.8899999999999997</v>
      </c>
      <c r="J625" s="170">
        <v>38562</v>
      </c>
      <c r="K625" s="171">
        <v>4.53</v>
      </c>
    </row>
    <row r="626" spans="1:11" x14ac:dyDescent="0.2">
      <c r="A626" s="175">
        <v>35109</v>
      </c>
      <c r="B626" s="176">
        <v>6.13</v>
      </c>
      <c r="C626" s="176"/>
      <c r="D626" s="176"/>
      <c r="E626" s="179">
        <f t="shared" si="9"/>
        <v>2004</v>
      </c>
      <c r="F626" s="170">
        <v>38261</v>
      </c>
      <c r="G626" s="171">
        <v>4.8499999999999996</v>
      </c>
      <c r="J626" s="170">
        <v>38569</v>
      </c>
      <c r="K626" s="171">
        <v>4.6100000000000003</v>
      </c>
    </row>
    <row r="627" spans="1:11" x14ac:dyDescent="0.2">
      <c r="A627" s="175">
        <v>35110</v>
      </c>
      <c r="B627" s="176">
        <v>6.22</v>
      </c>
      <c r="C627" s="176"/>
      <c r="D627" s="176"/>
      <c r="E627" s="179">
        <f t="shared" si="9"/>
        <v>2004</v>
      </c>
      <c r="F627" s="170">
        <v>38292</v>
      </c>
      <c r="G627" s="171">
        <v>4.8899999999999997</v>
      </c>
      <c r="J627" s="170">
        <v>38576</v>
      </c>
      <c r="K627" s="171">
        <v>4.62</v>
      </c>
    </row>
    <row r="628" spans="1:11" x14ac:dyDescent="0.2">
      <c r="A628" s="175">
        <v>35111</v>
      </c>
      <c r="B628" s="176">
        <v>6.27</v>
      </c>
      <c r="C628" s="176"/>
      <c r="D628" s="176"/>
      <c r="E628" s="179">
        <f t="shared" si="9"/>
        <v>2004</v>
      </c>
      <c r="F628" s="170">
        <v>38322</v>
      </c>
      <c r="G628" s="171">
        <v>4.88</v>
      </c>
      <c r="J628" s="170">
        <v>38583</v>
      </c>
      <c r="K628" s="171">
        <v>4.5</v>
      </c>
    </row>
    <row r="629" spans="1:11" x14ac:dyDescent="0.2">
      <c r="A629" s="175">
        <v>35114</v>
      </c>
      <c r="B629" s="176" t="e">
        <f>NA()</f>
        <v>#N/A</v>
      </c>
      <c r="C629" s="176"/>
      <c r="D629" s="176"/>
      <c r="E629" s="179">
        <f t="shared" si="9"/>
        <v>2005</v>
      </c>
      <c r="F629" s="170">
        <v>38353</v>
      </c>
      <c r="G629" s="171">
        <v>4.7699999999999996</v>
      </c>
      <c r="J629" s="170">
        <v>38590</v>
      </c>
      <c r="K629" s="171">
        <v>4.46</v>
      </c>
    </row>
    <row r="630" spans="1:11" x14ac:dyDescent="0.2">
      <c r="A630" s="175">
        <v>35115</v>
      </c>
      <c r="B630" s="176">
        <v>6.45</v>
      </c>
      <c r="C630" s="176"/>
      <c r="D630" s="176"/>
      <c r="E630" s="179">
        <f t="shared" si="9"/>
        <v>2005</v>
      </c>
      <c r="F630" s="170">
        <v>38384</v>
      </c>
      <c r="G630" s="171">
        <v>4.6100000000000003</v>
      </c>
      <c r="J630" s="170">
        <v>38597</v>
      </c>
      <c r="K630" s="171">
        <v>4.3600000000000003</v>
      </c>
    </row>
    <row r="631" spans="1:11" x14ac:dyDescent="0.2">
      <c r="A631" s="175">
        <v>35116</v>
      </c>
      <c r="B631" s="176">
        <v>6.47</v>
      </c>
      <c r="C631" s="176"/>
      <c r="D631" s="176"/>
      <c r="E631" s="179">
        <f t="shared" si="9"/>
        <v>2005</v>
      </c>
      <c r="F631" s="170">
        <v>38412</v>
      </c>
      <c r="G631" s="171">
        <v>4.8899999999999997</v>
      </c>
      <c r="J631" s="170">
        <v>38604</v>
      </c>
      <c r="K631" s="171">
        <v>4.4400000000000004</v>
      </c>
    </row>
    <row r="632" spans="1:11" x14ac:dyDescent="0.2">
      <c r="A632" s="175">
        <v>35117</v>
      </c>
      <c r="B632" s="176">
        <v>6.43</v>
      </c>
      <c r="C632" s="176"/>
      <c r="D632" s="176"/>
      <c r="E632" s="179">
        <f t="shared" si="9"/>
        <v>2005</v>
      </c>
      <c r="F632" s="170">
        <v>38443</v>
      </c>
      <c r="G632" s="171">
        <v>4.75</v>
      </c>
      <c r="J632" s="170">
        <v>38611</v>
      </c>
      <c r="K632" s="171">
        <v>4.53</v>
      </c>
    </row>
    <row r="633" spans="1:11" x14ac:dyDescent="0.2">
      <c r="A633" s="175">
        <v>35118</v>
      </c>
      <c r="B633" s="176">
        <v>6.5</v>
      </c>
      <c r="C633" s="176"/>
      <c r="D633" s="176"/>
      <c r="E633" s="179">
        <f t="shared" si="9"/>
        <v>2005</v>
      </c>
      <c r="F633" s="170">
        <v>38473</v>
      </c>
      <c r="G633" s="171">
        <v>4.5599999999999996</v>
      </c>
      <c r="J633" s="170">
        <v>38618</v>
      </c>
      <c r="K633" s="171">
        <v>4.5599999999999996</v>
      </c>
    </row>
    <row r="634" spans="1:11" x14ac:dyDescent="0.2">
      <c r="A634" s="175">
        <v>35121</v>
      </c>
      <c r="B634" s="176">
        <v>6.54</v>
      </c>
      <c r="C634" s="176"/>
      <c r="D634" s="176"/>
      <c r="E634" s="179">
        <f t="shared" si="9"/>
        <v>2005</v>
      </c>
      <c r="F634" s="170">
        <v>38504</v>
      </c>
      <c r="G634" s="171">
        <v>4.3499999999999996</v>
      </c>
      <c r="J634" s="170">
        <v>38625</v>
      </c>
      <c r="K634" s="171">
        <v>4.59</v>
      </c>
    </row>
    <row r="635" spans="1:11" x14ac:dyDescent="0.2">
      <c r="A635" s="175">
        <v>35122</v>
      </c>
      <c r="B635" s="176">
        <v>6.56</v>
      </c>
      <c r="C635" s="176"/>
      <c r="D635" s="176"/>
      <c r="E635" s="179">
        <f t="shared" si="9"/>
        <v>2005</v>
      </c>
      <c r="F635" s="170">
        <v>38534</v>
      </c>
      <c r="G635" s="171">
        <v>4.4800000000000004</v>
      </c>
      <c r="J635" s="170">
        <v>38632</v>
      </c>
      <c r="K635" s="171">
        <v>4.6399999999999997</v>
      </c>
    </row>
    <row r="636" spans="1:11" x14ac:dyDescent="0.2">
      <c r="A636" s="175">
        <v>35123</v>
      </c>
      <c r="B636" s="176">
        <v>6.58</v>
      </c>
      <c r="C636" s="176"/>
      <c r="D636" s="176"/>
      <c r="E636" s="179">
        <f t="shared" si="9"/>
        <v>2005</v>
      </c>
      <c r="F636" s="170">
        <v>38565</v>
      </c>
      <c r="G636" s="171">
        <v>4.53</v>
      </c>
      <c r="J636" s="170">
        <v>38639</v>
      </c>
      <c r="K636" s="171">
        <v>4.72</v>
      </c>
    </row>
    <row r="637" spans="1:11" x14ac:dyDescent="0.2">
      <c r="A637" s="175">
        <v>35124</v>
      </c>
      <c r="B637" s="177">
        <v>6.57</v>
      </c>
      <c r="C637" s="177"/>
      <c r="D637" s="177"/>
      <c r="E637" s="179">
        <f t="shared" si="9"/>
        <v>2005</v>
      </c>
      <c r="F637" s="170">
        <v>38596</v>
      </c>
      <c r="G637" s="171">
        <v>4.51</v>
      </c>
      <c r="J637" s="170">
        <v>38646</v>
      </c>
      <c r="K637" s="171">
        <v>4.75</v>
      </c>
    </row>
    <row r="638" spans="1:11" x14ac:dyDescent="0.2">
      <c r="A638" s="175">
        <v>35125</v>
      </c>
      <c r="B638" s="176">
        <v>6.48</v>
      </c>
      <c r="C638" s="176"/>
      <c r="D638" s="176"/>
      <c r="E638" s="179">
        <f t="shared" si="9"/>
        <v>2005</v>
      </c>
      <c r="F638" s="170">
        <v>38626</v>
      </c>
      <c r="G638" s="171">
        <v>4.74</v>
      </c>
      <c r="J638" s="170">
        <v>38653</v>
      </c>
      <c r="K638" s="171">
        <v>4.82</v>
      </c>
    </row>
    <row r="639" spans="1:11" x14ac:dyDescent="0.2">
      <c r="A639" s="175">
        <v>35128</v>
      </c>
      <c r="B639" s="176">
        <v>6.43</v>
      </c>
      <c r="C639" s="176"/>
      <c r="D639" s="176"/>
      <c r="E639" s="179">
        <f t="shared" si="9"/>
        <v>2005</v>
      </c>
      <c r="F639" s="170">
        <v>38657</v>
      </c>
      <c r="G639" s="171">
        <v>4.83</v>
      </c>
      <c r="J639" s="170">
        <v>38660</v>
      </c>
      <c r="K639" s="171">
        <v>4.8899999999999997</v>
      </c>
    </row>
    <row r="640" spans="1:11" x14ac:dyDescent="0.2">
      <c r="A640" s="175">
        <v>35129</v>
      </c>
      <c r="B640" s="176">
        <v>6.48</v>
      </c>
      <c r="C640" s="176"/>
      <c r="D640" s="176"/>
      <c r="E640" s="179">
        <f t="shared" si="9"/>
        <v>2005</v>
      </c>
      <c r="F640" s="170">
        <v>38687</v>
      </c>
      <c r="G640" s="171">
        <v>4.7300000000000004</v>
      </c>
      <c r="J640" s="170">
        <v>38667</v>
      </c>
      <c r="K640" s="171">
        <v>4.8899999999999997</v>
      </c>
    </row>
    <row r="641" spans="1:11" x14ac:dyDescent="0.2">
      <c r="A641" s="175">
        <v>35130</v>
      </c>
      <c r="B641" s="176">
        <v>6.54</v>
      </c>
      <c r="C641" s="176"/>
      <c r="D641" s="176"/>
      <c r="E641" s="179">
        <f t="shared" si="9"/>
        <v>2006</v>
      </c>
      <c r="F641" s="170">
        <v>38718</v>
      </c>
      <c r="G641" s="171">
        <v>4.6500000000000004</v>
      </c>
      <c r="J641" s="170">
        <v>38674</v>
      </c>
      <c r="K641" s="171">
        <v>4.8099999999999996</v>
      </c>
    </row>
    <row r="642" spans="1:11" x14ac:dyDescent="0.2">
      <c r="A642" s="175">
        <v>35131</v>
      </c>
      <c r="B642" s="176">
        <v>6.56</v>
      </c>
      <c r="C642" s="176"/>
      <c r="D642" s="176"/>
      <c r="E642" s="179">
        <f t="shared" si="9"/>
        <v>2006</v>
      </c>
      <c r="F642" s="170">
        <v>38749</v>
      </c>
      <c r="G642" s="171">
        <v>4.7300000000000004</v>
      </c>
      <c r="J642" s="170">
        <v>38681</v>
      </c>
      <c r="K642" s="171">
        <v>4.7699999999999996</v>
      </c>
    </row>
    <row r="643" spans="1:11" x14ac:dyDescent="0.2">
      <c r="A643" s="175">
        <v>35132</v>
      </c>
      <c r="B643" s="176">
        <v>6.84</v>
      </c>
      <c r="C643" s="176"/>
      <c r="D643" s="176"/>
      <c r="E643" s="179">
        <f t="shared" si="9"/>
        <v>2006</v>
      </c>
      <c r="F643" s="170">
        <v>38777</v>
      </c>
      <c r="G643" s="171">
        <v>4.91</v>
      </c>
      <c r="J643" s="170">
        <v>38688</v>
      </c>
      <c r="K643" s="171">
        <v>4.79</v>
      </c>
    </row>
    <row r="644" spans="1:11" x14ac:dyDescent="0.2">
      <c r="A644" s="175">
        <v>35135</v>
      </c>
      <c r="B644" s="176">
        <v>6.76</v>
      </c>
      <c r="C644" s="176"/>
      <c r="D644" s="176"/>
      <c r="E644" s="179">
        <f t="shared" si="9"/>
        <v>2006</v>
      </c>
      <c r="F644" s="170">
        <v>38808</v>
      </c>
      <c r="G644" s="171">
        <v>5.22</v>
      </c>
      <c r="J644" s="170">
        <v>38695</v>
      </c>
      <c r="K644" s="171">
        <v>4.8</v>
      </c>
    </row>
    <row r="645" spans="1:11" x14ac:dyDescent="0.2">
      <c r="A645" s="175">
        <v>35136</v>
      </c>
      <c r="B645" s="176">
        <v>6.79</v>
      </c>
      <c r="C645" s="176"/>
      <c r="D645" s="176"/>
      <c r="E645" s="179">
        <f t="shared" si="9"/>
        <v>2006</v>
      </c>
      <c r="F645" s="170">
        <v>38838</v>
      </c>
      <c r="G645" s="171">
        <v>5.35</v>
      </c>
      <c r="J645" s="170">
        <v>38702</v>
      </c>
      <c r="K645" s="171">
        <v>4.7699999999999996</v>
      </c>
    </row>
    <row r="646" spans="1:11" x14ac:dyDescent="0.2">
      <c r="A646" s="175">
        <v>35137</v>
      </c>
      <c r="B646" s="176">
        <v>6.83</v>
      </c>
      <c r="C646" s="176"/>
      <c r="D646" s="176"/>
      <c r="E646" s="179">
        <f t="shared" si="9"/>
        <v>2006</v>
      </c>
      <c r="F646" s="170">
        <v>38869</v>
      </c>
      <c r="G646" s="171">
        <v>5.29</v>
      </c>
      <c r="J646" s="170">
        <v>38709</v>
      </c>
      <c r="K646" s="171">
        <v>4.71</v>
      </c>
    </row>
    <row r="647" spans="1:11" x14ac:dyDescent="0.2">
      <c r="A647" s="175">
        <v>35138</v>
      </c>
      <c r="B647" s="176">
        <v>6.83</v>
      </c>
      <c r="C647" s="176"/>
      <c r="D647" s="176"/>
      <c r="E647" s="179">
        <f t="shared" si="9"/>
        <v>2006</v>
      </c>
      <c r="F647" s="170">
        <v>38899</v>
      </c>
      <c r="G647" s="171">
        <v>5.25</v>
      </c>
      <c r="J647" s="170">
        <v>38716</v>
      </c>
      <c r="K647" s="171">
        <v>4.5999999999999996</v>
      </c>
    </row>
    <row r="648" spans="1:11" x14ac:dyDescent="0.2">
      <c r="A648" s="175">
        <v>35139</v>
      </c>
      <c r="B648" s="176">
        <v>6.9</v>
      </c>
      <c r="C648" s="176"/>
      <c r="D648" s="176"/>
      <c r="E648" s="179">
        <f t="shared" si="9"/>
        <v>2006</v>
      </c>
      <c r="F648" s="170">
        <v>38930</v>
      </c>
      <c r="G648" s="171">
        <v>5.08</v>
      </c>
      <c r="J648" s="170">
        <v>38723</v>
      </c>
      <c r="K648" s="171">
        <v>4.62</v>
      </c>
    </row>
    <row r="649" spans="1:11" x14ac:dyDescent="0.2">
      <c r="A649" s="175">
        <v>35142</v>
      </c>
      <c r="B649" s="176">
        <v>6.86</v>
      </c>
      <c r="C649" s="176"/>
      <c r="D649" s="176"/>
      <c r="E649" s="179">
        <f t="shared" ref="E649:E712" si="10">YEAR(F649)</f>
        <v>2006</v>
      </c>
      <c r="F649" s="170">
        <v>38961</v>
      </c>
      <c r="G649" s="171">
        <v>4.93</v>
      </c>
      <c r="J649" s="170">
        <v>38730</v>
      </c>
      <c r="K649" s="171">
        <v>4.6500000000000004</v>
      </c>
    </row>
    <row r="650" spans="1:11" x14ac:dyDescent="0.2">
      <c r="A650" s="175">
        <v>35143</v>
      </c>
      <c r="B650" s="176">
        <v>6.86</v>
      </c>
      <c r="C650" s="176"/>
      <c r="D650" s="176"/>
      <c r="E650" s="179">
        <f t="shared" si="10"/>
        <v>2006</v>
      </c>
      <c r="F650" s="170">
        <v>38991</v>
      </c>
      <c r="G650" s="171">
        <v>4.9400000000000004</v>
      </c>
      <c r="J650" s="170">
        <v>38737</v>
      </c>
      <c r="K650" s="171">
        <v>4.59</v>
      </c>
    </row>
    <row r="651" spans="1:11" x14ac:dyDescent="0.2">
      <c r="A651" s="175">
        <v>35144</v>
      </c>
      <c r="B651" s="176">
        <v>6.81</v>
      </c>
      <c r="C651" s="176"/>
      <c r="D651" s="176"/>
      <c r="E651" s="179">
        <f t="shared" si="10"/>
        <v>2006</v>
      </c>
      <c r="F651" s="170">
        <v>39022</v>
      </c>
      <c r="G651" s="171">
        <v>4.78</v>
      </c>
      <c r="J651" s="170">
        <v>38744</v>
      </c>
      <c r="K651" s="171">
        <v>4.6900000000000004</v>
      </c>
    </row>
    <row r="652" spans="1:11" x14ac:dyDescent="0.2">
      <c r="A652" s="175">
        <v>35145</v>
      </c>
      <c r="B652" s="176">
        <v>6.78</v>
      </c>
      <c r="C652" s="176"/>
      <c r="D652" s="176"/>
      <c r="E652" s="179">
        <f t="shared" si="10"/>
        <v>2006</v>
      </c>
      <c r="F652" s="170">
        <v>39052</v>
      </c>
      <c r="G652" s="171">
        <v>4.78</v>
      </c>
      <c r="J652" s="170">
        <v>38751</v>
      </c>
      <c r="K652" s="171">
        <v>4.75</v>
      </c>
    </row>
    <row r="653" spans="1:11" x14ac:dyDescent="0.2">
      <c r="A653" s="175">
        <v>35146</v>
      </c>
      <c r="B653" s="176">
        <v>6.8</v>
      </c>
      <c r="C653" s="176"/>
      <c r="D653" s="176"/>
      <c r="E653" s="179">
        <f t="shared" si="10"/>
        <v>2007</v>
      </c>
      <c r="F653" s="170">
        <v>39083</v>
      </c>
      <c r="G653" s="171">
        <v>4.95</v>
      </c>
      <c r="J653" s="170">
        <v>38758</v>
      </c>
      <c r="K653" s="171">
        <v>4.7300000000000004</v>
      </c>
    </row>
    <row r="654" spans="1:11" x14ac:dyDescent="0.2">
      <c r="A654" s="175">
        <v>35149</v>
      </c>
      <c r="B654" s="176">
        <v>6.74</v>
      </c>
      <c r="C654" s="176"/>
      <c r="D654" s="176"/>
      <c r="E654" s="179">
        <f t="shared" si="10"/>
        <v>2007</v>
      </c>
      <c r="F654" s="170">
        <v>39114</v>
      </c>
      <c r="G654" s="171">
        <v>4.93</v>
      </c>
      <c r="J654" s="170">
        <v>38765</v>
      </c>
      <c r="K654" s="171">
        <v>4.76</v>
      </c>
    </row>
    <row r="655" spans="1:11" x14ac:dyDescent="0.2">
      <c r="A655" s="175">
        <v>35150</v>
      </c>
      <c r="B655" s="176">
        <v>6.73</v>
      </c>
      <c r="C655" s="176"/>
      <c r="D655" s="176"/>
      <c r="E655" s="179">
        <f t="shared" si="10"/>
        <v>2007</v>
      </c>
      <c r="F655" s="170">
        <v>39142</v>
      </c>
      <c r="G655" s="171">
        <v>4.8099999999999996</v>
      </c>
      <c r="J655" s="170">
        <v>38772</v>
      </c>
      <c r="K655" s="171">
        <v>4.7</v>
      </c>
    </row>
    <row r="656" spans="1:11" x14ac:dyDescent="0.2">
      <c r="A656" s="175">
        <v>35151</v>
      </c>
      <c r="B656" s="176">
        <v>6.84</v>
      </c>
      <c r="C656" s="176"/>
      <c r="D656" s="176"/>
      <c r="E656" s="179">
        <f t="shared" si="10"/>
        <v>2007</v>
      </c>
      <c r="F656" s="170">
        <v>39173</v>
      </c>
      <c r="G656" s="171">
        <v>4.95</v>
      </c>
      <c r="J656" s="170">
        <v>38779</v>
      </c>
      <c r="K656" s="171">
        <v>4.76</v>
      </c>
    </row>
    <row r="657" spans="1:11" x14ac:dyDescent="0.2">
      <c r="A657" s="175">
        <v>35152</v>
      </c>
      <c r="B657" s="176">
        <v>6.9</v>
      </c>
      <c r="C657" s="176"/>
      <c r="D657" s="176"/>
      <c r="E657" s="179">
        <f t="shared" si="10"/>
        <v>2007</v>
      </c>
      <c r="F657" s="170">
        <v>39203</v>
      </c>
      <c r="G657" s="171">
        <v>4.9800000000000004</v>
      </c>
      <c r="J657" s="170">
        <v>38786</v>
      </c>
      <c r="K657" s="171">
        <v>4.91</v>
      </c>
    </row>
    <row r="658" spans="1:11" x14ac:dyDescent="0.2">
      <c r="A658" s="175">
        <v>35153</v>
      </c>
      <c r="B658" s="176">
        <v>6.83</v>
      </c>
      <c r="C658" s="176"/>
      <c r="D658" s="176"/>
      <c r="E658" s="179">
        <f t="shared" si="10"/>
        <v>2007</v>
      </c>
      <c r="F658" s="170">
        <v>39234</v>
      </c>
      <c r="G658" s="171">
        <v>5.29</v>
      </c>
      <c r="J658" s="170">
        <v>38793</v>
      </c>
      <c r="K658" s="171">
        <v>4.9000000000000004</v>
      </c>
    </row>
    <row r="659" spans="1:11" x14ac:dyDescent="0.2">
      <c r="A659" s="175">
        <v>35156</v>
      </c>
      <c r="B659" s="177">
        <v>6.82</v>
      </c>
      <c r="C659" s="177"/>
      <c r="D659" s="177"/>
      <c r="E659" s="179">
        <f t="shared" si="10"/>
        <v>2007</v>
      </c>
      <c r="F659" s="170">
        <v>39264</v>
      </c>
      <c r="G659" s="171">
        <v>5.19</v>
      </c>
      <c r="J659" s="170">
        <v>38800</v>
      </c>
      <c r="K659" s="171">
        <v>4.9000000000000004</v>
      </c>
    </row>
    <row r="660" spans="1:11" x14ac:dyDescent="0.2">
      <c r="A660" s="175">
        <v>35157</v>
      </c>
      <c r="B660" s="176">
        <v>6.77</v>
      </c>
      <c r="C660" s="176"/>
      <c r="D660" s="176"/>
      <c r="E660" s="179">
        <f t="shared" si="10"/>
        <v>2007</v>
      </c>
      <c r="F660" s="170">
        <v>39295</v>
      </c>
      <c r="G660" s="171">
        <v>5</v>
      </c>
      <c r="J660" s="170">
        <v>38807</v>
      </c>
      <c r="K660" s="171">
        <v>5.01</v>
      </c>
    </row>
    <row r="661" spans="1:11" x14ac:dyDescent="0.2">
      <c r="A661" s="175">
        <v>35158</v>
      </c>
      <c r="B661" s="176">
        <v>6.8</v>
      </c>
      <c r="C661" s="176"/>
      <c r="D661" s="176"/>
      <c r="E661" s="179">
        <f t="shared" si="10"/>
        <v>2007</v>
      </c>
      <c r="F661" s="170">
        <v>39326</v>
      </c>
      <c r="G661" s="171">
        <v>4.84</v>
      </c>
      <c r="J661" s="170">
        <v>38814</v>
      </c>
      <c r="K661" s="171">
        <v>5.1100000000000003</v>
      </c>
    </row>
    <row r="662" spans="1:11" x14ac:dyDescent="0.2">
      <c r="A662" s="175">
        <v>35159</v>
      </c>
      <c r="B662" s="176">
        <v>6.83</v>
      </c>
      <c r="C662" s="176"/>
      <c r="D662" s="176"/>
      <c r="E662" s="179">
        <f t="shared" si="10"/>
        <v>2007</v>
      </c>
      <c r="F662" s="170">
        <v>39356</v>
      </c>
      <c r="G662" s="171">
        <v>4.83</v>
      </c>
      <c r="J662" s="170">
        <v>38821</v>
      </c>
      <c r="K662" s="171">
        <v>5.22</v>
      </c>
    </row>
    <row r="663" spans="1:11" x14ac:dyDescent="0.2">
      <c r="A663" s="175">
        <v>35160</v>
      </c>
      <c r="B663" s="176">
        <v>7.01</v>
      </c>
      <c r="C663" s="176"/>
      <c r="D663" s="176"/>
      <c r="E663" s="179">
        <f t="shared" si="10"/>
        <v>2007</v>
      </c>
      <c r="F663" s="170">
        <v>39387</v>
      </c>
      <c r="G663" s="171">
        <v>4.5599999999999996</v>
      </c>
      <c r="J663" s="170">
        <v>38828</v>
      </c>
      <c r="K663" s="171">
        <v>5.26</v>
      </c>
    </row>
    <row r="664" spans="1:11" x14ac:dyDescent="0.2">
      <c r="A664" s="175">
        <v>35163</v>
      </c>
      <c r="B664" s="177">
        <v>7.07</v>
      </c>
      <c r="C664" s="177"/>
      <c r="D664" s="177"/>
      <c r="E664" s="179">
        <f t="shared" si="10"/>
        <v>2007</v>
      </c>
      <c r="F664" s="170">
        <v>39417</v>
      </c>
      <c r="G664" s="171">
        <v>4.57</v>
      </c>
      <c r="J664" s="170">
        <v>38835</v>
      </c>
      <c r="K664" s="171">
        <v>5.3</v>
      </c>
    </row>
    <row r="665" spans="1:11" x14ac:dyDescent="0.2">
      <c r="A665" s="175">
        <v>35164</v>
      </c>
      <c r="B665" s="176">
        <v>7.04</v>
      </c>
      <c r="C665" s="176"/>
      <c r="D665" s="176"/>
      <c r="E665" s="179">
        <f t="shared" si="10"/>
        <v>2008</v>
      </c>
      <c r="F665" s="170">
        <v>39448</v>
      </c>
      <c r="G665" s="171">
        <v>4.3499999999999996</v>
      </c>
      <c r="J665" s="170">
        <v>38842</v>
      </c>
      <c r="K665" s="171">
        <v>5.37</v>
      </c>
    </row>
    <row r="666" spans="1:11" x14ac:dyDescent="0.2">
      <c r="A666" s="175">
        <v>35165</v>
      </c>
      <c r="B666" s="176">
        <v>7.1</v>
      </c>
      <c r="C666" s="176"/>
      <c r="D666" s="176"/>
      <c r="E666" s="179">
        <f t="shared" si="10"/>
        <v>2008</v>
      </c>
      <c r="F666" s="170">
        <v>39479</v>
      </c>
      <c r="G666" s="171">
        <v>4.49</v>
      </c>
      <c r="J666" s="170">
        <v>38849</v>
      </c>
      <c r="K666" s="171">
        <v>5.37</v>
      </c>
    </row>
    <row r="667" spans="1:11" x14ac:dyDescent="0.2">
      <c r="A667" s="175">
        <v>35166</v>
      </c>
      <c r="B667" s="176">
        <v>7.15</v>
      </c>
      <c r="C667" s="176"/>
      <c r="D667" s="176"/>
      <c r="E667" s="179">
        <f t="shared" si="10"/>
        <v>2008</v>
      </c>
      <c r="F667" s="170">
        <v>39508</v>
      </c>
      <c r="G667" s="171">
        <v>4.3600000000000003</v>
      </c>
      <c r="J667" s="170">
        <v>38856</v>
      </c>
      <c r="K667" s="171">
        <v>5.36</v>
      </c>
    </row>
    <row r="668" spans="1:11" x14ac:dyDescent="0.2">
      <c r="A668" s="175">
        <v>35167</v>
      </c>
      <c r="B668" s="176">
        <v>7</v>
      </c>
      <c r="C668" s="176"/>
      <c r="D668" s="176"/>
      <c r="E668" s="179">
        <f t="shared" si="10"/>
        <v>2008</v>
      </c>
      <c r="F668" s="170">
        <v>39539</v>
      </c>
      <c r="G668" s="171">
        <v>4.4400000000000004</v>
      </c>
      <c r="J668" s="170">
        <v>38863</v>
      </c>
      <c r="K668" s="171">
        <v>5.29</v>
      </c>
    </row>
    <row r="669" spans="1:11" x14ac:dyDescent="0.2">
      <c r="A669" s="175">
        <v>35170</v>
      </c>
      <c r="B669" s="176">
        <v>6.98</v>
      </c>
      <c r="C669" s="176"/>
      <c r="D669" s="176"/>
      <c r="E669" s="179">
        <f t="shared" si="10"/>
        <v>2008</v>
      </c>
      <c r="F669" s="170">
        <v>39569</v>
      </c>
      <c r="G669" s="171">
        <v>4.5999999999999996</v>
      </c>
      <c r="J669" s="170">
        <v>38870</v>
      </c>
      <c r="K669" s="171">
        <v>5.32</v>
      </c>
    </row>
    <row r="670" spans="1:11" x14ac:dyDescent="0.2">
      <c r="A670" s="175">
        <v>35171</v>
      </c>
      <c r="B670" s="176">
        <v>6.95</v>
      </c>
      <c r="C670" s="176"/>
      <c r="D670" s="176"/>
      <c r="E670" s="179">
        <f t="shared" si="10"/>
        <v>2008</v>
      </c>
      <c r="F670" s="170">
        <v>39600</v>
      </c>
      <c r="G670" s="171">
        <v>4.74</v>
      </c>
      <c r="J670" s="170">
        <v>38877</v>
      </c>
      <c r="K670" s="171">
        <v>5.21</v>
      </c>
    </row>
    <row r="671" spans="1:11" x14ac:dyDescent="0.2">
      <c r="A671" s="175">
        <v>35172</v>
      </c>
      <c r="B671" s="176">
        <v>6.99</v>
      </c>
      <c r="C671" s="176"/>
      <c r="D671" s="176"/>
      <c r="E671" s="179">
        <f t="shared" si="10"/>
        <v>2008</v>
      </c>
      <c r="F671" s="170">
        <v>39630</v>
      </c>
      <c r="G671" s="171">
        <v>4.62</v>
      </c>
      <c r="J671" s="170">
        <v>38884</v>
      </c>
      <c r="K671" s="171">
        <v>5.23</v>
      </c>
    </row>
    <row r="672" spans="1:11" x14ac:dyDescent="0.2">
      <c r="A672" s="175">
        <v>35173</v>
      </c>
      <c r="B672" s="176">
        <v>7.02</v>
      </c>
      <c r="C672" s="176"/>
      <c r="D672" s="176"/>
      <c r="E672" s="179">
        <f t="shared" si="10"/>
        <v>2008</v>
      </c>
      <c r="F672" s="170">
        <v>39661</v>
      </c>
      <c r="G672" s="171">
        <v>4.53</v>
      </c>
      <c r="J672" s="170">
        <v>38891</v>
      </c>
      <c r="K672" s="171">
        <v>5.35</v>
      </c>
    </row>
    <row r="673" spans="1:11" x14ac:dyDescent="0.2">
      <c r="A673" s="175">
        <v>35174</v>
      </c>
      <c r="B673" s="176">
        <v>7</v>
      </c>
      <c r="C673" s="176"/>
      <c r="D673" s="176"/>
      <c r="E673" s="179">
        <f t="shared" si="10"/>
        <v>2008</v>
      </c>
      <c r="F673" s="170">
        <v>39692</v>
      </c>
      <c r="G673" s="171">
        <v>4.32</v>
      </c>
      <c r="J673" s="170">
        <v>38898</v>
      </c>
      <c r="K673" s="171">
        <v>5.38</v>
      </c>
    </row>
    <row r="674" spans="1:11" x14ac:dyDescent="0.2">
      <c r="A674" s="175">
        <v>35177</v>
      </c>
      <c r="B674" s="177">
        <v>6.95</v>
      </c>
      <c r="C674" s="177"/>
      <c r="D674" s="177"/>
      <c r="E674" s="179">
        <f t="shared" si="10"/>
        <v>2008</v>
      </c>
      <c r="F674" s="170">
        <v>39722</v>
      </c>
      <c r="G674" s="171">
        <v>4.45</v>
      </c>
      <c r="J674" s="170">
        <v>38905</v>
      </c>
      <c r="K674" s="171">
        <v>5.34</v>
      </c>
    </row>
    <row r="675" spans="1:11" x14ac:dyDescent="0.2">
      <c r="A675" s="175">
        <v>35178</v>
      </c>
      <c r="B675" s="176">
        <v>6.97</v>
      </c>
      <c r="C675" s="176"/>
      <c r="D675" s="176"/>
      <c r="E675" s="179">
        <f t="shared" si="10"/>
        <v>2008</v>
      </c>
      <c r="F675" s="170">
        <v>39753</v>
      </c>
      <c r="G675" s="171">
        <v>4.2699999999999996</v>
      </c>
      <c r="J675" s="170">
        <v>38912</v>
      </c>
      <c r="K675" s="171">
        <v>5.25</v>
      </c>
    </row>
    <row r="676" spans="1:11" x14ac:dyDescent="0.2">
      <c r="A676" s="175">
        <v>35179</v>
      </c>
      <c r="B676" s="176">
        <v>7.01</v>
      </c>
      <c r="C676" s="176"/>
      <c r="D676" s="176"/>
      <c r="E676" s="179">
        <f t="shared" si="10"/>
        <v>2008</v>
      </c>
      <c r="F676" s="170">
        <v>39783</v>
      </c>
      <c r="G676" s="171">
        <v>3.18</v>
      </c>
      <c r="J676" s="170">
        <v>38919</v>
      </c>
      <c r="K676" s="171">
        <v>5.23</v>
      </c>
    </row>
    <row r="677" spans="1:11" x14ac:dyDescent="0.2">
      <c r="A677" s="175">
        <v>35180</v>
      </c>
      <c r="B677" s="176">
        <v>7.01</v>
      </c>
      <c r="C677" s="176"/>
      <c r="D677" s="176"/>
      <c r="E677" s="179">
        <f t="shared" si="10"/>
        <v>2009</v>
      </c>
      <c r="F677" s="170">
        <v>39814</v>
      </c>
      <c r="G677" s="171">
        <v>3.46</v>
      </c>
      <c r="J677" s="170">
        <v>38926</v>
      </c>
      <c r="K677" s="171">
        <v>5.21</v>
      </c>
    </row>
    <row r="678" spans="1:11" x14ac:dyDescent="0.2">
      <c r="A678" s="175">
        <v>35181</v>
      </c>
      <c r="B678" s="176">
        <v>6.96</v>
      </c>
      <c r="C678" s="176"/>
      <c r="D678" s="176"/>
      <c r="E678" s="179">
        <f t="shared" si="10"/>
        <v>2009</v>
      </c>
      <c r="F678" s="170">
        <v>39845</v>
      </c>
      <c r="G678" s="171">
        <v>3.83</v>
      </c>
      <c r="J678" s="170">
        <v>38933</v>
      </c>
      <c r="K678" s="171">
        <v>5.14</v>
      </c>
    </row>
    <row r="679" spans="1:11" x14ac:dyDescent="0.2">
      <c r="A679" s="175">
        <v>35184</v>
      </c>
      <c r="B679" s="176">
        <v>7</v>
      </c>
      <c r="C679" s="176"/>
      <c r="D679" s="176"/>
      <c r="E679" s="179">
        <f t="shared" si="10"/>
        <v>2009</v>
      </c>
      <c r="F679" s="170">
        <v>39873</v>
      </c>
      <c r="G679" s="171">
        <v>3.78</v>
      </c>
      <c r="J679" s="170">
        <v>38940</v>
      </c>
      <c r="K679" s="171">
        <v>5.13</v>
      </c>
    </row>
    <row r="680" spans="1:11" x14ac:dyDescent="0.2">
      <c r="A680" s="175">
        <v>35185</v>
      </c>
      <c r="B680" s="176">
        <v>7.06</v>
      </c>
      <c r="C680" s="176"/>
      <c r="D680" s="176"/>
      <c r="E680" s="179">
        <f t="shared" si="10"/>
        <v>2009</v>
      </c>
      <c r="F680" s="170">
        <v>39904</v>
      </c>
      <c r="G680" s="171">
        <v>3.84</v>
      </c>
      <c r="J680" s="170">
        <v>38947</v>
      </c>
      <c r="K680" s="171">
        <v>5.1100000000000003</v>
      </c>
    </row>
    <row r="681" spans="1:11" x14ac:dyDescent="0.2">
      <c r="A681" s="175">
        <v>35186</v>
      </c>
      <c r="B681" s="176">
        <v>7.08</v>
      </c>
      <c r="C681" s="176"/>
      <c r="D681" s="176"/>
      <c r="E681" s="179">
        <f t="shared" si="10"/>
        <v>2009</v>
      </c>
      <c r="F681" s="170">
        <v>39934</v>
      </c>
      <c r="G681" s="171">
        <v>4.22</v>
      </c>
      <c r="J681" s="170">
        <v>38954</v>
      </c>
      <c r="K681" s="171">
        <v>5.03</v>
      </c>
    </row>
    <row r="682" spans="1:11" x14ac:dyDescent="0.2">
      <c r="A682" s="175">
        <v>35187</v>
      </c>
      <c r="B682" s="176">
        <v>7.21</v>
      </c>
      <c r="C682" s="176"/>
      <c r="D682" s="176"/>
      <c r="E682" s="179">
        <f t="shared" si="10"/>
        <v>2009</v>
      </c>
      <c r="F682" s="170">
        <v>39965</v>
      </c>
      <c r="G682" s="171">
        <v>4.51</v>
      </c>
      <c r="J682" s="170">
        <v>38961</v>
      </c>
      <c r="K682" s="171">
        <v>4.9800000000000004</v>
      </c>
    </row>
    <row r="683" spans="1:11" x14ac:dyDescent="0.2">
      <c r="A683" s="175">
        <v>35188</v>
      </c>
      <c r="B683" s="176">
        <v>7.29</v>
      </c>
      <c r="C683" s="176"/>
      <c r="D683" s="176"/>
      <c r="E683" s="179">
        <f t="shared" si="10"/>
        <v>2009</v>
      </c>
      <c r="F683" s="170">
        <v>39995</v>
      </c>
      <c r="G683" s="171">
        <v>4.38</v>
      </c>
      <c r="J683" s="170">
        <v>38968</v>
      </c>
      <c r="K683" s="171">
        <v>5.01</v>
      </c>
    </row>
    <row r="684" spans="1:11" x14ac:dyDescent="0.2">
      <c r="A684" s="175">
        <v>35191</v>
      </c>
      <c r="B684" s="176">
        <v>7.25</v>
      </c>
      <c r="C684" s="176"/>
      <c r="D684" s="176"/>
      <c r="E684" s="179">
        <f t="shared" si="10"/>
        <v>2009</v>
      </c>
      <c r="F684" s="170">
        <v>40026</v>
      </c>
      <c r="G684" s="171">
        <v>4.33</v>
      </c>
      <c r="J684" s="170">
        <v>38975</v>
      </c>
      <c r="K684" s="171">
        <v>4.99</v>
      </c>
    </row>
    <row r="685" spans="1:11" x14ac:dyDescent="0.2">
      <c r="A685" s="175">
        <v>35192</v>
      </c>
      <c r="B685" s="176">
        <v>7.27</v>
      </c>
      <c r="C685" s="176"/>
      <c r="D685" s="176"/>
      <c r="E685" s="179">
        <f t="shared" si="10"/>
        <v>2009</v>
      </c>
      <c r="F685" s="170">
        <v>40057</v>
      </c>
      <c r="G685" s="171">
        <v>4.1399999999999997</v>
      </c>
      <c r="J685" s="170">
        <v>38982</v>
      </c>
      <c r="K685" s="171">
        <v>4.91</v>
      </c>
    </row>
    <row r="686" spans="1:11" x14ac:dyDescent="0.2">
      <c r="A686" s="175">
        <v>35193</v>
      </c>
      <c r="B686" s="176">
        <v>7.19</v>
      </c>
      <c r="C686" s="176"/>
      <c r="D686" s="176"/>
      <c r="E686" s="179">
        <f t="shared" si="10"/>
        <v>2009</v>
      </c>
      <c r="F686" s="170">
        <v>40087</v>
      </c>
      <c r="G686" s="171">
        <v>4.16</v>
      </c>
      <c r="J686" s="170">
        <v>38989</v>
      </c>
      <c r="K686" s="171">
        <v>4.8099999999999996</v>
      </c>
    </row>
    <row r="687" spans="1:11" x14ac:dyDescent="0.2">
      <c r="A687" s="175">
        <v>35194</v>
      </c>
      <c r="B687" s="176">
        <v>7.21</v>
      </c>
      <c r="C687" s="176"/>
      <c r="D687" s="176"/>
      <c r="E687" s="179">
        <f t="shared" si="10"/>
        <v>2009</v>
      </c>
      <c r="F687" s="170">
        <v>40118</v>
      </c>
      <c r="G687" s="171">
        <v>4.24</v>
      </c>
      <c r="J687" s="170">
        <v>38996</v>
      </c>
      <c r="K687" s="171">
        <v>4.84</v>
      </c>
    </row>
    <row r="688" spans="1:11" x14ac:dyDescent="0.2">
      <c r="A688" s="175">
        <v>35195</v>
      </c>
      <c r="B688" s="176">
        <v>7.12</v>
      </c>
      <c r="C688" s="176"/>
      <c r="D688" s="176"/>
      <c r="E688" s="179">
        <f t="shared" si="10"/>
        <v>2009</v>
      </c>
      <c r="F688" s="170">
        <v>40148</v>
      </c>
      <c r="G688" s="171">
        <v>4.4000000000000004</v>
      </c>
      <c r="J688" s="170">
        <v>39003</v>
      </c>
      <c r="K688" s="171">
        <v>4.99</v>
      </c>
    </row>
    <row r="689" spans="1:11" x14ac:dyDescent="0.2">
      <c r="A689" s="175">
        <v>35198</v>
      </c>
      <c r="B689" s="176">
        <v>7.09</v>
      </c>
      <c r="C689" s="176"/>
      <c r="D689" s="176"/>
      <c r="E689" s="179">
        <f t="shared" si="10"/>
        <v>2010</v>
      </c>
      <c r="F689" s="170">
        <v>40179</v>
      </c>
      <c r="G689" s="171">
        <v>4.5</v>
      </c>
      <c r="J689" s="170">
        <v>39010</v>
      </c>
      <c r="K689" s="171">
        <v>4.99</v>
      </c>
    </row>
    <row r="690" spans="1:11" x14ac:dyDescent="0.2">
      <c r="A690" s="175">
        <v>35199</v>
      </c>
      <c r="B690" s="176">
        <v>7.04</v>
      </c>
      <c r="C690" s="176"/>
      <c r="D690" s="176"/>
      <c r="E690" s="179">
        <f t="shared" si="10"/>
        <v>2010</v>
      </c>
      <c r="F690" s="170">
        <v>40210</v>
      </c>
      <c r="G690" s="171">
        <v>4.4800000000000004</v>
      </c>
      <c r="J690" s="170">
        <v>39017</v>
      </c>
      <c r="K690" s="171">
        <v>4.97</v>
      </c>
    </row>
    <row r="691" spans="1:11" x14ac:dyDescent="0.2">
      <c r="A691" s="175">
        <v>35200</v>
      </c>
      <c r="B691" s="176">
        <v>7.03</v>
      </c>
      <c r="C691" s="176"/>
      <c r="D691" s="176"/>
      <c r="E691" s="179">
        <f t="shared" si="10"/>
        <v>2010</v>
      </c>
      <c r="F691" s="170">
        <v>40238</v>
      </c>
      <c r="G691" s="171">
        <v>4.49</v>
      </c>
      <c r="J691" s="170">
        <v>39024</v>
      </c>
      <c r="K691" s="171">
        <v>4.83</v>
      </c>
    </row>
    <row r="692" spans="1:11" x14ac:dyDescent="0.2">
      <c r="A692" s="175">
        <v>35201</v>
      </c>
      <c r="B692" s="176">
        <v>7.08</v>
      </c>
      <c r="C692" s="176"/>
      <c r="D692" s="176"/>
      <c r="E692" s="179">
        <f t="shared" si="10"/>
        <v>2010</v>
      </c>
      <c r="F692" s="170">
        <v>40269</v>
      </c>
      <c r="G692" s="171">
        <v>4.53</v>
      </c>
      <c r="J692" s="170">
        <v>39031</v>
      </c>
      <c r="K692" s="171">
        <v>4.83</v>
      </c>
    </row>
    <row r="693" spans="1:11" x14ac:dyDescent="0.2">
      <c r="A693" s="175">
        <v>35202</v>
      </c>
      <c r="B693" s="176">
        <v>7.03</v>
      </c>
      <c r="C693" s="176"/>
      <c r="D693" s="176"/>
      <c r="E693" s="179">
        <f t="shared" si="10"/>
        <v>2010</v>
      </c>
      <c r="F693" s="170">
        <v>40299</v>
      </c>
      <c r="G693" s="171">
        <v>4.1100000000000003</v>
      </c>
      <c r="J693" s="170">
        <v>39038</v>
      </c>
      <c r="K693" s="171">
        <v>4.8</v>
      </c>
    </row>
    <row r="694" spans="1:11" x14ac:dyDescent="0.2">
      <c r="A694" s="175">
        <v>35205</v>
      </c>
      <c r="B694" s="176">
        <v>7.01</v>
      </c>
      <c r="C694" s="176"/>
      <c r="D694" s="176"/>
      <c r="E694" s="179">
        <f t="shared" si="10"/>
        <v>2010</v>
      </c>
      <c r="F694" s="170">
        <v>40330</v>
      </c>
      <c r="G694" s="171">
        <v>3.95</v>
      </c>
      <c r="J694" s="170">
        <v>39045</v>
      </c>
      <c r="K694" s="171">
        <v>4.76</v>
      </c>
    </row>
    <row r="695" spans="1:11" x14ac:dyDescent="0.2">
      <c r="A695" s="175">
        <v>35206</v>
      </c>
      <c r="B695" s="176">
        <v>7.04</v>
      </c>
      <c r="C695" s="176"/>
      <c r="D695" s="176"/>
      <c r="E695" s="179">
        <f t="shared" si="10"/>
        <v>2010</v>
      </c>
      <c r="F695" s="170">
        <v>40360</v>
      </c>
      <c r="G695" s="171">
        <v>3.8</v>
      </c>
      <c r="J695" s="170">
        <v>39052</v>
      </c>
      <c r="K695" s="171">
        <v>4.6900000000000004</v>
      </c>
    </row>
    <row r="696" spans="1:11" x14ac:dyDescent="0.2">
      <c r="A696" s="175">
        <v>35207</v>
      </c>
      <c r="B696" s="176">
        <v>6.99</v>
      </c>
      <c r="C696" s="176"/>
      <c r="D696" s="176"/>
      <c r="E696" s="179">
        <f t="shared" si="10"/>
        <v>2010</v>
      </c>
      <c r="F696" s="170">
        <v>40391</v>
      </c>
      <c r="G696" s="171">
        <v>3.52</v>
      </c>
      <c r="J696" s="170">
        <v>39059</v>
      </c>
      <c r="K696" s="171">
        <v>4.6900000000000004</v>
      </c>
    </row>
    <row r="697" spans="1:11" x14ac:dyDescent="0.2">
      <c r="A697" s="175">
        <v>35208</v>
      </c>
      <c r="B697" s="176">
        <v>7.05</v>
      </c>
      <c r="C697" s="176"/>
      <c r="D697" s="176"/>
      <c r="E697" s="179">
        <f t="shared" si="10"/>
        <v>2010</v>
      </c>
      <c r="F697" s="170">
        <v>40422</v>
      </c>
      <c r="G697" s="171">
        <v>3.47</v>
      </c>
      <c r="J697" s="170">
        <v>39066</v>
      </c>
      <c r="K697" s="171">
        <v>4.7699999999999996</v>
      </c>
    </row>
    <row r="698" spans="1:11" x14ac:dyDescent="0.2">
      <c r="A698" s="175">
        <v>35209</v>
      </c>
      <c r="B698" s="176">
        <v>7.01</v>
      </c>
      <c r="C698" s="176"/>
      <c r="D698" s="176"/>
      <c r="E698" s="179">
        <f t="shared" si="10"/>
        <v>2010</v>
      </c>
      <c r="F698" s="170">
        <v>40452</v>
      </c>
      <c r="G698" s="171">
        <v>3.52</v>
      </c>
      <c r="J698" s="170">
        <v>39073</v>
      </c>
      <c r="K698" s="171">
        <v>4.82</v>
      </c>
    </row>
    <row r="699" spans="1:11" x14ac:dyDescent="0.2">
      <c r="A699" s="175">
        <v>35212</v>
      </c>
      <c r="B699" s="177" t="e">
        <f>NA()</f>
        <v>#N/A</v>
      </c>
      <c r="C699" s="177"/>
      <c r="D699" s="177"/>
      <c r="E699" s="179">
        <f t="shared" si="10"/>
        <v>2010</v>
      </c>
      <c r="F699" s="170">
        <v>40483</v>
      </c>
      <c r="G699" s="171">
        <v>3.82</v>
      </c>
      <c r="J699" s="170">
        <v>39080</v>
      </c>
      <c r="K699" s="171">
        <v>4.88</v>
      </c>
    </row>
    <row r="700" spans="1:11" x14ac:dyDescent="0.2">
      <c r="A700" s="175">
        <v>35213</v>
      </c>
      <c r="B700" s="176">
        <v>7.02</v>
      </c>
      <c r="C700" s="176"/>
      <c r="D700" s="176"/>
      <c r="E700" s="179">
        <f t="shared" si="10"/>
        <v>2010</v>
      </c>
      <c r="F700" s="170">
        <v>40513</v>
      </c>
      <c r="G700" s="171">
        <v>4.17</v>
      </c>
      <c r="J700" s="170">
        <v>39087</v>
      </c>
      <c r="K700" s="171">
        <v>4.84</v>
      </c>
    </row>
    <row r="701" spans="1:11" x14ac:dyDescent="0.2">
      <c r="A701" s="175">
        <v>35214</v>
      </c>
      <c r="B701" s="176">
        <v>7.1</v>
      </c>
      <c r="C701" s="176"/>
      <c r="D701" s="176"/>
      <c r="E701" s="179">
        <f t="shared" si="10"/>
        <v>2011</v>
      </c>
      <c r="F701" s="170">
        <v>40544</v>
      </c>
      <c r="G701" s="171">
        <v>4.28</v>
      </c>
      <c r="J701" s="170">
        <v>39094</v>
      </c>
      <c r="K701" s="171">
        <v>4.88</v>
      </c>
    </row>
    <row r="702" spans="1:11" x14ac:dyDescent="0.2">
      <c r="A702" s="175">
        <v>35215</v>
      </c>
      <c r="B702" s="176">
        <v>7.08</v>
      </c>
      <c r="C702" s="176"/>
      <c r="D702" s="176"/>
      <c r="E702" s="179">
        <f t="shared" si="10"/>
        <v>2011</v>
      </c>
      <c r="F702" s="170">
        <v>40575</v>
      </c>
      <c r="G702" s="171">
        <v>4.42</v>
      </c>
      <c r="J702" s="170">
        <v>39101</v>
      </c>
      <c r="K702" s="171">
        <v>4.96</v>
      </c>
    </row>
    <row r="703" spans="1:11" x14ac:dyDescent="0.2">
      <c r="A703" s="175">
        <v>35216</v>
      </c>
      <c r="B703" s="176">
        <v>7.17</v>
      </c>
      <c r="C703" s="176"/>
      <c r="D703" s="176"/>
      <c r="E703" s="179">
        <f t="shared" si="10"/>
        <v>2011</v>
      </c>
      <c r="F703" s="170">
        <v>40603</v>
      </c>
      <c r="G703" s="171">
        <v>4.2699999999999996</v>
      </c>
      <c r="J703" s="170">
        <v>39108</v>
      </c>
      <c r="K703" s="171">
        <v>5.01</v>
      </c>
    </row>
    <row r="704" spans="1:11" x14ac:dyDescent="0.2">
      <c r="A704" s="175">
        <v>35219</v>
      </c>
      <c r="B704" s="176">
        <v>7.19</v>
      </c>
      <c r="C704" s="176"/>
      <c r="D704" s="176"/>
      <c r="E704" s="179">
        <f t="shared" si="10"/>
        <v>2011</v>
      </c>
      <c r="F704" s="170">
        <v>40634</v>
      </c>
      <c r="G704" s="171">
        <v>4.28</v>
      </c>
      <c r="J704" s="170">
        <v>39115</v>
      </c>
      <c r="K704" s="171">
        <v>5.04</v>
      </c>
    </row>
    <row r="705" spans="1:11" x14ac:dyDescent="0.2">
      <c r="A705" s="175">
        <v>35220</v>
      </c>
      <c r="B705" s="176">
        <v>7.18</v>
      </c>
      <c r="C705" s="176"/>
      <c r="D705" s="176"/>
      <c r="E705" s="179">
        <f t="shared" si="10"/>
        <v>2011</v>
      </c>
      <c r="F705" s="170">
        <v>40664</v>
      </c>
      <c r="G705" s="171">
        <v>4.01</v>
      </c>
      <c r="J705" s="170">
        <v>39122</v>
      </c>
      <c r="K705" s="171">
        <v>4.96</v>
      </c>
    </row>
    <row r="706" spans="1:11" x14ac:dyDescent="0.2">
      <c r="A706" s="175">
        <v>35221</v>
      </c>
      <c r="B706" s="176">
        <v>7.14</v>
      </c>
      <c r="C706" s="176"/>
      <c r="D706" s="176"/>
      <c r="E706" s="179">
        <f t="shared" si="10"/>
        <v>2011</v>
      </c>
      <c r="F706" s="170">
        <v>40695</v>
      </c>
      <c r="G706" s="171">
        <v>3.91</v>
      </c>
      <c r="J706" s="170">
        <v>39129</v>
      </c>
      <c r="K706" s="171">
        <v>4.95</v>
      </c>
    </row>
    <row r="707" spans="1:11" x14ac:dyDescent="0.2">
      <c r="A707" s="175">
        <v>35222</v>
      </c>
      <c r="B707" s="176">
        <v>7.08</v>
      </c>
      <c r="C707" s="176"/>
      <c r="D707" s="176"/>
      <c r="E707" s="179">
        <f t="shared" si="10"/>
        <v>2011</v>
      </c>
      <c r="F707" s="170">
        <v>40725</v>
      </c>
      <c r="G707" s="171">
        <v>3.95</v>
      </c>
      <c r="J707" s="170">
        <v>39136</v>
      </c>
      <c r="K707" s="171">
        <v>4.91</v>
      </c>
    </row>
    <row r="708" spans="1:11" x14ac:dyDescent="0.2">
      <c r="A708" s="175">
        <v>35223</v>
      </c>
      <c r="B708" s="176">
        <v>7.22</v>
      </c>
      <c r="C708" s="176"/>
      <c r="D708" s="176"/>
      <c r="E708" s="179">
        <f t="shared" si="10"/>
        <v>2011</v>
      </c>
      <c r="F708" s="170">
        <v>40756</v>
      </c>
      <c r="G708" s="171">
        <v>3.24</v>
      </c>
      <c r="J708" s="170">
        <v>39143</v>
      </c>
      <c r="K708" s="171">
        <v>4.78</v>
      </c>
    </row>
    <row r="709" spans="1:11" x14ac:dyDescent="0.2">
      <c r="A709" s="175">
        <v>35226</v>
      </c>
      <c r="B709" s="176">
        <v>7.28</v>
      </c>
      <c r="C709" s="176"/>
      <c r="D709" s="176"/>
      <c r="E709" s="179">
        <f t="shared" si="10"/>
        <v>2011</v>
      </c>
      <c r="F709" s="170">
        <v>40787</v>
      </c>
      <c r="G709" s="171">
        <v>2.83</v>
      </c>
      <c r="J709" s="170">
        <v>39150</v>
      </c>
      <c r="K709" s="171">
        <v>4.76</v>
      </c>
    </row>
    <row r="710" spans="1:11" x14ac:dyDescent="0.2">
      <c r="A710" s="175">
        <v>35227</v>
      </c>
      <c r="B710" s="176">
        <v>7.31</v>
      </c>
      <c r="C710" s="176"/>
      <c r="D710" s="176"/>
      <c r="E710" s="179">
        <f t="shared" si="10"/>
        <v>2011</v>
      </c>
      <c r="F710" s="170">
        <v>40817</v>
      </c>
      <c r="G710" s="171">
        <v>2.87</v>
      </c>
      <c r="J710" s="170">
        <v>39157</v>
      </c>
      <c r="K710" s="171">
        <v>4.78</v>
      </c>
    </row>
    <row r="711" spans="1:11" x14ac:dyDescent="0.2">
      <c r="A711" s="175">
        <v>35228</v>
      </c>
      <c r="B711" s="176">
        <v>7.35</v>
      </c>
      <c r="C711" s="176"/>
      <c r="D711" s="176"/>
      <c r="E711" s="179">
        <f t="shared" si="10"/>
        <v>2011</v>
      </c>
      <c r="F711" s="170">
        <v>40848</v>
      </c>
      <c r="G711" s="171">
        <v>2.72</v>
      </c>
      <c r="J711" s="170">
        <v>39164</v>
      </c>
      <c r="K711" s="171">
        <v>4.82</v>
      </c>
    </row>
    <row r="712" spans="1:11" x14ac:dyDescent="0.2">
      <c r="A712" s="175">
        <v>35229</v>
      </c>
      <c r="B712" s="176">
        <v>7.32</v>
      </c>
      <c r="C712" s="176"/>
      <c r="D712" s="176"/>
      <c r="E712" s="179">
        <f t="shared" si="10"/>
        <v>2011</v>
      </c>
      <c r="F712" s="170">
        <v>40878</v>
      </c>
      <c r="G712" s="171">
        <v>2.67</v>
      </c>
      <c r="J712" s="170">
        <v>39171</v>
      </c>
      <c r="K712" s="171">
        <v>4.8899999999999997</v>
      </c>
    </row>
    <row r="713" spans="1:11" x14ac:dyDescent="0.2">
      <c r="A713" s="175">
        <v>35230</v>
      </c>
      <c r="B713" s="176">
        <v>7.26</v>
      </c>
      <c r="C713" s="176"/>
      <c r="D713" s="176"/>
      <c r="E713" s="179">
        <f t="shared" ref="E713:E776" si="11">YEAR(F713)</f>
        <v>2012</v>
      </c>
      <c r="F713" s="170">
        <v>40909</v>
      </c>
      <c r="G713" s="171">
        <v>2.7</v>
      </c>
      <c r="J713" s="170">
        <v>39178</v>
      </c>
      <c r="K713" s="171">
        <v>4.9400000000000004</v>
      </c>
    </row>
    <row r="714" spans="1:11" x14ac:dyDescent="0.2">
      <c r="A714" s="175">
        <v>35233</v>
      </c>
      <c r="B714" s="176">
        <v>7.22</v>
      </c>
      <c r="C714" s="176"/>
      <c r="D714" s="176"/>
      <c r="E714" s="179">
        <f t="shared" si="11"/>
        <v>2012</v>
      </c>
      <c r="F714" s="170">
        <v>40940</v>
      </c>
      <c r="G714" s="171">
        <v>2.75</v>
      </c>
      <c r="J714" s="170">
        <v>39185</v>
      </c>
      <c r="K714" s="171">
        <v>5</v>
      </c>
    </row>
    <row r="715" spans="1:11" x14ac:dyDescent="0.2">
      <c r="A715" s="175">
        <v>35234</v>
      </c>
      <c r="B715" s="176">
        <v>7.25</v>
      </c>
      <c r="C715" s="176"/>
      <c r="D715" s="176"/>
      <c r="E715" s="179">
        <f t="shared" si="11"/>
        <v>2012</v>
      </c>
      <c r="F715" s="170">
        <v>40969</v>
      </c>
      <c r="G715" s="171">
        <v>2.94</v>
      </c>
      <c r="J715" s="170">
        <v>39192</v>
      </c>
      <c r="K715" s="171">
        <v>4.93</v>
      </c>
    </row>
    <row r="716" spans="1:11" x14ac:dyDescent="0.2">
      <c r="A716" s="175">
        <v>35235</v>
      </c>
      <c r="B716" s="176">
        <v>7.27</v>
      </c>
      <c r="C716" s="176"/>
      <c r="D716" s="176"/>
      <c r="E716" s="179">
        <f t="shared" si="11"/>
        <v>2012</v>
      </c>
      <c r="F716" s="170">
        <v>41000</v>
      </c>
      <c r="G716" s="171">
        <v>2.82</v>
      </c>
      <c r="J716" s="170">
        <v>39199</v>
      </c>
      <c r="K716" s="171">
        <v>4.92</v>
      </c>
    </row>
    <row r="717" spans="1:11" x14ac:dyDescent="0.2">
      <c r="A717" s="175">
        <v>35236</v>
      </c>
      <c r="B717" s="176">
        <v>7.27</v>
      </c>
      <c r="C717" s="176"/>
      <c r="D717" s="176"/>
      <c r="E717" s="179">
        <f t="shared" si="11"/>
        <v>2012</v>
      </c>
      <c r="F717" s="170">
        <v>41030</v>
      </c>
      <c r="G717" s="171">
        <v>2.5299999999999998</v>
      </c>
      <c r="J717" s="170">
        <v>39206</v>
      </c>
      <c r="K717" s="171">
        <v>4.8899999999999997</v>
      </c>
    </row>
    <row r="718" spans="1:11" x14ac:dyDescent="0.2">
      <c r="A718" s="175">
        <v>35237</v>
      </c>
      <c r="B718" s="176">
        <v>7.25</v>
      </c>
      <c r="C718" s="176"/>
      <c r="D718" s="176"/>
      <c r="E718" s="179">
        <f t="shared" si="11"/>
        <v>2012</v>
      </c>
      <c r="F718" s="170">
        <v>41061</v>
      </c>
      <c r="G718" s="171">
        <v>2.31</v>
      </c>
      <c r="J718" s="170">
        <v>39213</v>
      </c>
      <c r="K718" s="171">
        <v>4.8899999999999997</v>
      </c>
    </row>
    <row r="719" spans="1:11" x14ac:dyDescent="0.2">
      <c r="A719" s="175">
        <v>35240</v>
      </c>
      <c r="B719" s="176">
        <v>7.24</v>
      </c>
      <c r="C719" s="176"/>
      <c r="D719" s="176"/>
      <c r="E719" s="179">
        <f t="shared" si="11"/>
        <v>2012</v>
      </c>
      <c r="F719" s="170">
        <v>41091</v>
      </c>
      <c r="G719" s="171">
        <v>2.2200000000000002</v>
      </c>
      <c r="J719" s="170">
        <v>39220</v>
      </c>
      <c r="K719" s="171">
        <v>4.97</v>
      </c>
    </row>
    <row r="720" spans="1:11" x14ac:dyDescent="0.2">
      <c r="A720" s="175">
        <v>35241</v>
      </c>
      <c r="B720" s="176">
        <v>7.2</v>
      </c>
      <c r="C720" s="176"/>
      <c r="D720" s="176"/>
      <c r="E720" s="179">
        <f t="shared" si="11"/>
        <v>2012</v>
      </c>
      <c r="F720" s="170">
        <v>41122</v>
      </c>
      <c r="G720" s="171">
        <v>2.4</v>
      </c>
      <c r="J720" s="170">
        <v>39227</v>
      </c>
      <c r="K720" s="171">
        <v>5.07</v>
      </c>
    </row>
    <row r="721" spans="1:11" x14ac:dyDescent="0.2">
      <c r="A721" s="175">
        <v>35242</v>
      </c>
      <c r="B721" s="176">
        <v>7.19</v>
      </c>
      <c r="C721" s="176"/>
      <c r="D721" s="176"/>
      <c r="E721" s="179">
        <f t="shared" si="11"/>
        <v>2012</v>
      </c>
      <c r="F721" s="170">
        <v>41153</v>
      </c>
      <c r="G721" s="171">
        <v>2.4900000000000002</v>
      </c>
      <c r="J721" s="170">
        <v>39234</v>
      </c>
      <c r="K721" s="171">
        <v>5.1100000000000003</v>
      </c>
    </row>
    <row r="722" spans="1:11" x14ac:dyDescent="0.2">
      <c r="A722" s="175">
        <v>35243</v>
      </c>
      <c r="B722" s="176">
        <v>7.13</v>
      </c>
      <c r="C722" s="176"/>
      <c r="D722" s="176"/>
      <c r="E722" s="179">
        <f t="shared" si="11"/>
        <v>2012</v>
      </c>
      <c r="F722" s="170">
        <v>41183</v>
      </c>
      <c r="G722" s="171">
        <v>2.5099999999999998</v>
      </c>
      <c r="J722" s="170">
        <v>39241</v>
      </c>
      <c r="K722" s="171">
        <v>5.21</v>
      </c>
    </row>
    <row r="723" spans="1:11" x14ac:dyDescent="0.2">
      <c r="A723" s="175">
        <v>35244</v>
      </c>
      <c r="B723" s="176">
        <v>7.03</v>
      </c>
      <c r="C723" s="176"/>
      <c r="D723" s="176"/>
      <c r="E723" s="179">
        <f t="shared" si="11"/>
        <v>2012</v>
      </c>
      <c r="F723" s="170">
        <v>41214</v>
      </c>
      <c r="G723" s="171">
        <v>2.39</v>
      </c>
      <c r="J723" s="170">
        <v>39248</v>
      </c>
      <c r="K723" s="171">
        <v>5.37</v>
      </c>
    </row>
    <row r="724" spans="1:11" x14ac:dyDescent="0.2">
      <c r="A724" s="175">
        <v>35247</v>
      </c>
      <c r="B724" s="176">
        <v>7.03</v>
      </c>
      <c r="C724" s="176"/>
      <c r="D724" s="176"/>
      <c r="E724" s="179">
        <f t="shared" si="11"/>
        <v>2012</v>
      </c>
      <c r="F724" s="170">
        <v>41244</v>
      </c>
      <c r="G724" s="171">
        <v>2.4700000000000002</v>
      </c>
      <c r="J724" s="170">
        <v>39255</v>
      </c>
      <c r="K724" s="171">
        <v>5.33</v>
      </c>
    </row>
    <row r="725" spans="1:11" x14ac:dyDescent="0.2">
      <c r="A725" s="175">
        <v>35248</v>
      </c>
      <c r="B725" s="176">
        <v>7.06</v>
      </c>
      <c r="C725" s="176"/>
      <c r="D725" s="176"/>
      <c r="E725" s="179">
        <f t="shared" si="11"/>
        <v>2013</v>
      </c>
      <c r="F725" s="170">
        <v>41275</v>
      </c>
      <c r="G725" s="171">
        <v>2.68</v>
      </c>
      <c r="J725" s="170">
        <v>39262</v>
      </c>
      <c r="K725" s="171">
        <v>5.28</v>
      </c>
    </row>
    <row r="726" spans="1:11" x14ac:dyDescent="0.2">
      <c r="A726" s="175">
        <v>35249</v>
      </c>
      <c r="B726" s="176">
        <v>7.06</v>
      </c>
      <c r="C726" s="176"/>
      <c r="D726" s="176"/>
      <c r="E726" s="179">
        <f t="shared" si="11"/>
        <v>2013</v>
      </c>
      <c r="F726" s="170">
        <v>41306</v>
      </c>
      <c r="G726" s="171">
        <v>2.78</v>
      </c>
      <c r="J726" s="170">
        <v>39269</v>
      </c>
      <c r="K726" s="171">
        <v>5.27</v>
      </c>
    </row>
    <row r="727" spans="1:11" x14ac:dyDescent="0.2">
      <c r="A727" s="175">
        <v>35250</v>
      </c>
      <c r="B727" s="176" t="e">
        <f>NA()</f>
        <v>#N/A</v>
      </c>
      <c r="C727" s="176"/>
      <c r="D727" s="176"/>
      <c r="E727" s="179">
        <f t="shared" si="11"/>
        <v>2013</v>
      </c>
      <c r="F727" s="170">
        <v>41334</v>
      </c>
      <c r="G727" s="171">
        <v>2.78</v>
      </c>
      <c r="J727" s="170">
        <v>39276</v>
      </c>
      <c r="K727" s="171">
        <v>5.27</v>
      </c>
    </row>
    <row r="728" spans="1:11" x14ac:dyDescent="0.2">
      <c r="A728" s="175">
        <v>35251</v>
      </c>
      <c r="B728" s="176">
        <v>7.31</v>
      </c>
      <c r="C728" s="176"/>
      <c r="D728" s="176"/>
      <c r="E728" s="179">
        <f t="shared" si="11"/>
        <v>2013</v>
      </c>
      <c r="F728" s="170">
        <v>41365</v>
      </c>
      <c r="G728" s="171">
        <v>2.5499999999999998</v>
      </c>
      <c r="J728" s="170">
        <v>39283</v>
      </c>
      <c r="K728" s="171">
        <v>5.19</v>
      </c>
    </row>
    <row r="729" spans="1:11" x14ac:dyDescent="0.2">
      <c r="A729" s="175">
        <v>35254</v>
      </c>
      <c r="B729" s="176">
        <v>7.32</v>
      </c>
      <c r="C729" s="176"/>
      <c r="D729" s="176"/>
      <c r="E729" s="179">
        <f t="shared" si="11"/>
        <v>2013</v>
      </c>
      <c r="F729" s="170">
        <v>41395</v>
      </c>
      <c r="G729" s="171">
        <v>2.73</v>
      </c>
      <c r="J729" s="170">
        <v>39290</v>
      </c>
      <c r="K729" s="171">
        <v>5.09</v>
      </c>
    </row>
    <row r="730" spans="1:11" x14ac:dyDescent="0.2">
      <c r="A730" s="175">
        <v>35255</v>
      </c>
      <c r="B730" s="176">
        <v>7.27</v>
      </c>
      <c r="C730" s="176"/>
      <c r="D730" s="176"/>
      <c r="E730" s="179">
        <f t="shared" si="11"/>
        <v>2013</v>
      </c>
      <c r="F730" s="170">
        <v>41426</v>
      </c>
      <c r="G730" s="171">
        <v>3.07</v>
      </c>
      <c r="J730" s="170">
        <v>39297</v>
      </c>
      <c r="K730" s="171">
        <v>5</v>
      </c>
    </row>
    <row r="731" spans="1:11" x14ac:dyDescent="0.2">
      <c r="A731" s="175">
        <v>35256</v>
      </c>
      <c r="B731" s="176">
        <v>7.22</v>
      </c>
      <c r="C731" s="176"/>
      <c r="D731" s="176"/>
      <c r="E731" s="179">
        <f t="shared" si="11"/>
        <v>2013</v>
      </c>
      <c r="F731" s="170">
        <v>41456</v>
      </c>
      <c r="G731" s="171">
        <v>3.31</v>
      </c>
      <c r="J731" s="170">
        <v>39304</v>
      </c>
      <c r="K731" s="171">
        <v>5.0599999999999996</v>
      </c>
    </row>
    <row r="732" spans="1:11" x14ac:dyDescent="0.2">
      <c r="A732" s="175">
        <v>35257</v>
      </c>
      <c r="B732" s="176">
        <v>7.19</v>
      </c>
      <c r="C732" s="176"/>
      <c r="D732" s="176"/>
      <c r="E732" s="179">
        <f t="shared" si="11"/>
        <v>2013</v>
      </c>
      <c r="F732" s="170">
        <v>41487</v>
      </c>
      <c r="G732" s="171">
        <v>3.49</v>
      </c>
      <c r="J732" s="170">
        <v>39311</v>
      </c>
      <c r="K732" s="171">
        <v>5.05</v>
      </c>
    </row>
    <row r="733" spans="1:11" x14ac:dyDescent="0.2">
      <c r="A733" s="175">
        <v>35258</v>
      </c>
      <c r="B733" s="176">
        <v>7.15</v>
      </c>
      <c r="C733" s="176"/>
      <c r="D733" s="176"/>
      <c r="E733" s="179">
        <f t="shared" si="11"/>
        <v>2013</v>
      </c>
      <c r="F733" s="170">
        <v>41518</v>
      </c>
      <c r="G733" s="171">
        <v>3.53</v>
      </c>
      <c r="J733" s="170">
        <v>39318</v>
      </c>
      <c r="K733" s="171">
        <v>5</v>
      </c>
    </row>
    <row r="734" spans="1:11" x14ac:dyDescent="0.2">
      <c r="A734" s="175">
        <v>35261</v>
      </c>
      <c r="B734" s="176">
        <v>7.18</v>
      </c>
      <c r="C734" s="176"/>
      <c r="D734" s="176"/>
      <c r="E734" s="179">
        <f t="shared" si="11"/>
        <v>2013</v>
      </c>
      <c r="F734" s="170">
        <v>41548</v>
      </c>
      <c r="G734" s="171">
        <v>3.38</v>
      </c>
      <c r="J734" s="170">
        <v>39325</v>
      </c>
      <c r="K734" s="171">
        <v>4.9000000000000004</v>
      </c>
    </row>
    <row r="735" spans="1:11" x14ac:dyDescent="0.2">
      <c r="A735" s="175">
        <v>35262</v>
      </c>
      <c r="B735" s="176">
        <v>7.14</v>
      </c>
      <c r="C735" s="176"/>
      <c r="D735" s="176"/>
      <c r="E735" s="179">
        <f t="shared" si="11"/>
        <v>2013</v>
      </c>
      <c r="F735" s="170">
        <v>41579</v>
      </c>
      <c r="G735" s="171">
        <v>3.5</v>
      </c>
      <c r="J735" s="170">
        <v>39332</v>
      </c>
      <c r="K735" s="171">
        <v>4.82</v>
      </c>
    </row>
    <row r="736" spans="1:11" x14ac:dyDescent="0.2">
      <c r="A736" s="175">
        <v>35263</v>
      </c>
      <c r="B736" s="176">
        <v>7.14</v>
      </c>
      <c r="C736" s="176"/>
      <c r="D736" s="176"/>
      <c r="E736" s="179">
        <f t="shared" si="11"/>
        <v>2013</v>
      </c>
      <c r="F736" s="170">
        <v>41609</v>
      </c>
      <c r="G736" s="171">
        <v>3.63</v>
      </c>
      <c r="J736" s="170">
        <v>39339</v>
      </c>
      <c r="K736" s="171">
        <v>4.7300000000000004</v>
      </c>
    </row>
    <row r="737" spans="1:11" x14ac:dyDescent="0.2">
      <c r="A737" s="175">
        <v>35264</v>
      </c>
      <c r="B737" s="176">
        <v>7.02</v>
      </c>
      <c r="C737" s="176"/>
      <c r="D737" s="176"/>
      <c r="E737" s="179">
        <f t="shared" si="11"/>
        <v>2014</v>
      </c>
      <c r="F737" s="170">
        <v>41640</v>
      </c>
      <c r="G737" s="171">
        <v>3.52</v>
      </c>
      <c r="J737" s="170">
        <v>39346</v>
      </c>
      <c r="K737" s="171">
        <v>4.87</v>
      </c>
    </row>
    <row r="738" spans="1:11" x14ac:dyDescent="0.2">
      <c r="A738" s="175">
        <v>35265</v>
      </c>
      <c r="B738" s="176">
        <v>7.08</v>
      </c>
      <c r="C738" s="176"/>
      <c r="D738" s="176"/>
      <c r="E738" s="179">
        <f t="shared" si="11"/>
        <v>2014</v>
      </c>
      <c r="F738" s="170">
        <v>41671</v>
      </c>
      <c r="G738" s="171">
        <v>3.38</v>
      </c>
      <c r="J738" s="170">
        <v>39353</v>
      </c>
      <c r="K738" s="171">
        <v>4.92</v>
      </c>
    </row>
    <row r="739" spans="1:11" x14ac:dyDescent="0.2">
      <c r="A739" s="175">
        <v>35268</v>
      </c>
      <c r="B739" s="176">
        <v>7.12</v>
      </c>
      <c r="C739" s="176"/>
      <c r="D739" s="176"/>
      <c r="E739" s="179">
        <f t="shared" si="11"/>
        <v>2014</v>
      </c>
      <c r="F739" s="170">
        <v>41699</v>
      </c>
      <c r="G739" s="171">
        <v>3.35</v>
      </c>
      <c r="J739" s="170">
        <v>39360</v>
      </c>
      <c r="K739" s="171">
        <v>4.8600000000000003</v>
      </c>
    </row>
    <row r="740" spans="1:11" x14ac:dyDescent="0.2">
      <c r="A740" s="175">
        <v>35269</v>
      </c>
      <c r="B740" s="176">
        <v>7.08</v>
      </c>
      <c r="C740" s="176"/>
      <c r="D740" s="176"/>
      <c r="E740" s="179">
        <f t="shared" si="11"/>
        <v>2014</v>
      </c>
      <c r="F740" s="170">
        <v>41730</v>
      </c>
      <c r="G740" s="171">
        <v>3.27</v>
      </c>
      <c r="J740" s="170">
        <v>39367</v>
      </c>
      <c r="K740" s="171">
        <v>4.95</v>
      </c>
    </row>
    <row r="741" spans="1:11" x14ac:dyDescent="0.2">
      <c r="A741" s="175">
        <v>35270</v>
      </c>
      <c r="B741" s="176">
        <v>7.15</v>
      </c>
      <c r="C741" s="176"/>
      <c r="D741" s="176"/>
      <c r="E741" s="179">
        <f t="shared" si="11"/>
        <v>2014</v>
      </c>
      <c r="F741" s="170">
        <v>41760</v>
      </c>
      <c r="G741" s="171">
        <v>3.12</v>
      </c>
      <c r="J741" s="170">
        <v>39374</v>
      </c>
      <c r="K741" s="171">
        <v>4.88</v>
      </c>
    </row>
    <row r="742" spans="1:11" x14ac:dyDescent="0.2">
      <c r="A742" s="175">
        <v>35271</v>
      </c>
      <c r="B742" s="176">
        <v>7.14</v>
      </c>
      <c r="C742" s="176"/>
      <c r="D742" s="176"/>
      <c r="E742" s="179">
        <f t="shared" si="11"/>
        <v>2014</v>
      </c>
      <c r="F742" s="170">
        <v>41791</v>
      </c>
      <c r="G742" s="171">
        <v>3.15</v>
      </c>
      <c r="J742" s="170">
        <v>39381</v>
      </c>
      <c r="K742" s="171">
        <v>4.72</v>
      </c>
    </row>
    <row r="743" spans="1:11" x14ac:dyDescent="0.2">
      <c r="A743" s="175">
        <v>35272</v>
      </c>
      <c r="B743" s="176">
        <v>7.12</v>
      </c>
      <c r="C743" s="176"/>
      <c r="D743" s="176"/>
      <c r="E743" s="179">
        <f t="shared" si="11"/>
        <v>2014</v>
      </c>
      <c r="F743" s="170">
        <v>41821</v>
      </c>
      <c r="G743" s="171">
        <v>3.07</v>
      </c>
      <c r="J743" s="170">
        <v>39388</v>
      </c>
      <c r="K743" s="171">
        <v>4.71</v>
      </c>
    </row>
    <row r="744" spans="1:11" x14ac:dyDescent="0.2">
      <c r="A744" s="175">
        <v>35275</v>
      </c>
      <c r="B744" s="176">
        <v>7.19</v>
      </c>
      <c r="C744" s="176"/>
      <c r="D744" s="176"/>
      <c r="E744" s="179">
        <f t="shared" si="11"/>
        <v>2014</v>
      </c>
      <c r="F744" s="170">
        <v>41852</v>
      </c>
      <c r="G744" s="171">
        <v>2.94</v>
      </c>
      <c r="J744" s="170">
        <v>39395</v>
      </c>
      <c r="K744" s="171">
        <v>4.68</v>
      </c>
    </row>
    <row r="745" spans="1:11" x14ac:dyDescent="0.2">
      <c r="A745" s="175">
        <v>35276</v>
      </c>
      <c r="B745" s="176">
        <v>7.14</v>
      </c>
      <c r="C745" s="176"/>
      <c r="D745" s="176"/>
      <c r="E745" s="179">
        <f t="shared" si="11"/>
        <v>2014</v>
      </c>
      <c r="F745" s="170">
        <v>41883</v>
      </c>
      <c r="G745" s="171">
        <v>3.01</v>
      </c>
      <c r="J745" s="170">
        <v>39402</v>
      </c>
      <c r="K745" s="171">
        <v>4.6100000000000003</v>
      </c>
    </row>
    <row r="746" spans="1:11" x14ac:dyDescent="0.2">
      <c r="A746" s="175">
        <v>35277</v>
      </c>
      <c r="B746" s="176">
        <v>7.07</v>
      </c>
      <c r="C746" s="176"/>
      <c r="D746" s="176"/>
      <c r="E746" s="179">
        <f t="shared" si="11"/>
        <v>2014</v>
      </c>
      <c r="F746" s="170">
        <v>41913</v>
      </c>
      <c r="G746" s="171">
        <v>2.77</v>
      </c>
      <c r="J746" s="170">
        <v>39409</v>
      </c>
      <c r="K746" s="171">
        <v>4.49</v>
      </c>
    </row>
    <row r="747" spans="1:11" x14ac:dyDescent="0.2">
      <c r="A747" s="175">
        <v>35278</v>
      </c>
      <c r="B747" s="176">
        <v>6.94</v>
      </c>
      <c r="C747" s="176"/>
      <c r="D747" s="176"/>
      <c r="E747" s="179">
        <f t="shared" si="11"/>
        <v>2014</v>
      </c>
      <c r="F747" s="170">
        <v>41944</v>
      </c>
      <c r="G747" s="171">
        <v>2.76</v>
      </c>
      <c r="J747" s="170">
        <v>39416</v>
      </c>
      <c r="K747" s="171">
        <v>4.4000000000000004</v>
      </c>
    </row>
    <row r="748" spans="1:11" x14ac:dyDescent="0.2">
      <c r="A748" s="175">
        <v>35279</v>
      </c>
      <c r="B748" s="176">
        <v>6.83</v>
      </c>
      <c r="C748" s="176"/>
      <c r="D748" s="176"/>
      <c r="E748" s="179">
        <f t="shared" si="11"/>
        <v>2014</v>
      </c>
      <c r="F748" s="170">
        <v>41974</v>
      </c>
      <c r="G748" s="171">
        <v>2.5499999999999998</v>
      </c>
      <c r="J748" s="170">
        <v>39423</v>
      </c>
      <c r="K748" s="171">
        <v>4.46</v>
      </c>
    </row>
    <row r="749" spans="1:11" x14ac:dyDescent="0.2">
      <c r="A749" s="175">
        <v>35282</v>
      </c>
      <c r="B749" s="176">
        <v>6.84</v>
      </c>
      <c r="C749" s="176"/>
      <c r="D749" s="176"/>
      <c r="E749" s="179">
        <f t="shared" si="11"/>
        <v>2015</v>
      </c>
      <c r="F749" s="170">
        <v>42005</v>
      </c>
      <c r="G749" s="171">
        <v>2.2000000000000002</v>
      </c>
      <c r="J749" s="170">
        <v>39430</v>
      </c>
      <c r="K749" s="171">
        <v>4.6100000000000003</v>
      </c>
    </row>
    <row r="750" spans="1:11" x14ac:dyDescent="0.2">
      <c r="A750" s="175">
        <v>35283</v>
      </c>
      <c r="B750" s="176">
        <v>6.86</v>
      </c>
      <c r="C750" s="176"/>
      <c r="D750" s="176"/>
      <c r="E750" s="179">
        <f t="shared" si="11"/>
        <v>2015</v>
      </c>
      <c r="F750" s="170">
        <v>42036</v>
      </c>
      <c r="G750" s="171">
        <v>2.34</v>
      </c>
      <c r="J750" s="170">
        <v>39437</v>
      </c>
      <c r="K750" s="171">
        <v>4.58</v>
      </c>
    </row>
    <row r="751" spans="1:11" x14ac:dyDescent="0.2">
      <c r="A751" s="175">
        <v>35284</v>
      </c>
      <c r="B751" s="176">
        <v>6.87</v>
      </c>
      <c r="C751" s="176"/>
      <c r="D751" s="176"/>
      <c r="E751" s="179">
        <f t="shared" si="11"/>
        <v>2015</v>
      </c>
      <c r="F751" s="170">
        <v>42064</v>
      </c>
      <c r="G751" s="171">
        <v>2.41</v>
      </c>
      <c r="J751" s="170">
        <v>39444</v>
      </c>
      <c r="K751" s="171">
        <v>4.66</v>
      </c>
    </row>
    <row r="752" spans="1:11" x14ac:dyDescent="0.2">
      <c r="A752" s="175">
        <v>35285</v>
      </c>
      <c r="B752" s="176">
        <v>6.89</v>
      </c>
      <c r="C752" s="176"/>
      <c r="D752" s="176"/>
      <c r="E752" s="179">
        <f t="shared" si="11"/>
        <v>2015</v>
      </c>
      <c r="F752" s="170">
        <v>42095</v>
      </c>
      <c r="G752" s="171">
        <v>2.33</v>
      </c>
      <c r="J752" s="170">
        <v>39451</v>
      </c>
      <c r="K752" s="171">
        <v>4.43</v>
      </c>
    </row>
    <row r="753" spans="1:11" x14ac:dyDescent="0.2">
      <c r="A753" s="175">
        <v>35286</v>
      </c>
      <c r="B753" s="176">
        <v>6.83</v>
      </c>
      <c r="C753" s="176"/>
      <c r="D753" s="176"/>
      <c r="E753" s="179">
        <f t="shared" si="11"/>
        <v>2015</v>
      </c>
      <c r="F753" s="170">
        <v>42125</v>
      </c>
      <c r="G753" s="171">
        <v>2.69</v>
      </c>
      <c r="J753" s="170">
        <v>39458</v>
      </c>
      <c r="K753" s="171">
        <v>4.4000000000000004</v>
      </c>
    </row>
    <row r="754" spans="1:11" x14ac:dyDescent="0.2">
      <c r="A754" s="175">
        <v>35289</v>
      </c>
      <c r="B754" s="176">
        <v>6.82</v>
      </c>
      <c r="C754" s="176"/>
      <c r="D754" s="176"/>
      <c r="E754" s="179">
        <f t="shared" si="11"/>
        <v>2015</v>
      </c>
      <c r="F754" s="170">
        <v>42156</v>
      </c>
      <c r="G754" s="171">
        <v>2.85</v>
      </c>
      <c r="J754" s="170">
        <v>39465</v>
      </c>
      <c r="K754" s="171">
        <v>4.32</v>
      </c>
    </row>
    <row r="755" spans="1:11" x14ac:dyDescent="0.2">
      <c r="A755" s="175">
        <v>35290</v>
      </c>
      <c r="B755" s="176">
        <v>6.91</v>
      </c>
      <c r="C755" s="176"/>
      <c r="D755" s="176"/>
      <c r="E755" s="179">
        <f t="shared" si="11"/>
        <v>2015</v>
      </c>
      <c r="F755" s="170">
        <v>42186</v>
      </c>
      <c r="G755" s="171">
        <v>2.77</v>
      </c>
      <c r="J755" s="170">
        <v>39472</v>
      </c>
      <c r="K755" s="171">
        <v>4.28</v>
      </c>
    </row>
    <row r="756" spans="1:11" x14ac:dyDescent="0.2">
      <c r="A756" s="175">
        <v>35291</v>
      </c>
      <c r="B756" s="176">
        <v>6.92</v>
      </c>
      <c r="C756" s="176"/>
      <c r="D756" s="176"/>
      <c r="E756" s="179">
        <f t="shared" si="11"/>
        <v>2015</v>
      </c>
      <c r="F756" s="170">
        <v>42217</v>
      </c>
      <c r="G756" s="171">
        <v>2.5499999999999998</v>
      </c>
      <c r="J756" s="170">
        <v>39479</v>
      </c>
      <c r="K756" s="171">
        <v>4.3499999999999996</v>
      </c>
    </row>
    <row r="757" spans="1:11" x14ac:dyDescent="0.2">
      <c r="A757" s="175">
        <v>35292</v>
      </c>
      <c r="B757" s="176">
        <v>6.95</v>
      </c>
      <c r="C757" s="176"/>
      <c r="D757" s="176"/>
      <c r="E757" s="179">
        <f t="shared" si="11"/>
        <v>2015</v>
      </c>
      <c r="F757" s="170">
        <v>42248</v>
      </c>
      <c r="G757" s="171">
        <v>2.62</v>
      </c>
      <c r="J757" s="170">
        <v>39486</v>
      </c>
      <c r="K757" s="171">
        <v>4.3899999999999997</v>
      </c>
    </row>
    <row r="758" spans="1:11" x14ac:dyDescent="0.2">
      <c r="A758" s="175">
        <v>35293</v>
      </c>
      <c r="B758" s="176">
        <v>6.9</v>
      </c>
      <c r="C758" s="176"/>
      <c r="D758" s="176"/>
      <c r="E758" s="179">
        <f t="shared" si="11"/>
        <v>2015</v>
      </c>
      <c r="F758" s="170">
        <v>42278</v>
      </c>
      <c r="G758" s="171">
        <v>2.5</v>
      </c>
      <c r="J758" s="170">
        <v>39493</v>
      </c>
      <c r="K758" s="171">
        <v>4.49</v>
      </c>
    </row>
    <row r="759" spans="1:11" x14ac:dyDescent="0.2">
      <c r="A759" s="175">
        <v>35296</v>
      </c>
      <c r="B759" s="176">
        <v>6.94</v>
      </c>
      <c r="C759" s="176"/>
      <c r="D759" s="176"/>
      <c r="E759" s="179">
        <f t="shared" si="11"/>
        <v>2015</v>
      </c>
      <c r="F759" s="170">
        <v>42309</v>
      </c>
      <c r="G759" s="171">
        <v>2.69</v>
      </c>
      <c r="J759" s="170">
        <v>39500</v>
      </c>
      <c r="K759" s="171">
        <v>4.58</v>
      </c>
    </row>
    <row r="760" spans="1:11" x14ac:dyDescent="0.2">
      <c r="A760" s="175">
        <v>35297</v>
      </c>
      <c r="B760" s="176">
        <v>6.94</v>
      </c>
      <c r="C760" s="176"/>
      <c r="D760" s="176"/>
      <c r="E760" s="179">
        <f t="shared" si="11"/>
        <v>2015</v>
      </c>
      <c r="F760" s="170">
        <v>42339</v>
      </c>
      <c r="G760" s="171">
        <v>2.61</v>
      </c>
      <c r="J760" s="170">
        <v>39507</v>
      </c>
      <c r="K760" s="171">
        <v>4.5599999999999996</v>
      </c>
    </row>
    <row r="761" spans="1:11" x14ac:dyDescent="0.2">
      <c r="A761" s="175">
        <v>35298</v>
      </c>
      <c r="B761" s="176">
        <v>6.97</v>
      </c>
      <c r="C761" s="176"/>
      <c r="D761" s="176"/>
      <c r="E761" s="179">
        <f t="shared" si="11"/>
        <v>2016</v>
      </c>
      <c r="F761" s="170">
        <v>42370</v>
      </c>
      <c r="G761" s="171">
        <v>2.4900000000000002</v>
      </c>
      <c r="J761" s="170">
        <v>39514</v>
      </c>
      <c r="K761" s="171">
        <v>4.4800000000000004</v>
      </c>
    </row>
    <row r="762" spans="1:11" x14ac:dyDescent="0.2">
      <c r="A762" s="175">
        <v>35299</v>
      </c>
      <c r="B762" s="176">
        <v>6.97</v>
      </c>
      <c r="C762" s="176"/>
      <c r="D762" s="176"/>
      <c r="E762" s="179">
        <f t="shared" si="11"/>
        <v>2016</v>
      </c>
      <c r="F762" s="170">
        <v>42401</v>
      </c>
      <c r="G762" s="171">
        <v>2.2000000000000002</v>
      </c>
      <c r="J762" s="170">
        <v>39521</v>
      </c>
      <c r="K762" s="171">
        <v>4.3899999999999997</v>
      </c>
    </row>
    <row r="763" spans="1:11" x14ac:dyDescent="0.2">
      <c r="A763" s="175">
        <v>35300</v>
      </c>
      <c r="B763" s="176">
        <v>7.06</v>
      </c>
      <c r="C763" s="176"/>
      <c r="D763" s="176"/>
      <c r="E763" s="179">
        <f t="shared" si="11"/>
        <v>2016</v>
      </c>
      <c r="F763" s="170">
        <v>42430</v>
      </c>
      <c r="G763" s="171">
        <v>2.2799999999999998</v>
      </c>
      <c r="J763" s="170">
        <v>39528</v>
      </c>
      <c r="K763" s="171">
        <v>4.22</v>
      </c>
    </row>
    <row r="764" spans="1:11" x14ac:dyDescent="0.2">
      <c r="A764" s="175">
        <v>35303</v>
      </c>
      <c r="B764" s="176">
        <v>7.14</v>
      </c>
      <c r="C764" s="176"/>
      <c r="D764" s="176"/>
      <c r="E764" s="179">
        <f t="shared" si="11"/>
        <v>2016</v>
      </c>
      <c r="F764" s="170">
        <v>42461</v>
      </c>
      <c r="G764" s="171">
        <v>2.21</v>
      </c>
      <c r="J764" s="170">
        <v>39535</v>
      </c>
      <c r="K764" s="171">
        <v>4.32</v>
      </c>
    </row>
    <row r="765" spans="1:11" x14ac:dyDescent="0.2">
      <c r="A765" s="175">
        <v>35304</v>
      </c>
      <c r="B765" s="176">
        <v>7.12</v>
      </c>
      <c r="C765" s="176"/>
      <c r="D765" s="176"/>
      <c r="E765" s="179">
        <f t="shared" si="11"/>
        <v>2016</v>
      </c>
      <c r="F765" s="170">
        <v>42491</v>
      </c>
      <c r="G765" s="171">
        <v>2.2200000000000002</v>
      </c>
      <c r="J765" s="170">
        <v>39542</v>
      </c>
      <c r="K765" s="171">
        <v>4.37</v>
      </c>
    </row>
    <row r="766" spans="1:11" x14ac:dyDescent="0.2">
      <c r="A766" s="175">
        <v>35305</v>
      </c>
      <c r="B766" s="176">
        <v>7.13</v>
      </c>
      <c r="C766" s="176"/>
      <c r="D766" s="176"/>
      <c r="E766" s="179">
        <f t="shared" si="11"/>
        <v>2016</v>
      </c>
      <c r="F766" s="170">
        <v>42522</v>
      </c>
      <c r="G766" s="171">
        <v>2.02</v>
      </c>
      <c r="J766" s="170">
        <v>39549</v>
      </c>
      <c r="K766" s="171">
        <v>4.33</v>
      </c>
    </row>
    <row r="767" spans="1:11" x14ac:dyDescent="0.2">
      <c r="A767" s="175">
        <v>35306</v>
      </c>
      <c r="B767" s="176">
        <v>7.19</v>
      </c>
      <c r="C767" s="176"/>
      <c r="D767" s="176"/>
      <c r="E767" s="179">
        <f t="shared" si="11"/>
        <v>2016</v>
      </c>
      <c r="F767" s="170">
        <v>42552</v>
      </c>
      <c r="G767" s="171">
        <v>1.82</v>
      </c>
      <c r="J767" s="170">
        <v>39556</v>
      </c>
      <c r="K767" s="171">
        <v>4.4400000000000004</v>
      </c>
    </row>
    <row r="768" spans="1:11" x14ac:dyDescent="0.2">
      <c r="A768" s="175">
        <v>35307</v>
      </c>
      <c r="B768" s="176">
        <v>7.28</v>
      </c>
      <c r="C768" s="176"/>
      <c r="D768" s="176"/>
      <c r="E768" s="179">
        <f t="shared" si="11"/>
        <v>2016</v>
      </c>
      <c r="F768" s="170">
        <v>42583</v>
      </c>
      <c r="G768" s="171">
        <v>1.89</v>
      </c>
      <c r="J768" s="170">
        <v>39563</v>
      </c>
      <c r="K768" s="171">
        <v>4.5199999999999996</v>
      </c>
    </row>
    <row r="769" spans="1:11" x14ac:dyDescent="0.2">
      <c r="A769" s="175">
        <v>35310</v>
      </c>
      <c r="B769" s="177" t="e">
        <f>NA()</f>
        <v>#N/A</v>
      </c>
      <c r="C769" s="177"/>
      <c r="D769" s="177"/>
      <c r="E769" s="179">
        <f t="shared" si="11"/>
        <v>2016</v>
      </c>
      <c r="F769" s="170">
        <v>42614</v>
      </c>
      <c r="G769" s="171">
        <v>2.02</v>
      </c>
      <c r="J769" s="170">
        <v>39570</v>
      </c>
      <c r="K769" s="171">
        <v>4.54</v>
      </c>
    </row>
    <row r="770" spans="1:11" x14ac:dyDescent="0.2">
      <c r="A770" s="175">
        <v>35311</v>
      </c>
      <c r="B770" s="176">
        <v>7.22</v>
      </c>
      <c r="C770" s="176"/>
      <c r="D770" s="176"/>
      <c r="E770" s="179">
        <f t="shared" si="11"/>
        <v>2016</v>
      </c>
      <c r="F770" s="170">
        <v>42644</v>
      </c>
      <c r="G770" s="171">
        <v>2.17</v>
      </c>
      <c r="J770" s="170">
        <v>39577</v>
      </c>
      <c r="K770" s="171">
        <v>4.58</v>
      </c>
    </row>
    <row r="771" spans="1:11" x14ac:dyDescent="0.2">
      <c r="A771" s="175">
        <v>35312</v>
      </c>
      <c r="B771" s="176">
        <v>7.25</v>
      </c>
      <c r="C771" s="176"/>
      <c r="D771" s="176"/>
      <c r="E771" s="179">
        <f t="shared" si="11"/>
        <v>2016</v>
      </c>
      <c r="F771" s="170">
        <v>42675</v>
      </c>
      <c r="G771" s="171">
        <v>2.54</v>
      </c>
      <c r="J771" s="170">
        <v>39584</v>
      </c>
      <c r="K771" s="171">
        <v>4.58</v>
      </c>
    </row>
    <row r="772" spans="1:11" x14ac:dyDescent="0.2">
      <c r="A772" s="175">
        <v>35313</v>
      </c>
      <c r="B772" s="176">
        <v>7.3</v>
      </c>
      <c r="C772" s="176"/>
      <c r="D772" s="176"/>
      <c r="E772" s="179">
        <f t="shared" si="11"/>
        <v>2016</v>
      </c>
      <c r="F772" s="170">
        <v>42705</v>
      </c>
      <c r="G772" s="171">
        <v>2.84</v>
      </c>
      <c r="J772" s="170">
        <v>39591</v>
      </c>
      <c r="K772" s="171">
        <v>4.5599999999999996</v>
      </c>
    </row>
    <row r="773" spans="1:11" x14ac:dyDescent="0.2">
      <c r="A773" s="175">
        <v>35314</v>
      </c>
      <c r="B773" s="176">
        <v>7.27</v>
      </c>
      <c r="C773" s="176"/>
      <c r="D773" s="176"/>
      <c r="E773" s="179">
        <f t="shared" si="11"/>
        <v>2017</v>
      </c>
      <c r="F773" s="170">
        <v>42736</v>
      </c>
      <c r="G773" s="171">
        <v>2.75</v>
      </c>
      <c r="J773" s="170">
        <v>39598</v>
      </c>
      <c r="K773" s="171">
        <v>4.72</v>
      </c>
    </row>
    <row r="774" spans="1:11" x14ac:dyDescent="0.2">
      <c r="A774" s="175">
        <v>35317</v>
      </c>
      <c r="B774" s="176">
        <v>7.23</v>
      </c>
      <c r="C774" s="176"/>
      <c r="D774" s="176"/>
      <c r="E774" s="179">
        <f t="shared" si="11"/>
        <v>2017</v>
      </c>
      <c r="F774" s="170">
        <v>42767</v>
      </c>
      <c r="G774" s="171">
        <v>2.76</v>
      </c>
      <c r="J774" s="170">
        <v>39605</v>
      </c>
      <c r="K774" s="171">
        <v>4.7</v>
      </c>
    </row>
    <row r="775" spans="1:11" x14ac:dyDescent="0.2">
      <c r="A775" s="175">
        <v>35318</v>
      </c>
      <c r="B775" s="176">
        <v>7.28</v>
      </c>
      <c r="C775" s="176"/>
      <c r="D775" s="176"/>
      <c r="E775" s="179">
        <f t="shared" si="11"/>
        <v>2017</v>
      </c>
      <c r="F775" s="170">
        <v>42795</v>
      </c>
      <c r="G775" s="171">
        <v>2.83</v>
      </c>
      <c r="J775" s="170">
        <v>39612</v>
      </c>
      <c r="K775" s="171">
        <v>4.78</v>
      </c>
    </row>
    <row r="776" spans="1:11" x14ac:dyDescent="0.2">
      <c r="A776" s="175">
        <v>35319</v>
      </c>
      <c r="B776" s="176">
        <v>7.27</v>
      </c>
      <c r="C776" s="176"/>
      <c r="D776" s="176"/>
      <c r="E776" s="179">
        <f t="shared" si="11"/>
        <v>2017</v>
      </c>
      <c r="F776" s="170">
        <v>42826</v>
      </c>
      <c r="G776" s="171">
        <v>2.67</v>
      </c>
      <c r="J776" s="170">
        <v>39619</v>
      </c>
      <c r="K776" s="171">
        <v>4.8099999999999996</v>
      </c>
    </row>
    <row r="777" spans="1:11" x14ac:dyDescent="0.2">
      <c r="A777" s="175">
        <v>35320</v>
      </c>
      <c r="B777" s="176">
        <v>7.23</v>
      </c>
      <c r="C777" s="176"/>
      <c r="D777" s="176"/>
      <c r="E777" s="179">
        <f t="shared" ref="E777:E795" si="12">YEAR(F777)</f>
        <v>2017</v>
      </c>
      <c r="F777" s="170">
        <v>42856</v>
      </c>
      <c r="G777" s="171">
        <v>2.7</v>
      </c>
      <c r="J777" s="170">
        <v>39626</v>
      </c>
      <c r="K777" s="171">
        <v>4.6900000000000004</v>
      </c>
    </row>
    <row r="778" spans="1:11" x14ac:dyDescent="0.2">
      <c r="A778" s="175">
        <v>35321</v>
      </c>
      <c r="B778" s="176">
        <v>7.1</v>
      </c>
      <c r="C778" s="176"/>
      <c r="D778" s="176"/>
      <c r="E778" s="179">
        <f t="shared" si="12"/>
        <v>2017</v>
      </c>
      <c r="F778" s="170">
        <v>42887</v>
      </c>
      <c r="G778" s="171">
        <v>2.54</v>
      </c>
      <c r="J778" s="170">
        <v>39633</v>
      </c>
      <c r="K778" s="171">
        <v>4.59</v>
      </c>
    </row>
    <row r="779" spans="1:11" x14ac:dyDescent="0.2">
      <c r="A779" s="175">
        <v>35324</v>
      </c>
      <c r="B779" s="176">
        <v>7.09</v>
      </c>
      <c r="C779" s="176"/>
      <c r="D779" s="176"/>
      <c r="E779" s="179">
        <f t="shared" si="12"/>
        <v>2017</v>
      </c>
      <c r="F779" s="170">
        <v>42917</v>
      </c>
      <c r="G779" s="171">
        <v>2.65</v>
      </c>
      <c r="J779" s="170">
        <v>39640</v>
      </c>
      <c r="K779" s="171">
        <v>4.51</v>
      </c>
    </row>
    <row r="780" spans="1:11" x14ac:dyDescent="0.2">
      <c r="A780" s="175">
        <v>35325</v>
      </c>
      <c r="B780" s="176">
        <v>7.15</v>
      </c>
      <c r="C780" s="176"/>
      <c r="D780" s="176"/>
      <c r="E780" s="179">
        <f t="shared" si="12"/>
        <v>2017</v>
      </c>
      <c r="F780" s="170">
        <v>42948</v>
      </c>
      <c r="G780" s="171">
        <v>2.5499999999999998</v>
      </c>
      <c r="J780" s="170">
        <v>39647</v>
      </c>
      <c r="K780" s="171">
        <v>4.62</v>
      </c>
    </row>
    <row r="781" spans="1:11" x14ac:dyDescent="0.2">
      <c r="A781" s="175">
        <v>35326</v>
      </c>
      <c r="B781" s="176">
        <v>7.16</v>
      </c>
      <c r="C781" s="176"/>
      <c r="D781" s="176"/>
      <c r="E781" s="179">
        <f t="shared" si="12"/>
        <v>2017</v>
      </c>
      <c r="F781" s="170">
        <v>42979</v>
      </c>
      <c r="G781" s="171">
        <v>2.5299999999999998</v>
      </c>
      <c r="J781" s="170">
        <v>39654</v>
      </c>
      <c r="K781" s="171">
        <v>4.72</v>
      </c>
    </row>
    <row r="782" spans="1:11" x14ac:dyDescent="0.2">
      <c r="A782" s="175">
        <v>35327</v>
      </c>
      <c r="B782" s="176">
        <v>7.19</v>
      </c>
      <c r="C782" s="176"/>
      <c r="D782" s="176"/>
      <c r="E782" s="179">
        <f t="shared" si="12"/>
        <v>2017</v>
      </c>
      <c r="F782" s="170">
        <v>43009</v>
      </c>
      <c r="G782" s="171">
        <v>2.65</v>
      </c>
      <c r="J782" s="170">
        <v>39661</v>
      </c>
      <c r="K782" s="171">
        <v>4.66</v>
      </c>
    </row>
    <row r="783" spans="1:11" x14ac:dyDescent="0.2">
      <c r="A783" s="175">
        <v>35328</v>
      </c>
      <c r="B783" s="176">
        <v>7.18</v>
      </c>
      <c r="C783" s="176"/>
      <c r="D783" s="176"/>
      <c r="E783" s="179">
        <f t="shared" si="12"/>
        <v>2017</v>
      </c>
      <c r="F783" s="170">
        <v>43040</v>
      </c>
      <c r="G783" s="171">
        <v>2.6</v>
      </c>
      <c r="J783" s="170">
        <v>39668</v>
      </c>
      <c r="K783" s="171">
        <v>4.63</v>
      </c>
    </row>
    <row r="784" spans="1:11" x14ac:dyDescent="0.2">
      <c r="A784" s="175">
        <v>35331</v>
      </c>
      <c r="B784" s="176">
        <v>7.16</v>
      </c>
      <c r="C784" s="176"/>
      <c r="D784" s="176"/>
      <c r="E784" s="179">
        <f t="shared" si="12"/>
        <v>2017</v>
      </c>
      <c r="F784" s="170">
        <v>43070</v>
      </c>
      <c r="G784" s="171">
        <v>2.6</v>
      </c>
      <c r="J784" s="170">
        <v>39675</v>
      </c>
      <c r="K784" s="171">
        <v>4.58</v>
      </c>
    </row>
    <row r="785" spans="1:11" x14ac:dyDescent="0.2">
      <c r="A785" s="175">
        <v>35332</v>
      </c>
      <c r="B785" s="176">
        <v>7.12</v>
      </c>
      <c r="C785" s="176"/>
      <c r="D785" s="176"/>
      <c r="E785" s="179">
        <f t="shared" si="12"/>
        <v>2018</v>
      </c>
      <c r="F785" s="170">
        <v>43101</v>
      </c>
      <c r="G785" s="171">
        <v>2.73</v>
      </c>
      <c r="J785" s="170">
        <v>39682</v>
      </c>
      <c r="K785" s="171">
        <v>4.4800000000000004</v>
      </c>
    </row>
    <row r="786" spans="1:11" x14ac:dyDescent="0.2">
      <c r="A786" s="175">
        <v>35333</v>
      </c>
      <c r="B786" s="176">
        <v>7.05</v>
      </c>
      <c r="C786" s="176"/>
      <c r="D786" s="176"/>
      <c r="E786" s="179">
        <f t="shared" si="12"/>
        <v>2018</v>
      </c>
      <c r="F786" s="170">
        <v>43132</v>
      </c>
      <c r="G786" s="171">
        <v>3.02</v>
      </c>
      <c r="J786" s="170">
        <v>39689</v>
      </c>
      <c r="K786" s="171">
        <v>4.43</v>
      </c>
    </row>
    <row r="787" spans="1:11" x14ac:dyDescent="0.2">
      <c r="A787" s="175">
        <v>35334</v>
      </c>
      <c r="B787" s="176">
        <v>7</v>
      </c>
      <c r="C787" s="176"/>
      <c r="D787" s="176"/>
      <c r="E787" s="179">
        <f t="shared" si="12"/>
        <v>2018</v>
      </c>
      <c r="F787" s="170">
        <v>43160</v>
      </c>
      <c r="G787" s="171">
        <v>2.97</v>
      </c>
      <c r="J787" s="170">
        <v>39696</v>
      </c>
      <c r="K787" s="171">
        <v>4.34</v>
      </c>
    </row>
    <row r="788" spans="1:11" x14ac:dyDescent="0.2">
      <c r="A788" s="175">
        <v>35335</v>
      </c>
      <c r="B788" s="176">
        <v>7.03</v>
      </c>
      <c r="C788" s="176"/>
      <c r="D788" s="176"/>
      <c r="E788" s="179">
        <f t="shared" si="12"/>
        <v>2018</v>
      </c>
      <c r="F788" s="170">
        <v>43191</v>
      </c>
      <c r="G788" s="171">
        <v>2.96</v>
      </c>
      <c r="J788" s="170">
        <v>39703</v>
      </c>
      <c r="K788" s="171">
        <v>4.28</v>
      </c>
    </row>
    <row r="789" spans="1:11" x14ac:dyDescent="0.2">
      <c r="A789" s="175">
        <v>35338</v>
      </c>
      <c r="B789" s="176">
        <v>7.05</v>
      </c>
      <c r="C789" s="176"/>
      <c r="D789" s="176"/>
      <c r="E789" s="179">
        <f t="shared" si="12"/>
        <v>2018</v>
      </c>
      <c r="F789" s="170">
        <v>43221</v>
      </c>
      <c r="G789" s="171">
        <v>3.05</v>
      </c>
      <c r="J789" s="170">
        <v>39710</v>
      </c>
      <c r="K789" s="171">
        <v>4.2</v>
      </c>
    </row>
    <row r="790" spans="1:11" x14ac:dyDescent="0.2">
      <c r="A790" s="175">
        <v>35339</v>
      </c>
      <c r="B790" s="176">
        <v>6.99</v>
      </c>
      <c r="C790" s="176"/>
      <c r="D790" s="176"/>
      <c r="E790" s="179">
        <f t="shared" si="12"/>
        <v>2018</v>
      </c>
      <c r="F790" s="170">
        <v>43252</v>
      </c>
      <c r="G790" s="171">
        <v>2.98</v>
      </c>
      <c r="J790" s="170">
        <v>39717</v>
      </c>
      <c r="K790" s="171">
        <v>4.4800000000000004</v>
      </c>
    </row>
    <row r="791" spans="1:11" x14ac:dyDescent="0.2">
      <c r="A791" s="175">
        <v>35340</v>
      </c>
      <c r="B791" s="176">
        <v>6.95</v>
      </c>
      <c r="C791" s="176"/>
      <c r="D791" s="176"/>
      <c r="E791" s="179">
        <f t="shared" si="12"/>
        <v>2018</v>
      </c>
      <c r="F791" s="170">
        <v>43282</v>
      </c>
      <c r="G791" s="171">
        <v>2.94</v>
      </c>
      <c r="J791" s="170">
        <v>39724</v>
      </c>
      <c r="K791" s="171">
        <v>4.3</v>
      </c>
    </row>
    <row r="792" spans="1:11" x14ac:dyDescent="0.2">
      <c r="A792" s="175">
        <v>35341</v>
      </c>
      <c r="B792" s="176">
        <v>6.95</v>
      </c>
      <c r="C792" s="176"/>
      <c r="D792" s="176"/>
      <c r="E792" s="179">
        <f t="shared" si="12"/>
        <v>2018</v>
      </c>
      <c r="F792" s="170">
        <v>43313</v>
      </c>
      <c r="G792" s="171">
        <v>2.97</v>
      </c>
      <c r="J792" s="170">
        <v>39731</v>
      </c>
      <c r="K792" s="171">
        <v>4.28</v>
      </c>
    </row>
    <row r="793" spans="1:11" x14ac:dyDescent="0.2">
      <c r="A793" s="175">
        <v>35342</v>
      </c>
      <c r="B793" s="176">
        <v>6.83</v>
      </c>
      <c r="C793" s="176"/>
      <c r="D793" s="176"/>
      <c r="E793" s="179">
        <f t="shared" si="12"/>
        <v>2018</v>
      </c>
      <c r="F793" s="170">
        <v>43344</v>
      </c>
      <c r="G793" s="171">
        <v>3.08</v>
      </c>
      <c r="J793" s="170">
        <v>39738</v>
      </c>
      <c r="K793" s="171">
        <v>4.5999999999999996</v>
      </c>
    </row>
    <row r="794" spans="1:11" x14ac:dyDescent="0.2">
      <c r="A794" s="175">
        <v>35345</v>
      </c>
      <c r="B794" s="176">
        <v>6.88</v>
      </c>
      <c r="C794" s="176"/>
      <c r="D794" s="176"/>
      <c r="E794" s="179">
        <f t="shared" si="12"/>
        <v>2018</v>
      </c>
      <c r="F794" s="170">
        <v>43374</v>
      </c>
      <c r="G794" s="171">
        <v>3.27</v>
      </c>
      <c r="J794" s="170">
        <v>39745</v>
      </c>
      <c r="K794" s="171">
        <v>4.46</v>
      </c>
    </row>
    <row r="795" spans="1:11" x14ac:dyDescent="0.2">
      <c r="A795" s="175">
        <v>35346</v>
      </c>
      <c r="B795" s="176">
        <v>6.89</v>
      </c>
      <c r="C795" s="176"/>
      <c r="D795" s="176"/>
      <c r="E795" s="179">
        <f t="shared" si="12"/>
        <v>2018</v>
      </c>
      <c r="F795" s="170">
        <v>43405</v>
      </c>
      <c r="G795" s="171">
        <v>3.27</v>
      </c>
      <c r="J795" s="170">
        <v>39752</v>
      </c>
      <c r="K795" s="171">
        <v>4.59</v>
      </c>
    </row>
    <row r="796" spans="1:11" x14ac:dyDescent="0.2">
      <c r="A796" s="175">
        <v>35347</v>
      </c>
      <c r="B796" s="177">
        <v>6.93</v>
      </c>
      <c r="C796" s="177"/>
      <c r="D796" s="177"/>
      <c r="E796" s="177"/>
      <c r="J796" s="170">
        <v>39759</v>
      </c>
      <c r="K796" s="171">
        <v>4.58</v>
      </c>
    </row>
    <row r="797" spans="1:11" x14ac:dyDescent="0.2">
      <c r="A797" s="175">
        <v>35348</v>
      </c>
      <c r="B797" s="176">
        <v>6.98</v>
      </c>
      <c r="C797" s="176"/>
      <c r="D797" s="176"/>
      <c r="E797" s="176"/>
      <c r="J797" s="170">
        <v>39766</v>
      </c>
      <c r="K797" s="171">
        <v>4.49</v>
      </c>
    </row>
    <row r="798" spans="1:11" x14ac:dyDescent="0.2">
      <c r="A798" s="175">
        <v>35349</v>
      </c>
      <c r="B798" s="176">
        <v>6.93</v>
      </c>
      <c r="C798" s="176"/>
      <c r="D798" s="176"/>
      <c r="E798" s="176"/>
      <c r="J798" s="170">
        <v>39773</v>
      </c>
      <c r="K798" s="171">
        <v>4.1399999999999997</v>
      </c>
    </row>
    <row r="799" spans="1:11" x14ac:dyDescent="0.2">
      <c r="A799" s="175">
        <v>35352</v>
      </c>
      <c r="B799" s="176" t="e">
        <f>NA()</f>
        <v>#N/A</v>
      </c>
      <c r="C799" s="176"/>
      <c r="D799" s="176"/>
      <c r="E799" s="176"/>
      <c r="J799" s="170">
        <v>39780</v>
      </c>
      <c r="K799" s="171">
        <v>3.84</v>
      </c>
    </row>
    <row r="800" spans="1:11" x14ac:dyDescent="0.2">
      <c r="A800" s="175">
        <v>35353</v>
      </c>
      <c r="B800" s="176">
        <v>6.94</v>
      </c>
      <c r="C800" s="176"/>
      <c r="D800" s="176"/>
      <c r="E800" s="176"/>
      <c r="J800" s="170">
        <v>39787</v>
      </c>
      <c r="K800" s="171">
        <v>3.44</v>
      </c>
    </row>
    <row r="801" spans="1:11" x14ac:dyDescent="0.2">
      <c r="A801" s="175">
        <v>35354</v>
      </c>
      <c r="B801" s="176">
        <v>6.96</v>
      </c>
      <c r="C801" s="176"/>
      <c r="D801" s="176"/>
      <c r="E801" s="176"/>
      <c r="J801" s="170">
        <v>39794</v>
      </c>
      <c r="K801" s="171">
        <v>3.38</v>
      </c>
    </row>
    <row r="802" spans="1:11" x14ac:dyDescent="0.2">
      <c r="A802" s="175">
        <v>35355</v>
      </c>
      <c r="B802" s="176">
        <v>6.89</v>
      </c>
      <c r="C802" s="176"/>
      <c r="D802" s="176"/>
      <c r="E802" s="176"/>
      <c r="J802" s="170">
        <v>39801</v>
      </c>
      <c r="K802" s="171">
        <v>3.04</v>
      </c>
    </row>
    <row r="803" spans="1:11" x14ac:dyDescent="0.2">
      <c r="A803" s="175">
        <v>35356</v>
      </c>
      <c r="B803" s="176">
        <v>6.88</v>
      </c>
      <c r="C803" s="176"/>
      <c r="D803" s="176"/>
      <c r="E803" s="176"/>
      <c r="J803" s="170">
        <v>39808</v>
      </c>
      <c r="K803" s="171">
        <v>2.93</v>
      </c>
    </row>
    <row r="804" spans="1:11" x14ac:dyDescent="0.2">
      <c r="A804" s="175">
        <v>35359</v>
      </c>
      <c r="B804" s="176">
        <v>6.89</v>
      </c>
      <c r="C804" s="176"/>
      <c r="D804" s="176"/>
      <c r="E804" s="176"/>
      <c r="J804" s="170">
        <v>39815</v>
      </c>
      <c r="K804" s="171">
        <v>3.02</v>
      </c>
    </row>
    <row r="805" spans="1:11" x14ac:dyDescent="0.2">
      <c r="A805" s="175">
        <v>35360</v>
      </c>
      <c r="B805" s="176">
        <v>6.93</v>
      </c>
      <c r="C805" s="176"/>
      <c r="D805" s="176"/>
      <c r="E805" s="176"/>
      <c r="J805" s="170">
        <v>39822</v>
      </c>
      <c r="K805" s="171">
        <v>3.4</v>
      </c>
    </row>
    <row r="806" spans="1:11" x14ac:dyDescent="0.2">
      <c r="A806" s="175">
        <v>35361</v>
      </c>
      <c r="B806" s="176">
        <v>6.92</v>
      </c>
      <c r="C806" s="176"/>
      <c r="D806" s="176"/>
      <c r="E806" s="176"/>
      <c r="J806" s="170">
        <v>39829</v>
      </c>
      <c r="K806" s="171">
        <v>3.23</v>
      </c>
    </row>
    <row r="807" spans="1:11" x14ac:dyDescent="0.2">
      <c r="A807" s="175">
        <v>35362</v>
      </c>
      <c r="B807" s="176">
        <v>6.94</v>
      </c>
      <c r="C807" s="176"/>
      <c r="D807" s="176"/>
      <c r="E807" s="176"/>
      <c r="J807" s="170">
        <v>39836</v>
      </c>
      <c r="K807" s="171">
        <v>3.52</v>
      </c>
    </row>
    <row r="808" spans="1:11" x14ac:dyDescent="0.2">
      <c r="A808" s="175">
        <v>35363</v>
      </c>
      <c r="B808" s="176">
        <v>6.9</v>
      </c>
      <c r="C808" s="176"/>
      <c r="D808" s="176"/>
      <c r="E808" s="176"/>
      <c r="J808" s="170">
        <v>39843</v>
      </c>
      <c r="K808" s="171">
        <v>3.74</v>
      </c>
    </row>
    <row r="809" spans="1:11" x14ac:dyDescent="0.2">
      <c r="A809" s="175">
        <v>35366</v>
      </c>
      <c r="B809" s="176">
        <v>6.91</v>
      </c>
      <c r="C809" s="176"/>
      <c r="D809" s="176"/>
      <c r="E809" s="176"/>
      <c r="J809" s="170">
        <v>39850</v>
      </c>
      <c r="K809" s="171">
        <v>3.86</v>
      </c>
    </row>
    <row r="810" spans="1:11" x14ac:dyDescent="0.2">
      <c r="A810" s="175">
        <v>35367</v>
      </c>
      <c r="B810" s="176">
        <v>6.77</v>
      </c>
      <c r="C810" s="176"/>
      <c r="D810" s="176"/>
      <c r="E810" s="176"/>
      <c r="J810" s="170">
        <v>39857</v>
      </c>
      <c r="K810" s="171">
        <v>3.8</v>
      </c>
    </row>
    <row r="811" spans="1:11" x14ac:dyDescent="0.2">
      <c r="A811" s="175">
        <v>35368</v>
      </c>
      <c r="B811" s="176">
        <v>6.77</v>
      </c>
      <c r="C811" s="176"/>
      <c r="D811" s="176"/>
      <c r="E811" s="176"/>
      <c r="J811" s="170">
        <v>39864</v>
      </c>
      <c r="K811" s="171">
        <v>3.8</v>
      </c>
    </row>
    <row r="812" spans="1:11" x14ac:dyDescent="0.2">
      <c r="A812" s="175">
        <v>35369</v>
      </c>
      <c r="B812" s="176">
        <v>6.74</v>
      </c>
      <c r="C812" s="176"/>
      <c r="D812" s="176"/>
      <c r="E812" s="176"/>
      <c r="J812" s="170">
        <v>39871</v>
      </c>
      <c r="K812" s="171">
        <v>3.87</v>
      </c>
    </row>
    <row r="813" spans="1:11" x14ac:dyDescent="0.2">
      <c r="A813" s="175">
        <v>35370</v>
      </c>
      <c r="B813" s="176">
        <v>6.75</v>
      </c>
      <c r="C813" s="176"/>
      <c r="D813" s="176"/>
      <c r="E813" s="176"/>
      <c r="J813" s="170">
        <v>39878</v>
      </c>
      <c r="K813" s="171">
        <v>3.85</v>
      </c>
    </row>
    <row r="814" spans="1:11" x14ac:dyDescent="0.2">
      <c r="A814" s="175">
        <v>35373</v>
      </c>
      <c r="B814" s="176">
        <v>6.74</v>
      </c>
      <c r="C814" s="176"/>
      <c r="D814" s="176"/>
      <c r="E814" s="176"/>
      <c r="J814" s="170">
        <v>39885</v>
      </c>
      <c r="K814" s="171">
        <v>3.86</v>
      </c>
    </row>
    <row r="815" spans="1:11" x14ac:dyDescent="0.2">
      <c r="A815" s="175">
        <v>35374</v>
      </c>
      <c r="B815" s="176">
        <v>6.66</v>
      </c>
      <c r="C815" s="176"/>
      <c r="D815" s="176"/>
      <c r="E815" s="176"/>
      <c r="J815" s="170">
        <v>39892</v>
      </c>
      <c r="K815" s="171">
        <v>3.78</v>
      </c>
    </row>
    <row r="816" spans="1:11" x14ac:dyDescent="0.2">
      <c r="A816" s="175">
        <v>35375</v>
      </c>
      <c r="B816" s="176">
        <v>6.67</v>
      </c>
      <c r="C816" s="176"/>
      <c r="D816" s="176"/>
      <c r="E816" s="176"/>
      <c r="J816" s="170">
        <v>39899</v>
      </c>
      <c r="K816" s="171">
        <v>3.69</v>
      </c>
    </row>
    <row r="817" spans="1:11" x14ac:dyDescent="0.2">
      <c r="A817" s="175">
        <v>35376</v>
      </c>
      <c r="B817" s="176">
        <v>6.61</v>
      </c>
      <c r="C817" s="176"/>
      <c r="D817" s="176"/>
      <c r="E817" s="176"/>
      <c r="J817" s="170">
        <v>39906</v>
      </c>
      <c r="K817" s="171">
        <v>3.64</v>
      </c>
    </row>
    <row r="818" spans="1:11" x14ac:dyDescent="0.2">
      <c r="A818" s="175">
        <v>35377</v>
      </c>
      <c r="B818" s="176">
        <v>6.63</v>
      </c>
      <c r="C818" s="176"/>
      <c r="D818" s="176"/>
      <c r="E818" s="176"/>
      <c r="J818" s="170">
        <v>39913</v>
      </c>
      <c r="K818" s="171">
        <v>3.8</v>
      </c>
    </row>
    <row r="819" spans="1:11" x14ac:dyDescent="0.2">
      <c r="A819" s="175">
        <v>35380</v>
      </c>
      <c r="B819" s="176" t="e">
        <f>NA()</f>
        <v>#N/A</v>
      </c>
      <c r="C819" s="176"/>
      <c r="D819" s="176"/>
      <c r="E819" s="176"/>
      <c r="J819" s="170">
        <v>39920</v>
      </c>
      <c r="K819" s="171">
        <v>3.8</v>
      </c>
    </row>
    <row r="820" spans="1:11" x14ac:dyDescent="0.2">
      <c r="A820" s="175">
        <v>35381</v>
      </c>
      <c r="B820" s="176">
        <v>6.56</v>
      </c>
      <c r="C820" s="176"/>
      <c r="D820" s="176"/>
      <c r="E820" s="176"/>
      <c r="J820" s="170">
        <v>39927</v>
      </c>
      <c r="K820" s="171">
        <v>3.9</v>
      </c>
    </row>
    <row r="821" spans="1:11" x14ac:dyDescent="0.2">
      <c r="A821" s="175">
        <v>35382</v>
      </c>
      <c r="B821" s="176">
        <v>6.58</v>
      </c>
      <c r="C821" s="176"/>
      <c r="D821" s="176"/>
      <c r="E821" s="176"/>
      <c r="J821" s="170">
        <v>39934</v>
      </c>
      <c r="K821" s="171">
        <v>4.05</v>
      </c>
    </row>
    <row r="822" spans="1:11" x14ac:dyDescent="0.2">
      <c r="A822" s="175">
        <v>35383</v>
      </c>
      <c r="B822" s="176">
        <v>6.53</v>
      </c>
      <c r="C822" s="176"/>
      <c r="D822" s="176"/>
      <c r="E822" s="176"/>
      <c r="J822" s="170">
        <v>39941</v>
      </c>
      <c r="K822" s="171">
        <v>4.17</v>
      </c>
    </row>
    <row r="823" spans="1:11" x14ac:dyDescent="0.2">
      <c r="A823" s="175">
        <v>35384</v>
      </c>
      <c r="B823" s="176">
        <v>6.55</v>
      </c>
      <c r="C823" s="176"/>
      <c r="D823" s="176"/>
      <c r="E823" s="176"/>
      <c r="J823" s="170">
        <v>39948</v>
      </c>
      <c r="K823" s="171">
        <v>4.09</v>
      </c>
    </row>
    <row r="824" spans="1:11" x14ac:dyDescent="0.2">
      <c r="A824" s="175">
        <v>35387</v>
      </c>
      <c r="B824" s="176">
        <v>6.56</v>
      </c>
      <c r="C824" s="176"/>
      <c r="D824" s="176"/>
      <c r="E824" s="176"/>
      <c r="J824" s="170">
        <v>39955</v>
      </c>
      <c r="K824" s="171">
        <v>4.22</v>
      </c>
    </row>
    <row r="825" spans="1:11" x14ac:dyDescent="0.2">
      <c r="A825" s="175">
        <v>35388</v>
      </c>
      <c r="B825" s="176">
        <v>6.53</v>
      </c>
      <c r="C825" s="176"/>
      <c r="D825" s="176"/>
      <c r="E825" s="176"/>
      <c r="J825" s="170">
        <v>39962</v>
      </c>
      <c r="K825" s="171">
        <v>4.47</v>
      </c>
    </row>
    <row r="826" spans="1:11" x14ac:dyDescent="0.2">
      <c r="A826" s="175">
        <v>35389</v>
      </c>
      <c r="B826" s="176">
        <v>6.5</v>
      </c>
      <c r="C826" s="176"/>
      <c r="D826" s="176"/>
      <c r="E826" s="176"/>
      <c r="J826" s="170">
        <v>39969</v>
      </c>
      <c r="K826" s="171">
        <v>4.55</v>
      </c>
    </row>
    <row r="827" spans="1:11" x14ac:dyDescent="0.2">
      <c r="A827" s="175">
        <v>35390</v>
      </c>
      <c r="B827" s="176">
        <v>6.52</v>
      </c>
      <c r="C827" s="176"/>
      <c r="D827" s="176"/>
      <c r="E827" s="176"/>
      <c r="J827" s="170">
        <v>39976</v>
      </c>
      <c r="K827" s="171">
        <v>4.67</v>
      </c>
    </row>
    <row r="828" spans="1:11" x14ac:dyDescent="0.2">
      <c r="A828" s="175">
        <v>35391</v>
      </c>
      <c r="B828" s="176">
        <v>6.54</v>
      </c>
      <c r="C828" s="176"/>
      <c r="D828" s="176"/>
      <c r="E828" s="176"/>
      <c r="J828" s="170">
        <v>39983</v>
      </c>
      <c r="K828" s="171">
        <v>4.54</v>
      </c>
    </row>
    <row r="829" spans="1:11" x14ac:dyDescent="0.2">
      <c r="A829" s="175">
        <v>35394</v>
      </c>
      <c r="B829" s="176">
        <v>6.53</v>
      </c>
      <c r="C829" s="176"/>
      <c r="D829" s="176"/>
      <c r="E829" s="176"/>
      <c r="J829" s="170">
        <v>39990</v>
      </c>
      <c r="K829" s="171">
        <v>4.37</v>
      </c>
    </row>
    <row r="830" spans="1:11" x14ac:dyDescent="0.2">
      <c r="A830" s="175">
        <v>35395</v>
      </c>
      <c r="B830" s="176">
        <v>6.52</v>
      </c>
      <c r="C830" s="176"/>
      <c r="D830" s="176"/>
      <c r="E830" s="176"/>
      <c r="J830" s="170">
        <v>39997</v>
      </c>
      <c r="K830" s="171">
        <v>4.3</v>
      </c>
    </row>
    <row r="831" spans="1:11" x14ac:dyDescent="0.2">
      <c r="A831" s="175">
        <v>35396</v>
      </c>
      <c r="B831" s="176">
        <v>6.53</v>
      </c>
      <c r="C831" s="176"/>
      <c r="D831" s="176"/>
      <c r="E831" s="176"/>
      <c r="J831" s="170">
        <v>40004</v>
      </c>
      <c r="K831" s="171">
        <v>4.22</v>
      </c>
    </row>
    <row r="832" spans="1:11" x14ac:dyDescent="0.2">
      <c r="A832" s="175">
        <v>35397</v>
      </c>
      <c r="B832" s="176" t="e">
        <f>NA()</f>
        <v>#N/A</v>
      </c>
      <c r="C832" s="176"/>
      <c r="D832" s="176"/>
      <c r="E832" s="176"/>
      <c r="J832" s="170">
        <v>40011</v>
      </c>
      <c r="K832" s="171">
        <v>4.3899999999999997</v>
      </c>
    </row>
    <row r="833" spans="1:11" x14ac:dyDescent="0.2">
      <c r="A833" s="175">
        <v>35398</v>
      </c>
      <c r="B833" s="176">
        <v>6.45</v>
      </c>
      <c r="C833" s="176"/>
      <c r="D833" s="176"/>
      <c r="E833" s="176"/>
      <c r="J833" s="170">
        <v>40018</v>
      </c>
      <c r="K833" s="171">
        <v>4.46</v>
      </c>
    </row>
    <row r="834" spans="1:11" x14ac:dyDescent="0.2">
      <c r="A834" s="175">
        <v>35401</v>
      </c>
      <c r="B834" s="176">
        <v>6.46</v>
      </c>
      <c r="C834" s="176"/>
      <c r="D834" s="176"/>
      <c r="E834" s="176"/>
      <c r="J834" s="170">
        <v>40025</v>
      </c>
      <c r="K834" s="171">
        <v>4.47</v>
      </c>
    </row>
    <row r="835" spans="1:11" x14ac:dyDescent="0.2">
      <c r="A835" s="175">
        <v>35402</v>
      </c>
      <c r="B835" s="176">
        <v>6.44</v>
      </c>
      <c r="C835" s="176"/>
      <c r="D835" s="176"/>
      <c r="E835" s="176"/>
      <c r="J835" s="170">
        <v>40032</v>
      </c>
      <c r="K835" s="171">
        <v>4.5</v>
      </c>
    </row>
    <row r="836" spans="1:11" x14ac:dyDescent="0.2">
      <c r="A836" s="175">
        <v>35403</v>
      </c>
      <c r="B836" s="176">
        <v>6.49</v>
      </c>
      <c r="C836" s="176"/>
      <c r="D836" s="176"/>
      <c r="E836" s="176"/>
      <c r="J836" s="170">
        <v>40039</v>
      </c>
      <c r="K836" s="171">
        <v>4.42</v>
      </c>
    </row>
    <row r="837" spans="1:11" x14ac:dyDescent="0.2">
      <c r="A837" s="175">
        <v>35404</v>
      </c>
      <c r="B837" s="176">
        <v>6.6</v>
      </c>
      <c r="C837" s="176"/>
      <c r="D837" s="176"/>
      <c r="E837" s="176"/>
      <c r="J837" s="170">
        <v>40046</v>
      </c>
      <c r="K837" s="171">
        <v>4.26</v>
      </c>
    </row>
    <row r="838" spans="1:11" x14ac:dyDescent="0.2">
      <c r="A838" s="175">
        <v>35405</v>
      </c>
      <c r="B838" s="176">
        <v>6.62</v>
      </c>
      <c r="C838" s="176"/>
      <c r="D838" s="176"/>
      <c r="E838" s="176"/>
      <c r="J838" s="170">
        <v>40053</v>
      </c>
      <c r="K838" s="171">
        <v>4.18</v>
      </c>
    </row>
    <row r="839" spans="1:11" x14ac:dyDescent="0.2">
      <c r="A839" s="175">
        <v>35408</v>
      </c>
      <c r="B839" s="177">
        <v>6.58</v>
      </c>
      <c r="C839" s="177"/>
      <c r="D839" s="177"/>
      <c r="E839" s="177"/>
      <c r="J839" s="170">
        <v>40060</v>
      </c>
      <c r="K839" s="171">
        <v>4.12</v>
      </c>
    </row>
    <row r="840" spans="1:11" x14ac:dyDescent="0.2">
      <c r="A840" s="175">
        <v>35409</v>
      </c>
      <c r="B840" s="176">
        <v>6.59</v>
      </c>
      <c r="C840" s="176"/>
      <c r="D840" s="176"/>
      <c r="E840" s="176"/>
      <c r="J840" s="170">
        <v>40067</v>
      </c>
      <c r="K840" s="171">
        <v>4.18</v>
      </c>
    </row>
    <row r="841" spans="1:11" x14ac:dyDescent="0.2">
      <c r="A841" s="175">
        <v>35410</v>
      </c>
      <c r="B841" s="176">
        <v>6.71</v>
      </c>
      <c r="C841" s="176"/>
      <c r="D841" s="176"/>
      <c r="E841" s="176"/>
      <c r="J841" s="170">
        <v>40074</v>
      </c>
      <c r="K841" s="171">
        <v>4.1900000000000004</v>
      </c>
    </row>
    <row r="842" spans="1:11" x14ac:dyDescent="0.2">
      <c r="A842" s="175">
        <v>35411</v>
      </c>
      <c r="B842" s="176">
        <v>6.74</v>
      </c>
      <c r="C842" s="176"/>
      <c r="D842" s="176"/>
      <c r="E842" s="176"/>
      <c r="J842" s="170">
        <v>40081</v>
      </c>
      <c r="K842" s="171">
        <v>4.1500000000000004</v>
      </c>
    </row>
    <row r="843" spans="1:11" x14ac:dyDescent="0.2">
      <c r="A843" s="175">
        <v>35412</v>
      </c>
      <c r="B843" s="176">
        <v>6.68</v>
      </c>
      <c r="C843" s="176"/>
      <c r="D843" s="176"/>
      <c r="E843" s="176"/>
      <c r="J843" s="170">
        <v>40088</v>
      </c>
      <c r="K843" s="171">
        <v>4</v>
      </c>
    </row>
    <row r="844" spans="1:11" x14ac:dyDescent="0.2">
      <c r="A844" s="175">
        <v>35415</v>
      </c>
      <c r="B844" s="176">
        <v>6.72</v>
      </c>
      <c r="C844" s="176"/>
      <c r="D844" s="176"/>
      <c r="E844" s="176"/>
      <c r="J844" s="170">
        <v>40095</v>
      </c>
      <c r="K844" s="171">
        <v>4.04</v>
      </c>
    </row>
    <row r="845" spans="1:11" x14ac:dyDescent="0.2">
      <c r="A845" s="175">
        <v>35416</v>
      </c>
      <c r="B845" s="176">
        <v>6.76</v>
      </c>
      <c r="C845" s="176"/>
      <c r="D845" s="176"/>
      <c r="E845" s="176"/>
      <c r="J845" s="170">
        <v>40102</v>
      </c>
      <c r="K845" s="171">
        <v>4.2300000000000004</v>
      </c>
    </row>
    <row r="846" spans="1:11" x14ac:dyDescent="0.2">
      <c r="A846" s="175">
        <v>35417</v>
      </c>
      <c r="B846" s="176">
        <v>6.8</v>
      </c>
      <c r="C846" s="176"/>
      <c r="D846" s="176"/>
      <c r="E846" s="176"/>
      <c r="J846" s="170">
        <v>40109</v>
      </c>
      <c r="K846" s="171">
        <v>4.2</v>
      </c>
    </row>
    <row r="847" spans="1:11" x14ac:dyDescent="0.2">
      <c r="A847" s="175">
        <v>35418</v>
      </c>
      <c r="B847" s="176">
        <v>6.69</v>
      </c>
      <c r="C847" s="176"/>
      <c r="D847" s="176"/>
      <c r="E847" s="176"/>
      <c r="J847" s="170">
        <v>40116</v>
      </c>
      <c r="K847" s="171">
        <v>4.2699999999999996</v>
      </c>
    </row>
    <row r="848" spans="1:11" x14ac:dyDescent="0.2">
      <c r="A848" s="175">
        <v>35419</v>
      </c>
      <c r="B848" s="176">
        <v>6.69</v>
      </c>
      <c r="C848" s="176"/>
      <c r="D848" s="176"/>
      <c r="E848" s="176"/>
      <c r="J848" s="170">
        <v>40123</v>
      </c>
      <c r="K848" s="171">
        <v>4.32</v>
      </c>
    </row>
    <row r="849" spans="1:11" x14ac:dyDescent="0.2">
      <c r="A849" s="175">
        <v>35422</v>
      </c>
      <c r="B849" s="176">
        <v>6.67</v>
      </c>
      <c r="C849" s="176"/>
      <c r="D849" s="176"/>
      <c r="E849" s="176"/>
      <c r="J849" s="170">
        <v>40130</v>
      </c>
      <c r="K849" s="171">
        <v>4.33</v>
      </c>
    </row>
    <row r="850" spans="1:11" x14ac:dyDescent="0.2">
      <c r="A850" s="175">
        <v>35423</v>
      </c>
      <c r="B850" s="176">
        <v>6.68</v>
      </c>
      <c r="C850" s="176"/>
      <c r="D850" s="176"/>
      <c r="E850" s="176"/>
      <c r="J850" s="170">
        <v>40137</v>
      </c>
      <c r="K850" s="171">
        <v>4.1900000000000004</v>
      </c>
    </row>
    <row r="851" spans="1:11" x14ac:dyDescent="0.2">
      <c r="A851" s="175">
        <v>35424</v>
      </c>
      <c r="B851" s="176" t="e">
        <f>NA()</f>
        <v>#N/A</v>
      </c>
      <c r="C851" s="176"/>
      <c r="D851" s="176"/>
      <c r="E851" s="176"/>
      <c r="J851" s="170">
        <v>40144</v>
      </c>
      <c r="K851" s="171">
        <v>4.1399999999999997</v>
      </c>
    </row>
    <row r="852" spans="1:11" x14ac:dyDescent="0.2">
      <c r="A852" s="175">
        <v>35425</v>
      </c>
      <c r="B852" s="176">
        <v>6.68</v>
      </c>
      <c r="C852" s="176"/>
      <c r="D852" s="176"/>
      <c r="E852" s="176"/>
      <c r="J852" s="170">
        <v>40151</v>
      </c>
      <c r="K852" s="171">
        <v>4.18</v>
      </c>
    </row>
    <row r="853" spans="1:11" x14ac:dyDescent="0.2">
      <c r="A853" s="175">
        <v>35426</v>
      </c>
      <c r="B853" s="176">
        <v>6.63</v>
      </c>
      <c r="C853" s="176"/>
      <c r="D853" s="176"/>
      <c r="E853" s="176"/>
      <c r="J853" s="170">
        <v>40158</v>
      </c>
      <c r="K853" s="171">
        <v>4.33</v>
      </c>
    </row>
    <row r="854" spans="1:11" x14ac:dyDescent="0.2">
      <c r="A854" s="175">
        <v>35429</v>
      </c>
      <c r="B854" s="176">
        <v>6.63</v>
      </c>
      <c r="C854" s="176"/>
      <c r="D854" s="176"/>
      <c r="E854" s="176"/>
      <c r="J854" s="170">
        <v>40165</v>
      </c>
      <c r="K854" s="171">
        <v>4.38</v>
      </c>
    </row>
    <row r="855" spans="1:11" x14ac:dyDescent="0.2">
      <c r="A855" s="175">
        <v>35430</v>
      </c>
      <c r="B855" s="176">
        <v>6.73</v>
      </c>
      <c r="C855" s="176"/>
      <c r="D855" s="176"/>
      <c r="E855" s="176"/>
      <c r="J855" s="170">
        <v>40172</v>
      </c>
      <c r="K855" s="171">
        <v>4.53</v>
      </c>
    </row>
    <row r="856" spans="1:11" x14ac:dyDescent="0.2">
      <c r="A856" s="175">
        <v>35431</v>
      </c>
      <c r="B856" s="176" t="e">
        <f>NA()</f>
        <v>#N/A</v>
      </c>
      <c r="C856" s="176"/>
      <c r="D856" s="176"/>
      <c r="E856" s="176"/>
      <c r="J856" s="170">
        <v>40179</v>
      </c>
      <c r="K856" s="171">
        <v>4.58</v>
      </c>
    </row>
    <row r="857" spans="1:11" x14ac:dyDescent="0.2">
      <c r="A857" s="175">
        <v>35432</v>
      </c>
      <c r="B857" s="176">
        <v>6.85</v>
      </c>
      <c r="C857" s="176"/>
      <c r="D857" s="176"/>
      <c r="E857" s="176"/>
      <c r="J857" s="170">
        <v>40186</v>
      </c>
      <c r="K857" s="171">
        <v>4.5999999999999996</v>
      </c>
    </row>
    <row r="858" spans="1:11" x14ac:dyDescent="0.2">
      <c r="A858" s="175">
        <v>35433</v>
      </c>
      <c r="B858" s="176">
        <v>6.84</v>
      </c>
      <c r="C858" s="176"/>
      <c r="D858" s="176"/>
      <c r="E858" s="176"/>
      <c r="J858" s="170">
        <v>40193</v>
      </c>
      <c r="K858" s="171">
        <v>4.55</v>
      </c>
    </row>
    <row r="859" spans="1:11" x14ac:dyDescent="0.2">
      <c r="A859" s="175">
        <v>35436</v>
      </c>
      <c r="B859" s="176">
        <v>6.86</v>
      </c>
      <c r="C859" s="176"/>
      <c r="D859" s="176"/>
      <c r="E859" s="176"/>
      <c r="J859" s="170">
        <v>40200</v>
      </c>
      <c r="K859" s="171">
        <v>4.42</v>
      </c>
    </row>
    <row r="860" spans="1:11" x14ac:dyDescent="0.2">
      <c r="A860" s="175">
        <v>35437</v>
      </c>
      <c r="B860" s="176">
        <v>6.89</v>
      </c>
      <c r="C860" s="176"/>
      <c r="D860" s="176"/>
      <c r="E860" s="176"/>
      <c r="J860" s="170">
        <v>40207</v>
      </c>
      <c r="K860" s="171">
        <v>4.42</v>
      </c>
    </row>
    <row r="861" spans="1:11" x14ac:dyDescent="0.2">
      <c r="A861" s="175">
        <v>35438</v>
      </c>
      <c r="B861" s="176">
        <v>6.92</v>
      </c>
      <c r="C861" s="176"/>
      <c r="D861" s="176"/>
      <c r="E861" s="176"/>
      <c r="J861" s="170">
        <v>40214</v>
      </c>
      <c r="K861" s="171">
        <v>4.42</v>
      </c>
    </row>
    <row r="862" spans="1:11" x14ac:dyDescent="0.2">
      <c r="A862" s="175">
        <v>35439</v>
      </c>
      <c r="B862" s="176">
        <v>6.85</v>
      </c>
      <c r="C862" s="176"/>
      <c r="D862" s="176"/>
      <c r="E862" s="176"/>
      <c r="J862" s="170">
        <v>40221</v>
      </c>
      <c r="K862" s="171">
        <v>4.4800000000000004</v>
      </c>
    </row>
    <row r="863" spans="1:11" x14ac:dyDescent="0.2">
      <c r="A863" s="175">
        <v>35440</v>
      </c>
      <c r="B863" s="176">
        <v>6.94</v>
      </c>
      <c r="C863" s="176"/>
      <c r="D863" s="176"/>
      <c r="E863" s="176"/>
      <c r="J863" s="170">
        <v>40228</v>
      </c>
      <c r="K863" s="171">
        <v>4.5599999999999996</v>
      </c>
    </row>
    <row r="864" spans="1:11" x14ac:dyDescent="0.2">
      <c r="A864" s="175">
        <v>35443</v>
      </c>
      <c r="B864" s="177">
        <v>6.95</v>
      </c>
      <c r="C864" s="177"/>
      <c r="D864" s="177"/>
      <c r="E864" s="177"/>
      <c r="J864" s="170">
        <v>40235</v>
      </c>
      <c r="K864" s="171">
        <v>4.4800000000000004</v>
      </c>
    </row>
    <row r="865" spans="1:11" x14ac:dyDescent="0.2">
      <c r="A865" s="175">
        <v>35444</v>
      </c>
      <c r="B865" s="176">
        <v>6.86</v>
      </c>
      <c r="C865" s="176"/>
      <c r="D865" s="176"/>
      <c r="E865" s="176"/>
      <c r="J865" s="170">
        <v>40242</v>
      </c>
      <c r="K865" s="171">
        <v>4.43</v>
      </c>
    </row>
    <row r="866" spans="1:11" x14ac:dyDescent="0.2">
      <c r="A866" s="175">
        <v>35445</v>
      </c>
      <c r="B866" s="176">
        <v>6.87</v>
      </c>
      <c r="C866" s="176"/>
      <c r="D866" s="176"/>
      <c r="E866" s="176"/>
      <c r="J866" s="170">
        <v>40249</v>
      </c>
      <c r="K866" s="171">
        <v>4.51</v>
      </c>
    </row>
    <row r="867" spans="1:11" x14ac:dyDescent="0.2">
      <c r="A867" s="175">
        <v>35446</v>
      </c>
      <c r="B867" s="176">
        <v>6.91</v>
      </c>
      <c r="C867" s="176"/>
      <c r="D867" s="176"/>
      <c r="E867" s="176"/>
      <c r="J867" s="170">
        <v>40256</v>
      </c>
      <c r="K867" s="171">
        <v>4.43</v>
      </c>
    </row>
    <row r="868" spans="1:11" x14ac:dyDescent="0.2">
      <c r="A868" s="175">
        <v>35447</v>
      </c>
      <c r="B868" s="176">
        <v>6.9</v>
      </c>
      <c r="C868" s="176"/>
      <c r="D868" s="176"/>
      <c r="E868" s="176"/>
      <c r="J868" s="170">
        <v>40263</v>
      </c>
      <c r="K868" s="171">
        <v>4.53</v>
      </c>
    </row>
    <row r="869" spans="1:11" x14ac:dyDescent="0.2">
      <c r="A869" s="175">
        <v>35450</v>
      </c>
      <c r="B869" s="176" t="e">
        <f>NA()</f>
        <v>#N/A</v>
      </c>
      <c r="C869" s="176"/>
      <c r="D869" s="176"/>
      <c r="E869" s="176"/>
      <c r="J869" s="170">
        <v>40270</v>
      </c>
      <c r="K869" s="171">
        <v>4.5999999999999996</v>
      </c>
    </row>
    <row r="870" spans="1:11" x14ac:dyDescent="0.2">
      <c r="A870" s="175">
        <v>35451</v>
      </c>
      <c r="B870" s="176">
        <v>6.86</v>
      </c>
      <c r="C870" s="176"/>
      <c r="D870" s="176"/>
      <c r="E870" s="176"/>
      <c r="J870" s="170">
        <v>40277</v>
      </c>
      <c r="K870" s="171">
        <v>4.63</v>
      </c>
    </row>
    <row r="871" spans="1:11" x14ac:dyDescent="0.2">
      <c r="A871" s="175">
        <v>35452</v>
      </c>
      <c r="B871" s="176">
        <v>6.9</v>
      </c>
      <c r="C871" s="176"/>
      <c r="D871" s="176"/>
      <c r="E871" s="176"/>
      <c r="J871" s="170">
        <v>40284</v>
      </c>
      <c r="K871" s="171">
        <v>4.54</v>
      </c>
    </row>
    <row r="872" spans="1:11" x14ac:dyDescent="0.2">
      <c r="A872" s="175">
        <v>35453</v>
      </c>
      <c r="B872" s="176">
        <v>6.93</v>
      </c>
      <c r="C872" s="176"/>
      <c r="D872" s="176"/>
      <c r="E872" s="176"/>
      <c r="J872" s="170">
        <v>40291</v>
      </c>
      <c r="K872" s="171">
        <v>4.5</v>
      </c>
    </row>
    <row r="873" spans="1:11" x14ac:dyDescent="0.2">
      <c r="A873" s="175">
        <v>35454</v>
      </c>
      <c r="B873" s="176">
        <v>6.97</v>
      </c>
      <c r="C873" s="176"/>
      <c r="D873" s="176"/>
      <c r="E873" s="176"/>
      <c r="J873" s="170">
        <v>40298</v>
      </c>
      <c r="K873" s="171">
        <v>4.43</v>
      </c>
    </row>
    <row r="874" spans="1:11" x14ac:dyDescent="0.2">
      <c r="A874" s="175">
        <v>35457</v>
      </c>
      <c r="B874" s="176">
        <v>7.01</v>
      </c>
      <c r="C874" s="176"/>
      <c r="D874" s="176"/>
      <c r="E874" s="176"/>
      <c r="J874" s="170">
        <v>40305</v>
      </c>
      <c r="K874" s="171">
        <v>4.2</v>
      </c>
    </row>
    <row r="875" spans="1:11" x14ac:dyDescent="0.2">
      <c r="A875" s="175">
        <v>35458</v>
      </c>
      <c r="B875" s="176">
        <v>6.98</v>
      </c>
      <c r="C875" s="176"/>
      <c r="D875" s="176"/>
      <c r="E875" s="176"/>
      <c r="J875" s="170">
        <v>40312</v>
      </c>
      <c r="K875" s="171">
        <v>4.2300000000000004</v>
      </c>
    </row>
    <row r="876" spans="1:11" x14ac:dyDescent="0.2">
      <c r="A876" s="175">
        <v>35459</v>
      </c>
      <c r="B876" s="176">
        <v>6.97</v>
      </c>
      <c r="C876" s="176"/>
      <c r="D876" s="176"/>
      <c r="E876" s="176"/>
      <c r="J876" s="170">
        <v>40319</v>
      </c>
      <c r="K876" s="171">
        <v>4.04</v>
      </c>
    </row>
    <row r="877" spans="1:11" x14ac:dyDescent="0.2">
      <c r="A877" s="175">
        <v>35460</v>
      </c>
      <c r="B877" s="176">
        <v>6.95</v>
      </c>
      <c r="C877" s="176"/>
      <c r="D877" s="176"/>
      <c r="E877" s="176"/>
      <c r="J877" s="170">
        <v>40326</v>
      </c>
      <c r="K877" s="171">
        <v>3.99</v>
      </c>
    </row>
    <row r="878" spans="1:11" x14ac:dyDescent="0.2">
      <c r="A878" s="175">
        <v>35461</v>
      </c>
      <c r="B878" s="176">
        <v>6.86</v>
      </c>
      <c r="C878" s="176"/>
      <c r="D878" s="176"/>
      <c r="E878" s="176"/>
      <c r="J878" s="170">
        <v>40333</v>
      </c>
      <c r="K878" s="171">
        <v>4.05</v>
      </c>
    </row>
    <row r="879" spans="1:11" x14ac:dyDescent="0.2">
      <c r="A879" s="175">
        <v>35464</v>
      </c>
      <c r="B879" s="176">
        <v>6.81</v>
      </c>
      <c r="C879" s="176"/>
      <c r="D879" s="176"/>
      <c r="E879" s="176"/>
      <c r="J879" s="170">
        <v>40340</v>
      </c>
      <c r="K879" s="171">
        <v>3.96</v>
      </c>
    </row>
    <row r="880" spans="1:11" x14ac:dyDescent="0.2">
      <c r="A880" s="175">
        <v>35465</v>
      </c>
      <c r="B880" s="176">
        <v>6.78</v>
      </c>
      <c r="C880" s="176"/>
      <c r="D880" s="176"/>
      <c r="E880" s="176"/>
      <c r="J880" s="170">
        <v>40347</v>
      </c>
      <c r="K880" s="171">
        <v>4</v>
      </c>
    </row>
    <row r="881" spans="1:11" x14ac:dyDescent="0.2">
      <c r="A881" s="175">
        <v>35466</v>
      </c>
      <c r="B881" s="176">
        <v>6.81</v>
      </c>
      <c r="C881" s="176"/>
      <c r="D881" s="176"/>
      <c r="E881" s="176"/>
      <c r="J881" s="170">
        <v>40354</v>
      </c>
      <c r="K881" s="171">
        <v>3.92</v>
      </c>
    </row>
    <row r="882" spans="1:11" x14ac:dyDescent="0.2">
      <c r="A882" s="175">
        <v>35467</v>
      </c>
      <c r="B882" s="176">
        <v>6.83</v>
      </c>
      <c r="C882" s="176"/>
      <c r="D882" s="176"/>
      <c r="E882" s="176"/>
      <c r="J882" s="170">
        <v>40361</v>
      </c>
      <c r="K882" s="171">
        <v>3.76</v>
      </c>
    </row>
    <row r="883" spans="1:11" x14ac:dyDescent="0.2">
      <c r="A883" s="175">
        <v>35468</v>
      </c>
      <c r="B883" s="176">
        <v>6.78</v>
      </c>
      <c r="C883" s="176"/>
      <c r="D883" s="176"/>
      <c r="E883" s="176"/>
      <c r="J883" s="170">
        <v>40368</v>
      </c>
      <c r="K883" s="171">
        <v>3.79</v>
      </c>
    </row>
    <row r="884" spans="1:11" x14ac:dyDescent="0.2">
      <c r="A884" s="175">
        <v>35471</v>
      </c>
      <c r="B884" s="176">
        <v>6.77</v>
      </c>
      <c r="C884" s="176"/>
      <c r="D884" s="176"/>
      <c r="E884" s="176"/>
      <c r="J884" s="170">
        <v>40375</v>
      </c>
      <c r="K884" s="171">
        <v>3.83</v>
      </c>
    </row>
    <row r="885" spans="1:11" x14ac:dyDescent="0.2">
      <c r="A885" s="175">
        <v>35472</v>
      </c>
      <c r="B885" s="176">
        <v>6.77</v>
      </c>
      <c r="C885" s="176"/>
      <c r="D885" s="176"/>
      <c r="E885" s="176"/>
      <c r="J885" s="170">
        <v>40382</v>
      </c>
      <c r="K885" s="171">
        <v>3.76</v>
      </c>
    </row>
    <row r="886" spans="1:11" x14ac:dyDescent="0.2">
      <c r="A886" s="175">
        <v>35473</v>
      </c>
      <c r="B886" s="176">
        <v>6.78</v>
      </c>
      <c r="C886" s="176"/>
      <c r="D886" s="176"/>
      <c r="E886" s="176"/>
      <c r="J886" s="170">
        <v>40389</v>
      </c>
      <c r="K886" s="171">
        <v>3.83</v>
      </c>
    </row>
    <row r="887" spans="1:11" x14ac:dyDescent="0.2">
      <c r="A887" s="175">
        <v>35474</v>
      </c>
      <c r="B887" s="176">
        <v>6.69</v>
      </c>
      <c r="C887" s="176"/>
      <c r="D887" s="176"/>
      <c r="E887" s="176"/>
      <c r="J887" s="170">
        <v>40396</v>
      </c>
      <c r="K887" s="171">
        <v>3.78</v>
      </c>
    </row>
    <row r="888" spans="1:11" x14ac:dyDescent="0.2">
      <c r="A888" s="175">
        <v>35475</v>
      </c>
      <c r="B888" s="176">
        <v>6.64</v>
      </c>
      <c r="C888" s="176"/>
      <c r="D888" s="176"/>
      <c r="E888" s="176"/>
      <c r="J888" s="170">
        <v>40403</v>
      </c>
      <c r="K888" s="171">
        <v>3.65</v>
      </c>
    </row>
    <row r="889" spans="1:11" x14ac:dyDescent="0.2">
      <c r="A889" s="175">
        <v>35478</v>
      </c>
      <c r="B889" s="177" t="e">
        <f>NA()</f>
        <v>#N/A</v>
      </c>
      <c r="C889" s="177"/>
      <c r="D889" s="177"/>
      <c r="E889" s="177"/>
      <c r="J889" s="170">
        <v>40410</v>
      </c>
      <c r="K889" s="171">
        <v>3.42</v>
      </c>
    </row>
    <row r="890" spans="1:11" x14ac:dyDescent="0.2">
      <c r="A890" s="175">
        <v>35479</v>
      </c>
      <c r="B890" s="176">
        <v>6.65</v>
      </c>
      <c r="C890" s="176"/>
      <c r="D890" s="176"/>
      <c r="E890" s="176"/>
      <c r="J890" s="170">
        <v>40417</v>
      </c>
      <c r="K890" s="171">
        <v>3.32</v>
      </c>
    </row>
    <row r="891" spans="1:11" x14ac:dyDescent="0.2">
      <c r="A891" s="175">
        <v>35480</v>
      </c>
      <c r="B891" s="176">
        <v>6.67</v>
      </c>
      <c r="C891" s="176"/>
      <c r="D891" s="176"/>
      <c r="E891" s="176"/>
      <c r="J891" s="170">
        <v>40424</v>
      </c>
      <c r="K891" s="171">
        <v>3.36</v>
      </c>
    </row>
    <row r="892" spans="1:11" x14ac:dyDescent="0.2">
      <c r="A892" s="175">
        <v>35481</v>
      </c>
      <c r="B892" s="176">
        <v>6.74</v>
      </c>
      <c r="C892" s="176"/>
      <c r="D892" s="176"/>
      <c r="E892" s="176"/>
      <c r="J892" s="170">
        <v>40431</v>
      </c>
      <c r="K892" s="171">
        <v>3.48</v>
      </c>
    </row>
    <row r="893" spans="1:11" x14ac:dyDescent="0.2">
      <c r="A893" s="175">
        <v>35482</v>
      </c>
      <c r="B893" s="176">
        <v>6.74</v>
      </c>
      <c r="C893" s="176"/>
      <c r="D893" s="176"/>
      <c r="E893" s="176"/>
      <c r="J893" s="170">
        <v>40438</v>
      </c>
      <c r="K893" s="171">
        <v>3.55</v>
      </c>
    </row>
    <row r="894" spans="1:11" x14ac:dyDescent="0.2">
      <c r="A894" s="175">
        <v>35485</v>
      </c>
      <c r="B894" s="176">
        <v>6.76</v>
      </c>
      <c r="C894" s="176"/>
      <c r="D894" s="176"/>
      <c r="E894" s="176"/>
      <c r="J894" s="170">
        <v>40445</v>
      </c>
      <c r="K894" s="171">
        <v>3.48</v>
      </c>
    </row>
    <row r="895" spans="1:11" x14ac:dyDescent="0.2">
      <c r="A895" s="175">
        <v>35486</v>
      </c>
      <c r="B895" s="176">
        <v>6.76</v>
      </c>
      <c r="C895" s="176"/>
      <c r="D895" s="176"/>
      <c r="E895" s="176"/>
      <c r="J895" s="170">
        <v>40452</v>
      </c>
      <c r="K895" s="171">
        <v>3.38</v>
      </c>
    </row>
    <row r="896" spans="1:11" x14ac:dyDescent="0.2">
      <c r="A896" s="175">
        <v>35487</v>
      </c>
      <c r="B896" s="176">
        <v>6.9</v>
      </c>
      <c r="C896" s="176"/>
      <c r="D896" s="176"/>
      <c r="E896" s="176"/>
      <c r="J896" s="170">
        <v>40459</v>
      </c>
      <c r="K896" s="171">
        <v>3.38</v>
      </c>
    </row>
    <row r="897" spans="1:11" x14ac:dyDescent="0.2">
      <c r="A897" s="175">
        <v>35488</v>
      </c>
      <c r="B897" s="177">
        <v>6.92</v>
      </c>
      <c r="C897" s="177"/>
      <c r="D897" s="177"/>
      <c r="E897" s="177"/>
      <c r="J897" s="170">
        <v>40466</v>
      </c>
      <c r="K897" s="171">
        <v>3.52</v>
      </c>
    </row>
    <row r="898" spans="1:11" x14ac:dyDescent="0.2">
      <c r="A898" s="175">
        <v>35489</v>
      </c>
      <c r="B898" s="176">
        <v>6.91</v>
      </c>
      <c r="C898" s="176"/>
      <c r="D898" s="176"/>
      <c r="E898" s="176"/>
      <c r="J898" s="170">
        <v>40473</v>
      </c>
      <c r="K898" s="171">
        <v>3.56</v>
      </c>
    </row>
    <row r="899" spans="1:11" x14ac:dyDescent="0.2">
      <c r="A899" s="175">
        <v>35492</v>
      </c>
      <c r="B899" s="176">
        <v>6.94</v>
      </c>
      <c r="C899" s="176"/>
      <c r="D899" s="176"/>
      <c r="E899" s="176"/>
      <c r="J899" s="170">
        <v>40480</v>
      </c>
      <c r="K899" s="171">
        <v>3.66</v>
      </c>
    </row>
    <row r="900" spans="1:11" x14ac:dyDescent="0.2">
      <c r="A900" s="175">
        <v>35493</v>
      </c>
      <c r="B900" s="176">
        <v>6.97</v>
      </c>
      <c r="C900" s="176"/>
      <c r="D900" s="176"/>
      <c r="E900" s="176"/>
      <c r="J900" s="170">
        <v>40487</v>
      </c>
      <c r="K900" s="171">
        <v>3.65</v>
      </c>
    </row>
    <row r="901" spans="1:11" x14ac:dyDescent="0.2">
      <c r="A901" s="175">
        <v>35494</v>
      </c>
      <c r="B901" s="176">
        <v>6.96</v>
      </c>
      <c r="C901" s="176"/>
      <c r="D901" s="176"/>
      <c r="E901" s="176"/>
      <c r="J901" s="170">
        <v>40494</v>
      </c>
      <c r="K901" s="171">
        <v>3.81</v>
      </c>
    </row>
    <row r="902" spans="1:11" x14ac:dyDescent="0.2">
      <c r="A902" s="175">
        <v>35495</v>
      </c>
      <c r="B902" s="176">
        <v>6.99</v>
      </c>
      <c r="C902" s="176"/>
      <c r="D902" s="176"/>
      <c r="E902" s="176"/>
      <c r="J902" s="170">
        <v>40501</v>
      </c>
      <c r="K902" s="171">
        <v>3.94</v>
      </c>
    </row>
    <row r="903" spans="1:11" x14ac:dyDescent="0.2">
      <c r="A903" s="175">
        <v>35496</v>
      </c>
      <c r="B903" s="176">
        <v>6.93</v>
      </c>
      <c r="C903" s="176"/>
      <c r="D903" s="176"/>
      <c r="E903" s="176"/>
      <c r="J903" s="170">
        <v>40508</v>
      </c>
      <c r="K903" s="171">
        <v>3.88</v>
      </c>
    </row>
    <row r="904" spans="1:11" x14ac:dyDescent="0.2">
      <c r="A904" s="175">
        <v>35499</v>
      </c>
      <c r="B904" s="176">
        <v>6.94</v>
      </c>
      <c r="C904" s="176"/>
      <c r="D904" s="176"/>
      <c r="E904" s="176"/>
      <c r="J904" s="170">
        <v>40515</v>
      </c>
      <c r="K904" s="171">
        <v>3.91</v>
      </c>
    </row>
    <row r="905" spans="1:11" x14ac:dyDescent="0.2">
      <c r="A905" s="175">
        <v>35500</v>
      </c>
      <c r="B905" s="176">
        <v>6.96</v>
      </c>
      <c r="C905" s="176"/>
      <c r="D905" s="176"/>
      <c r="E905" s="176"/>
      <c r="J905" s="170">
        <v>40522</v>
      </c>
      <c r="K905" s="171">
        <v>4.1100000000000003</v>
      </c>
    </row>
    <row r="906" spans="1:11" x14ac:dyDescent="0.2">
      <c r="A906" s="175">
        <v>35501</v>
      </c>
      <c r="B906" s="176">
        <v>6.98</v>
      </c>
      <c r="C906" s="176"/>
      <c r="D906" s="176"/>
      <c r="E906" s="176"/>
      <c r="J906" s="170">
        <v>40529</v>
      </c>
      <c r="K906" s="171">
        <v>4.2699999999999996</v>
      </c>
    </row>
    <row r="907" spans="1:11" x14ac:dyDescent="0.2">
      <c r="A907" s="175">
        <v>35502</v>
      </c>
      <c r="B907" s="176">
        <v>7.09</v>
      </c>
      <c r="C907" s="176"/>
      <c r="D907" s="176"/>
      <c r="E907" s="176"/>
      <c r="J907" s="170">
        <v>40536</v>
      </c>
      <c r="K907" s="171">
        <v>4.2300000000000004</v>
      </c>
    </row>
    <row r="908" spans="1:11" x14ac:dyDescent="0.2">
      <c r="A908" s="175">
        <v>35503</v>
      </c>
      <c r="B908" s="176">
        <v>7.07</v>
      </c>
      <c r="C908" s="176"/>
      <c r="D908" s="176"/>
      <c r="E908" s="176"/>
      <c r="J908" s="170">
        <v>40543</v>
      </c>
      <c r="K908" s="171">
        <v>4.21</v>
      </c>
    </row>
    <row r="909" spans="1:11" x14ac:dyDescent="0.2">
      <c r="A909" s="175">
        <v>35506</v>
      </c>
      <c r="B909" s="176">
        <v>7.08</v>
      </c>
      <c r="C909" s="176"/>
      <c r="D909" s="176"/>
      <c r="E909" s="176"/>
      <c r="J909" s="170">
        <v>40550</v>
      </c>
      <c r="K909" s="171">
        <v>4.26</v>
      </c>
    </row>
    <row r="910" spans="1:11" x14ac:dyDescent="0.2">
      <c r="A910" s="175">
        <v>35507</v>
      </c>
      <c r="B910" s="176">
        <v>7.08</v>
      </c>
      <c r="C910" s="176"/>
      <c r="D910" s="176"/>
      <c r="E910" s="176"/>
      <c r="J910" s="170">
        <v>40557</v>
      </c>
      <c r="K910" s="171">
        <v>4.26</v>
      </c>
    </row>
    <row r="911" spans="1:11" x14ac:dyDescent="0.2">
      <c r="A911" s="175">
        <v>35508</v>
      </c>
      <c r="B911" s="176">
        <v>7.1</v>
      </c>
      <c r="C911" s="176"/>
      <c r="D911" s="176"/>
      <c r="E911" s="176"/>
      <c r="J911" s="170">
        <v>40564</v>
      </c>
      <c r="K911" s="171">
        <v>4.32</v>
      </c>
    </row>
    <row r="912" spans="1:11" x14ac:dyDescent="0.2">
      <c r="A912" s="175">
        <v>35509</v>
      </c>
      <c r="B912" s="176">
        <v>7.09</v>
      </c>
      <c r="C912" s="176"/>
      <c r="D912" s="176"/>
      <c r="E912" s="176"/>
      <c r="J912" s="170">
        <v>40571</v>
      </c>
      <c r="K912" s="171">
        <v>4.29</v>
      </c>
    </row>
    <row r="913" spans="1:11" x14ac:dyDescent="0.2">
      <c r="A913" s="175">
        <v>35510</v>
      </c>
      <c r="B913" s="176">
        <v>7.08</v>
      </c>
      <c r="C913" s="176"/>
      <c r="D913" s="176"/>
      <c r="E913" s="176"/>
      <c r="J913" s="170">
        <v>40578</v>
      </c>
      <c r="K913" s="171">
        <v>4.41</v>
      </c>
    </row>
    <row r="914" spans="1:11" x14ac:dyDescent="0.2">
      <c r="A914" s="175">
        <v>35513</v>
      </c>
      <c r="B914" s="176">
        <v>7.06</v>
      </c>
      <c r="C914" s="176"/>
      <c r="D914" s="176"/>
      <c r="E914" s="176"/>
      <c r="J914" s="170">
        <v>40585</v>
      </c>
      <c r="K914" s="171">
        <v>4.5199999999999996</v>
      </c>
    </row>
    <row r="915" spans="1:11" x14ac:dyDescent="0.2">
      <c r="A915" s="175">
        <v>35514</v>
      </c>
      <c r="B915" s="176">
        <v>7.07</v>
      </c>
      <c r="C915" s="176"/>
      <c r="D915" s="176"/>
      <c r="E915" s="176"/>
      <c r="J915" s="170">
        <v>40592</v>
      </c>
      <c r="K915" s="171">
        <v>4.45</v>
      </c>
    </row>
    <row r="916" spans="1:11" x14ac:dyDescent="0.2">
      <c r="A916" s="175">
        <v>35515</v>
      </c>
      <c r="B916" s="176">
        <v>7.11</v>
      </c>
      <c r="C916" s="176"/>
      <c r="D916" s="176"/>
      <c r="E916" s="176"/>
      <c r="J916" s="170">
        <v>40599</v>
      </c>
      <c r="K916" s="171">
        <v>4.3099999999999996</v>
      </c>
    </row>
    <row r="917" spans="1:11" x14ac:dyDescent="0.2">
      <c r="A917" s="175">
        <v>35516</v>
      </c>
      <c r="B917" s="176">
        <v>7.2</v>
      </c>
      <c r="C917" s="176"/>
      <c r="D917" s="176"/>
      <c r="E917" s="176"/>
      <c r="J917" s="170">
        <v>40606</v>
      </c>
      <c r="K917" s="171">
        <v>4.3099999999999996</v>
      </c>
    </row>
    <row r="918" spans="1:11" x14ac:dyDescent="0.2">
      <c r="A918" s="175">
        <v>35517</v>
      </c>
      <c r="B918" s="176" t="e">
        <f>NA()</f>
        <v>#N/A</v>
      </c>
      <c r="C918" s="176"/>
      <c r="D918" s="176"/>
      <c r="E918" s="176"/>
      <c r="J918" s="170">
        <v>40613</v>
      </c>
      <c r="K918" s="171">
        <v>4.33</v>
      </c>
    </row>
    <row r="919" spans="1:11" x14ac:dyDescent="0.2">
      <c r="A919" s="175">
        <v>35520</v>
      </c>
      <c r="B919" s="176">
        <v>7.22</v>
      </c>
      <c r="C919" s="176"/>
      <c r="D919" s="176"/>
      <c r="E919" s="176"/>
      <c r="J919" s="170">
        <v>40620</v>
      </c>
      <c r="K919" s="171">
        <v>4.18</v>
      </c>
    </row>
    <row r="920" spans="1:11" x14ac:dyDescent="0.2">
      <c r="A920" s="175">
        <v>35521</v>
      </c>
      <c r="B920" s="177">
        <v>7.21</v>
      </c>
      <c r="C920" s="177"/>
      <c r="D920" s="177"/>
      <c r="E920" s="177"/>
      <c r="J920" s="170">
        <v>40627</v>
      </c>
      <c r="K920" s="171">
        <v>4.22</v>
      </c>
    </row>
    <row r="921" spans="1:11" x14ac:dyDescent="0.2">
      <c r="A921" s="175">
        <v>35522</v>
      </c>
      <c r="B921" s="176">
        <v>7.2</v>
      </c>
      <c r="C921" s="176"/>
      <c r="D921" s="176"/>
      <c r="E921" s="176"/>
      <c r="J921" s="170">
        <v>40634</v>
      </c>
      <c r="K921" s="171">
        <v>4.29</v>
      </c>
    </row>
    <row r="922" spans="1:11" x14ac:dyDescent="0.2">
      <c r="A922" s="175">
        <v>35523</v>
      </c>
      <c r="B922" s="176">
        <v>7.19</v>
      </c>
      <c r="C922" s="176"/>
      <c r="D922" s="176"/>
      <c r="E922" s="176"/>
      <c r="J922" s="170">
        <v>40641</v>
      </c>
      <c r="K922" s="171">
        <v>4.3499999999999996</v>
      </c>
    </row>
    <row r="923" spans="1:11" x14ac:dyDescent="0.2">
      <c r="A923" s="175">
        <v>35524</v>
      </c>
      <c r="B923" s="176">
        <v>7.25</v>
      </c>
      <c r="C923" s="176"/>
      <c r="D923" s="176"/>
      <c r="E923" s="176"/>
      <c r="J923" s="170">
        <v>40648</v>
      </c>
      <c r="K923" s="171">
        <v>4.33</v>
      </c>
    </row>
    <row r="924" spans="1:11" x14ac:dyDescent="0.2">
      <c r="A924" s="175">
        <v>35527</v>
      </c>
      <c r="B924" s="176">
        <v>7.2</v>
      </c>
      <c r="C924" s="176"/>
      <c r="D924" s="176"/>
      <c r="E924" s="176"/>
      <c r="J924" s="170">
        <v>40655</v>
      </c>
      <c r="K924" s="171">
        <v>4.2300000000000004</v>
      </c>
    </row>
    <row r="925" spans="1:11" x14ac:dyDescent="0.2">
      <c r="A925" s="175">
        <v>35528</v>
      </c>
      <c r="B925" s="177">
        <v>7.23</v>
      </c>
      <c r="C925" s="177"/>
      <c r="D925" s="177"/>
      <c r="E925" s="177"/>
      <c r="J925" s="170">
        <v>40662</v>
      </c>
      <c r="K925" s="171">
        <v>4.18</v>
      </c>
    </row>
    <row r="926" spans="1:11" x14ac:dyDescent="0.2">
      <c r="A926" s="175">
        <v>35529</v>
      </c>
      <c r="B926" s="176">
        <v>7.22</v>
      </c>
      <c r="C926" s="176"/>
      <c r="D926" s="176"/>
      <c r="E926" s="176"/>
      <c r="J926" s="170">
        <v>40669</v>
      </c>
      <c r="K926" s="171">
        <v>4.07</v>
      </c>
    </row>
    <row r="927" spans="1:11" x14ac:dyDescent="0.2">
      <c r="A927" s="175">
        <v>35530</v>
      </c>
      <c r="B927" s="176">
        <v>7.22</v>
      </c>
      <c r="C927" s="176"/>
      <c r="D927" s="176"/>
      <c r="E927" s="176"/>
      <c r="J927" s="170">
        <v>40676</v>
      </c>
      <c r="K927" s="171">
        <v>4.05</v>
      </c>
    </row>
    <row r="928" spans="1:11" x14ac:dyDescent="0.2">
      <c r="A928" s="175">
        <v>35531</v>
      </c>
      <c r="B928" s="176">
        <v>7.29</v>
      </c>
      <c r="C928" s="176"/>
      <c r="D928" s="176"/>
      <c r="E928" s="176"/>
      <c r="J928" s="170">
        <v>40683</v>
      </c>
      <c r="K928" s="171">
        <v>3.99</v>
      </c>
    </row>
    <row r="929" spans="1:11" x14ac:dyDescent="0.2">
      <c r="A929" s="175">
        <v>35534</v>
      </c>
      <c r="B929" s="176">
        <v>7.29</v>
      </c>
      <c r="C929" s="176"/>
      <c r="D929" s="176"/>
      <c r="E929" s="176"/>
      <c r="J929" s="170">
        <v>40690</v>
      </c>
      <c r="K929" s="171">
        <v>3.96</v>
      </c>
    </row>
    <row r="930" spans="1:11" x14ac:dyDescent="0.2">
      <c r="A930" s="175">
        <v>35535</v>
      </c>
      <c r="B930" s="176">
        <v>7.21</v>
      </c>
      <c r="C930" s="176"/>
      <c r="D930" s="176"/>
      <c r="E930" s="176"/>
      <c r="J930" s="170">
        <v>40697</v>
      </c>
      <c r="K930" s="171">
        <v>3.89</v>
      </c>
    </row>
    <row r="931" spans="1:11" x14ac:dyDescent="0.2">
      <c r="A931" s="175">
        <v>35536</v>
      </c>
      <c r="B931" s="176">
        <v>7.22</v>
      </c>
      <c r="C931" s="176"/>
      <c r="D931" s="176"/>
      <c r="E931" s="176"/>
      <c r="J931" s="170">
        <v>40704</v>
      </c>
      <c r="K931" s="171">
        <v>3.9</v>
      </c>
    </row>
    <row r="932" spans="1:11" x14ac:dyDescent="0.2">
      <c r="A932" s="175">
        <v>35537</v>
      </c>
      <c r="B932" s="176">
        <v>7.18</v>
      </c>
      <c r="C932" s="176"/>
      <c r="D932" s="176"/>
      <c r="E932" s="176"/>
      <c r="J932" s="170">
        <v>40711</v>
      </c>
      <c r="K932" s="171">
        <v>3.9</v>
      </c>
    </row>
    <row r="933" spans="1:11" x14ac:dyDescent="0.2">
      <c r="A933" s="175">
        <v>35538</v>
      </c>
      <c r="B933" s="176">
        <v>7.17</v>
      </c>
      <c r="C933" s="176"/>
      <c r="D933" s="176"/>
      <c r="E933" s="176"/>
      <c r="J933" s="170">
        <v>40718</v>
      </c>
      <c r="K933" s="171">
        <v>3.87</v>
      </c>
    </row>
    <row r="934" spans="1:11" x14ac:dyDescent="0.2">
      <c r="A934" s="175">
        <v>35541</v>
      </c>
      <c r="B934" s="176">
        <v>7.2</v>
      </c>
      <c r="C934" s="176"/>
      <c r="D934" s="176"/>
      <c r="E934" s="176"/>
      <c r="J934" s="170">
        <v>40725</v>
      </c>
      <c r="K934" s="171">
        <v>4.05</v>
      </c>
    </row>
    <row r="935" spans="1:11" x14ac:dyDescent="0.2">
      <c r="A935" s="175">
        <v>35542</v>
      </c>
      <c r="B935" s="176">
        <v>7.16</v>
      </c>
      <c r="C935" s="176"/>
      <c r="D935" s="176"/>
      <c r="E935" s="176"/>
      <c r="J935" s="170">
        <v>40732</v>
      </c>
      <c r="K935" s="171">
        <v>4.05</v>
      </c>
    </row>
    <row r="936" spans="1:11" x14ac:dyDescent="0.2">
      <c r="A936" s="175">
        <v>35543</v>
      </c>
      <c r="B936" s="176">
        <v>7.2</v>
      </c>
      <c r="C936" s="176"/>
      <c r="D936" s="176"/>
      <c r="E936" s="176"/>
      <c r="J936" s="170">
        <v>40739</v>
      </c>
      <c r="K936" s="171">
        <v>3.89</v>
      </c>
    </row>
    <row r="937" spans="1:11" x14ac:dyDescent="0.2">
      <c r="A937" s="175">
        <v>35544</v>
      </c>
      <c r="B937" s="176">
        <v>7.23</v>
      </c>
      <c r="C937" s="176"/>
      <c r="D937" s="176"/>
      <c r="E937" s="176"/>
      <c r="J937" s="170">
        <v>40746</v>
      </c>
      <c r="K937" s="171">
        <v>3.93</v>
      </c>
    </row>
    <row r="938" spans="1:11" x14ac:dyDescent="0.2">
      <c r="A938" s="175">
        <v>35545</v>
      </c>
      <c r="B938" s="176">
        <v>7.25</v>
      </c>
      <c r="C938" s="176"/>
      <c r="D938" s="176"/>
      <c r="E938" s="176"/>
      <c r="J938" s="170">
        <v>40753</v>
      </c>
      <c r="K938" s="171">
        <v>3.91</v>
      </c>
    </row>
    <row r="939" spans="1:11" x14ac:dyDescent="0.2">
      <c r="A939" s="175">
        <v>35548</v>
      </c>
      <c r="B939" s="177">
        <v>7.23</v>
      </c>
      <c r="C939" s="177"/>
      <c r="D939" s="177"/>
      <c r="E939" s="177"/>
      <c r="J939" s="170">
        <v>40760</v>
      </c>
      <c r="K939" s="171">
        <v>3.54</v>
      </c>
    </row>
    <row r="940" spans="1:11" x14ac:dyDescent="0.2">
      <c r="A940" s="175">
        <v>35549</v>
      </c>
      <c r="B940" s="176">
        <v>7.09</v>
      </c>
      <c r="C940" s="176"/>
      <c r="D940" s="176"/>
      <c r="E940" s="176"/>
      <c r="J940" s="170">
        <v>40767</v>
      </c>
      <c r="K940" s="171">
        <v>3.23</v>
      </c>
    </row>
    <row r="941" spans="1:11" x14ac:dyDescent="0.2">
      <c r="A941" s="175">
        <v>35550</v>
      </c>
      <c r="B941" s="176">
        <v>7.05</v>
      </c>
      <c r="C941" s="176"/>
      <c r="D941" s="176"/>
      <c r="E941" s="176"/>
      <c r="J941" s="170">
        <v>40774</v>
      </c>
      <c r="K941" s="171">
        <v>3.13</v>
      </c>
    </row>
    <row r="942" spans="1:11" x14ac:dyDescent="0.2">
      <c r="A942" s="175">
        <v>35551</v>
      </c>
      <c r="B942" s="176">
        <v>7.02</v>
      </c>
      <c r="C942" s="176"/>
      <c r="D942" s="176"/>
      <c r="E942" s="176"/>
      <c r="J942" s="170">
        <v>40781</v>
      </c>
      <c r="K942" s="171">
        <v>3.12</v>
      </c>
    </row>
    <row r="943" spans="1:11" x14ac:dyDescent="0.2">
      <c r="A943" s="175">
        <v>35552</v>
      </c>
      <c r="B943" s="176">
        <v>6.99</v>
      </c>
      <c r="C943" s="176"/>
      <c r="D943" s="176"/>
      <c r="E943" s="176"/>
      <c r="J943" s="170">
        <v>40788</v>
      </c>
      <c r="K943" s="171">
        <v>3.11</v>
      </c>
    </row>
    <row r="944" spans="1:11" x14ac:dyDescent="0.2">
      <c r="A944" s="175">
        <v>35555</v>
      </c>
      <c r="B944" s="176">
        <v>6.99</v>
      </c>
      <c r="C944" s="176"/>
      <c r="D944" s="176"/>
      <c r="E944" s="176"/>
      <c r="J944" s="170">
        <v>40795</v>
      </c>
      <c r="K944" s="171">
        <v>2.9</v>
      </c>
    </row>
    <row r="945" spans="1:11" x14ac:dyDescent="0.2">
      <c r="A945" s="175">
        <v>35556</v>
      </c>
      <c r="B945" s="176">
        <v>6.98</v>
      </c>
      <c r="C945" s="176"/>
      <c r="D945" s="176"/>
      <c r="E945" s="176"/>
      <c r="J945" s="170">
        <v>40802</v>
      </c>
      <c r="K945" s="171">
        <v>2.92</v>
      </c>
    </row>
    <row r="946" spans="1:11" x14ac:dyDescent="0.2">
      <c r="A946" s="175">
        <v>35557</v>
      </c>
      <c r="B946" s="176">
        <v>7.05</v>
      </c>
      <c r="C946" s="176"/>
      <c r="D946" s="176"/>
      <c r="E946" s="176"/>
      <c r="J946" s="170">
        <v>40809</v>
      </c>
      <c r="K946" s="171">
        <v>2.68</v>
      </c>
    </row>
    <row r="947" spans="1:11" x14ac:dyDescent="0.2">
      <c r="A947" s="175">
        <v>35558</v>
      </c>
      <c r="B947" s="176">
        <v>7.01</v>
      </c>
      <c r="C947" s="176"/>
      <c r="D947" s="176"/>
      <c r="E947" s="176"/>
      <c r="J947" s="170">
        <v>40816</v>
      </c>
      <c r="K947" s="171">
        <v>2.74</v>
      </c>
    </row>
    <row r="948" spans="1:11" x14ac:dyDescent="0.2">
      <c r="A948" s="175">
        <v>35559</v>
      </c>
      <c r="B948" s="176">
        <v>6.97</v>
      </c>
      <c r="C948" s="176"/>
      <c r="D948" s="176"/>
      <c r="E948" s="176"/>
      <c r="J948" s="170">
        <v>40823</v>
      </c>
      <c r="K948" s="171">
        <v>2.63</v>
      </c>
    </row>
    <row r="949" spans="1:11" x14ac:dyDescent="0.2">
      <c r="A949" s="175">
        <v>35562</v>
      </c>
      <c r="B949" s="176">
        <v>6.96</v>
      </c>
      <c r="C949" s="176"/>
      <c r="D949" s="176"/>
      <c r="E949" s="176"/>
      <c r="J949" s="170">
        <v>40830</v>
      </c>
      <c r="K949" s="171">
        <v>2.92</v>
      </c>
    </row>
    <row r="950" spans="1:11" x14ac:dyDescent="0.2">
      <c r="A950" s="175">
        <v>35563</v>
      </c>
      <c r="B950" s="176">
        <v>7.01</v>
      </c>
      <c r="C950" s="176"/>
      <c r="D950" s="176"/>
      <c r="E950" s="176"/>
      <c r="J950" s="170">
        <v>40837</v>
      </c>
      <c r="K950" s="171">
        <v>2.92</v>
      </c>
    </row>
    <row r="951" spans="1:11" x14ac:dyDescent="0.2">
      <c r="A951" s="175">
        <v>35564</v>
      </c>
      <c r="B951" s="176">
        <v>6.98</v>
      </c>
      <c r="C951" s="176"/>
      <c r="D951" s="176"/>
      <c r="E951" s="176"/>
      <c r="J951" s="170">
        <v>40844</v>
      </c>
      <c r="K951" s="171">
        <v>3.02</v>
      </c>
    </row>
    <row r="952" spans="1:11" x14ac:dyDescent="0.2">
      <c r="A952" s="175">
        <v>35565</v>
      </c>
      <c r="B952" s="176">
        <v>6.96</v>
      </c>
      <c r="C952" s="176"/>
      <c r="D952" s="176"/>
      <c r="E952" s="176"/>
      <c r="J952" s="170">
        <v>40851</v>
      </c>
      <c r="K952" s="171">
        <v>2.8</v>
      </c>
    </row>
    <row r="953" spans="1:11" x14ac:dyDescent="0.2">
      <c r="A953" s="175">
        <v>35566</v>
      </c>
      <c r="B953" s="176">
        <v>7</v>
      </c>
      <c r="C953" s="176"/>
      <c r="D953" s="176"/>
      <c r="E953" s="176"/>
      <c r="J953" s="170">
        <v>40858</v>
      </c>
      <c r="K953" s="171">
        <v>2.79</v>
      </c>
    </row>
    <row r="954" spans="1:11" x14ac:dyDescent="0.2">
      <c r="A954" s="175">
        <v>35569</v>
      </c>
      <c r="B954" s="176">
        <v>7</v>
      </c>
      <c r="C954" s="176"/>
      <c r="D954" s="176"/>
      <c r="E954" s="176"/>
      <c r="J954" s="170">
        <v>40865</v>
      </c>
      <c r="K954" s="171">
        <v>2.73</v>
      </c>
    </row>
    <row r="955" spans="1:11" x14ac:dyDescent="0.2">
      <c r="A955" s="175">
        <v>35570</v>
      </c>
      <c r="B955" s="176">
        <v>7.01</v>
      </c>
      <c r="C955" s="176"/>
      <c r="D955" s="176"/>
      <c r="E955" s="176"/>
      <c r="J955" s="170">
        <v>40872</v>
      </c>
      <c r="K955" s="171">
        <v>2.6</v>
      </c>
    </row>
    <row r="956" spans="1:11" x14ac:dyDescent="0.2">
      <c r="A956" s="175">
        <v>35571</v>
      </c>
      <c r="B956" s="176">
        <v>7.06</v>
      </c>
      <c r="C956" s="176"/>
      <c r="D956" s="176"/>
      <c r="E956" s="176"/>
      <c r="J956" s="170">
        <v>40879</v>
      </c>
      <c r="K956" s="171">
        <v>2.72</v>
      </c>
    </row>
    <row r="957" spans="1:11" x14ac:dyDescent="0.2">
      <c r="A957" s="175">
        <v>35572</v>
      </c>
      <c r="B957" s="176">
        <v>7.08</v>
      </c>
      <c r="C957" s="176"/>
      <c r="D957" s="176"/>
      <c r="E957" s="176"/>
      <c r="J957" s="170">
        <v>40886</v>
      </c>
      <c r="K957" s="171">
        <v>2.74</v>
      </c>
    </row>
    <row r="958" spans="1:11" x14ac:dyDescent="0.2">
      <c r="A958" s="175">
        <v>35573</v>
      </c>
      <c r="B958" s="176">
        <v>7.07</v>
      </c>
      <c r="C958" s="176"/>
      <c r="D958" s="176"/>
      <c r="E958" s="176"/>
      <c r="J958" s="170">
        <v>40893</v>
      </c>
      <c r="K958" s="171">
        <v>2.63</v>
      </c>
    </row>
    <row r="959" spans="1:11" x14ac:dyDescent="0.2">
      <c r="A959" s="175">
        <v>35576</v>
      </c>
      <c r="B959" s="177" t="e">
        <f>NA()</f>
        <v>#N/A</v>
      </c>
      <c r="C959" s="177"/>
      <c r="D959" s="177"/>
      <c r="E959" s="177"/>
      <c r="J959" s="170">
        <v>40900</v>
      </c>
      <c r="K959" s="171">
        <v>2.63</v>
      </c>
    </row>
    <row r="960" spans="1:11" x14ac:dyDescent="0.2">
      <c r="A960" s="175">
        <v>35577</v>
      </c>
      <c r="B960" s="176">
        <v>7.12</v>
      </c>
      <c r="C960" s="176"/>
      <c r="D960" s="176"/>
      <c r="E960" s="176"/>
      <c r="J960" s="170">
        <v>40907</v>
      </c>
      <c r="K960" s="171">
        <v>2.62</v>
      </c>
    </row>
    <row r="961" spans="1:11" x14ac:dyDescent="0.2">
      <c r="A961" s="175">
        <v>35578</v>
      </c>
      <c r="B961" s="176">
        <v>7.11</v>
      </c>
      <c r="C961" s="176"/>
      <c r="D961" s="176"/>
      <c r="E961" s="176"/>
      <c r="J961" s="170">
        <v>40914</v>
      </c>
      <c r="K961" s="171">
        <v>2.71</v>
      </c>
    </row>
    <row r="962" spans="1:11" x14ac:dyDescent="0.2">
      <c r="A962" s="175">
        <v>35579</v>
      </c>
      <c r="B962" s="176">
        <v>7.06</v>
      </c>
      <c r="C962" s="176"/>
      <c r="D962" s="176"/>
      <c r="E962" s="176"/>
      <c r="J962" s="170">
        <v>40921</v>
      </c>
      <c r="K962" s="171">
        <v>2.66</v>
      </c>
    </row>
    <row r="963" spans="1:11" x14ac:dyDescent="0.2">
      <c r="A963" s="175">
        <v>35580</v>
      </c>
      <c r="B963" s="176">
        <v>6.99</v>
      </c>
      <c r="C963" s="176"/>
      <c r="D963" s="176"/>
      <c r="E963" s="176"/>
      <c r="J963" s="170">
        <v>40928</v>
      </c>
      <c r="K963" s="171">
        <v>2.68</v>
      </c>
    </row>
    <row r="964" spans="1:11" x14ac:dyDescent="0.2">
      <c r="A964" s="175">
        <v>35583</v>
      </c>
      <c r="B964" s="176">
        <v>6.98</v>
      </c>
      <c r="C964" s="176"/>
      <c r="D964" s="176"/>
      <c r="E964" s="176"/>
      <c r="J964" s="170">
        <v>40935</v>
      </c>
      <c r="K964" s="171">
        <v>2.77</v>
      </c>
    </row>
    <row r="965" spans="1:11" x14ac:dyDescent="0.2">
      <c r="A965" s="175">
        <v>35584</v>
      </c>
      <c r="B965" s="176">
        <v>6.94</v>
      </c>
      <c r="C965" s="176"/>
      <c r="D965" s="176"/>
      <c r="E965" s="176"/>
      <c r="J965" s="170">
        <v>40942</v>
      </c>
      <c r="K965" s="171">
        <v>2.66</v>
      </c>
    </row>
    <row r="966" spans="1:11" x14ac:dyDescent="0.2">
      <c r="A966" s="175">
        <v>35585</v>
      </c>
      <c r="B966" s="176">
        <v>6.95</v>
      </c>
      <c r="C966" s="176"/>
      <c r="D966" s="176"/>
      <c r="E966" s="176"/>
      <c r="J966" s="170">
        <v>40949</v>
      </c>
      <c r="K966" s="171">
        <v>2.77</v>
      </c>
    </row>
    <row r="967" spans="1:11" x14ac:dyDescent="0.2">
      <c r="A967" s="175">
        <v>35586</v>
      </c>
      <c r="B967" s="176">
        <v>6.95</v>
      </c>
      <c r="C967" s="176"/>
      <c r="D967" s="176"/>
      <c r="E967" s="176"/>
      <c r="J967" s="170">
        <v>40956</v>
      </c>
      <c r="K967" s="171">
        <v>2.76</v>
      </c>
    </row>
    <row r="968" spans="1:11" x14ac:dyDescent="0.2">
      <c r="A968" s="175">
        <v>35587</v>
      </c>
      <c r="B968" s="176">
        <v>6.85</v>
      </c>
      <c r="C968" s="176"/>
      <c r="D968" s="176"/>
      <c r="E968" s="176"/>
      <c r="J968" s="170">
        <v>40963</v>
      </c>
      <c r="K968" s="171">
        <v>2.79</v>
      </c>
    </row>
    <row r="969" spans="1:11" x14ac:dyDescent="0.2">
      <c r="A969" s="175">
        <v>35590</v>
      </c>
      <c r="B969" s="176">
        <v>6.9</v>
      </c>
      <c r="C969" s="176"/>
      <c r="D969" s="176"/>
      <c r="E969" s="176"/>
      <c r="J969" s="170">
        <v>40970</v>
      </c>
      <c r="K969" s="171">
        <v>2.74</v>
      </c>
    </row>
    <row r="970" spans="1:11" x14ac:dyDescent="0.2">
      <c r="A970" s="175">
        <v>35591</v>
      </c>
      <c r="B970" s="176">
        <v>6.91</v>
      </c>
      <c r="C970" s="176"/>
      <c r="D970" s="176"/>
      <c r="E970" s="176"/>
      <c r="J970" s="170">
        <v>40977</v>
      </c>
      <c r="K970" s="171">
        <v>2.78</v>
      </c>
    </row>
    <row r="971" spans="1:11" x14ac:dyDescent="0.2">
      <c r="A971" s="175">
        <v>35592</v>
      </c>
      <c r="B971" s="176">
        <v>6.9</v>
      </c>
      <c r="C971" s="176"/>
      <c r="D971" s="176"/>
      <c r="E971" s="176"/>
      <c r="J971" s="170">
        <v>40984</v>
      </c>
      <c r="K971" s="171">
        <v>3</v>
      </c>
    </row>
    <row r="972" spans="1:11" x14ac:dyDescent="0.2">
      <c r="A972" s="175">
        <v>35593</v>
      </c>
      <c r="B972" s="176">
        <v>6.84</v>
      </c>
      <c r="C972" s="176"/>
      <c r="D972" s="176"/>
      <c r="E972" s="176"/>
      <c r="J972" s="170">
        <v>40991</v>
      </c>
      <c r="K972" s="171">
        <v>3.07</v>
      </c>
    </row>
    <row r="973" spans="1:11" x14ac:dyDescent="0.2">
      <c r="A973" s="175">
        <v>35594</v>
      </c>
      <c r="B973" s="176">
        <v>6.79</v>
      </c>
      <c r="C973" s="176"/>
      <c r="D973" s="176"/>
      <c r="E973" s="176"/>
      <c r="J973" s="170">
        <v>40998</v>
      </c>
      <c r="K973" s="171">
        <v>2.97</v>
      </c>
    </row>
    <row r="974" spans="1:11" x14ac:dyDescent="0.2">
      <c r="A974" s="175">
        <v>35597</v>
      </c>
      <c r="B974" s="176">
        <v>6.76</v>
      </c>
      <c r="C974" s="176"/>
      <c r="D974" s="176"/>
      <c r="E974" s="176"/>
      <c r="J974" s="170">
        <v>41005</v>
      </c>
      <c r="K974" s="171">
        <v>2.98</v>
      </c>
    </row>
    <row r="975" spans="1:11" x14ac:dyDescent="0.2">
      <c r="A975" s="175">
        <v>35598</v>
      </c>
      <c r="B975" s="176">
        <v>6.78</v>
      </c>
      <c r="C975" s="176"/>
      <c r="D975" s="176"/>
      <c r="E975" s="176"/>
      <c r="J975" s="170">
        <v>41012</v>
      </c>
      <c r="K975" s="171">
        <v>2.81</v>
      </c>
    </row>
    <row r="976" spans="1:11" x14ac:dyDescent="0.2">
      <c r="A976" s="175">
        <v>35599</v>
      </c>
      <c r="B976" s="176">
        <v>6.77</v>
      </c>
      <c r="C976" s="176"/>
      <c r="D976" s="176"/>
      <c r="E976" s="176"/>
      <c r="J976" s="170">
        <v>41019</v>
      </c>
      <c r="K976" s="171">
        <v>2.76</v>
      </c>
    </row>
    <row r="977" spans="1:11" x14ac:dyDescent="0.2">
      <c r="A977" s="175">
        <v>35600</v>
      </c>
      <c r="B977" s="176">
        <v>6.76</v>
      </c>
      <c r="C977" s="176"/>
      <c r="D977" s="176"/>
      <c r="E977" s="176"/>
      <c r="J977" s="170">
        <v>41026</v>
      </c>
      <c r="K977" s="171">
        <v>2.74</v>
      </c>
    </row>
    <row r="978" spans="1:11" x14ac:dyDescent="0.2">
      <c r="A978" s="175">
        <v>35601</v>
      </c>
      <c r="B978" s="176">
        <v>6.72</v>
      </c>
      <c r="C978" s="176"/>
      <c r="D978" s="176"/>
      <c r="E978" s="176"/>
      <c r="J978" s="170">
        <v>41033</v>
      </c>
      <c r="K978" s="171">
        <v>2.72</v>
      </c>
    </row>
    <row r="979" spans="1:11" x14ac:dyDescent="0.2">
      <c r="A979" s="175">
        <v>35604</v>
      </c>
      <c r="B979" s="176">
        <v>6.76</v>
      </c>
      <c r="C979" s="176"/>
      <c r="D979" s="176"/>
      <c r="E979" s="176"/>
      <c r="J979" s="170">
        <v>41040</v>
      </c>
      <c r="K979" s="171">
        <v>2.63</v>
      </c>
    </row>
    <row r="980" spans="1:11" x14ac:dyDescent="0.2">
      <c r="A980" s="175">
        <v>35605</v>
      </c>
      <c r="B980" s="176">
        <v>6.76</v>
      </c>
      <c r="C980" s="176"/>
      <c r="D980" s="176"/>
      <c r="E980" s="176"/>
      <c r="J980" s="170">
        <v>41047</v>
      </c>
      <c r="K980" s="171">
        <v>2.46</v>
      </c>
    </row>
    <row r="981" spans="1:11" x14ac:dyDescent="0.2">
      <c r="A981" s="175">
        <v>35606</v>
      </c>
      <c r="B981" s="176">
        <v>6.8</v>
      </c>
      <c r="C981" s="176"/>
      <c r="D981" s="176"/>
      <c r="E981" s="176"/>
      <c r="J981" s="170">
        <v>41054</v>
      </c>
      <c r="K981" s="171">
        <v>2.44</v>
      </c>
    </row>
    <row r="982" spans="1:11" x14ac:dyDescent="0.2">
      <c r="A982" s="175">
        <v>35607</v>
      </c>
      <c r="B982" s="176">
        <v>6.86</v>
      </c>
      <c r="C982" s="176"/>
      <c r="D982" s="176"/>
      <c r="E982" s="176"/>
      <c r="J982" s="170">
        <v>41061</v>
      </c>
      <c r="K982" s="171">
        <v>2.29</v>
      </c>
    </row>
    <row r="983" spans="1:11" x14ac:dyDescent="0.2">
      <c r="A983" s="175">
        <v>35608</v>
      </c>
      <c r="B983" s="177">
        <v>6.82</v>
      </c>
      <c r="C983" s="177"/>
      <c r="D983" s="177"/>
      <c r="E983" s="177"/>
      <c r="J983" s="170">
        <v>41068</v>
      </c>
      <c r="K983" s="171">
        <v>2.29</v>
      </c>
    </row>
    <row r="984" spans="1:11" x14ac:dyDescent="0.2">
      <c r="A984" s="175">
        <v>35611</v>
      </c>
      <c r="B984" s="176">
        <v>6.86</v>
      </c>
      <c r="C984" s="176"/>
      <c r="D984" s="176"/>
      <c r="E984" s="176"/>
      <c r="J984" s="170">
        <v>41075</v>
      </c>
      <c r="K984" s="171">
        <v>2.3199999999999998</v>
      </c>
    </row>
    <row r="985" spans="1:11" x14ac:dyDescent="0.2">
      <c r="A985" s="175">
        <v>35612</v>
      </c>
      <c r="B985" s="176">
        <v>6.8</v>
      </c>
      <c r="C985" s="176"/>
      <c r="D985" s="176"/>
      <c r="E985" s="176"/>
      <c r="J985" s="170">
        <v>41082</v>
      </c>
      <c r="K985" s="171">
        <v>2.3199999999999998</v>
      </c>
    </row>
    <row r="986" spans="1:11" x14ac:dyDescent="0.2">
      <c r="A986" s="175">
        <v>35613</v>
      </c>
      <c r="B986" s="176">
        <v>6.78</v>
      </c>
      <c r="C986" s="176"/>
      <c r="D986" s="176"/>
      <c r="E986" s="176"/>
      <c r="J986" s="170">
        <v>41089</v>
      </c>
      <c r="K986" s="171">
        <v>2.33</v>
      </c>
    </row>
    <row r="987" spans="1:11" x14ac:dyDescent="0.2">
      <c r="A987" s="175">
        <v>35614</v>
      </c>
      <c r="B987" s="176">
        <v>6.67</v>
      </c>
      <c r="C987" s="176"/>
      <c r="D987" s="176"/>
      <c r="E987" s="176"/>
      <c r="J987" s="170">
        <v>41096</v>
      </c>
      <c r="K987" s="171">
        <v>2.3199999999999998</v>
      </c>
    </row>
    <row r="988" spans="1:11" x14ac:dyDescent="0.2">
      <c r="A988" s="175">
        <v>35615</v>
      </c>
      <c r="B988" s="176" t="e">
        <f>NA()</f>
        <v>#N/A</v>
      </c>
      <c r="C988" s="176"/>
      <c r="D988" s="176"/>
      <c r="E988" s="176"/>
      <c r="J988" s="170">
        <v>41103</v>
      </c>
      <c r="K988" s="171">
        <v>2.21</v>
      </c>
    </row>
    <row r="989" spans="1:11" x14ac:dyDescent="0.2">
      <c r="A989" s="175">
        <v>35618</v>
      </c>
      <c r="B989" s="176">
        <v>6.63</v>
      </c>
      <c r="C989" s="176"/>
      <c r="D989" s="176"/>
      <c r="E989" s="176"/>
      <c r="J989" s="170">
        <v>41110</v>
      </c>
      <c r="K989" s="171">
        <v>2.2000000000000002</v>
      </c>
    </row>
    <row r="990" spans="1:11" x14ac:dyDescent="0.2">
      <c r="A990" s="175">
        <v>35619</v>
      </c>
      <c r="B990" s="176">
        <v>6.63</v>
      </c>
      <c r="C990" s="176"/>
      <c r="D990" s="176"/>
      <c r="E990" s="176"/>
      <c r="J990" s="170">
        <v>41117</v>
      </c>
      <c r="K990" s="171">
        <v>2.15</v>
      </c>
    </row>
    <row r="991" spans="1:11" x14ac:dyDescent="0.2">
      <c r="A991" s="175">
        <v>35620</v>
      </c>
      <c r="B991" s="176">
        <v>6.6</v>
      </c>
      <c r="C991" s="176"/>
      <c r="D991" s="176"/>
      <c r="E991" s="176"/>
      <c r="J991" s="170">
        <v>41124</v>
      </c>
      <c r="K991" s="171">
        <v>2.2400000000000002</v>
      </c>
    </row>
    <row r="992" spans="1:11" x14ac:dyDescent="0.2">
      <c r="A992" s="175">
        <v>35621</v>
      </c>
      <c r="B992" s="176">
        <v>6.61</v>
      </c>
      <c r="C992" s="176"/>
      <c r="D992" s="176"/>
      <c r="E992" s="176"/>
      <c r="J992" s="170">
        <v>41131</v>
      </c>
      <c r="K992" s="171">
        <v>2.36</v>
      </c>
    </row>
    <row r="993" spans="1:11" x14ac:dyDescent="0.2">
      <c r="A993" s="175">
        <v>35622</v>
      </c>
      <c r="B993" s="176">
        <v>6.58</v>
      </c>
      <c r="C993" s="176"/>
      <c r="D993" s="176"/>
      <c r="E993" s="176"/>
      <c r="J993" s="170">
        <v>41138</v>
      </c>
      <c r="K993" s="171">
        <v>2.4900000000000002</v>
      </c>
    </row>
    <row r="994" spans="1:11" x14ac:dyDescent="0.2">
      <c r="A994" s="175">
        <v>35625</v>
      </c>
      <c r="B994" s="176">
        <v>6.61</v>
      </c>
      <c r="C994" s="176"/>
      <c r="D994" s="176"/>
      <c r="E994" s="176"/>
      <c r="J994" s="170">
        <v>41145</v>
      </c>
      <c r="K994" s="171">
        <v>2.4700000000000002</v>
      </c>
    </row>
    <row r="995" spans="1:11" x14ac:dyDescent="0.2">
      <c r="A995" s="175">
        <v>35626</v>
      </c>
      <c r="B995" s="176">
        <v>6.6</v>
      </c>
      <c r="C995" s="176"/>
      <c r="D995" s="176"/>
      <c r="E995" s="176"/>
      <c r="J995" s="170">
        <v>41152</v>
      </c>
      <c r="K995" s="171">
        <v>2.35</v>
      </c>
    </row>
    <row r="996" spans="1:11" x14ac:dyDescent="0.2">
      <c r="A996" s="175">
        <v>35627</v>
      </c>
      <c r="B996" s="176">
        <v>6.54</v>
      </c>
      <c r="C996" s="176"/>
      <c r="D996" s="176"/>
      <c r="E996" s="176"/>
      <c r="J996" s="170">
        <v>41159</v>
      </c>
      <c r="K996" s="171">
        <v>2.36</v>
      </c>
    </row>
    <row r="997" spans="1:11" x14ac:dyDescent="0.2">
      <c r="A997" s="175">
        <v>35628</v>
      </c>
      <c r="B997" s="176">
        <v>6.54</v>
      </c>
      <c r="C997" s="176"/>
      <c r="D997" s="176"/>
      <c r="E997" s="176"/>
      <c r="J997" s="170">
        <v>41166</v>
      </c>
      <c r="K997" s="171">
        <v>2.52</v>
      </c>
    </row>
    <row r="998" spans="1:11" x14ac:dyDescent="0.2">
      <c r="A998" s="175">
        <v>35629</v>
      </c>
      <c r="B998" s="176">
        <v>6.58</v>
      </c>
      <c r="C998" s="176"/>
      <c r="D998" s="176"/>
      <c r="E998" s="176"/>
      <c r="J998" s="170">
        <v>41173</v>
      </c>
      <c r="K998" s="171">
        <v>2.6</v>
      </c>
    </row>
    <row r="999" spans="1:11" x14ac:dyDescent="0.2">
      <c r="A999" s="175">
        <v>35632</v>
      </c>
      <c r="B999" s="176">
        <v>6.61</v>
      </c>
      <c r="C999" s="176"/>
      <c r="D999" s="176"/>
      <c r="E999" s="176"/>
      <c r="J999" s="170">
        <v>41180</v>
      </c>
      <c r="K999" s="171">
        <v>2.4500000000000002</v>
      </c>
    </row>
    <row r="1000" spans="1:11" x14ac:dyDescent="0.2">
      <c r="A1000" s="175">
        <v>35633</v>
      </c>
      <c r="B1000" s="176">
        <v>6.5</v>
      </c>
      <c r="C1000" s="176"/>
      <c r="D1000" s="176"/>
      <c r="E1000" s="176"/>
      <c r="J1000" s="170">
        <v>41187</v>
      </c>
      <c r="K1000" s="171">
        <v>2.4500000000000002</v>
      </c>
    </row>
    <row r="1001" spans="1:11" x14ac:dyDescent="0.2">
      <c r="A1001" s="175">
        <v>35634</v>
      </c>
      <c r="B1001" s="176">
        <v>6.48</v>
      </c>
      <c r="C1001" s="176"/>
      <c r="D1001" s="176"/>
      <c r="E1001" s="176"/>
      <c r="J1001" s="170">
        <v>41194</v>
      </c>
      <c r="K1001" s="171">
        <v>2.4700000000000002</v>
      </c>
    </row>
    <row r="1002" spans="1:11" x14ac:dyDescent="0.2">
      <c r="A1002" s="175">
        <v>35635</v>
      </c>
      <c r="B1002" s="176">
        <v>6.49</v>
      </c>
      <c r="C1002" s="176"/>
      <c r="D1002" s="176"/>
      <c r="E1002" s="176"/>
      <c r="J1002" s="170">
        <v>41201</v>
      </c>
      <c r="K1002" s="171">
        <v>2.5499999999999998</v>
      </c>
    </row>
    <row r="1003" spans="1:11" x14ac:dyDescent="0.2">
      <c r="A1003" s="175">
        <v>35636</v>
      </c>
      <c r="B1003" s="176">
        <v>6.51</v>
      </c>
      <c r="C1003" s="176"/>
      <c r="D1003" s="176"/>
      <c r="E1003" s="176"/>
      <c r="J1003" s="170">
        <v>41208</v>
      </c>
      <c r="K1003" s="171">
        <v>2.56</v>
      </c>
    </row>
    <row r="1004" spans="1:11" x14ac:dyDescent="0.2">
      <c r="A1004" s="175">
        <v>35639</v>
      </c>
      <c r="B1004" s="176">
        <v>6.49</v>
      </c>
      <c r="C1004" s="176"/>
      <c r="D1004" s="176"/>
      <c r="E1004" s="176"/>
      <c r="J1004" s="170">
        <v>41215</v>
      </c>
      <c r="K1004" s="171">
        <v>2.4900000000000002</v>
      </c>
    </row>
    <row r="1005" spans="1:11" x14ac:dyDescent="0.2">
      <c r="A1005" s="175">
        <v>35640</v>
      </c>
      <c r="B1005" s="176">
        <v>6.43</v>
      </c>
      <c r="C1005" s="176"/>
      <c r="D1005" s="176"/>
      <c r="E1005" s="176"/>
      <c r="J1005" s="170">
        <v>41222</v>
      </c>
      <c r="K1005" s="171">
        <v>2.42</v>
      </c>
    </row>
    <row r="1006" spans="1:11" x14ac:dyDescent="0.2">
      <c r="A1006" s="175">
        <v>35641</v>
      </c>
      <c r="B1006" s="176">
        <v>6.39</v>
      </c>
      <c r="C1006" s="176"/>
      <c r="D1006" s="176"/>
      <c r="E1006" s="176"/>
      <c r="J1006" s="170">
        <v>41229</v>
      </c>
      <c r="K1006" s="171">
        <v>2.31</v>
      </c>
    </row>
    <row r="1007" spans="1:11" x14ac:dyDescent="0.2">
      <c r="A1007" s="175">
        <v>35642</v>
      </c>
      <c r="B1007" s="176">
        <v>6.35</v>
      </c>
      <c r="C1007" s="176"/>
      <c r="D1007" s="176"/>
      <c r="E1007" s="176"/>
      <c r="J1007" s="170">
        <v>41236</v>
      </c>
      <c r="K1007" s="171">
        <v>2.4</v>
      </c>
    </row>
    <row r="1008" spans="1:11" x14ac:dyDescent="0.2">
      <c r="A1008" s="175">
        <v>35643</v>
      </c>
      <c r="B1008" s="176">
        <v>6.52</v>
      </c>
      <c r="C1008" s="176"/>
      <c r="D1008" s="176"/>
      <c r="E1008" s="176"/>
      <c r="J1008" s="170">
        <v>41243</v>
      </c>
      <c r="K1008" s="171">
        <v>2.37</v>
      </c>
    </row>
    <row r="1009" spans="1:11" x14ac:dyDescent="0.2">
      <c r="A1009" s="175">
        <v>35646</v>
      </c>
      <c r="B1009" s="176">
        <v>6.54</v>
      </c>
      <c r="C1009" s="176"/>
      <c r="D1009" s="176"/>
      <c r="E1009" s="176"/>
      <c r="J1009" s="170">
        <v>41250</v>
      </c>
      <c r="K1009" s="171">
        <v>2.36</v>
      </c>
    </row>
    <row r="1010" spans="1:11" x14ac:dyDescent="0.2">
      <c r="A1010" s="175">
        <v>35647</v>
      </c>
      <c r="B1010" s="176">
        <v>6.55</v>
      </c>
      <c r="C1010" s="176"/>
      <c r="D1010" s="176"/>
      <c r="E1010" s="176"/>
      <c r="J1010" s="170">
        <v>41257</v>
      </c>
      <c r="K1010" s="171">
        <v>2.44</v>
      </c>
    </row>
    <row r="1011" spans="1:11" x14ac:dyDescent="0.2">
      <c r="A1011" s="175">
        <v>35648</v>
      </c>
      <c r="B1011" s="176">
        <v>6.53</v>
      </c>
      <c r="C1011" s="176"/>
      <c r="D1011" s="176"/>
      <c r="E1011" s="176"/>
      <c r="J1011" s="170">
        <v>41264</v>
      </c>
      <c r="K1011" s="171">
        <v>2.56</v>
      </c>
    </row>
    <row r="1012" spans="1:11" x14ac:dyDescent="0.2">
      <c r="A1012" s="175">
        <v>35649</v>
      </c>
      <c r="B1012" s="176">
        <v>6.58</v>
      </c>
      <c r="C1012" s="176"/>
      <c r="D1012" s="176"/>
      <c r="E1012" s="176"/>
      <c r="J1012" s="170">
        <v>41271</v>
      </c>
      <c r="K1012" s="171">
        <v>2.5</v>
      </c>
    </row>
    <row r="1013" spans="1:11" x14ac:dyDescent="0.2">
      <c r="A1013" s="175">
        <v>35650</v>
      </c>
      <c r="B1013" s="176">
        <v>6.74</v>
      </c>
      <c r="C1013" s="176"/>
      <c r="D1013" s="176"/>
      <c r="E1013" s="176"/>
      <c r="J1013" s="170">
        <v>41278</v>
      </c>
      <c r="K1013" s="171">
        <v>2.64</v>
      </c>
    </row>
    <row r="1014" spans="1:11" x14ac:dyDescent="0.2">
      <c r="A1014" s="175">
        <v>35653</v>
      </c>
      <c r="B1014" s="176">
        <v>6.72</v>
      </c>
      <c r="C1014" s="176"/>
      <c r="D1014" s="176"/>
      <c r="E1014" s="176"/>
      <c r="J1014" s="170">
        <v>41285</v>
      </c>
      <c r="K1014" s="171">
        <v>2.67</v>
      </c>
    </row>
    <row r="1015" spans="1:11" x14ac:dyDescent="0.2">
      <c r="A1015" s="175">
        <v>35654</v>
      </c>
      <c r="B1015" s="176">
        <v>6.75</v>
      </c>
      <c r="C1015" s="176"/>
      <c r="D1015" s="176"/>
      <c r="E1015" s="176"/>
      <c r="J1015" s="170">
        <v>41292</v>
      </c>
      <c r="K1015" s="171">
        <v>2.63</v>
      </c>
    </row>
    <row r="1016" spans="1:11" x14ac:dyDescent="0.2">
      <c r="A1016" s="175">
        <v>35655</v>
      </c>
      <c r="B1016" s="176">
        <v>6.72</v>
      </c>
      <c r="C1016" s="176"/>
      <c r="D1016" s="176"/>
      <c r="E1016" s="176"/>
      <c r="J1016" s="170">
        <v>41299</v>
      </c>
      <c r="K1016" s="171">
        <v>2.66</v>
      </c>
    </row>
    <row r="1017" spans="1:11" x14ac:dyDescent="0.2">
      <c r="A1017" s="175">
        <v>35656</v>
      </c>
      <c r="B1017" s="176">
        <v>6.65</v>
      </c>
      <c r="C1017" s="176"/>
      <c r="D1017" s="176"/>
      <c r="E1017" s="176"/>
      <c r="J1017" s="170">
        <v>41306</v>
      </c>
      <c r="K1017" s="171">
        <v>2.79</v>
      </c>
    </row>
    <row r="1018" spans="1:11" x14ac:dyDescent="0.2">
      <c r="A1018" s="175">
        <v>35657</v>
      </c>
      <c r="B1018" s="176">
        <v>6.65</v>
      </c>
      <c r="C1018" s="176"/>
      <c r="D1018" s="176"/>
      <c r="E1018" s="176"/>
      <c r="J1018" s="170">
        <v>41313</v>
      </c>
      <c r="K1018" s="171">
        <v>2.8</v>
      </c>
    </row>
    <row r="1019" spans="1:11" x14ac:dyDescent="0.2">
      <c r="A1019" s="175">
        <v>35660</v>
      </c>
      <c r="B1019" s="176">
        <v>6.6</v>
      </c>
      <c r="C1019" s="176"/>
      <c r="D1019" s="176"/>
      <c r="E1019" s="176"/>
      <c r="J1019" s="170">
        <v>41320</v>
      </c>
      <c r="K1019" s="171">
        <v>2.81</v>
      </c>
    </row>
    <row r="1020" spans="1:11" x14ac:dyDescent="0.2">
      <c r="A1020" s="175">
        <v>35661</v>
      </c>
      <c r="B1020" s="176">
        <v>6.59</v>
      </c>
      <c r="C1020" s="176"/>
      <c r="D1020" s="176"/>
      <c r="E1020" s="176"/>
      <c r="J1020" s="170">
        <v>41327</v>
      </c>
      <c r="K1020" s="171">
        <v>2.8</v>
      </c>
    </row>
    <row r="1021" spans="1:11" x14ac:dyDescent="0.2">
      <c r="A1021" s="175">
        <v>35662</v>
      </c>
      <c r="B1021" s="176">
        <v>6.61</v>
      </c>
      <c r="C1021" s="176"/>
      <c r="D1021" s="176"/>
      <c r="E1021" s="176"/>
      <c r="J1021" s="170">
        <v>41334</v>
      </c>
      <c r="K1021" s="171">
        <v>2.7</v>
      </c>
    </row>
    <row r="1022" spans="1:11" x14ac:dyDescent="0.2">
      <c r="A1022" s="175">
        <v>35663</v>
      </c>
      <c r="B1022" s="176">
        <v>6.68</v>
      </c>
      <c r="C1022" s="176"/>
      <c r="D1022" s="176"/>
      <c r="E1022" s="176"/>
      <c r="J1022" s="170">
        <v>41341</v>
      </c>
      <c r="K1022" s="171">
        <v>2.78</v>
      </c>
    </row>
    <row r="1023" spans="1:11" x14ac:dyDescent="0.2">
      <c r="A1023" s="175">
        <v>35664</v>
      </c>
      <c r="B1023" s="176">
        <v>6.75</v>
      </c>
      <c r="C1023" s="176"/>
      <c r="D1023" s="176"/>
      <c r="E1023" s="176"/>
      <c r="J1023" s="170">
        <v>41348</v>
      </c>
      <c r="K1023" s="171">
        <v>2.86</v>
      </c>
    </row>
    <row r="1024" spans="1:11" x14ac:dyDescent="0.2">
      <c r="A1024" s="175">
        <v>35667</v>
      </c>
      <c r="B1024" s="176">
        <v>6.75</v>
      </c>
      <c r="C1024" s="176"/>
      <c r="D1024" s="176"/>
      <c r="E1024" s="176"/>
      <c r="J1024" s="170">
        <v>41355</v>
      </c>
      <c r="K1024" s="171">
        <v>2.77</v>
      </c>
    </row>
    <row r="1025" spans="1:11" x14ac:dyDescent="0.2">
      <c r="A1025" s="175">
        <v>35668</v>
      </c>
      <c r="B1025" s="176">
        <v>6.74</v>
      </c>
      <c r="C1025" s="176"/>
      <c r="D1025" s="176"/>
      <c r="E1025" s="176"/>
      <c r="J1025" s="170">
        <v>41362</v>
      </c>
      <c r="K1025" s="171">
        <v>2.73</v>
      </c>
    </row>
    <row r="1026" spans="1:11" x14ac:dyDescent="0.2">
      <c r="A1026" s="175">
        <v>35669</v>
      </c>
      <c r="B1026" s="176">
        <v>6.74</v>
      </c>
      <c r="C1026" s="176"/>
      <c r="D1026" s="176"/>
      <c r="E1026" s="176"/>
      <c r="J1026" s="170">
        <v>41369</v>
      </c>
      <c r="K1026" s="171">
        <v>2.64</v>
      </c>
    </row>
    <row r="1027" spans="1:11" x14ac:dyDescent="0.2">
      <c r="A1027" s="175">
        <v>35670</v>
      </c>
      <c r="B1027" s="176">
        <v>6.64</v>
      </c>
      <c r="C1027" s="176"/>
      <c r="D1027" s="176"/>
      <c r="E1027" s="176"/>
      <c r="J1027" s="170">
        <v>41376</v>
      </c>
      <c r="K1027" s="171">
        <v>2.58</v>
      </c>
    </row>
    <row r="1028" spans="1:11" x14ac:dyDescent="0.2">
      <c r="A1028" s="175">
        <v>35671</v>
      </c>
      <c r="B1028" s="176">
        <v>6.69</v>
      </c>
      <c r="C1028" s="176"/>
      <c r="D1028" s="176"/>
      <c r="E1028" s="176"/>
      <c r="J1028" s="170">
        <v>41383</v>
      </c>
      <c r="K1028" s="171">
        <v>2.5099999999999998</v>
      </c>
    </row>
    <row r="1029" spans="1:11" x14ac:dyDescent="0.2">
      <c r="A1029" s="175">
        <v>35674</v>
      </c>
      <c r="B1029" s="177" t="e">
        <f>NA()</f>
        <v>#N/A</v>
      </c>
      <c r="C1029" s="177"/>
      <c r="D1029" s="177"/>
      <c r="E1029" s="177"/>
      <c r="J1029" s="170">
        <v>41390</v>
      </c>
      <c r="K1029" s="171">
        <v>2.5</v>
      </c>
    </row>
    <row r="1030" spans="1:11" x14ac:dyDescent="0.2">
      <c r="A1030" s="175">
        <v>35675</v>
      </c>
      <c r="B1030" s="176">
        <v>6.65</v>
      </c>
      <c r="C1030" s="176"/>
      <c r="D1030" s="176"/>
      <c r="E1030" s="176"/>
      <c r="J1030" s="170">
        <v>41397</v>
      </c>
      <c r="K1030" s="171">
        <v>2.4900000000000002</v>
      </c>
    </row>
    <row r="1031" spans="1:11" x14ac:dyDescent="0.2">
      <c r="A1031" s="175">
        <v>35676</v>
      </c>
      <c r="B1031" s="176">
        <v>6.67</v>
      </c>
      <c r="C1031" s="176"/>
      <c r="D1031" s="176"/>
      <c r="E1031" s="176"/>
      <c r="J1031" s="170">
        <v>41404</v>
      </c>
      <c r="K1031" s="171">
        <v>2.63</v>
      </c>
    </row>
    <row r="1032" spans="1:11" x14ac:dyDescent="0.2">
      <c r="A1032" s="175">
        <v>35677</v>
      </c>
      <c r="B1032" s="176">
        <v>6.67</v>
      </c>
      <c r="C1032" s="176"/>
      <c r="D1032" s="176"/>
      <c r="E1032" s="176"/>
      <c r="J1032" s="170">
        <v>41411</v>
      </c>
      <c r="K1032" s="171">
        <v>2.74</v>
      </c>
    </row>
    <row r="1033" spans="1:11" x14ac:dyDescent="0.2">
      <c r="A1033" s="175">
        <v>35678</v>
      </c>
      <c r="B1033" s="176">
        <v>6.72</v>
      </c>
      <c r="C1033" s="176"/>
      <c r="D1033" s="176"/>
      <c r="E1033" s="176"/>
      <c r="J1033" s="170">
        <v>41418</v>
      </c>
      <c r="K1033" s="171">
        <v>2.8</v>
      </c>
    </row>
    <row r="1034" spans="1:11" x14ac:dyDescent="0.2">
      <c r="A1034" s="175">
        <v>35681</v>
      </c>
      <c r="B1034" s="176">
        <v>6.68</v>
      </c>
      <c r="C1034" s="176"/>
      <c r="D1034" s="176"/>
      <c r="E1034" s="176"/>
      <c r="J1034" s="170">
        <v>41425</v>
      </c>
      <c r="K1034" s="171">
        <v>2.93</v>
      </c>
    </row>
    <row r="1035" spans="1:11" x14ac:dyDescent="0.2">
      <c r="A1035" s="175">
        <v>35682</v>
      </c>
      <c r="B1035" s="176">
        <v>6.7</v>
      </c>
      <c r="C1035" s="176"/>
      <c r="D1035" s="176"/>
      <c r="E1035" s="176"/>
      <c r="J1035" s="170">
        <v>41432</v>
      </c>
      <c r="K1035" s="171">
        <v>2.93</v>
      </c>
    </row>
    <row r="1036" spans="1:11" x14ac:dyDescent="0.2">
      <c r="A1036" s="175">
        <v>35683</v>
      </c>
      <c r="B1036" s="176">
        <v>6.71</v>
      </c>
      <c r="C1036" s="176"/>
      <c r="D1036" s="176"/>
      <c r="E1036" s="176"/>
      <c r="J1036" s="170">
        <v>41439</v>
      </c>
      <c r="K1036" s="171">
        <v>3</v>
      </c>
    </row>
    <row r="1037" spans="1:11" x14ac:dyDescent="0.2">
      <c r="A1037" s="175">
        <v>35684</v>
      </c>
      <c r="B1037" s="176">
        <v>6.75</v>
      </c>
      <c r="C1037" s="176"/>
      <c r="D1037" s="176"/>
      <c r="E1037" s="176"/>
      <c r="J1037" s="170">
        <v>41446</v>
      </c>
      <c r="K1037" s="171">
        <v>3.11</v>
      </c>
    </row>
    <row r="1038" spans="1:11" x14ac:dyDescent="0.2">
      <c r="A1038" s="175">
        <v>35685</v>
      </c>
      <c r="B1038" s="176">
        <v>6.66</v>
      </c>
      <c r="C1038" s="176"/>
      <c r="D1038" s="176"/>
      <c r="E1038" s="176"/>
      <c r="J1038" s="170">
        <v>41453</v>
      </c>
      <c r="K1038" s="171">
        <v>3.26</v>
      </c>
    </row>
    <row r="1039" spans="1:11" x14ac:dyDescent="0.2">
      <c r="A1039" s="175">
        <v>35688</v>
      </c>
      <c r="B1039" s="176">
        <v>6.65</v>
      </c>
      <c r="C1039" s="176"/>
      <c r="D1039" s="176"/>
      <c r="E1039" s="176"/>
      <c r="J1039" s="170">
        <v>41460</v>
      </c>
      <c r="K1039" s="171">
        <v>3.25</v>
      </c>
    </row>
    <row r="1040" spans="1:11" x14ac:dyDescent="0.2">
      <c r="A1040" s="175">
        <v>35689</v>
      </c>
      <c r="B1040" s="176">
        <v>6.47</v>
      </c>
      <c r="C1040" s="176"/>
      <c r="D1040" s="176"/>
      <c r="E1040" s="176"/>
      <c r="J1040" s="170">
        <v>41467</v>
      </c>
      <c r="K1040" s="171">
        <v>3.36</v>
      </c>
    </row>
    <row r="1041" spans="1:11" x14ac:dyDescent="0.2">
      <c r="A1041" s="175">
        <v>35690</v>
      </c>
      <c r="B1041" s="176">
        <v>6.45</v>
      </c>
      <c r="C1041" s="176"/>
      <c r="D1041" s="176"/>
      <c r="E1041" s="176"/>
      <c r="J1041" s="170">
        <v>41474</v>
      </c>
      <c r="K1041" s="171">
        <v>3.28</v>
      </c>
    </row>
    <row r="1042" spans="1:11" x14ac:dyDescent="0.2">
      <c r="A1042" s="175">
        <v>35691</v>
      </c>
      <c r="B1042" s="176">
        <v>6.46</v>
      </c>
      <c r="C1042" s="176"/>
      <c r="D1042" s="176"/>
      <c r="E1042" s="176"/>
      <c r="J1042" s="170">
        <v>41481</v>
      </c>
      <c r="K1042" s="171">
        <v>3.3</v>
      </c>
    </row>
    <row r="1043" spans="1:11" x14ac:dyDescent="0.2">
      <c r="A1043" s="175">
        <v>35692</v>
      </c>
      <c r="B1043" s="176">
        <v>6.44</v>
      </c>
      <c r="C1043" s="176"/>
      <c r="D1043" s="176"/>
      <c r="E1043" s="176"/>
      <c r="J1043" s="170">
        <v>41488</v>
      </c>
      <c r="K1043" s="171">
        <v>3.38</v>
      </c>
    </row>
    <row r="1044" spans="1:11" x14ac:dyDescent="0.2">
      <c r="A1044" s="175">
        <v>35695</v>
      </c>
      <c r="B1044" s="176">
        <v>6.41</v>
      </c>
      <c r="C1044" s="176"/>
      <c r="D1044" s="176"/>
      <c r="E1044" s="176"/>
      <c r="J1044" s="170">
        <v>41495</v>
      </c>
      <c r="K1044" s="171">
        <v>3.39</v>
      </c>
    </row>
    <row r="1045" spans="1:11" x14ac:dyDescent="0.2">
      <c r="A1045" s="175">
        <v>35696</v>
      </c>
      <c r="B1045" s="176">
        <v>6.44</v>
      </c>
      <c r="C1045" s="176"/>
      <c r="D1045" s="176"/>
      <c r="E1045" s="176"/>
      <c r="J1045" s="170">
        <v>41502</v>
      </c>
      <c r="K1045" s="171">
        <v>3.5</v>
      </c>
    </row>
    <row r="1046" spans="1:11" x14ac:dyDescent="0.2">
      <c r="A1046" s="175">
        <v>35697</v>
      </c>
      <c r="B1046" s="176">
        <v>6.38</v>
      </c>
      <c r="C1046" s="176"/>
      <c r="D1046" s="176"/>
      <c r="E1046" s="176"/>
      <c r="J1046" s="170">
        <v>41509</v>
      </c>
      <c r="K1046" s="171">
        <v>3.61</v>
      </c>
    </row>
    <row r="1047" spans="1:11" x14ac:dyDescent="0.2">
      <c r="A1047" s="175">
        <v>35698</v>
      </c>
      <c r="B1047" s="176">
        <v>6.47</v>
      </c>
      <c r="C1047" s="176"/>
      <c r="D1047" s="176"/>
      <c r="E1047" s="176"/>
      <c r="J1047" s="170">
        <v>41516</v>
      </c>
      <c r="K1047" s="171">
        <v>3.48</v>
      </c>
    </row>
    <row r="1048" spans="1:11" x14ac:dyDescent="0.2">
      <c r="A1048" s="175">
        <v>35699</v>
      </c>
      <c r="B1048" s="176">
        <v>6.43</v>
      </c>
      <c r="C1048" s="176"/>
      <c r="D1048" s="176"/>
      <c r="E1048" s="176"/>
      <c r="J1048" s="170">
        <v>41523</v>
      </c>
      <c r="K1048" s="171">
        <v>3.59</v>
      </c>
    </row>
    <row r="1049" spans="1:11" x14ac:dyDescent="0.2">
      <c r="A1049" s="175">
        <v>35702</v>
      </c>
      <c r="B1049" s="176">
        <v>6.44</v>
      </c>
      <c r="C1049" s="176"/>
      <c r="D1049" s="176"/>
      <c r="E1049" s="176"/>
      <c r="J1049" s="170">
        <v>41530</v>
      </c>
      <c r="K1049" s="171">
        <v>3.61</v>
      </c>
    </row>
    <row r="1050" spans="1:11" x14ac:dyDescent="0.2">
      <c r="A1050" s="175">
        <v>35703</v>
      </c>
      <c r="B1050" s="176">
        <v>6.47</v>
      </c>
      <c r="C1050" s="176"/>
      <c r="D1050" s="176"/>
      <c r="E1050" s="176"/>
      <c r="J1050" s="170">
        <v>41537</v>
      </c>
      <c r="K1050" s="171">
        <v>3.53</v>
      </c>
    </row>
    <row r="1051" spans="1:11" x14ac:dyDescent="0.2">
      <c r="A1051" s="175">
        <v>35704</v>
      </c>
      <c r="B1051" s="176">
        <v>6.38</v>
      </c>
      <c r="C1051" s="176"/>
      <c r="D1051" s="176"/>
      <c r="E1051" s="176"/>
      <c r="J1051" s="170">
        <v>41544</v>
      </c>
      <c r="K1051" s="171">
        <v>3.41</v>
      </c>
    </row>
    <row r="1052" spans="1:11" x14ac:dyDescent="0.2">
      <c r="A1052" s="175">
        <v>35705</v>
      </c>
      <c r="B1052" s="176">
        <v>6.36</v>
      </c>
      <c r="C1052" s="176"/>
      <c r="D1052" s="176"/>
      <c r="E1052" s="176"/>
      <c r="J1052" s="170">
        <v>41551</v>
      </c>
      <c r="K1052" s="171">
        <v>3.42</v>
      </c>
    </row>
    <row r="1053" spans="1:11" x14ac:dyDescent="0.2">
      <c r="A1053" s="175">
        <v>35706</v>
      </c>
      <c r="B1053" s="176">
        <v>6.35</v>
      </c>
      <c r="C1053" s="176"/>
      <c r="D1053" s="176"/>
      <c r="E1053" s="176"/>
      <c r="J1053" s="170">
        <v>41558</v>
      </c>
      <c r="K1053" s="171">
        <v>3.43</v>
      </c>
    </row>
    <row r="1054" spans="1:11" x14ac:dyDescent="0.2">
      <c r="A1054" s="175">
        <v>35709</v>
      </c>
      <c r="B1054" s="176">
        <v>6.31</v>
      </c>
      <c r="C1054" s="176"/>
      <c r="D1054" s="176"/>
      <c r="E1054" s="176"/>
      <c r="J1054" s="170">
        <v>41565</v>
      </c>
      <c r="K1054" s="171">
        <v>3.41</v>
      </c>
    </row>
    <row r="1055" spans="1:11" x14ac:dyDescent="0.2">
      <c r="A1055" s="175">
        <v>35710</v>
      </c>
      <c r="B1055" s="176">
        <v>6.29</v>
      </c>
      <c r="C1055" s="176"/>
      <c r="D1055" s="176"/>
      <c r="E1055" s="176"/>
      <c r="J1055" s="170">
        <v>41572</v>
      </c>
      <c r="K1055" s="171">
        <v>3.32</v>
      </c>
    </row>
    <row r="1056" spans="1:11" x14ac:dyDescent="0.2">
      <c r="A1056" s="175">
        <v>35711</v>
      </c>
      <c r="B1056" s="176">
        <v>6.41</v>
      </c>
      <c r="C1056" s="176"/>
      <c r="D1056" s="176"/>
      <c r="E1056" s="176"/>
      <c r="J1056" s="170">
        <v>41579</v>
      </c>
      <c r="K1056" s="171">
        <v>3.34</v>
      </c>
    </row>
    <row r="1057" spans="1:11" x14ac:dyDescent="0.2">
      <c r="A1057" s="175">
        <v>35712</v>
      </c>
      <c r="B1057" s="176">
        <v>6.43</v>
      </c>
      <c r="C1057" s="176"/>
      <c r="D1057" s="176"/>
      <c r="E1057" s="176"/>
      <c r="J1057" s="170">
        <v>41586</v>
      </c>
      <c r="K1057" s="171">
        <v>3.46</v>
      </c>
    </row>
    <row r="1058" spans="1:11" x14ac:dyDescent="0.2">
      <c r="A1058" s="175">
        <v>35713</v>
      </c>
      <c r="B1058" s="177">
        <v>6.49</v>
      </c>
      <c r="C1058" s="177"/>
      <c r="D1058" s="177"/>
      <c r="E1058" s="177"/>
      <c r="J1058" s="170">
        <v>41593</v>
      </c>
      <c r="K1058" s="171">
        <v>3.53</v>
      </c>
    </row>
    <row r="1059" spans="1:11" x14ac:dyDescent="0.2">
      <c r="A1059" s="175">
        <v>35716</v>
      </c>
      <c r="B1059" s="176" t="e">
        <f>NA()</f>
        <v>#N/A</v>
      </c>
      <c r="C1059" s="176"/>
      <c r="D1059" s="176"/>
      <c r="E1059" s="176"/>
      <c r="J1059" s="170">
        <v>41600</v>
      </c>
      <c r="K1059" s="171">
        <v>3.54</v>
      </c>
    </row>
    <row r="1060" spans="1:11" x14ac:dyDescent="0.2">
      <c r="A1060" s="175">
        <v>35717</v>
      </c>
      <c r="B1060" s="176">
        <v>6.42</v>
      </c>
      <c r="C1060" s="176"/>
      <c r="D1060" s="176"/>
      <c r="E1060" s="176"/>
      <c r="J1060" s="170">
        <v>41607</v>
      </c>
      <c r="K1060" s="171">
        <v>3.52</v>
      </c>
    </row>
    <row r="1061" spans="1:11" x14ac:dyDescent="0.2">
      <c r="A1061" s="175">
        <v>35718</v>
      </c>
      <c r="B1061" s="176">
        <v>6.45</v>
      </c>
      <c r="C1061" s="176"/>
      <c r="D1061" s="176"/>
      <c r="E1061" s="176"/>
      <c r="J1061" s="170">
        <v>41614</v>
      </c>
      <c r="K1061" s="171">
        <v>3.61</v>
      </c>
    </row>
    <row r="1062" spans="1:11" x14ac:dyDescent="0.2">
      <c r="A1062" s="175">
        <v>35719</v>
      </c>
      <c r="B1062" s="176">
        <v>6.45</v>
      </c>
      <c r="C1062" s="176"/>
      <c r="D1062" s="176"/>
      <c r="E1062" s="176"/>
      <c r="J1062" s="170">
        <v>41621</v>
      </c>
      <c r="K1062" s="171">
        <v>3.6</v>
      </c>
    </row>
    <row r="1063" spans="1:11" x14ac:dyDescent="0.2">
      <c r="A1063" s="175">
        <v>35720</v>
      </c>
      <c r="B1063" s="176">
        <v>6.51</v>
      </c>
      <c r="C1063" s="176"/>
      <c r="D1063" s="176"/>
      <c r="E1063" s="176"/>
      <c r="J1063" s="170">
        <v>41628</v>
      </c>
      <c r="K1063" s="171">
        <v>3.61</v>
      </c>
    </row>
    <row r="1064" spans="1:11" x14ac:dyDescent="0.2">
      <c r="A1064" s="175">
        <v>35723</v>
      </c>
      <c r="B1064" s="176">
        <v>6.49</v>
      </c>
      <c r="C1064" s="176"/>
      <c r="D1064" s="176"/>
      <c r="E1064" s="176"/>
      <c r="J1064" s="170">
        <v>41635</v>
      </c>
      <c r="K1064" s="171">
        <v>3.66</v>
      </c>
    </row>
    <row r="1065" spans="1:11" x14ac:dyDescent="0.2">
      <c r="A1065" s="175">
        <v>35724</v>
      </c>
      <c r="B1065" s="176">
        <v>6.49</v>
      </c>
      <c r="C1065" s="176"/>
      <c r="D1065" s="176"/>
      <c r="E1065" s="176"/>
      <c r="J1065" s="170">
        <v>41642</v>
      </c>
      <c r="K1065" s="171">
        <v>3.69</v>
      </c>
    </row>
    <row r="1066" spans="1:11" x14ac:dyDescent="0.2">
      <c r="A1066" s="175">
        <v>35725</v>
      </c>
      <c r="B1066" s="176">
        <v>6.48</v>
      </c>
      <c r="C1066" s="176"/>
      <c r="D1066" s="176"/>
      <c r="E1066" s="176"/>
      <c r="J1066" s="170">
        <v>41649</v>
      </c>
      <c r="K1066" s="171">
        <v>3.63</v>
      </c>
    </row>
    <row r="1067" spans="1:11" x14ac:dyDescent="0.2">
      <c r="A1067" s="175">
        <v>35726</v>
      </c>
      <c r="B1067" s="176">
        <v>6.39</v>
      </c>
      <c r="C1067" s="176"/>
      <c r="D1067" s="176"/>
      <c r="E1067" s="176"/>
      <c r="J1067" s="170">
        <v>41656</v>
      </c>
      <c r="K1067" s="171">
        <v>3.53</v>
      </c>
    </row>
    <row r="1068" spans="1:11" x14ac:dyDescent="0.2">
      <c r="A1068" s="175">
        <v>35727</v>
      </c>
      <c r="B1068" s="176">
        <v>6.35</v>
      </c>
      <c r="C1068" s="176"/>
      <c r="D1068" s="176"/>
      <c r="E1068" s="176"/>
      <c r="J1068" s="170">
        <v>41663</v>
      </c>
      <c r="K1068" s="171">
        <v>3.47</v>
      </c>
    </row>
    <row r="1069" spans="1:11" x14ac:dyDescent="0.2">
      <c r="A1069" s="175">
        <v>35730</v>
      </c>
      <c r="B1069" s="176">
        <v>6.29</v>
      </c>
      <c r="C1069" s="176"/>
      <c r="D1069" s="176"/>
      <c r="E1069" s="176"/>
      <c r="J1069" s="170">
        <v>41670</v>
      </c>
      <c r="K1069" s="171">
        <v>3.39</v>
      </c>
    </row>
    <row r="1070" spans="1:11" x14ac:dyDescent="0.2">
      <c r="A1070" s="175">
        <v>35731</v>
      </c>
      <c r="B1070" s="176">
        <v>6.33</v>
      </c>
      <c r="C1070" s="176"/>
      <c r="D1070" s="176"/>
      <c r="E1070" s="176"/>
      <c r="J1070" s="170">
        <v>41677</v>
      </c>
      <c r="K1070" s="171">
        <v>3.37</v>
      </c>
    </row>
    <row r="1071" spans="1:11" x14ac:dyDescent="0.2">
      <c r="A1071" s="175">
        <v>35732</v>
      </c>
      <c r="B1071" s="176">
        <v>6.28</v>
      </c>
      <c r="C1071" s="176"/>
      <c r="D1071" s="176"/>
      <c r="E1071" s="176"/>
      <c r="J1071" s="170">
        <v>41684</v>
      </c>
      <c r="K1071" s="171">
        <v>3.41</v>
      </c>
    </row>
    <row r="1072" spans="1:11" x14ac:dyDescent="0.2">
      <c r="A1072" s="175">
        <v>35733</v>
      </c>
      <c r="B1072" s="176">
        <v>6.23</v>
      </c>
      <c r="C1072" s="176"/>
      <c r="D1072" s="176"/>
      <c r="E1072" s="176"/>
      <c r="J1072" s="170">
        <v>41691</v>
      </c>
      <c r="K1072" s="171">
        <v>3.42</v>
      </c>
    </row>
    <row r="1073" spans="1:11" x14ac:dyDescent="0.2">
      <c r="A1073" s="175">
        <v>35734</v>
      </c>
      <c r="B1073" s="176">
        <v>6.21</v>
      </c>
      <c r="C1073" s="176"/>
      <c r="D1073" s="176"/>
      <c r="E1073" s="176"/>
      <c r="J1073" s="170">
        <v>41698</v>
      </c>
      <c r="K1073" s="171">
        <v>3.35</v>
      </c>
    </row>
    <row r="1074" spans="1:11" x14ac:dyDescent="0.2">
      <c r="A1074" s="175">
        <v>35737</v>
      </c>
      <c r="B1074" s="176">
        <v>6.27</v>
      </c>
      <c r="C1074" s="176"/>
      <c r="D1074" s="176"/>
      <c r="E1074" s="176"/>
      <c r="J1074" s="170">
        <v>41705</v>
      </c>
      <c r="K1074" s="171">
        <v>3.37</v>
      </c>
    </row>
    <row r="1075" spans="1:11" x14ac:dyDescent="0.2">
      <c r="A1075" s="175">
        <v>35738</v>
      </c>
      <c r="B1075" s="176">
        <v>6.3</v>
      </c>
      <c r="C1075" s="176"/>
      <c r="D1075" s="176"/>
      <c r="E1075" s="176"/>
      <c r="J1075" s="170">
        <v>41712</v>
      </c>
      <c r="K1075" s="171">
        <v>3.37</v>
      </c>
    </row>
    <row r="1076" spans="1:11" x14ac:dyDescent="0.2">
      <c r="A1076" s="175">
        <v>35739</v>
      </c>
      <c r="B1076" s="176">
        <v>6.3</v>
      </c>
      <c r="C1076" s="176"/>
      <c r="D1076" s="176"/>
      <c r="E1076" s="176"/>
      <c r="J1076" s="170">
        <v>41719</v>
      </c>
      <c r="K1076" s="171">
        <v>3.36</v>
      </c>
    </row>
    <row r="1077" spans="1:11" x14ac:dyDescent="0.2">
      <c r="A1077" s="175">
        <v>35740</v>
      </c>
      <c r="B1077" s="176">
        <v>6.25</v>
      </c>
      <c r="C1077" s="176"/>
      <c r="D1077" s="176"/>
      <c r="E1077" s="176"/>
      <c r="J1077" s="170">
        <v>41726</v>
      </c>
      <c r="K1077" s="171">
        <v>3.29</v>
      </c>
    </row>
    <row r="1078" spans="1:11" x14ac:dyDescent="0.2">
      <c r="A1078" s="175">
        <v>35741</v>
      </c>
      <c r="B1078" s="176">
        <v>6.25</v>
      </c>
      <c r="C1078" s="176"/>
      <c r="D1078" s="176"/>
      <c r="E1078" s="176"/>
      <c r="J1078" s="170">
        <v>41733</v>
      </c>
      <c r="K1078" s="171">
        <v>3.35</v>
      </c>
    </row>
    <row r="1079" spans="1:11" x14ac:dyDescent="0.2">
      <c r="A1079" s="175">
        <v>35744</v>
      </c>
      <c r="B1079" s="176">
        <v>6.25</v>
      </c>
      <c r="C1079" s="176"/>
      <c r="D1079" s="176"/>
      <c r="E1079" s="176"/>
      <c r="J1079" s="170">
        <v>41740</v>
      </c>
      <c r="K1079" s="171">
        <v>3.27</v>
      </c>
    </row>
    <row r="1080" spans="1:11" x14ac:dyDescent="0.2">
      <c r="A1080" s="175">
        <v>35745</v>
      </c>
      <c r="B1080" s="176" t="e">
        <f>NA()</f>
        <v>#N/A</v>
      </c>
      <c r="C1080" s="176"/>
      <c r="D1080" s="176"/>
      <c r="E1080" s="176"/>
      <c r="J1080" s="170">
        <v>41747</v>
      </c>
      <c r="K1080" s="171">
        <v>3.23</v>
      </c>
    </row>
    <row r="1081" spans="1:11" x14ac:dyDescent="0.2">
      <c r="A1081" s="175">
        <v>35746</v>
      </c>
      <c r="B1081" s="176">
        <v>6.23</v>
      </c>
      <c r="C1081" s="176"/>
      <c r="D1081" s="176"/>
      <c r="E1081" s="176"/>
      <c r="J1081" s="170">
        <v>41754</v>
      </c>
      <c r="K1081" s="171">
        <v>3.23</v>
      </c>
    </row>
    <row r="1082" spans="1:11" x14ac:dyDescent="0.2">
      <c r="A1082" s="175">
        <v>35747</v>
      </c>
      <c r="B1082" s="176">
        <v>6.21</v>
      </c>
      <c r="C1082" s="176"/>
      <c r="D1082" s="176"/>
      <c r="E1082" s="176"/>
      <c r="J1082" s="170">
        <v>41761</v>
      </c>
      <c r="K1082" s="171">
        <v>3.2</v>
      </c>
    </row>
    <row r="1083" spans="1:11" x14ac:dyDescent="0.2">
      <c r="A1083" s="175">
        <v>35748</v>
      </c>
      <c r="B1083" s="176">
        <v>6.19</v>
      </c>
      <c r="C1083" s="176"/>
      <c r="D1083" s="176"/>
      <c r="E1083" s="176"/>
      <c r="J1083" s="170">
        <v>41768</v>
      </c>
      <c r="K1083" s="171">
        <v>3.15</v>
      </c>
    </row>
    <row r="1084" spans="1:11" x14ac:dyDescent="0.2">
      <c r="A1084" s="175">
        <v>35751</v>
      </c>
      <c r="B1084" s="176">
        <v>6.18</v>
      </c>
      <c r="C1084" s="176"/>
      <c r="D1084" s="176"/>
      <c r="E1084" s="176"/>
      <c r="J1084" s="170">
        <v>41775</v>
      </c>
      <c r="K1084" s="171">
        <v>3.12</v>
      </c>
    </row>
    <row r="1085" spans="1:11" x14ac:dyDescent="0.2">
      <c r="A1085" s="175">
        <v>35752</v>
      </c>
      <c r="B1085" s="176">
        <v>6.18</v>
      </c>
      <c r="C1085" s="176"/>
      <c r="D1085" s="176"/>
      <c r="E1085" s="176"/>
      <c r="J1085" s="170">
        <v>41782</v>
      </c>
      <c r="K1085" s="171">
        <v>3.12</v>
      </c>
    </row>
    <row r="1086" spans="1:11" x14ac:dyDescent="0.2">
      <c r="A1086" s="175">
        <v>35753</v>
      </c>
      <c r="B1086" s="176">
        <v>6.12</v>
      </c>
      <c r="C1086" s="176"/>
      <c r="D1086" s="176"/>
      <c r="E1086" s="176"/>
      <c r="J1086" s="170">
        <v>41789</v>
      </c>
      <c r="K1086" s="171">
        <v>3.05</v>
      </c>
    </row>
    <row r="1087" spans="1:11" x14ac:dyDescent="0.2">
      <c r="A1087" s="175">
        <v>35754</v>
      </c>
      <c r="B1087" s="176">
        <v>6.14</v>
      </c>
      <c r="C1087" s="176"/>
      <c r="D1087" s="176"/>
      <c r="E1087" s="176"/>
      <c r="J1087" s="170">
        <v>41796</v>
      </c>
      <c r="K1087" s="171">
        <v>3.16</v>
      </c>
    </row>
    <row r="1088" spans="1:11" x14ac:dyDescent="0.2">
      <c r="A1088" s="175">
        <v>35755</v>
      </c>
      <c r="B1088" s="176">
        <v>6.13</v>
      </c>
      <c r="C1088" s="176"/>
      <c r="D1088" s="176"/>
      <c r="E1088" s="176"/>
      <c r="J1088" s="170">
        <v>41803</v>
      </c>
      <c r="K1088" s="171">
        <v>3.17</v>
      </c>
    </row>
    <row r="1089" spans="1:11" x14ac:dyDescent="0.2">
      <c r="A1089" s="175">
        <v>35758</v>
      </c>
      <c r="B1089" s="176">
        <v>6.17</v>
      </c>
      <c r="C1089" s="176"/>
      <c r="D1089" s="176"/>
      <c r="E1089" s="176"/>
      <c r="J1089" s="170">
        <v>41810</v>
      </c>
      <c r="K1089" s="171">
        <v>3.17</v>
      </c>
    </row>
    <row r="1090" spans="1:11" x14ac:dyDescent="0.2">
      <c r="A1090" s="175">
        <v>35759</v>
      </c>
      <c r="B1090" s="176">
        <v>6.15</v>
      </c>
      <c r="C1090" s="176"/>
      <c r="D1090" s="176"/>
      <c r="E1090" s="176"/>
      <c r="J1090" s="170">
        <v>41817</v>
      </c>
      <c r="K1090" s="171">
        <v>3.12</v>
      </c>
    </row>
    <row r="1091" spans="1:11" x14ac:dyDescent="0.2">
      <c r="A1091" s="175">
        <v>35760</v>
      </c>
      <c r="B1091" s="176">
        <v>6.14</v>
      </c>
      <c r="C1091" s="176"/>
      <c r="D1091" s="176"/>
      <c r="E1091" s="176"/>
      <c r="J1091" s="170">
        <v>41824</v>
      </c>
      <c r="K1091" s="171">
        <v>3.16</v>
      </c>
    </row>
    <row r="1092" spans="1:11" x14ac:dyDescent="0.2">
      <c r="A1092" s="175">
        <v>35761</v>
      </c>
      <c r="B1092" s="176" t="e">
        <f>NA()</f>
        <v>#N/A</v>
      </c>
      <c r="C1092" s="176"/>
      <c r="D1092" s="176"/>
      <c r="E1092" s="176"/>
      <c r="J1092" s="170">
        <v>41831</v>
      </c>
      <c r="K1092" s="171">
        <v>3.11</v>
      </c>
    </row>
    <row r="1093" spans="1:11" x14ac:dyDescent="0.2">
      <c r="A1093" s="175">
        <v>35762</v>
      </c>
      <c r="B1093" s="176">
        <v>6.12</v>
      </c>
      <c r="C1093" s="176"/>
      <c r="D1093" s="176"/>
      <c r="E1093" s="176"/>
      <c r="J1093" s="170">
        <v>41838</v>
      </c>
      <c r="K1093" s="171">
        <v>3.06</v>
      </c>
    </row>
    <row r="1094" spans="1:11" x14ac:dyDescent="0.2">
      <c r="A1094" s="175">
        <v>35765</v>
      </c>
      <c r="B1094" s="176">
        <v>6.13</v>
      </c>
      <c r="C1094" s="176"/>
      <c r="D1094" s="176"/>
      <c r="E1094" s="176"/>
      <c r="J1094" s="170">
        <v>41845</v>
      </c>
      <c r="K1094" s="171">
        <v>3.01</v>
      </c>
    </row>
    <row r="1095" spans="1:11" x14ac:dyDescent="0.2">
      <c r="A1095" s="175">
        <v>35766</v>
      </c>
      <c r="B1095" s="176">
        <v>6.11</v>
      </c>
      <c r="C1095" s="176"/>
      <c r="D1095" s="176"/>
      <c r="E1095" s="176"/>
      <c r="J1095" s="170">
        <v>41852</v>
      </c>
      <c r="K1095" s="171">
        <v>3.03</v>
      </c>
    </row>
    <row r="1096" spans="1:11" x14ac:dyDescent="0.2">
      <c r="A1096" s="175">
        <v>35767</v>
      </c>
      <c r="B1096" s="176">
        <v>6.1</v>
      </c>
      <c r="C1096" s="176"/>
      <c r="D1096" s="176"/>
      <c r="E1096" s="176"/>
      <c r="J1096" s="170">
        <v>41859</v>
      </c>
      <c r="K1096" s="171">
        <v>3</v>
      </c>
    </row>
    <row r="1097" spans="1:11" x14ac:dyDescent="0.2">
      <c r="A1097" s="175">
        <v>35768</v>
      </c>
      <c r="B1097" s="176">
        <v>6.11</v>
      </c>
      <c r="C1097" s="176"/>
      <c r="D1097" s="176"/>
      <c r="E1097" s="176"/>
      <c r="J1097" s="170">
        <v>41866</v>
      </c>
      <c r="K1097" s="171">
        <v>2.95</v>
      </c>
    </row>
    <row r="1098" spans="1:11" x14ac:dyDescent="0.2">
      <c r="A1098" s="175">
        <v>35769</v>
      </c>
      <c r="B1098" s="176">
        <v>6.16</v>
      </c>
      <c r="C1098" s="176"/>
      <c r="D1098" s="176"/>
      <c r="E1098" s="176"/>
      <c r="J1098" s="170">
        <v>41873</v>
      </c>
      <c r="K1098" s="171">
        <v>2.93</v>
      </c>
    </row>
    <row r="1099" spans="1:11" x14ac:dyDescent="0.2">
      <c r="A1099" s="175">
        <v>35772</v>
      </c>
      <c r="B1099" s="177">
        <v>6.21</v>
      </c>
      <c r="C1099" s="177"/>
      <c r="D1099" s="177"/>
      <c r="E1099" s="177"/>
      <c r="J1099" s="170">
        <v>41880</v>
      </c>
      <c r="K1099" s="171">
        <v>2.85</v>
      </c>
    </row>
    <row r="1100" spans="1:11" x14ac:dyDescent="0.2">
      <c r="A1100" s="175">
        <v>35773</v>
      </c>
      <c r="B1100" s="176">
        <v>6.21</v>
      </c>
      <c r="C1100" s="176"/>
      <c r="D1100" s="176"/>
      <c r="E1100" s="176"/>
      <c r="J1100" s="170">
        <v>41887</v>
      </c>
      <c r="K1100" s="171">
        <v>2.93</v>
      </c>
    </row>
    <row r="1101" spans="1:11" x14ac:dyDescent="0.2">
      <c r="A1101" s="175">
        <v>35774</v>
      </c>
      <c r="B1101" s="176">
        <v>6.17</v>
      </c>
      <c r="C1101" s="176"/>
      <c r="D1101" s="176"/>
      <c r="E1101" s="176"/>
      <c r="J1101" s="170">
        <v>41894</v>
      </c>
      <c r="K1101" s="171">
        <v>3.01</v>
      </c>
    </row>
    <row r="1102" spans="1:11" x14ac:dyDescent="0.2">
      <c r="A1102" s="175">
        <v>35775</v>
      </c>
      <c r="B1102" s="176">
        <v>6.11</v>
      </c>
      <c r="C1102" s="176"/>
      <c r="D1102" s="176"/>
      <c r="E1102" s="176"/>
      <c r="J1102" s="170">
        <v>41901</v>
      </c>
      <c r="K1102" s="171">
        <v>3.1</v>
      </c>
    </row>
    <row r="1103" spans="1:11" x14ac:dyDescent="0.2">
      <c r="A1103" s="175">
        <v>35776</v>
      </c>
      <c r="B1103" s="176">
        <v>6.03</v>
      </c>
      <c r="C1103" s="176"/>
      <c r="D1103" s="176"/>
      <c r="E1103" s="176"/>
      <c r="J1103" s="170">
        <v>41908</v>
      </c>
      <c r="K1103" s="171">
        <v>3.01</v>
      </c>
    </row>
    <row r="1104" spans="1:11" x14ac:dyDescent="0.2">
      <c r="A1104" s="175">
        <v>35779</v>
      </c>
      <c r="B1104" s="176">
        <v>6.06</v>
      </c>
      <c r="C1104" s="176"/>
      <c r="D1104" s="176"/>
      <c r="E1104" s="176"/>
      <c r="J1104" s="170">
        <v>41915</v>
      </c>
      <c r="K1104" s="171">
        <v>2.92</v>
      </c>
    </row>
    <row r="1105" spans="1:11" x14ac:dyDescent="0.2">
      <c r="A1105" s="175">
        <v>35780</v>
      </c>
      <c r="B1105" s="176">
        <v>6.05</v>
      </c>
      <c r="C1105" s="176"/>
      <c r="D1105" s="176"/>
      <c r="E1105" s="176"/>
      <c r="J1105" s="170">
        <v>41922</v>
      </c>
      <c r="K1105" s="171">
        <v>2.82</v>
      </c>
    </row>
    <row r="1106" spans="1:11" x14ac:dyDescent="0.2">
      <c r="A1106" s="175">
        <v>35781</v>
      </c>
      <c r="B1106" s="176">
        <v>6.08</v>
      </c>
      <c r="C1106" s="176"/>
      <c r="D1106" s="176"/>
      <c r="E1106" s="176"/>
      <c r="J1106" s="170">
        <v>41929</v>
      </c>
      <c r="K1106" s="171">
        <v>2.67</v>
      </c>
    </row>
    <row r="1107" spans="1:11" x14ac:dyDescent="0.2">
      <c r="A1107" s="175">
        <v>35782</v>
      </c>
      <c r="B1107" s="176">
        <v>6.03</v>
      </c>
      <c r="C1107" s="176"/>
      <c r="D1107" s="176"/>
      <c r="E1107" s="176"/>
      <c r="J1107" s="170">
        <v>41936</v>
      </c>
      <c r="K1107" s="171">
        <v>2.73</v>
      </c>
    </row>
    <row r="1108" spans="1:11" x14ac:dyDescent="0.2">
      <c r="A1108" s="175">
        <v>35783</v>
      </c>
      <c r="B1108" s="176">
        <v>6</v>
      </c>
      <c r="C1108" s="176"/>
      <c r="D1108" s="176"/>
      <c r="E1108" s="176"/>
      <c r="J1108" s="170">
        <v>41943</v>
      </c>
      <c r="K1108" s="171">
        <v>2.78</v>
      </c>
    </row>
    <row r="1109" spans="1:11" x14ac:dyDescent="0.2">
      <c r="A1109" s="175">
        <v>35786</v>
      </c>
      <c r="B1109" s="176">
        <v>5.97</v>
      </c>
      <c r="C1109" s="176"/>
      <c r="D1109" s="176"/>
      <c r="E1109" s="176"/>
      <c r="J1109" s="170">
        <v>41950</v>
      </c>
      <c r="K1109" s="171">
        <v>2.79</v>
      </c>
    </row>
    <row r="1110" spans="1:11" x14ac:dyDescent="0.2">
      <c r="A1110" s="175">
        <v>35787</v>
      </c>
      <c r="B1110" s="176">
        <v>5.98</v>
      </c>
      <c r="C1110" s="176"/>
      <c r="D1110" s="176"/>
      <c r="E1110" s="176"/>
      <c r="J1110" s="170">
        <v>41957</v>
      </c>
      <c r="K1110" s="171">
        <v>2.8</v>
      </c>
    </row>
    <row r="1111" spans="1:11" x14ac:dyDescent="0.2">
      <c r="A1111" s="175">
        <v>35788</v>
      </c>
      <c r="B1111" s="176">
        <v>6</v>
      </c>
      <c r="C1111" s="176"/>
      <c r="D1111" s="176"/>
      <c r="E1111" s="176"/>
      <c r="J1111" s="170">
        <v>41964</v>
      </c>
      <c r="K1111" s="171">
        <v>2.78</v>
      </c>
    </row>
    <row r="1112" spans="1:11" x14ac:dyDescent="0.2">
      <c r="A1112" s="175">
        <v>35789</v>
      </c>
      <c r="B1112" s="176" t="e">
        <f>NA()</f>
        <v>#N/A</v>
      </c>
      <c r="C1112" s="176"/>
      <c r="D1112" s="176"/>
      <c r="E1112" s="176"/>
      <c r="J1112" s="170">
        <v>41971</v>
      </c>
      <c r="K1112" s="171">
        <v>2.68</v>
      </c>
    </row>
    <row r="1113" spans="1:11" x14ac:dyDescent="0.2">
      <c r="A1113" s="175">
        <v>35790</v>
      </c>
      <c r="B1113" s="176">
        <v>5.99</v>
      </c>
      <c r="C1113" s="176"/>
      <c r="D1113" s="176"/>
      <c r="E1113" s="176"/>
      <c r="J1113" s="170">
        <v>41978</v>
      </c>
      <c r="K1113" s="171">
        <v>2.69</v>
      </c>
    </row>
    <row r="1114" spans="1:11" x14ac:dyDescent="0.2">
      <c r="A1114" s="175">
        <v>35793</v>
      </c>
      <c r="B1114" s="176">
        <v>6.01</v>
      </c>
      <c r="C1114" s="176"/>
      <c r="D1114" s="176"/>
      <c r="E1114" s="176"/>
      <c r="J1114" s="170">
        <v>41985</v>
      </c>
      <c r="K1114" s="171">
        <v>2.5499999999999998</v>
      </c>
    </row>
    <row r="1115" spans="1:11" x14ac:dyDescent="0.2">
      <c r="A1115" s="175">
        <v>35794</v>
      </c>
      <c r="B1115" s="176">
        <v>6.06</v>
      </c>
      <c r="C1115" s="176"/>
      <c r="D1115" s="176"/>
      <c r="E1115" s="176"/>
      <c r="J1115" s="170">
        <v>41992</v>
      </c>
      <c r="K1115" s="171">
        <v>2.4700000000000002</v>
      </c>
    </row>
    <row r="1116" spans="1:11" x14ac:dyDescent="0.2">
      <c r="A1116" s="175">
        <v>35795</v>
      </c>
      <c r="B1116" s="176">
        <v>6.02</v>
      </c>
      <c r="C1116" s="176"/>
      <c r="D1116" s="176"/>
      <c r="E1116" s="176"/>
      <c r="J1116" s="170">
        <v>41999</v>
      </c>
      <c r="K1116" s="171">
        <v>2.54</v>
      </c>
    </row>
    <row r="1117" spans="1:11" x14ac:dyDescent="0.2">
      <c r="A1117" s="175">
        <v>35796</v>
      </c>
      <c r="B1117" s="176" t="e">
        <f>NA()</f>
        <v>#N/A</v>
      </c>
      <c r="C1117" s="176"/>
      <c r="D1117" s="176"/>
      <c r="E1117" s="176"/>
      <c r="J1117" s="170">
        <v>42006</v>
      </c>
      <c r="K1117" s="171">
        <v>2.4700000000000002</v>
      </c>
    </row>
    <row r="1118" spans="1:11" x14ac:dyDescent="0.2">
      <c r="A1118" s="175">
        <v>35797</v>
      </c>
      <c r="B1118" s="176">
        <v>5.94</v>
      </c>
      <c r="C1118" s="176"/>
      <c r="D1118" s="176"/>
      <c r="E1118" s="176"/>
      <c r="J1118" s="170">
        <v>42013</v>
      </c>
      <c r="K1118" s="171">
        <v>2.29</v>
      </c>
    </row>
    <row r="1119" spans="1:11" x14ac:dyDescent="0.2">
      <c r="A1119" s="175">
        <v>35800</v>
      </c>
      <c r="B1119" s="176">
        <v>5.82</v>
      </c>
      <c r="C1119" s="176"/>
      <c r="D1119" s="176"/>
      <c r="E1119" s="176"/>
      <c r="J1119" s="170">
        <v>42020</v>
      </c>
      <c r="K1119" s="171">
        <v>2.19</v>
      </c>
    </row>
    <row r="1120" spans="1:11" x14ac:dyDescent="0.2">
      <c r="A1120" s="175">
        <v>35801</v>
      </c>
      <c r="B1120" s="176">
        <v>5.8</v>
      </c>
      <c r="C1120" s="176"/>
      <c r="D1120" s="176"/>
      <c r="E1120" s="176"/>
      <c r="J1120" s="170">
        <v>42027</v>
      </c>
      <c r="K1120" s="171">
        <v>2.17</v>
      </c>
    </row>
    <row r="1121" spans="1:11" x14ac:dyDescent="0.2">
      <c r="A1121" s="175">
        <v>35802</v>
      </c>
      <c r="B1121" s="176">
        <v>5.88</v>
      </c>
      <c r="C1121" s="176"/>
      <c r="D1121" s="176"/>
      <c r="E1121" s="176"/>
      <c r="J1121" s="170">
        <v>42034</v>
      </c>
      <c r="K1121" s="171">
        <v>2.1</v>
      </c>
    </row>
    <row r="1122" spans="1:11" x14ac:dyDescent="0.2">
      <c r="A1122" s="175">
        <v>35803</v>
      </c>
      <c r="B1122" s="176">
        <v>5.82</v>
      </c>
      <c r="C1122" s="176"/>
      <c r="D1122" s="176"/>
      <c r="E1122" s="176"/>
      <c r="J1122" s="170">
        <v>42041</v>
      </c>
      <c r="K1122" s="171">
        <v>2.1800000000000002</v>
      </c>
    </row>
    <row r="1123" spans="1:11" x14ac:dyDescent="0.2">
      <c r="A1123" s="175">
        <v>35804</v>
      </c>
      <c r="B1123" s="176">
        <v>5.77</v>
      </c>
      <c r="C1123" s="176"/>
      <c r="D1123" s="176"/>
      <c r="E1123" s="176"/>
      <c r="J1123" s="170">
        <v>42048</v>
      </c>
      <c r="K1123" s="171">
        <v>2.33</v>
      </c>
    </row>
    <row r="1124" spans="1:11" x14ac:dyDescent="0.2">
      <c r="A1124" s="175">
        <v>35807</v>
      </c>
      <c r="B1124" s="176">
        <v>5.76</v>
      </c>
      <c r="C1124" s="176"/>
      <c r="D1124" s="176"/>
      <c r="E1124" s="176"/>
      <c r="J1124" s="170">
        <v>42055</v>
      </c>
      <c r="K1124" s="171">
        <v>2.4900000000000002</v>
      </c>
    </row>
    <row r="1125" spans="1:11" x14ac:dyDescent="0.2">
      <c r="A1125" s="175">
        <v>35808</v>
      </c>
      <c r="B1125" s="176">
        <v>5.76</v>
      </c>
      <c r="C1125" s="176"/>
      <c r="D1125" s="176"/>
      <c r="E1125" s="176"/>
      <c r="J1125" s="170">
        <v>42062</v>
      </c>
      <c r="K1125" s="171">
        <v>2.39</v>
      </c>
    </row>
    <row r="1126" spans="1:11" x14ac:dyDescent="0.2">
      <c r="A1126" s="175">
        <v>35809</v>
      </c>
      <c r="B1126" s="176">
        <v>5.79</v>
      </c>
      <c r="C1126" s="176"/>
      <c r="D1126" s="176"/>
      <c r="E1126" s="176"/>
      <c r="J1126" s="170">
        <v>42069</v>
      </c>
      <c r="K1126" s="171">
        <v>2.5099999999999998</v>
      </c>
    </row>
    <row r="1127" spans="1:11" x14ac:dyDescent="0.2">
      <c r="A1127" s="175">
        <v>35810</v>
      </c>
      <c r="B1127" s="176">
        <v>5.81</v>
      </c>
      <c r="C1127" s="176"/>
      <c r="D1127" s="176"/>
      <c r="E1127" s="176"/>
      <c r="J1127" s="170">
        <v>42076</v>
      </c>
      <c r="K1127" s="171">
        <v>2.5</v>
      </c>
    </row>
    <row r="1128" spans="1:11" x14ac:dyDescent="0.2">
      <c r="A1128" s="175">
        <v>35811</v>
      </c>
      <c r="B1128" s="176">
        <v>5.87</v>
      </c>
      <c r="C1128" s="176"/>
      <c r="D1128" s="176"/>
      <c r="E1128" s="176"/>
      <c r="J1128" s="170">
        <v>42083</v>
      </c>
      <c r="K1128" s="171">
        <v>2.36</v>
      </c>
    </row>
    <row r="1129" spans="1:11" x14ac:dyDescent="0.2">
      <c r="A1129" s="175">
        <v>35814</v>
      </c>
      <c r="B1129" s="177" t="e">
        <f>NA()</f>
        <v>#N/A</v>
      </c>
      <c r="C1129" s="177"/>
      <c r="D1129" s="177"/>
      <c r="E1129" s="177"/>
      <c r="J1129" s="170">
        <v>42090</v>
      </c>
      <c r="K1129" s="171">
        <v>2.29</v>
      </c>
    </row>
    <row r="1130" spans="1:11" x14ac:dyDescent="0.2">
      <c r="A1130" s="175">
        <v>35815</v>
      </c>
      <c r="B1130" s="176">
        <v>5.89</v>
      </c>
      <c r="C1130" s="176"/>
      <c r="D1130" s="176"/>
      <c r="E1130" s="176"/>
      <c r="J1130" s="170">
        <v>42097</v>
      </c>
      <c r="K1130" s="171">
        <v>2.2799999999999998</v>
      </c>
    </row>
    <row r="1131" spans="1:11" x14ac:dyDescent="0.2">
      <c r="A1131" s="175">
        <v>35816</v>
      </c>
      <c r="B1131" s="176">
        <v>5.87</v>
      </c>
      <c r="C1131" s="176"/>
      <c r="D1131" s="176"/>
      <c r="E1131" s="176"/>
      <c r="J1131" s="170">
        <v>42104</v>
      </c>
      <c r="K1131" s="171">
        <v>2.31</v>
      </c>
    </row>
    <row r="1132" spans="1:11" x14ac:dyDescent="0.2">
      <c r="A1132" s="175">
        <v>35817</v>
      </c>
      <c r="B1132" s="176">
        <v>5.91</v>
      </c>
      <c r="C1132" s="176"/>
      <c r="D1132" s="176"/>
      <c r="E1132" s="176"/>
      <c r="J1132" s="170">
        <v>42111</v>
      </c>
      <c r="K1132" s="171">
        <v>2.2999999999999998</v>
      </c>
    </row>
    <row r="1133" spans="1:11" x14ac:dyDescent="0.2">
      <c r="A1133" s="175">
        <v>35818</v>
      </c>
      <c r="B1133" s="176">
        <v>6.04</v>
      </c>
      <c r="C1133" s="176"/>
      <c r="D1133" s="176"/>
      <c r="E1133" s="176"/>
      <c r="J1133" s="170">
        <v>42118</v>
      </c>
      <c r="K1133" s="171">
        <v>2.36</v>
      </c>
    </row>
    <row r="1134" spans="1:11" x14ac:dyDescent="0.2">
      <c r="A1134" s="175">
        <v>35821</v>
      </c>
      <c r="B1134" s="176">
        <v>5.96</v>
      </c>
      <c r="C1134" s="176"/>
      <c r="D1134" s="176"/>
      <c r="E1134" s="176"/>
      <c r="J1134" s="170">
        <v>42125</v>
      </c>
      <c r="K1134" s="171">
        <v>2.4700000000000002</v>
      </c>
    </row>
    <row r="1135" spans="1:11" x14ac:dyDescent="0.2">
      <c r="A1135" s="175">
        <v>35822</v>
      </c>
      <c r="B1135" s="176">
        <v>6.02</v>
      </c>
      <c r="C1135" s="176"/>
      <c r="D1135" s="176"/>
      <c r="E1135" s="176"/>
      <c r="J1135" s="170">
        <v>42132</v>
      </c>
      <c r="K1135" s="171">
        <v>2.65</v>
      </c>
    </row>
    <row r="1136" spans="1:11" x14ac:dyDescent="0.2">
      <c r="A1136" s="175">
        <v>35823</v>
      </c>
      <c r="B1136" s="176">
        <v>6.02</v>
      </c>
      <c r="C1136" s="176"/>
      <c r="D1136" s="176"/>
      <c r="E1136" s="176"/>
      <c r="J1136" s="170">
        <v>42139</v>
      </c>
      <c r="K1136" s="171">
        <v>2.74</v>
      </c>
    </row>
    <row r="1137" spans="1:11" x14ac:dyDescent="0.2">
      <c r="A1137" s="175">
        <v>35824</v>
      </c>
      <c r="B1137" s="176">
        <v>5.92</v>
      </c>
      <c r="C1137" s="176"/>
      <c r="D1137" s="176"/>
      <c r="E1137" s="176"/>
      <c r="J1137" s="170">
        <v>42146</v>
      </c>
      <c r="K1137" s="171">
        <v>2.75</v>
      </c>
    </row>
    <row r="1138" spans="1:11" x14ac:dyDescent="0.2">
      <c r="A1138" s="175">
        <v>35825</v>
      </c>
      <c r="B1138" s="176">
        <v>5.88</v>
      </c>
      <c r="C1138" s="176"/>
      <c r="D1138" s="176"/>
      <c r="E1138" s="176"/>
      <c r="J1138" s="170">
        <v>42153</v>
      </c>
      <c r="K1138" s="171">
        <v>2.64</v>
      </c>
    </row>
    <row r="1139" spans="1:11" x14ac:dyDescent="0.2">
      <c r="A1139" s="175">
        <v>35828</v>
      </c>
      <c r="B1139" s="176">
        <v>5.93</v>
      </c>
      <c r="C1139" s="176"/>
      <c r="D1139" s="176"/>
      <c r="E1139" s="176"/>
      <c r="J1139" s="170">
        <v>42160</v>
      </c>
      <c r="K1139" s="171">
        <v>2.8</v>
      </c>
    </row>
    <row r="1140" spans="1:11" x14ac:dyDescent="0.2">
      <c r="A1140" s="175">
        <v>35829</v>
      </c>
      <c r="B1140" s="176">
        <v>5.93</v>
      </c>
      <c r="C1140" s="176"/>
      <c r="D1140" s="176"/>
      <c r="E1140" s="176"/>
      <c r="J1140" s="170">
        <v>42167</v>
      </c>
      <c r="K1140" s="171">
        <v>2.88</v>
      </c>
    </row>
    <row r="1141" spans="1:11" x14ac:dyDescent="0.2">
      <c r="A1141" s="175">
        <v>35830</v>
      </c>
      <c r="B1141" s="176">
        <v>5.94</v>
      </c>
      <c r="C1141" s="176"/>
      <c r="D1141" s="176"/>
      <c r="E1141" s="176"/>
      <c r="J1141" s="170">
        <v>42174</v>
      </c>
      <c r="K1141" s="171">
        <v>2.81</v>
      </c>
    </row>
    <row r="1142" spans="1:11" x14ac:dyDescent="0.2">
      <c r="A1142" s="175">
        <v>35831</v>
      </c>
      <c r="B1142" s="176">
        <v>6</v>
      </c>
      <c r="C1142" s="176"/>
      <c r="D1142" s="176"/>
      <c r="E1142" s="176"/>
      <c r="J1142" s="170">
        <v>42181</v>
      </c>
      <c r="K1142" s="171">
        <v>2.9</v>
      </c>
    </row>
    <row r="1143" spans="1:11" x14ac:dyDescent="0.2">
      <c r="A1143" s="175">
        <v>35832</v>
      </c>
      <c r="B1143" s="176">
        <v>5.99</v>
      </c>
      <c r="C1143" s="176"/>
      <c r="D1143" s="176"/>
      <c r="E1143" s="176"/>
      <c r="J1143" s="170">
        <v>42188</v>
      </c>
      <c r="K1143" s="171">
        <v>2.87</v>
      </c>
    </row>
    <row r="1144" spans="1:11" x14ac:dyDescent="0.2">
      <c r="A1144" s="175">
        <v>35835</v>
      </c>
      <c r="B1144" s="176">
        <v>6.02</v>
      </c>
      <c r="C1144" s="176"/>
      <c r="D1144" s="176"/>
      <c r="E1144" s="176"/>
      <c r="J1144" s="170">
        <v>42195</v>
      </c>
      <c r="K1144" s="171">
        <v>2.78</v>
      </c>
    </row>
    <row r="1145" spans="1:11" x14ac:dyDescent="0.2">
      <c r="A1145" s="175">
        <v>35836</v>
      </c>
      <c r="B1145" s="176">
        <v>6</v>
      </c>
      <c r="C1145" s="176"/>
      <c r="D1145" s="176"/>
      <c r="E1145" s="176"/>
      <c r="J1145" s="170">
        <v>42202</v>
      </c>
      <c r="K1145" s="171">
        <v>2.85</v>
      </c>
    </row>
    <row r="1146" spans="1:11" x14ac:dyDescent="0.2">
      <c r="A1146" s="175">
        <v>35837</v>
      </c>
      <c r="B1146" s="176">
        <v>5.92</v>
      </c>
      <c r="C1146" s="176"/>
      <c r="D1146" s="176"/>
      <c r="E1146" s="176"/>
      <c r="J1146" s="170">
        <v>42209</v>
      </c>
      <c r="K1146" s="171">
        <v>2.73</v>
      </c>
    </row>
    <row r="1147" spans="1:11" x14ac:dyDescent="0.2">
      <c r="A1147" s="175">
        <v>35838</v>
      </c>
      <c r="B1147" s="176">
        <v>5.94</v>
      </c>
      <c r="C1147" s="176"/>
      <c r="D1147" s="176"/>
      <c r="E1147" s="176"/>
      <c r="J1147" s="170">
        <v>42216</v>
      </c>
      <c r="K1147" s="171">
        <v>2.65</v>
      </c>
    </row>
    <row r="1148" spans="1:11" x14ac:dyDescent="0.2">
      <c r="A1148" s="175">
        <v>35839</v>
      </c>
      <c r="B1148" s="176">
        <v>5.92</v>
      </c>
      <c r="C1148" s="176"/>
      <c r="D1148" s="176"/>
      <c r="E1148" s="176"/>
      <c r="J1148" s="170">
        <v>42223</v>
      </c>
      <c r="K1148" s="171">
        <v>2.58</v>
      </c>
    </row>
    <row r="1149" spans="1:11" x14ac:dyDescent="0.2">
      <c r="A1149" s="175">
        <v>35842</v>
      </c>
      <c r="B1149" s="176" t="e">
        <f>NA()</f>
        <v>#N/A</v>
      </c>
      <c r="C1149" s="176"/>
      <c r="D1149" s="176"/>
      <c r="E1149" s="176"/>
      <c r="J1149" s="170">
        <v>42230</v>
      </c>
      <c r="K1149" s="171">
        <v>2.54</v>
      </c>
    </row>
    <row r="1150" spans="1:11" x14ac:dyDescent="0.2">
      <c r="A1150" s="175">
        <v>35843</v>
      </c>
      <c r="B1150" s="177">
        <v>5.86</v>
      </c>
      <c r="C1150" s="177"/>
      <c r="D1150" s="177"/>
      <c r="E1150" s="177"/>
      <c r="J1150" s="170">
        <v>42237</v>
      </c>
      <c r="K1150" s="171">
        <v>2.4900000000000002</v>
      </c>
    </row>
    <row r="1151" spans="1:11" x14ac:dyDescent="0.2">
      <c r="A1151" s="175">
        <v>35844</v>
      </c>
      <c r="B1151" s="176">
        <v>5.9</v>
      </c>
      <c r="C1151" s="176"/>
      <c r="D1151" s="176"/>
      <c r="E1151" s="176"/>
      <c r="J1151" s="170">
        <v>42244</v>
      </c>
      <c r="K1151" s="171">
        <v>2.56</v>
      </c>
    </row>
    <row r="1152" spans="1:11" x14ac:dyDescent="0.2">
      <c r="A1152" s="175">
        <v>35845</v>
      </c>
      <c r="B1152" s="176">
        <v>5.91</v>
      </c>
      <c r="C1152" s="176"/>
      <c r="D1152" s="176"/>
      <c r="E1152" s="176"/>
      <c r="J1152" s="170">
        <v>42251</v>
      </c>
      <c r="K1152" s="171">
        <v>2.63</v>
      </c>
    </row>
    <row r="1153" spans="1:11" x14ac:dyDescent="0.2">
      <c r="A1153" s="175">
        <v>35846</v>
      </c>
      <c r="B1153" s="176">
        <v>5.93</v>
      </c>
      <c r="C1153" s="176"/>
      <c r="D1153" s="176"/>
      <c r="E1153" s="176"/>
      <c r="J1153" s="170">
        <v>42258</v>
      </c>
      <c r="K1153" s="171">
        <v>2.65</v>
      </c>
    </row>
    <row r="1154" spans="1:11" x14ac:dyDescent="0.2">
      <c r="A1154" s="175">
        <v>35849</v>
      </c>
      <c r="B1154" s="176">
        <v>5.97</v>
      </c>
      <c r="C1154" s="176"/>
      <c r="D1154" s="176"/>
      <c r="E1154" s="176"/>
      <c r="J1154" s="170">
        <v>42265</v>
      </c>
      <c r="K1154" s="171">
        <v>2.67</v>
      </c>
    </row>
    <row r="1155" spans="1:11" x14ac:dyDescent="0.2">
      <c r="A1155" s="175">
        <v>35850</v>
      </c>
      <c r="B1155" s="176">
        <v>6.04</v>
      </c>
      <c r="C1155" s="176"/>
      <c r="D1155" s="176"/>
      <c r="E1155" s="176"/>
      <c r="J1155" s="170">
        <v>42272</v>
      </c>
      <c r="K1155" s="171">
        <v>2.6</v>
      </c>
    </row>
    <row r="1156" spans="1:11" x14ac:dyDescent="0.2">
      <c r="A1156" s="175">
        <v>35851</v>
      </c>
      <c r="B1156" s="176">
        <v>5.99</v>
      </c>
      <c r="C1156" s="176"/>
      <c r="D1156" s="176"/>
      <c r="E1156" s="176"/>
      <c r="J1156" s="170">
        <v>42279</v>
      </c>
      <c r="K1156" s="171">
        <v>2.4900000000000002</v>
      </c>
    </row>
    <row r="1157" spans="1:11" x14ac:dyDescent="0.2">
      <c r="A1157" s="175">
        <v>35852</v>
      </c>
      <c r="B1157" s="176">
        <v>6.01</v>
      </c>
      <c r="C1157" s="176"/>
      <c r="D1157" s="176"/>
      <c r="E1157" s="176"/>
      <c r="J1157" s="170">
        <v>42286</v>
      </c>
      <c r="K1157" s="171">
        <v>2.5299999999999998</v>
      </c>
    </row>
    <row r="1158" spans="1:11" x14ac:dyDescent="0.2">
      <c r="A1158" s="175">
        <v>35853</v>
      </c>
      <c r="B1158" s="176">
        <v>5.99</v>
      </c>
      <c r="C1158" s="176"/>
      <c r="D1158" s="176"/>
      <c r="E1158" s="176"/>
      <c r="J1158" s="170">
        <v>42293</v>
      </c>
      <c r="K1158" s="171">
        <v>2.46</v>
      </c>
    </row>
    <row r="1159" spans="1:11" x14ac:dyDescent="0.2">
      <c r="A1159" s="175">
        <v>35856</v>
      </c>
      <c r="B1159" s="176">
        <v>6.09</v>
      </c>
      <c r="C1159" s="176"/>
      <c r="D1159" s="176"/>
      <c r="E1159" s="176"/>
      <c r="J1159" s="170">
        <v>42300</v>
      </c>
      <c r="K1159" s="171">
        <v>2.5</v>
      </c>
    </row>
    <row r="1160" spans="1:11" x14ac:dyDescent="0.2">
      <c r="A1160" s="175">
        <v>35857</v>
      </c>
      <c r="B1160" s="176">
        <v>6.14</v>
      </c>
      <c r="C1160" s="176"/>
      <c r="D1160" s="176"/>
      <c r="E1160" s="176"/>
      <c r="J1160" s="170">
        <v>42307</v>
      </c>
      <c r="K1160" s="171">
        <v>2.5299999999999998</v>
      </c>
    </row>
    <row r="1161" spans="1:11" x14ac:dyDescent="0.2">
      <c r="A1161" s="175">
        <v>35858</v>
      </c>
      <c r="B1161" s="176">
        <v>6.11</v>
      </c>
      <c r="C1161" s="176"/>
      <c r="D1161" s="176"/>
      <c r="E1161" s="176"/>
      <c r="J1161" s="170">
        <v>42314</v>
      </c>
      <c r="K1161" s="171">
        <v>2.67</v>
      </c>
    </row>
    <row r="1162" spans="1:11" x14ac:dyDescent="0.2">
      <c r="A1162" s="175">
        <v>35859</v>
      </c>
      <c r="B1162" s="177">
        <v>6.14</v>
      </c>
      <c r="C1162" s="177"/>
      <c r="D1162" s="177"/>
      <c r="E1162" s="177"/>
      <c r="J1162" s="170">
        <v>42321</v>
      </c>
      <c r="K1162" s="171">
        <v>2.76</v>
      </c>
    </row>
    <row r="1163" spans="1:11" x14ac:dyDescent="0.2">
      <c r="A1163" s="175">
        <v>35860</v>
      </c>
      <c r="B1163" s="176">
        <v>6.09</v>
      </c>
      <c r="C1163" s="176"/>
      <c r="D1163" s="176"/>
      <c r="E1163" s="176"/>
      <c r="J1163" s="170">
        <v>42328</v>
      </c>
      <c r="K1163" s="171">
        <v>2.69</v>
      </c>
    </row>
    <row r="1164" spans="1:11" x14ac:dyDescent="0.2">
      <c r="A1164" s="175">
        <v>35863</v>
      </c>
      <c r="B1164" s="176">
        <v>6.04</v>
      </c>
      <c r="C1164" s="176"/>
      <c r="D1164" s="176"/>
      <c r="E1164" s="176"/>
      <c r="J1164" s="170">
        <v>42335</v>
      </c>
      <c r="K1164" s="171">
        <v>2.65</v>
      </c>
    </row>
    <row r="1165" spans="1:11" x14ac:dyDescent="0.2">
      <c r="A1165" s="175">
        <v>35864</v>
      </c>
      <c r="B1165" s="176">
        <v>6.03</v>
      </c>
      <c r="C1165" s="176"/>
      <c r="D1165" s="176"/>
      <c r="E1165" s="176"/>
      <c r="J1165" s="170">
        <v>42342</v>
      </c>
      <c r="K1165" s="171">
        <v>2.62</v>
      </c>
    </row>
    <row r="1166" spans="1:11" x14ac:dyDescent="0.2">
      <c r="A1166" s="175">
        <v>35865</v>
      </c>
      <c r="B1166" s="176">
        <v>6</v>
      </c>
      <c r="C1166" s="176"/>
      <c r="D1166" s="176"/>
      <c r="E1166" s="176"/>
      <c r="J1166" s="170">
        <v>42349</v>
      </c>
      <c r="K1166" s="171">
        <v>2.58</v>
      </c>
    </row>
    <row r="1167" spans="1:11" x14ac:dyDescent="0.2">
      <c r="A1167" s="175">
        <v>35866</v>
      </c>
      <c r="B1167" s="176">
        <v>5.94</v>
      </c>
      <c r="C1167" s="176"/>
      <c r="D1167" s="176"/>
      <c r="E1167" s="176"/>
      <c r="J1167" s="170">
        <v>42356</v>
      </c>
      <c r="K1167" s="171">
        <v>2.59</v>
      </c>
    </row>
    <row r="1168" spans="1:11" x14ac:dyDescent="0.2">
      <c r="A1168" s="175">
        <v>35867</v>
      </c>
      <c r="B1168" s="176">
        <v>5.95</v>
      </c>
      <c r="C1168" s="176"/>
      <c r="D1168" s="176"/>
      <c r="E1168" s="176"/>
      <c r="J1168" s="170">
        <v>42363</v>
      </c>
      <c r="K1168" s="171">
        <v>2.6</v>
      </c>
    </row>
    <row r="1169" spans="1:11" x14ac:dyDescent="0.2">
      <c r="A1169" s="175">
        <v>35870</v>
      </c>
      <c r="B1169" s="176">
        <v>5.92</v>
      </c>
      <c r="C1169" s="176"/>
      <c r="D1169" s="176"/>
      <c r="E1169" s="176"/>
      <c r="J1169" s="170">
        <v>42370</v>
      </c>
      <c r="K1169" s="171">
        <v>2.66</v>
      </c>
    </row>
    <row r="1170" spans="1:11" x14ac:dyDescent="0.2">
      <c r="A1170" s="175">
        <v>35871</v>
      </c>
      <c r="B1170" s="176">
        <v>5.95</v>
      </c>
      <c r="C1170" s="176"/>
      <c r="D1170" s="176"/>
      <c r="E1170" s="176"/>
      <c r="J1170" s="170">
        <v>42377</v>
      </c>
      <c r="K1170" s="171">
        <v>2.6</v>
      </c>
    </row>
    <row r="1171" spans="1:11" x14ac:dyDescent="0.2">
      <c r="A1171" s="175">
        <v>35872</v>
      </c>
      <c r="B1171" s="176">
        <v>5.97</v>
      </c>
      <c r="C1171" s="176"/>
      <c r="D1171" s="176"/>
      <c r="E1171" s="176"/>
      <c r="J1171" s="170">
        <v>42384</v>
      </c>
      <c r="K1171" s="171">
        <v>2.5</v>
      </c>
    </row>
    <row r="1172" spans="1:11" x14ac:dyDescent="0.2">
      <c r="A1172" s="175">
        <v>35873</v>
      </c>
      <c r="B1172" s="176">
        <v>5.97</v>
      </c>
      <c r="C1172" s="176"/>
      <c r="D1172" s="176"/>
      <c r="E1172" s="176"/>
      <c r="J1172" s="170">
        <v>42391</v>
      </c>
      <c r="K1172" s="171">
        <v>2.44</v>
      </c>
    </row>
    <row r="1173" spans="1:11" x14ac:dyDescent="0.2">
      <c r="A1173" s="175">
        <v>35874</v>
      </c>
      <c r="B1173" s="176">
        <v>5.95</v>
      </c>
      <c r="C1173" s="176"/>
      <c r="D1173" s="176"/>
      <c r="E1173" s="176"/>
      <c r="J1173" s="170">
        <v>42398</v>
      </c>
      <c r="K1173" s="171">
        <v>2.4</v>
      </c>
    </row>
    <row r="1174" spans="1:11" x14ac:dyDescent="0.2">
      <c r="A1174" s="175">
        <v>35877</v>
      </c>
      <c r="B1174" s="176">
        <v>5.95</v>
      </c>
      <c r="C1174" s="176"/>
      <c r="D1174" s="176"/>
      <c r="E1174" s="176"/>
      <c r="J1174" s="170">
        <v>42405</v>
      </c>
      <c r="K1174" s="171">
        <v>2.2999999999999998</v>
      </c>
    </row>
    <row r="1175" spans="1:11" x14ac:dyDescent="0.2">
      <c r="A1175" s="175">
        <v>35878</v>
      </c>
      <c r="B1175" s="176">
        <v>5.95</v>
      </c>
      <c r="C1175" s="176"/>
      <c r="D1175" s="176"/>
      <c r="E1175" s="176"/>
      <c r="J1175" s="170">
        <v>42412</v>
      </c>
      <c r="K1175" s="171">
        <v>2.13</v>
      </c>
    </row>
    <row r="1176" spans="1:11" x14ac:dyDescent="0.2">
      <c r="A1176" s="175">
        <v>35879</v>
      </c>
      <c r="B1176" s="176">
        <v>6</v>
      </c>
      <c r="C1176" s="176"/>
      <c r="D1176" s="176"/>
      <c r="E1176" s="176"/>
      <c r="J1176" s="170">
        <v>42419</v>
      </c>
      <c r="K1176" s="171">
        <v>2.19</v>
      </c>
    </row>
    <row r="1177" spans="1:11" x14ac:dyDescent="0.2">
      <c r="A1177" s="175">
        <v>35880</v>
      </c>
      <c r="B1177" s="176">
        <v>6.02</v>
      </c>
      <c r="C1177" s="176"/>
      <c r="D1177" s="176"/>
      <c r="E1177" s="176"/>
      <c r="J1177" s="170">
        <v>42426</v>
      </c>
      <c r="K1177" s="171">
        <v>2.17</v>
      </c>
    </row>
    <row r="1178" spans="1:11" x14ac:dyDescent="0.2">
      <c r="A1178" s="175">
        <v>35881</v>
      </c>
      <c r="B1178" s="176">
        <v>6.03</v>
      </c>
      <c r="C1178" s="176"/>
      <c r="D1178" s="176"/>
      <c r="E1178" s="176"/>
      <c r="J1178" s="170">
        <v>42433</v>
      </c>
      <c r="K1178" s="171">
        <v>2.25</v>
      </c>
    </row>
    <row r="1179" spans="1:11" x14ac:dyDescent="0.2">
      <c r="A1179" s="175">
        <v>35884</v>
      </c>
      <c r="B1179" s="176">
        <v>6.06</v>
      </c>
      <c r="C1179" s="176"/>
      <c r="D1179" s="176"/>
      <c r="E1179" s="176"/>
      <c r="J1179" s="170">
        <v>42440</v>
      </c>
      <c r="K1179" s="171">
        <v>2.2799999999999998</v>
      </c>
    </row>
    <row r="1180" spans="1:11" x14ac:dyDescent="0.2">
      <c r="A1180" s="175">
        <v>35885</v>
      </c>
      <c r="B1180" s="176">
        <v>6.02</v>
      </c>
      <c r="C1180" s="176"/>
      <c r="D1180" s="176"/>
      <c r="E1180" s="176"/>
      <c r="J1180" s="170">
        <v>42447</v>
      </c>
      <c r="K1180" s="171">
        <v>2.2999999999999998</v>
      </c>
    </row>
    <row r="1181" spans="1:11" x14ac:dyDescent="0.2">
      <c r="A1181" s="175">
        <v>35886</v>
      </c>
      <c r="B1181" s="176">
        <v>5.98</v>
      </c>
      <c r="C1181" s="176"/>
      <c r="D1181" s="176"/>
      <c r="E1181" s="176"/>
      <c r="J1181" s="170">
        <v>42454</v>
      </c>
      <c r="K1181" s="171">
        <v>2.29</v>
      </c>
    </row>
    <row r="1182" spans="1:11" x14ac:dyDescent="0.2">
      <c r="A1182" s="175">
        <v>35887</v>
      </c>
      <c r="B1182" s="177">
        <v>5.92</v>
      </c>
      <c r="C1182" s="177"/>
      <c r="D1182" s="177"/>
      <c r="E1182" s="177"/>
      <c r="J1182" s="170">
        <v>42461</v>
      </c>
      <c r="K1182" s="171">
        <v>2.2200000000000002</v>
      </c>
    </row>
    <row r="1183" spans="1:11" x14ac:dyDescent="0.2">
      <c r="A1183" s="175">
        <v>35888</v>
      </c>
      <c r="B1183" s="176">
        <v>5.85</v>
      </c>
      <c r="C1183" s="176"/>
      <c r="D1183" s="176"/>
      <c r="E1183" s="176"/>
      <c r="J1183" s="170">
        <v>42468</v>
      </c>
      <c r="K1183" s="171">
        <v>2.14</v>
      </c>
    </row>
    <row r="1184" spans="1:11" x14ac:dyDescent="0.2">
      <c r="A1184" s="175">
        <v>35891</v>
      </c>
      <c r="B1184" s="176">
        <v>5.89</v>
      </c>
      <c r="C1184" s="176"/>
      <c r="D1184" s="176"/>
      <c r="E1184" s="176"/>
      <c r="J1184" s="170">
        <v>42475</v>
      </c>
      <c r="K1184" s="171">
        <v>2.16</v>
      </c>
    </row>
    <row r="1185" spans="1:11" x14ac:dyDescent="0.2">
      <c r="A1185" s="175">
        <v>35892</v>
      </c>
      <c r="B1185" s="176">
        <v>5.91</v>
      </c>
      <c r="C1185" s="176"/>
      <c r="D1185" s="176"/>
      <c r="E1185" s="176"/>
      <c r="J1185" s="170">
        <v>42482</v>
      </c>
      <c r="K1185" s="171">
        <v>2.2400000000000002</v>
      </c>
    </row>
    <row r="1186" spans="1:11" x14ac:dyDescent="0.2">
      <c r="A1186" s="175">
        <v>35893</v>
      </c>
      <c r="B1186" s="176">
        <v>5.96</v>
      </c>
      <c r="C1186" s="176"/>
      <c r="D1186" s="176"/>
      <c r="E1186" s="176"/>
      <c r="J1186" s="170">
        <v>42489</v>
      </c>
      <c r="K1186" s="171">
        <v>2.2999999999999998</v>
      </c>
    </row>
    <row r="1187" spans="1:11" x14ac:dyDescent="0.2">
      <c r="A1187" s="175">
        <v>35894</v>
      </c>
      <c r="B1187" s="177">
        <v>5.95</v>
      </c>
      <c r="C1187" s="177"/>
      <c r="D1187" s="177"/>
      <c r="E1187" s="177"/>
      <c r="J1187" s="170">
        <v>42496</v>
      </c>
      <c r="K1187" s="171">
        <v>2.23</v>
      </c>
    </row>
    <row r="1188" spans="1:11" x14ac:dyDescent="0.2">
      <c r="A1188" s="175">
        <v>35895</v>
      </c>
      <c r="B1188" s="176" t="e">
        <f>NA()</f>
        <v>#N/A</v>
      </c>
      <c r="C1188" s="176"/>
      <c r="D1188" s="176"/>
      <c r="E1188" s="176"/>
      <c r="J1188" s="170">
        <v>42503</v>
      </c>
      <c r="K1188" s="171">
        <v>2.17</v>
      </c>
    </row>
    <row r="1189" spans="1:11" x14ac:dyDescent="0.2">
      <c r="A1189" s="175">
        <v>35898</v>
      </c>
      <c r="B1189" s="176">
        <v>6.01</v>
      </c>
      <c r="C1189" s="176"/>
      <c r="D1189" s="176"/>
      <c r="E1189" s="176"/>
      <c r="J1189" s="170">
        <v>42510</v>
      </c>
      <c r="K1189" s="171">
        <v>2.2200000000000002</v>
      </c>
    </row>
    <row r="1190" spans="1:11" x14ac:dyDescent="0.2">
      <c r="A1190" s="175">
        <v>35899</v>
      </c>
      <c r="B1190" s="176">
        <v>5.98</v>
      </c>
      <c r="C1190" s="176"/>
      <c r="D1190" s="176"/>
      <c r="E1190" s="176"/>
      <c r="J1190" s="170">
        <v>42517</v>
      </c>
      <c r="K1190" s="171">
        <v>2.25</v>
      </c>
    </row>
    <row r="1191" spans="1:11" x14ac:dyDescent="0.2">
      <c r="A1191" s="175">
        <v>35900</v>
      </c>
      <c r="B1191" s="176">
        <v>5.96</v>
      </c>
      <c r="C1191" s="176"/>
      <c r="D1191" s="176"/>
      <c r="E1191" s="176"/>
      <c r="J1191" s="170">
        <v>42524</v>
      </c>
      <c r="K1191" s="171">
        <v>2.1800000000000002</v>
      </c>
    </row>
    <row r="1192" spans="1:11" x14ac:dyDescent="0.2">
      <c r="A1192" s="175">
        <v>35901</v>
      </c>
      <c r="B1192" s="176">
        <v>5.94</v>
      </c>
      <c r="C1192" s="176"/>
      <c r="D1192" s="176"/>
      <c r="E1192" s="176"/>
      <c r="J1192" s="170">
        <v>42531</v>
      </c>
      <c r="K1192" s="171">
        <v>2.0699999999999998</v>
      </c>
    </row>
    <row r="1193" spans="1:11" x14ac:dyDescent="0.2">
      <c r="A1193" s="175">
        <v>35902</v>
      </c>
      <c r="B1193" s="176">
        <v>5.95</v>
      </c>
      <c r="C1193" s="176"/>
      <c r="D1193" s="176"/>
      <c r="E1193" s="176"/>
      <c r="J1193" s="170">
        <v>42538</v>
      </c>
      <c r="K1193" s="171">
        <v>1.99</v>
      </c>
    </row>
    <row r="1194" spans="1:11" x14ac:dyDescent="0.2">
      <c r="A1194" s="175">
        <v>35905</v>
      </c>
      <c r="B1194" s="176">
        <v>6</v>
      </c>
      <c r="C1194" s="176"/>
      <c r="D1194" s="176"/>
      <c r="E1194" s="176"/>
      <c r="J1194" s="170">
        <v>42545</v>
      </c>
      <c r="K1194" s="171">
        <v>2.0499999999999998</v>
      </c>
    </row>
    <row r="1195" spans="1:11" x14ac:dyDescent="0.2">
      <c r="A1195" s="175">
        <v>35906</v>
      </c>
      <c r="B1195" s="176">
        <v>6.03</v>
      </c>
      <c r="C1195" s="176"/>
      <c r="D1195" s="176"/>
      <c r="E1195" s="176"/>
      <c r="J1195" s="170">
        <v>42552</v>
      </c>
      <c r="K1195" s="171">
        <v>1.84</v>
      </c>
    </row>
    <row r="1196" spans="1:11" x14ac:dyDescent="0.2">
      <c r="A1196" s="175">
        <v>35907</v>
      </c>
      <c r="B1196" s="176">
        <v>6.04</v>
      </c>
      <c r="C1196" s="176"/>
      <c r="D1196" s="176"/>
      <c r="E1196" s="176"/>
      <c r="J1196" s="170">
        <v>42559</v>
      </c>
      <c r="K1196" s="171">
        <v>1.71</v>
      </c>
    </row>
    <row r="1197" spans="1:11" x14ac:dyDescent="0.2">
      <c r="A1197" s="175">
        <v>35908</v>
      </c>
      <c r="B1197" s="176">
        <v>6.05</v>
      </c>
      <c r="C1197" s="176"/>
      <c r="D1197" s="176"/>
      <c r="E1197" s="176"/>
      <c r="J1197" s="170">
        <v>42566</v>
      </c>
      <c r="K1197" s="171">
        <v>1.81</v>
      </c>
    </row>
    <row r="1198" spans="1:11" x14ac:dyDescent="0.2">
      <c r="A1198" s="175">
        <v>35909</v>
      </c>
      <c r="B1198" s="176">
        <v>6.02</v>
      </c>
      <c r="C1198" s="176"/>
      <c r="D1198" s="176"/>
      <c r="E1198" s="176"/>
      <c r="J1198" s="170">
        <v>42573</v>
      </c>
      <c r="K1198" s="171">
        <v>1.9</v>
      </c>
    </row>
    <row r="1199" spans="1:11" x14ac:dyDescent="0.2">
      <c r="A1199" s="175">
        <v>35912</v>
      </c>
      <c r="B1199" s="177">
        <v>6.15</v>
      </c>
      <c r="C1199" s="177"/>
      <c r="D1199" s="177"/>
      <c r="E1199" s="177"/>
      <c r="J1199" s="170">
        <v>42580</v>
      </c>
      <c r="K1199" s="171">
        <v>1.85</v>
      </c>
    </row>
    <row r="1200" spans="1:11" x14ac:dyDescent="0.2">
      <c r="A1200" s="175">
        <v>35913</v>
      </c>
      <c r="B1200" s="176">
        <v>6.15</v>
      </c>
      <c r="C1200" s="176"/>
      <c r="D1200" s="176"/>
      <c r="E1200" s="176"/>
      <c r="J1200" s="170">
        <v>42587</v>
      </c>
      <c r="K1200" s="171">
        <v>1.87</v>
      </c>
    </row>
    <row r="1201" spans="1:11" x14ac:dyDescent="0.2">
      <c r="A1201" s="175">
        <v>35914</v>
      </c>
      <c r="B1201" s="176">
        <v>6.15</v>
      </c>
      <c r="C1201" s="176"/>
      <c r="D1201" s="176"/>
      <c r="E1201" s="176"/>
      <c r="J1201" s="170">
        <v>42594</v>
      </c>
      <c r="K1201" s="171">
        <v>1.87</v>
      </c>
    </row>
    <row r="1202" spans="1:11" x14ac:dyDescent="0.2">
      <c r="A1202" s="175">
        <v>35915</v>
      </c>
      <c r="B1202" s="176">
        <v>6.04</v>
      </c>
      <c r="C1202" s="176"/>
      <c r="D1202" s="176"/>
      <c r="E1202" s="176"/>
      <c r="J1202" s="170">
        <v>42601</v>
      </c>
      <c r="K1202" s="171">
        <v>1.91</v>
      </c>
    </row>
    <row r="1203" spans="1:11" x14ac:dyDescent="0.2">
      <c r="A1203" s="175">
        <v>35916</v>
      </c>
      <c r="B1203" s="176">
        <v>6.02</v>
      </c>
      <c r="C1203" s="176"/>
      <c r="D1203" s="176"/>
      <c r="E1203" s="176"/>
      <c r="J1203" s="170">
        <v>42608</v>
      </c>
      <c r="K1203" s="171">
        <v>1.9</v>
      </c>
    </row>
    <row r="1204" spans="1:11" x14ac:dyDescent="0.2">
      <c r="A1204" s="175">
        <v>35919</v>
      </c>
      <c r="B1204" s="176">
        <v>6.02</v>
      </c>
      <c r="C1204" s="176"/>
      <c r="D1204" s="176"/>
      <c r="E1204" s="176"/>
      <c r="J1204" s="170">
        <v>42615</v>
      </c>
      <c r="K1204" s="171">
        <v>1.91</v>
      </c>
    </row>
    <row r="1205" spans="1:11" x14ac:dyDescent="0.2">
      <c r="A1205" s="175">
        <v>35920</v>
      </c>
      <c r="B1205" s="176">
        <v>6.05</v>
      </c>
      <c r="C1205" s="176"/>
      <c r="D1205" s="176"/>
      <c r="E1205" s="176"/>
      <c r="J1205" s="170">
        <v>42622</v>
      </c>
      <c r="K1205" s="171">
        <v>1.96</v>
      </c>
    </row>
    <row r="1206" spans="1:11" x14ac:dyDescent="0.2">
      <c r="A1206" s="175">
        <v>35921</v>
      </c>
      <c r="B1206" s="176">
        <v>6.02</v>
      </c>
      <c r="C1206" s="176"/>
      <c r="D1206" s="176"/>
      <c r="E1206" s="176"/>
      <c r="J1206" s="170">
        <v>42629</v>
      </c>
      <c r="K1206" s="171">
        <v>2.1</v>
      </c>
    </row>
    <row r="1207" spans="1:11" x14ac:dyDescent="0.2">
      <c r="A1207" s="175">
        <v>35922</v>
      </c>
      <c r="B1207" s="176">
        <v>6.02</v>
      </c>
      <c r="C1207" s="176"/>
      <c r="D1207" s="176"/>
      <c r="E1207" s="176"/>
      <c r="J1207" s="170">
        <v>42636</v>
      </c>
      <c r="K1207" s="171">
        <v>2.06</v>
      </c>
    </row>
    <row r="1208" spans="1:11" x14ac:dyDescent="0.2">
      <c r="A1208" s="175">
        <v>35923</v>
      </c>
      <c r="B1208" s="176">
        <v>6.05</v>
      </c>
      <c r="C1208" s="176"/>
      <c r="D1208" s="176"/>
      <c r="E1208" s="176"/>
      <c r="J1208" s="170">
        <v>42643</v>
      </c>
      <c r="K1208" s="171">
        <v>1.97</v>
      </c>
    </row>
    <row r="1209" spans="1:11" x14ac:dyDescent="0.2">
      <c r="A1209" s="175">
        <v>35926</v>
      </c>
      <c r="B1209" s="176">
        <v>6.12</v>
      </c>
      <c r="C1209" s="176"/>
      <c r="D1209" s="176"/>
      <c r="E1209" s="176"/>
      <c r="J1209" s="170">
        <v>42650</v>
      </c>
      <c r="K1209" s="171">
        <v>2.1</v>
      </c>
    </row>
    <row r="1210" spans="1:11" x14ac:dyDescent="0.2">
      <c r="A1210" s="175">
        <v>35927</v>
      </c>
      <c r="B1210" s="176">
        <v>6.04</v>
      </c>
      <c r="C1210" s="176"/>
      <c r="D1210" s="176"/>
      <c r="E1210" s="176"/>
      <c r="J1210" s="170">
        <v>42657</v>
      </c>
      <c r="K1210" s="171">
        <v>2.1800000000000002</v>
      </c>
    </row>
    <row r="1211" spans="1:11" x14ac:dyDescent="0.2">
      <c r="A1211" s="175">
        <v>35928</v>
      </c>
      <c r="B1211" s="176">
        <v>6.02</v>
      </c>
      <c r="C1211" s="176"/>
      <c r="D1211" s="176"/>
      <c r="E1211" s="176"/>
      <c r="J1211" s="170">
        <v>42664</v>
      </c>
      <c r="K1211" s="171">
        <v>2.17</v>
      </c>
    </row>
    <row r="1212" spans="1:11" x14ac:dyDescent="0.2">
      <c r="A1212" s="175">
        <v>35929</v>
      </c>
      <c r="B1212" s="176">
        <v>6.05</v>
      </c>
      <c r="C1212" s="176"/>
      <c r="D1212" s="176"/>
      <c r="E1212" s="176"/>
      <c r="J1212" s="170">
        <v>42671</v>
      </c>
      <c r="K1212" s="171">
        <v>2.2200000000000002</v>
      </c>
    </row>
    <row r="1213" spans="1:11" x14ac:dyDescent="0.2">
      <c r="A1213" s="175">
        <v>35930</v>
      </c>
      <c r="B1213" s="176">
        <v>6.05</v>
      </c>
      <c r="C1213" s="176"/>
      <c r="D1213" s="176"/>
      <c r="E1213" s="176"/>
      <c r="J1213" s="170">
        <v>42678</v>
      </c>
      <c r="K1213" s="171">
        <v>2.2400000000000002</v>
      </c>
    </row>
    <row r="1214" spans="1:11" x14ac:dyDescent="0.2">
      <c r="A1214" s="175">
        <v>35933</v>
      </c>
      <c r="B1214" s="176">
        <v>5.99</v>
      </c>
      <c r="C1214" s="176"/>
      <c r="D1214" s="176"/>
      <c r="E1214" s="176"/>
      <c r="J1214" s="170">
        <v>42685</v>
      </c>
      <c r="K1214" s="171">
        <v>2.41</v>
      </c>
    </row>
    <row r="1215" spans="1:11" x14ac:dyDescent="0.2">
      <c r="A1215" s="175">
        <v>35934</v>
      </c>
      <c r="B1215" s="176">
        <v>6.02</v>
      </c>
      <c r="C1215" s="176"/>
      <c r="D1215" s="176"/>
      <c r="E1215" s="176"/>
      <c r="J1215" s="170">
        <v>42692</v>
      </c>
      <c r="K1215" s="171">
        <v>2.66</v>
      </c>
    </row>
    <row r="1216" spans="1:11" x14ac:dyDescent="0.2">
      <c r="A1216" s="175">
        <v>35935</v>
      </c>
      <c r="B1216" s="176">
        <v>5.98</v>
      </c>
      <c r="C1216" s="176"/>
      <c r="D1216" s="176"/>
      <c r="E1216" s="176"/>
      <c r="J1216" s="170">
        <v>42699</v>
      </c>
      <c r="K1216" s="171">
        <v>2.7</v>
      </c>
    </row>
    <row r="1217" spans="1:11" x14ac:dyDescent="0.2">
      <c r="A1217" s="175">
        <v>35936</v>
      </c>
      <c r="B1217" s="176">
        <v>6.01</v>
      </c>
      <c r="C1217" s="176"/>
      <c r="D1217" s="176"/>
      <c r="E1217" s="176"/>
      <c r="J1217" s="170">
        <v>42706</v>
      </c>
      <c r="K1217" s="171">
        <v>2.73</v>
      </c>
    </row>
    <row r="1218" spans="1:11" x14ac:dyDescent="0.2">
      <c r="A1218" s="175">
        <v>35937</v>
      </c>
      <c r="B1218" s="176">
        <v>5.99</v>
      </c>
      <c r="C1218" s="176"/>
      <c r="D1218" s="176"/>
      <c r="E1218" s="176"/>
      <c r="J1218" s="170">
        <v>42713</v>
      </c>
      <c r="K1218" s="171">
        <v>2.79</v>
      </c>
    </row>
    <row r="1219" spans="1:11" x14ac:dyDescent="0.2">
      <c r="A1219" s="175">
        <v>35940</v>
      </c>
      <c r="B1219" s="177" t="e">
        <f>NA()</f>
        <v>#N/A</v>
      </c>
      <c r="C1219" s="177"/>
      <c r="D1219" s="177"/>
      <c r="E1219" s="177"/>
      <c r="J1219" s="170">
        <v>42720</v>
      </c>
      <c r="K1219" s="171">
        <v>2.87</v>
      </c>
    </row>
    <row r="1220" spans="1:11" x14ac:dyDescent="0.2">
      <c r="A1220" s="175">
        <v>35941</v>
      </c>
      <c r="B1220" s="176">
        <v>5.94</v>
      </c>
      <c r="C1220" s="176"/>
      <c r="D1220" s="176"/>
      <c r="E1220" s="176"/>
      <c r="J1220" s="170">
        <v>42727</v>
      </c>
      <c r="K1220" s="171">
        <v>2.86</v>
      </c>
    </row>
    <row r="1221" spans="1:11" x14ac:dyDescent="0.2">
      <c r="A1221" s="175">
        <v>35942</v>
      </c>
      <c r="B1221" s="176">
        <v>5.93</v>
      </c>
      <c r="C1221" s="176"/>
      <c r="D1221" s="176"/>
      <c r="E1221" s="176"/>
      <c r="J1221" s="170">
        <v>42734</v>
      </c>
      <c r="K1221" s="171">
        <v>2.83</v>
      </c>
    </row>
    <row r="1222" spans="1:11" x14ac:dyDescent="0.2">
      <c r="A1222" s="175">
        <v>35943</v>
      </c>
      <c r="B1222" s="176">
        <v>5.93</v>
      </c>
      <c r="C1222" s="176"/>
      <c r="D1222" s="176"/>
      <c r="E1222" s="176"/>
      <c r="J1222" s="170">
        <v>42741</v>
      </c>
      <c r="K1222" s="171">
        <v>2.75</v>
      </c>
    </row>
    <row r="1223" spans="1:11" x14ac:dyDescent="0.2">
      <c r="A1223" s="175">
        <v>35944</v>
      </c>
      <c r="B1223" s="176">
        <v>5.9</v>
      </c>
      <c r="C1223" s="176"/>
      <c r="D1223" s="176"/>
      <c r="E1223" s="176"/>
      <c r="J1223" s="170">
        <v>42748</v>
      </c>
      <c r="K1223" s="171">
        <v>2.69</v>
      </c>
    </row>
    <row r="1224" spans="1:11" x14ac:dyDescent="0.2">
      <c r="A1224" s="175">
        <v>35947</v>
      </c>
      <c r="B1224" s="176">
        <v>5.87</v>
      </c>
      <c r="C1224" s="176"/>
      <c r="D1224" s="176"/>
      <c r="E1224" s="176"/>
      <c r="J1224" s="170">
        <v>42755</v>
      </c>
      <c r="K1224" s="171">
        <v>2.74</v>
      </c>
    </row>
    <row r="1225" spans="1:11" x14ac:dyDescent="0.2">
      <c r="A1225" s="175">
        <v>35948</v>
      </c>
      <c r="B1225" s="176">
        <v>5.89</v>
      </c>
      <c r="C1225" s="176"/>
      <c r="D1225" s="176"/>
      <c r="E1225" s="176"/>
      <c r="J1225" s="170">
        <v>42762</v>
      </c>
      <c r="K1225" s="171">
        <v>2.79</v>
      </c>
    </row>
    <row r="1226" spans="1:11" x14ac:dyDescent="0.2">
      <c r="A1226" s="175">
        <v>35949</v>
      </c>
      <c r="B1226" s="176">
        <v>5.89</v>
      </c>
      <c r="C1226" s="176"/>
      <c r="D1226" s="176"/>
      <c r="E1226" s="176"/>
      <c r="J1226" s="170">
        <v>42769</v>
      </c>
      <c r="K1226" s="171">
        <v>2.8</v>
      </c>
    </row>
    <row r="1227" spans="1:11" x14ac:dyDescent="0.2">
      <c r="A1227" s="175">
        <v>35950</v>
      </c>
      <c r="B1227" s="176">
        <v>5.91</v>
      </c>
      <c r="C1227" s="176"/>
      <c r="D1227" s="176"/>
      <c r="E1227" s="176"/>
      <c r="J1227" s="170">
        <v>42776</v>
      </c>
      <c r="K1227" s="171">
        <v>2.73</v>
      </c>
    </row>
    <row r="1228" spans="1:11" x14ac:dyDescent="0.2">
      <c r="A1228" s="175">
        <v>35951</v>
      </c>
      <c r="B1228" s="176">
        <v>5.89</v>
      </c>
      <c r="C1228" s="176"/>
      <c r="D1228" s="176"/>
      <c r="E1228" s="176"/>
      <c r="J1228" s="170">
        <v>42783</v>
      </c>
      <c r="K1228" s="171">
        <v>2.8</v>
      </c>
    </row>
    <row r="1229" spans="1:11" x14ac:dyDescent="0.2">
      <c r="A1229" s="175">
        <v>35954</v>
      </c>
      <c r="B1229" s="176">
        <v>5.89</v>
      </c>
      <c r="C1229" s="176"/>
      <c r="D1229" s="176"/>
      <c r="E1229" s="176"/>
      <c r="J1229" s="170">
        <v>42790</v>
      </c>
      <c r="K1229" s="171">
        <v>2.75</v>
      </c>
    </row>
    <row r="1230" spans="1:11" x14ac:dyDescent="0.2">
      <c r="A1230" s="175">
        <v>35955</v>
      </c>
      <c r="B1230" s="176">
        <v>5.89</v>
      </c>
      <c r="C1230" s="176"/>
      <c r="D1230" s="176"/>
      <c r="E1230" s="176"/>
      <c r="J1230" s="170">
        <v>42797</v>
      </c>
      <c r="K1230" s="171">
        <v>2.78</v>
      </c>
    </row>
    <row r="1231" spans="1:11" x14ac:dyDescent="0.2">
      <c r="A1231" s="175">
        <v>35956</v>
      </c>
      <c r="B1231" s="176">
        <v>5.8</v>
      </c>
      <c r="C1231" s="176"/>
      <c r="D1231" s="176"/>
      <c r="E1231" s="176"/>
      <c r="J1231" s="170">
        <v>42804</v>
      </c>
      <c r="K1231" s="171">
        <v>2.89</v>
      </c>
    </row>
    <row r="1232" spans="1:11" x14ac:dyDescent="0.2">
      <c r="A1232" s="175">
        <v>35957</v>
      </c>
      <c r="B1232" s="176">
        <v>5.74</v>
      </c>
      <c r="C1232" s="176"/>
      <c r="D1232" s="176"/>
      <c r="E1232" s="176"/>
      <c r="J1232" s="170">
        <v>42811</v>
      </c>
      <c r="K1232" s="171">
        <v>2.91</v>
      </c>
    </row>
    <row r="1233" spans="1:11" x14ac:dyDescent="0.2">
      <c r="A1233" s="175">
        <v>35958</v>
      </c>
      <c r="B1233" s="176">
        <v>5.75</v>
      </c>
      <c r="C1233" s="176"/>
      <c r="D1233" s="176"/>
      <c r="E1233" s="176"/>
      <c r="J1233" s="170">
        <v>42818</v>
      </c>
      <c r="K1233" s="171">
        <v>2.78</v>
      </c>
    </row>
    <row r="1234" spans="1:11" x14ac:dyDescent="0.2">
      <c r="A1234" s="175">
        <v>35961</v>
      </c>
      <c r="B1234" s="176">
        <v>5.7</v>
      </c>
      <c r="C1234" s="176"/>
      <c r="D1234" s="176"/>
      <c r="E1234" s="176"/>
      <c r="J1234" s="170">
        <v>42825</v>
      </c>
      <c r="K1234" s="171">
        <v>2.76</v>
      </c>
    </row>
    <row r="1235" spans="1:11" x14ac:dyDescent="0.2">
      <c r="A1235" s="175">
        <v>35962</v>
      </c>
      <c r="B1235" s="176">
        <v>5.75</v>
      </c>
      <c r="C1235" s="176"/>
      <c r="D1235" s="176"/>
      <c r="E1235" s="176"/>
      <c r="J1235" s="170">
        <v>42832</v>
      </c>
      <c r="K1235" s="171">
        <v>2.72</v>
      </c>
    </row>
    <row r="1236" spans="1:11" x14ac:dyDescent="0.2">
      <c r="A1236" s="175">
        <v>35963</v>
      </c>
      <c r="B1236" s="176">
        <v>5.84</v>
      </c>
      <c r="C1236" s="176"/>
      <c r="D1236" s="176"/>
      <c r="E1236" s="176"/>
      <c r="J1236" s="170">
        <v>42839</v>
      </c>
      <c r="K1236" s="171">
        <v>2.67</v>
      </c>
    </row>
    <row r="1237" spans="1:11" x14ac:dyDescent="0.2">
      <c r="A1237" s="175">
        <v>35964</v>
      </c>
      <c r="B1237" s="176">
        <v>5.8</v>
      </c>
      <c r="C1237" s="176"/>
      <c r="D1237" s="176"/>
      <c r="E1237" s="176"/>
      <c r="J1237" s="170">
        <v>42846</v>
      </c>
      <c r="K1237" s="171">
        <v>2.6</v>
      </c>
    </row>
    <row r="1238" spans="1:11" x14ac:dyDescent="0.2">
      <c r="A1238" s="175">
        <v>35965</v>
      </c>
      <c r="B1238" s="176">
        <v>5.78</v>
      </c>
      <c r="C1238" s="176"/>
      <c r="D1238" s="176"/>
      <c r="E1238" s="176"/>
      <c r="J1238" s="170">
        <v>42853</v>
      </c>
      <c r="K1238" s="171">
        <v>2.68</v>
      </c>
    </row>
    <row r="1239" spans="1:11" x14ac:dyDescent="0.2">
      <c r="A1239" s="175">
        <v>35968</v>
      </c>
      <c r="B1239" s="176">
        <v>5.77</v>
      </c>
      <c r="C1239" s="176"/>
      <c r="D1239" s="176"/>
      <c r="E1239" s="176"/>
      <c r="J1239" s="170">
        <v>42860</v>
      </c>
      <c r="K1239" s="171">
        <v>2.71</v>
      </c>
    </row>
    <row r="1240" spans="1:11" x14ac:dyDescent="0.2">
      <c r="A1240" s="175">
        <v>35969</v>
      </c>
      <c r="B1240" s="176">
        <v>5.74</v>
      </c>
      <c r="C1240" s="176"/>
      <c r="D1240" s="176"/>
      <c r="E1240" s="176"/>
      <c r="J1240" s="170">
        <v>42867</v>
      </c>
      <c r="K1240" s="171">
        <v>2.77</v>
      </c>
    </row>
    <row r="1241" spans="1:11" x14ac:dyDescent="0.2">
      <c r="A1241" s="175">
        <v>35970</v>
      </c>
      <c r="B1241" s="176">
        <v>5.76</v>
      </c>
      <c r="C1241" s="176"/>
      <c r="D1241" s="176"/>
      <c r="E1241" s="176"/>
      <c r="J1241" s="170">
        <v>42874</v>
      </c>
      <c r="K1241" s="171">
        <v>2.68</v>
      </c>
    </row>
    <row r="1242" spans="1:11" x14ac:dyDescent="0.2">
      <c r="A1242" s="175">
        <v>35971</v>
      </c>
      <c r="B1242" s="176">
        <v>5.76</v>
      </c>
      <c r="C1242" s="176"/>
      <c r="D1242" s="176"/>
      <c r="E1242" s="176"/>
      <c r="J1242" s="170">
        <v>42881</v>
      </c>
      <c r="K1242" s="171">
        <v>2.65</v>
      </c>
    </row>
    <row r="1243" spans="1:11" x14ac:dyDescent="0.2">
      <c r="A1243" s="175">
        <v>35972</v>
      </c>
      <c r="B1243" s="176">
        <v>5.74</v>
      </c>
      <c r="C1243" s="176"/>
      <c r="D1243" s="176"/>
      <c r="E1243" s="176"/>
      <c r="J1243" s="170">
        <v>42888</v>
      </c>
      <c r="K1243" s="171">
        <v>2.59</v>
      </c>
    </row>
    <row r="1244" spans="1:11" x14ac:dyDescent="0.2">
      <c r="A1244" s="175">
        <v>35975</v>
      </c>
      <c r="B1244" s="176">
        <v>5.75</v>
      </c>
      <c r="C1244" s="176"/>
      <c r="D1244" s="176"/>
      <c r="E1244" s="176"/>
      <c r="J1244" s="170">
        <v>42895</v>
      </c>
      <c r="K1244" s="171">
        <v>2.56</v>
      </c>
    </row>
    <row r="1245" spans="1:11" x14ac:dyDescent="0.2">
      <c r="A1245" s="175">
        <v>35976</v>
      </c>
      <c r="B1245" s="176">
        <v>5.73</v>
      </c>
      <c r="C1245" s="176"/>
      <c r="D1245" s="176"/>
      <c r="E1245" s="176"/>
      <c r="J1245" s="170">
        <v>42902</v>
      </c>
      <c r="K1245" s="171">
        <v>2.5499999999999998</v>
      </c>
    </row>
    <row r="1246" spans="1:11" x14ac:dyDescent="0.2">
      <c r="A1246" s="175">
        <v>35977</v>
      </c>
      <c r="B1246" s="176">
        <v>5.73</v>
      </c>
      <c r="C1246" s="176"/>
      <c r="D1246" s="176"/>
      <c r="E1246" s="176"/>
      <c r="J1246" s="170">
        <v>42909</v>
      </c>
      <c r="K1246" s="171">
        <v>2.4900000000000002</v>
      </c>
    </row>
    <row r="1247" spans="1:11" x14ac:dyDescent="0.2">
      <c r="A1247" s="175">
        <v>35978</v>
      </c>
      <c r="B1247" s="176">
        <v>5.7</v>
      </c>
      <c r="C1247" s="176"/>
      <c r="D1247" s="176"/>
      <c r="E1247" s="176"/>
      <c r="J1247" s="170">
        <v>42916</v>
      </c>
      <c r="K1247" s="171">
        <v>2.5499999999999998</v>
      </c>
    </row>
    <row r="1248" spans="1:11" x14ac:dyDescent="0.2">
      <c r="A1248" s="175">
        <v>35979</v>
      </c>
      <c r="B1248" s="176" t="e">
        <f>NA()</f>
        <v>#N/A</v>
      </c>
      <c r="C1248" s="176"/>
      <c r="D1248" s="176"/>
      <c r="E1248" s="176"/>
      <c r="J1248" s="170">
        <v>42923</v>
      </c>
      <c r="K1248" s="171">
        <v>2.67</v>
      </c>
    </row>
    <row r="1249" spans="1:11" x14ac:dyDescent="0.2">
      <c r="A1249" s="175">
        <v>35982</v>
      </c>
      <c r="B1249" s="176">
        <v>5.68</v>
      </c>
      <c r="C1249" s="176"/>
      <c r="D1249" s="176"/>
      <c r="E1249" s="176"/>
      <c r="J1249" s="170">
        <v>42930</v>
      </c>
      <c r="K1249" s="171">
        <v>2.68</v>
      </c>
    </row>
    <row r="1250" spans="1:11" x14ac:dyDescent="0.2">
      <c r="A1250" s="175">
        <v>35983</v>
      </c>
      <c r="B1250" s="176">
        <v>5.7</v>
      </c>
      <c r="C1250" s="176"/>
      <c r="D1250" s="176"/>
      <c r="E1250" s="176"/>
      <c r="J1250" s="170">
        <v>42937</v>
      </c>
      <c r="K1250" s="171">
        <v>2.61</v>
      </c>
    </row>
    <row r="1251" spans="1:11" x14ac:dyDescent="0.2">
      <c r="A1251" s="175">
        <v>35984</v>
      </c>
      <c r="B1251" s="176">
        <v>5.73</v>
      </c>
      <c r="C1251" s="176"/>
      <c r="D1251" s="176"/>
      <c r="E1251" s="176"/>
      <c r="J1251" s="170">
        <v>42944</v>
      </c>
      <c r="K1251" s="171">
        <v>2.65</v>
      </c>
    </row>
    <row r="1252" spans="1:11" x14ac:dyDescent="0.2">
      <c r="A1252" s="175">
        <v>35985</v>
      </c>
      <c r="B1252" s="176">
        <v>5.71</v>
      </c>
      <c r="C1252" s="176"/>
      <c r="D1252" s="176"/>
      <c r="E1252" s="176"/>
      <c r="J1252" s="170">
        <v>42951</v>
      </c>
      <c r="K1252" s="171">
        <v>2.61</v>
      </c>
    </row>
    <row r="1253" spans="1:11" x14ac:dyDescent="0.2">
      <c r="A1253" s="175">
        <v>35986</v>
      </c>
      <c r="B1253" s="176">
        <v>5.73</v>
      </c>
      <c r="C1253" s="176"/>
      <c r="D1253" s="176"/>
      <c r="E1253" s="176"/>
      <c r="J1253" s="170">
        <v>42958</v>
      </c>
      <c r="K1253" s="171">
        <v>2.58</v>
      </c>
    </row>
    <row r="1254" spans="1:11" x14ac:dyDescent="0.2">
      <c r="A1254" s="175">
        <v>35989</v>
      </c>
      <c r="B1254" s="176">
        <v>5.8</v>
      </c>
      <c r="C1254" s="176"/>
      <c r="D1254" s="176"/>
      <c r="E1254" s="176"/>
      <c r="J1254" s="170">
        <v>42965</v>
      </c>
      <c r="K1254" s="171">
        <v>2.57</v>
      </c>
    </row>
    <row r="1255" spans="1:11" x14ac:dyDescent="0.2">
      <c r="A1255" s="175">
        <v>35990</v>
      </c>
      <c r="B1255" s="176">
        <v>5.82</v>
      </c>
      <c r="C1255" s="176"/>
      <c r="D1255" s="176"/>
      <c r="E1255" s="176"/>
      <c r="J1255" s="170">
        <v>42972</v>
      </c>
      <c r="K1255" s="171">
        <v>2.52</v>
      </c>
    </row>
    <row r="1256" spans="1:11" x14ac:dyDescent="0.2">
      <c r="A1256" s="175">
        <v>35991</v>
      </c>
      <c r="B1256" s="176">
        <v>5.82</v>
      </c>
      <c r="C1256" s="176"/>
      <c r="D1256" s="176"/>
      <c r="E1256" s="176"/>
      <c r="J1256" s="170">
        <v>42979</v>
      </c>
      <c r="K1256" s="171">
        <v>2.4900000000000002</v>
      </c>
    </row>
    <row r="1257" spans="1:11" x14ac:dyDescent="0.2">
      <c r="A1257" s="175">
        <v>35992</v>
      </c>
      <c r="B1257" s="176">
        <v>5.83</v>
      </c>
      <c r="C1257" s="176"/>
      <c r="D1257" s="176"/>
      <c r="E1257" s="176"/>
      <c r="J1257" s="170">
        <v>42986</v>
      </c>
      <c r="K1257" s="171">
        <v>2.4300000000000002</v>
      </c>
    </row>
    <row r="1258" spans="1:11" x14ac:dyDescent="0.2">
      <c r="A1258" s="175">
        <v>35993</v>
      </c>
      <c r="B1258" s="177">
        <v>5.85</v>
      </c>
      <c r="C1258" s="177"/>
      <c r="D1258" s="177"/>
      <c r="E1258" s="177"/>
      <c r="J1258" s="170">
        <v>42993</v>
      </c>
      <c r="K1258" s="171">
        <v>2.52</v>
      </c>
    </row>
    <row r="1259" spans="1:11" x14ac:dyDescent="0.2">
      <c r="A1259" s="175">
        <v>35996</v>
      </c>
      <c r="B1259" s="176">
        <v>5.83</v>
      </c>
      <c r="C1259" s="176"/>
      <c r="D1259" s="176"/>
      <c r="E1259" s="176"/>
      <c r="J1259" s="170">
        <v>43000</v>
      </c>
      <c r="K1259" s="171">
        <v>2.57</v>
      </c>
    </row>
    <row r="1260" spans="1:11" x14ac:dyDescent="0.2">
      <c r="A1260" s="175">
        <v>35997</v>
      </c>
      <c r="B1260" s="176">
        <v>5.78</v>
      </c>
      <c r="C1260" s="176"/>
      <c r="D1260" s="176"/>
      <c r="E1260" s="176"/>
      <c r="J1260" s="170">
        <v>43007</v>
      </c>
      <c r="K1260" s="171">
        <v>2.59</v>
      </c>
    </row>
    <row r="1261" spans="1:11" x14ac:dyDescent="0.2">
      <c r="A1261" s="175">
        <v>35998</v>
      </c>
      <c r="B1261" s="176">
        <v>5.79</v>
      </c>
      <c r="C1261" s="176"/>
      <c r="D1261" s="176"/>
      <c r="E1261" s="176"/>
      <c r="J1261" s="170">
        <v>43014</v>
      </c>
      <c r="K1261" s="171">
        <v>2.65</v>
      </c>
    </row>
    <row r="1262" spans="1:11" x14ac:dyDescent="0.2">
      <c r="A1262" s="175">
        <v>35999</v>
      </c>
      <c r="B1262" s="176">
        <v>5.77</v>
      </c>
      <c r="C1262" s="176"/>
      <c r="D1262" s="176"/>
      <c r="E1262" s="176"/>
      <c r="J1262" s="170">
        <v>43021</v>
      </c>
      <c r="K1262" s="171">
        <v>2.62</v>
      </c>
    </row>
    <row r="1263" spans="1:11" x14ac:dyDescent="0.2">
      <c r="A1263" s="175">
        <v>36000</v>
      </c>
      <c r="B1263" s="176">
        <v>5.79</v>
      </c>
      <c r="C1263" s="176"/>
      <c r="D1263" s="176"/>
      <c r="E1263" s="176"/>
      <c r="J1263" s="170">
        <v>43028</v>
      </c>
      <c r="K1263" s="171">
        <v>2.61</v>
      </c>
    </row>
    <row r="1264" spans="1:11" x14ac:dyDescent="0.2">
      <c r="A1264" s="175">
        <v>36003</v>
      </c>
      <c r="B1264" s="176">
        <v>5.81</v>
      </c>
      <c r="C1264" s="176"/>
      <c r="D1264" s="176"/>
      <c r="E1264" s="176"/>
      <c r="J1264" s="170">
        <v>43035</v>
      </c>
      <c r="K1264" s="171">
        <v>2.71</v>
      </c>
    </row>
    <row r="1265" spans="1:11" x14ac:dyDescent="0.2">
      <c r="A1265" s="175">
        <v>36004</v>
      </c>
      <c r="B1265" s="176">
        <v>5.84</v>
      </c>
      <c r="C1265" s="176"/>
      <c r="D1265" s="176"/>
      <c r="E1265" s="176"/>
      <c r="J1265" s="170">
        <v>43042</v>
      </c>
      <c r="K1265" s="171">
        <v>2.63</v>
      </c>
    </row>
    <row r="1266" spans="1:11" x14ac:dyDescent="0.2">
      <c r="A1266" s="175">
        <v>36005</v>
      </c>
      <c r="B1266" s="176">
        <v>5.87</v>
      </c>
      <c r="C1266" s="176"/>
      <c r="D1266" s="176"/>
      <c r="E1266" s="176"/>
      <c r="J1266" s="170">
        <v>43049</v>
      </c>
      <c r="K1266" s="171">
        <v>2.59</v>
      </c>
    </row>
    <row r="1267" spans="1:11" x14ac:dyDescent="0.2">
      <c r="A1267" s="175">
        <v>36006</v>
      </c>
      <c r="B1267" s="176">
        <v>5.82</v>
      </c>
      <c r="C1267" s="176"/>
      <c r="D1267" s="176"/>
      <c r="E1267" s="176"/>
      <c r="J1267" s="170">
        <v>43056</v>
      </c>
      <c r="K1267" s="171">
        <v>2.62</v>
      </c>
    </row>
    <row r="1268" spans="1:11" x14ac:dyDescent="0.2">
      <c r="A1268" s="175">
        <v>36007</v>
      </c>
      <c r="B1268" s="176">
        <v>5.81</v>
      </c>
      <c r="C1268" s="176"/>
      <c r="D1268" s="176"/>
      <c r="E1268" s="176"/>
      <c r="J1268" s="170">
        <v>43063</v>
      </c>
      <c r="K1268" s="171">
        <v>2.58</v>
      </c>
    </row>
    <row r="1269" spans="1:11" x14ac:dyDescent="0.2">
      <c r="A1269" s="175">
        <v>36010</v>
      </c>
      <c r="B1269" s="176">
        <v>5.75</v>
      </c>
      <c r="C1269" s="176"/>
      <c r="D1269" s="176"/>
      <c r="E1269" s="176"/>
      <c r="J1269" s="170">
        <v>43070</v>
      </c>
      <c r="K1269" s="171">
        <v>2.6</v>
      </c>
    </row>
    <row r="1270" spans="1:11" x14ac:dyDescent="0.2">
      <c r="A1270" s="175">
        <v>36011</v>
      </c>
      <c r="B1270" s="176">
        <v>5.74</v>
      </c>
      <c r="C1270" s="176"/>
      <c r="D1270" s="176"/>
      <c r="E1270" s="176"/>
      <c r="J1270" s="170">
        <v>43077</v>
      </c>
      <c r="K1270" s="171">
        <v>2.57</v>
      </c>
    </row>
    <row r="1271" spans="1:11" x14ac:dyDescent="0.2">
      <c r="A1271" s="175">
        <v>36012</v>
      </c>
      <c r="B1271" s="176">
        <v>5.74</v>
      </c>
      <c r="C1271" s="176"/>
      <c r="D1271" s="176"/>
      <c r="E1271" s="176"/>
      <c r="J1271" s="170">
        <v>43084</v>
      </c>
      <c r="K1271" s="171">
        <v>2.56</v>
      </c>
    </row>
    <row r="1272" spans="1:11" x14ac:dyDescent="0.2">
      <c r="A1272" s="175">
        <v>36013</v>
      </c>
      <c r="B1272" s="176">
        <v>5.76</v>
      </c>
      <c r="C1272" s="176"/>
      <c r="D1272" s="176"/>
      <c r="E1272" s="176"/>
      <c r="J1272" s="170">
        <v>43091</v>
      </c>
      <c r="K1272" s="171">
        <v>2.66</v>
      </c>
    </row>
    <row r="1273" spans="1:11" x14ac:dyDescent="0.2">
      <c r="A1273" s="175">
        <v>36014</v>
      </c>
      <c r="B1273" s="176">
        <v>5.72</v>
      </c>
      <c r="C1273" s="176"/>
      <c r="D1273" s="176"/>
      <c r="E1273" s="176"/>
      <c r="J1273" s="170">
        <v>43098</v>
      </c>
      <c r="K1273" s="171">
        <v>2.61</v>
      </c>
    </row>
    <row r="1274" spans="1:11" x14ac:dyDescent="0.2">
      <c r="A1274" s="175">
        <v>36017</v>
      </c>
      <c r="B1274" s="176">
        <v>5.71</v>
      </c>
      <c r="C1274" s="176"/>
      <c r="D1274" s="176"/>
      <c r="E1274" s="176"/>
      <c r="J1274" s="170">
        <v>43105</v>
      </c>
      <c r="K1274" s="171">
        <v>2.63</v>
      </c>
    </row>
    <row r="1275" spans="1:11" x14ac:dyDescent="0.2">
      <c r="A1275" s="175">
        <v>36018</v>
      </c>
      <c r="B1275" s="176">
        <v>5.68</v>
      </c>
      <c r="C1275" s="176"/>
      <c r="D1275" s="176"/>
      <c r="E1275" s="176"/>
      <c r="J1275" s="170">
        <v>43112</v>
      </c>
      <c r="K1275" s="171">
        <v>2.71</v>
      </c>
    </row>
    <row r="1276" spans="1:11" x14ac:dyDescent="0.2">
      <c r="A1276" s="175">
        <v>36019</v>
      </c>
      <c r="B1276" s="176">
        <v>5.7</v>
      </c>
      <c r="C1276" s="176"/>
      <c r="D1276" s="176"/>
      <c r="E1276" s="176"/>
      <c r="J1276" s="170">
        <v>43119</v>
      </c>
      <c r="K1276" s="171">
        <v>2.74</v>
      </c>
    </row>
    <row r="1277" spans="1:11" x14ac:dyDescent="0.2">
      <c r="A1277" s="175">
        <v>36020</v>
      </c>
      <c r="B1277" s="176">
        <v>5.73</v>
      </c>
      <c r="C1277" s="176"/>
      <c r="D1277" s="176"/>
      <c r="E1277" s="176"/>
      <c r="J1277" s="170">
        <v>43126</v>
      </c>
      <c r="K1277" s="171">
        <v>2.78</v>
      </c>
    </row>
    <row r="1278" spans="1:11" x14ac:dyDescent="0.2">
      <c r="A1278" s="175">
        <v>36021</v>
      </c>
      <c r="B1278" s="176">
        <v>5.67</v>
      </c>
      <c r="C1278" s="176"/>
      <c r="D1278" s="176"/>
      <c r="E1278" s="176"/>
      <c r="J1278" s="170">
        <v>43133</v>
      </c>
      <c r="K1278" s="171">
        <v>2.88</v>
      </c>
    </row>
    <row r="1279" spans="1:11" x14ac:dyDescent="0.2">
      <c r="A1279" s="175">
        <v>36024</v>
      </c>
      <c r="B1279" s="176">
        <v>5.69</v>
      </c>
      <c r="C1279" s="176"/>
      <c r="D1279" s="176"/>
      <c r="E1279" s="176"/>
      <c r="J1279" s="170">
        <v>43140</v>
      </c>
      <c r="K1279" s="171">
        <v>2.98</v>
      </c>
    </row>
    <row r="1280" spans="1:11" x14ac:dyDescent="0.2">
      <c r="A1280" s="175">
        <v>36025</v>
      </c>
      <c r="B1280" s="176">
        <v>5.7</v>
      </c>
      <c r="C1280" s="176"/>
      <c r="D1280" s="176"/>
      <c r="E1280" s="176"/>
      <c r="J1280" s="170">
        <v>43147</v>
      </c>
      <c r="K1280" s="171">
        <v>3.03</v>
      </c>
    </row>
    <row r="1281" spans="1:11" x14ac:dyDescent="0.2">
      <c r="A1281" s="175">
        <v>36026</v>
      </c>
      <c r="B1281" s="176">
        <v>5.71</v>
      </c>
      <c r="C1281" s="176"/>
      <c r="D1281" s="176"/>
      <c r="E1281" s="176"/>
      <c r="J1281" s="170">
        <v>43154</v>
      </c>
      <c r="K1281" s="171">
        <v>3.07</v>
      </c>
    </row>
    <row r="1282" spans="1:11" x14ac:dyDescent="0.2">
      <c r="A1282" s="175">
        <v>36027</v>
      </c>
      <c r="B1282" s="176">
        <v>5.66</v>
      </c>
      <c r="C1282" s="176"/>
      <c r="D1282" s="176"/>
      <c r="E1282" s="176"/>
      <c r="J1282" s="170">
        <v>43161</v>
      </c>
      <c r="K1282" s="171">
        <v>3.02</v>
      </c>
    </row>
    <row r="1283" spans="1:11" x14ac:dyDescent="0.2">
      <c r="A1283" s="175">
        <v>36028</v>
      </c>
      <c r="B1283" s="176">
        <v>5.62</v>
      </c>
      <c r="C1283" s="176"/>
      <c r="D1283" s="176"/>
      <c r="E1283" s="176"/>
      <c r="J1283" s="170">
        <v>43168</v>
      </c>
      <c r="K1283" s="171">
        <v>3.03</v>
      </c>
    </row>
    <row r="1284" spans="1:11" x14ac:dyDescent="0.2">
      <c r="A1284" s="175">
        <v>36031</v>
      </c>
      <c r="B1284" s="176">
        <v>5.62</v>
      </c>
      <c r="C1284" s="176"/>
      <c r="D1284" s="176"/>
      <c r="E1284" s="176"/>
      <c r="J1284" s="170">
        <v>43175</v>
      </c>
      <c r="K1284" s="171">
        <v>2.96</v>
      </c>
    </row>
    <row r="1285" spans="1:11" x14ac:dyDescent="0.2">
      <c r="A1285" s="175">
        <v>36032</v>
      </c>
      <c r="B1285" s="176">
        <v>5.59</v>
      </c>
      <c r="C1285" s="176"/>
      <c r="D1285" s="176"/>
      <c r="E1285" s="176"/>
      <c r="J1285" s="170">
        <v>43182</v>
      </c>
      <c r="K1285" s="171">
        <v>2.97</v>
      </c>
    </row>
    <row r="1286" spans="1:11" x14ac:dyDescent="0.2">
      <c r="A1286" s="175">
        <v>36033</v>
      </c>
      <c r="B1286" s="176">
        <v>5.58</v>
      </c>
      <c r="C1286" s="176"/>
      <c r="D1286" s="176"/>
      <c r="E1286" s="176"/>
      <c r="J1286" s="170">
        <v>43189</v>
      </c>
      <c r="K1286" s="171">
        <v>2.9</v>
      </c>
    </row>
    <row r="1287" spans="1:11" x14ac:dyDescent="0.2">
      <c r="A1287" s="175">
        <v>36034</v>
      </c>
      <c r="B1287" s="176">
        <v>5.53</v>
      </c>
      <c r="C1287" s="176"/>
      <c r="D1287" s="176"/>
      <c r="E1287" s="176"/>
      <c r="J1287" s="170">
        <v>43196</v>
      </c>
      <c r="K1287" s="171">
        <v>2.9</v>
      </c>
    </row>
    <row r="1288" spans="1:11" x14ac:dyDescent="0.2">
      <c r="A1288" s="175">
        <v>36035</v>
      </c>
      <c r="B1288" s="176">
        <v>5.51</v>
      </c>
      <c r="C1288" s="176"/>
      <c r="D1288" s="176"/>
      <c r="E1288" s="176"/>
      <c r="J1288" s="170">
        <v>43203</v>
      </c>
      <c r="K1288" s="171">
        <v>2.9</v>
      </c>
    </row>
    <row r="1289" spans="1:11" x14ac:dyDescent="0.2">
      <c r="A1289" s="175">
        <v>36038</v>
      </c>
      <c r="B1289" s="177">
        <v>5.45</v>
      </c>
      <c r="C1289" s="177"/>
      <c r="D1289" s="177"/>
      <c r="E1289" s="177"/>
      <c r="J1289" s="170">
        <v>43210</v>
      </c>
      <c r="K1289" s="171">
        <v>2.96</v>
      </c>
    </row>
    <row r="1290" spans="1:11" x14ac:dyDescent="0.2">
      <c r="A1290" s="175">
        <v>36039</v>
      </c>
      <c r="B1290" s="176">
        <v>5.49</v>
      </c>
      <c r="C1290" s="176"/>
      <c r="D1290" s="176"/>
      <c r="E1290" s="176"/>
      <c r="J1290" s="170">
        <v>43217</v>
      </c>
      <c r="K1290" s="171">
        <v>3.07</v>
      </c>
    </row>
    <row r="1291" spans="1:11" x14ac:dyDescent="0.2">
      <c r="A1291" s="175">
        <v>36040</v>
      </c>
      <c r="B1291" s="176">
        <v>5.5</v>
      </c>
      <c r="C1291" s="176"/>
      <c r="D1291" s="176"/>
      <c r="E1291" s="176"/>
      <c r="J1291" s="170">
        <v>43224</v>
      </c>
      <c r="K1291" s="171">
        <v>3.02</v>
      </c>
    </row>
    <row r="1292" spans="1:11" x14ac:dyDescent="0.2">
      <c r="A1292" s="175">
        <v>36041</v>
      </c>
      <c r="B1292" s="176">
        <v>5.46</v>
      </c>
      <c r="C1292" s="176"/>
      <c r="D1292" s="176"/>
      <c r="E1292" s="176"/>
      <c r="J1292" s="170">
        <v>43231</v>
      </c>
      <c r="K1292" s="171">
        <v>3.04</v>
      </c>
    </row>
    <row r="1293" spans="1:11" x14ac:dyDescent="0.2">
      <c r="A1293" s="175">
        <v>36042</v>
      </c>
      <c r="B1293" s="176">
        <v>5.44</v>
      </c>
      <c r="C1293" s="176"/>
      <c r="D1293" s="176"/>
      <c r="E1293" s="176"/>
      <c r="J1293" s="170">
        <v>43238</v>
      </c>
      <c r="K1293" s="171">
        <v>3.14</v>
      </c>
    </row>
    <row r="1294" spans="1:11" x14ac:dyDescent="0.2">
      <c r="A1294" s="175">
        <v>36045</v>
      </c>
      <c r="B1294" s="176" t="e">
        <f>NA()</f>
        <v>#N/A</v>
      </c>
      <c r="C1294" s="176"/>
      <c r="D1294" s="176"/>
      <c r="E1294" s="176"/>
      <c r="J1294" s="170">
        <v>43245</v>
      </c>
      <c r="K1294" s="171">
        <v>3.09</v>
      </c>
    </row>
    <row r="1295" spans="1:11" x14ac:dyDescent="0.2">
      <c r="A1295" s="175">
        <v>36046</v>
      </c>
      <c r="B1295" s="176">
        <v>5.5</v>
      </c>
      <c r="C1295" s="176"/>
      <c r="D1295" s="176"/>
      <c r="E1295" s="176"/>
      <c r="J1295" s="170">
        <v>43252</v>
      </c>
      <c r="K1295" s="171">
        <v>2.92</v>
      </c>
    </row>
    <row r="1296" spans="1:11" x14ac:dyDescent="0.2">
      <c r="A1296" s="175">
        <v>36047</v>
      </c>
      <c r="B1296" s="176">
        <v>5.43</v>
      </c>
      <c r="C1296" s="176"/>
      <c r="D1296" s="176"/>
      <c r="E1296" s="176"/>
      <c r="J1296" s="170">
        <v>43259</v>
      </c>
      <c r="K1296" s="171">
        <v>3.01</v>
      </c>
    </row>
    <row r="1297" spans="1:11" x14ac:dyDescent="0.2">
      <c r="A1297" s="175">
        <v>36048</v>
      </c>
      <c r="B1297" s="176">
        <v>5.33</v>
      </c>
      <c r="C1297" s="176"/>
      <c r="D1297" s="176"/>
      <c r="E1297" s="176"/>
      <c r="J1297" s="170">
        <v>43266</v>
      </c>
      <c r="K1297" s="171">
        <v>3.01</v>
      </c>
    </row>
    <row r="1298" spans="1:11" x14ac:dyDescent="0.2">
      <c r="A1298" s="175">
        <v>36049</v>
      </c>
      <c r="B1298" s="176">
        <v>5.37</v>
      </c>
      <c r="C1298" s="176"/>
      <c r="D1298" s="176"/>
      <c r="E1298" s="176"/>
      <c r="J1298" s="170">
        <v>43273</v>
      </c>
      <c r="K1298" s="171">
        <v>2.97</v>
      </c>
    </row>
    <row r="1299" spans="1:11" x14ac:dyDescent="0.2">
      <c r="A1299" s="175">
        <v>36052</v>
      </c>
      <c r="B1299" s="176">
        <v>5.39</v>
      </c>
      <c r="C1299" s="176"/>
      <c r="D1299" s="176"/>
      <c r="E1299" s="176"/>
      <c r="J1299" s="170">
        <v>43280</v>
      </c>
      <c r="K1299" s="171">
        <v>2.92</v>
      </c>
    </row>
    <row r="1300" spans="1:11" x14ac:dyDescent="0.2">
      <c r="A1300" s="175">
        <v>36053</v>
      </c>
      <c r="B1300" s="176">
        <v>5.41</v>
      </c>
      <c r="C1300" s="176"/>
      <c r="D1300" s="176"/>
      <c r="E1300" s="176"/>
      <c r="J1300" s="170">
        <v>43287</v>
      </c>
      <c r="K1300" s="171">
        <v>2.89</v>
      </c>
    </row>
    <row r="1301" spans="1:11" x14ac:dyDescent="0.2">
      <c r="A1301" s="175">
        <v>36054</v>
      </c>
      <c r="B1301" s="176">
        <v>5.38</v>
      </c>
      <c r="C1301" s="176"/>
      <c r="D1301" s="176"/>
      <c r="E1301" s="176"/>
      <c r="J1301" s="170">
        <v>43294</v>
      </c>
      <c r="K1301" s="171">
        <v>2.89</v>
      </c>
    </row>
    <row r="1302" spans="1:11" x14ac:dyDescent="0.2">
      <c r="A1302" s="175">
        <v>36055</v>
      </c>
      <c r="B1302" s="176">
        <v>5.37</v>
      </c>
      <c r="C1302" s="176"/>
      <c r="D1302" s="176"/>
      <c r="E1302" s="176"/>
      <c r="J1302" s="170">
        <v>43301</v>
      </c>
      <c r="K1302" s="171">
        <v>2.92</v>
      </c>
    </row>
    <row r="1303" spans="1:11" x14ac:dyDescent="0.2">
      <c r="A1303" s="175">
        <v>36056</v>
      </c>
      <c r="B1303" s="176">
        <v>5.35</v>
      </c>
      <c r="C1303" s="176"/>
      <c r="D1303" s="176"/>
      <c r="E1303" s="176"/>
      <c r="J1303" s="170">
        <v>43308</v>
      </c>
      <c r="K1303" s="171">
        <v>3.03</v>
      </c>
    </row>
    <row r="1304" spans="1:11" x14ac:dyDescent="0.2">
      <c r="A1304" s="175">
        <v>36059</v>
      </c>
      <c r="B1304" s="176">
        <v>5.35</v>
      </c>
      <c r="C1304" s="176"/>
      <c r="D1304" s="176"/>
      <c r="E1304" s="176"/>
      <c r="J1304" s="170">
        <v>43315</v>
      </c>
      <c r="K1304" s="171">
        <v>3.05</v>
      </c>
    </row>
    <row r="1305" spans="1:11" x14ac:dyDescent="0.2">
      <c r="A1305" s="175">
        <v>36060</v>
      </c>
      <c r="B1305" s="176">
        <v>5.36</v>
      </c>
      <c r="C1305" s="176"/>
      <c r="D1305" s="176"/>
      <c r="E1305" s="176"/>
      <c r="J1305" s="170">
        <v>43322</v>
      </c>
      <c r="K1305" s="171">
        <v>3.02</v>
      </c>
    </row>
    <row r="1306" spans="1:11" x14ac:dyDescent="0.2">
      <c r="A1306" s="175">
        <v>36061</v>
      </c>
      <c r="B1306" s="176">
        <v>5.34</v>
      </c>
      <c r="C1306" s="176"/>
      <c r="D1306" s="176"/>
      <c r="E1306" s="176"/>
      <c r="J1306" s="170">
        <v>43329</v>
      </c>
      <c r="K1306" s="171">
        <v>2.96</v>
      </c>
    </row>
    <row r="1307" spans="1:11" x14ac:dyDescent="0.2">
      <c r="A1307" s="175">
        <v>36062</v>
      </c>
      <c r="B1307" s="176">
        <v>5.34</v>
      </c>
      <c r="C1307" s="176"/>
      <c r="D1307" s="176"/>
      <c r="E1307" s="176"/>
      <c r="J1307" s="170">
        <v>43336</v>
      </c>
      <c r="K1307" s="171">
        <v>2.91</v>
      </c>
    </row>
    <row r="1308" spans="1:11" x14ac:dyDescent="0.2">
      <c r="A1308" s="175">
        <v>36063</v>
      </c>
      <c r="B1308" s="176">
        <v>5.3</v>
      </c>
      <c r="C1308" s="176"/>
      <c r="D1308" s="176"/>
      <c r="E1308" s="176"/>
      <c r="J1308" s="170">
        <v>43343</v>
      </c>
      <c r="K1308" s="171">
        <v>2.94</v>
      </c>
    </row>
    <row r="1309" spans="1:11" x14ac:dyDescent="0.2">
      <c r="A1309" s="175">
        <v>36066</v>
      </c>
      <c r="B1309" s="176">
        <v>5.33</v>
      </c>
      <c r="C1309" s="176"/>
      <c r="D1309" s="176"/>
      <c r="E1309" s="176"/>
      <c r="J1309" s="170">
        <v>43350</v>
      </c>
      <c r="K1309" s="171">
        <v>3</v>
      </c>
    </row>
    <row r="1310" spans="1:11" x14ac:dyDescent="0.2">
      <c r="A1310" s="175">
        <v>36067</v>
      </c>
      <c r="B1310" s="176">
        <v>5.29</v>
      </c>
      <c r="C1310" s="176"/>
      <c r="D1310" s="176"/>
      <c r="E1310" s="176"/>
      <c r="J1310" s="170">
        <v>43357</v>
      </c>
      <c r="K1310" s="171">
        <v>3.05</v>
      </c>
    </row>
    <row r="1311" spans="1:11" x14ac:dyDescent="0.2">
      <c r="A1311" s="175">
        <v>36068</v>
      </c>
      <c r="B1311" s="176">
        <v>5.17</v>
      </c>
      <c r="C1311" s="176"/>
      <c r="D1311" s="176"/>
      <c r="E1311" s="176"/>
      <c r="J1311" s="170">
        <v>43364</v>
      </c>
      <c r="K1311" s="171">
        <v>3.13</v>
      </c>
    </row>
    <row r="1312" spans="1:11" x14ac:dyDescent="0.2">
      <c r="A1312" s="175">
        <v>36069</v>
      </c>
      <c r="B1312" s="176">
        <v>5.09</v>
      </c>
      <c r="C1312" s="176"/>
      <c r="D1312" s="176"/>
      <c r="E1312" s="176"/>
      <c r="J1312" s="170">
        <v>43371</v>
      </c>
      <c r="K1312" s="171">
        <v>3.14</v>
      </c>
    </row>
    <row r="1313" spans="1:11" x14ac:dyDescent="0.2">
      <c r="A1313" s="175">
        <v>36070</v>
      </c>
      <c r="B1313" s="176">
        <v>5.05</v>
      </c>
      <c r="C1313" s="176"/>
      <c r="D1313" s="176"/>
      <c r="E1313" s="176"/>
      <c r="J1313" s="170">
        <v>43378</v>
      </c>
      <c r="K1313" s="171">
        <v>3.24</v>
      </c>
    </row>
    <row r="1314" spans="1:11" x14ac:dyDescent="0.2">
      <c r="A1314" s="175">
        <v>36073</v>
      </c>
      <c r="B1314" s="176">
        <v>4.93</v>
      </c>
      <c r="C1314" s="176"/>
      <c r="D1314" s="176"/>
      <c r="E1314" s="176"/>
      <c r="J1314" s="170">
        <v>43385</v>
      </c>
      <c r="K1314" s="171">
        <v>3.28</v>
      </c>
    </row>
    <row r="1315" spans="1:11" x14ac:dyDescent="0.2">
      <c r="A1315" s="175">
        <v>36074</v>
      </c>
      <c r="B1315" s="176">
        <v>5</v>
      </c>
      <c r="C1315" s="176"/>
      <c r="D1315" s="176"/>
      <c r="E1315" s="176"/>
      <c r="J1315" s="170">
        <v>43392</v>
      </c>
      <c r="K1315" s="171">
        <v>3.28</v>
      </c>
    </row>
    <row r="1316" spans="1:11" x14ac:dyDescent="0.2">
      <c r="A1316" s="175">
        <v>36075</v>
      </c>
      <c r="B1316" s="176">
        <v>5.09</v>
      </c>
      <c r="C1316" s="176"/>
      <c r="D1316" s="176"/>
      <c r="E1316" s="176"/>
      <c r="J1316" s="170">
        <v>43399</v>
      </c>
      <c r="K1316" s="171">
        <v>3.27</v>
      </c>
    </row>
    <row r="1317" spans="1:11" x14ac:dyDescent="0.2">
      <c r="A1317" s="175">
        <v>36076</v>
      </c>
      <c r="B1317" s="176">
        <v>5.29</v>
      </c>
      <c r="C1317" s="176"/>
      <c r="D1317" s="176"/>
      <c r="E1317" s="176"/>
      <c r="J1317" s="170">
        <v>43406</v>
      </c>
      <c r="K1317" s="171">
        <v>3.29</v>
      </c>
    </row>
    <row r="1318" spans="1:11" x14ac:dyDescent="0.2">
      <c r="A1318" s="175">
        <v>36077</v>
      </c>
      <c r="B1318" s="177">
        <v>5.5</v>
      </c>
      <c r="C1318" s="177"/>
      <c r="D1318" s="177"/>
      <c r="E1318" s="177"/>
      <c r="J1318" s="170">
        <v>43413</v>
      </c>
      <c r="K1318" s="171">
        <v>3.34</v>
      </c>
    </row>
    <row r="1319" spans="1:11" x14ac:dyDescent="0.2">
      <c r="A1319" s="175">
        <v>36080</v>
      </c>
      <c r="B1319" s="176" t="e">
        <f>NA()</f>
        <v>#N/A</v>
      </c>
      <c r="C1319" s="176"/>
      <c r="D1319" s="176"/>
      <c r="E1319" s="176"/>
      <c r="J1319" s="170">
        <v>43420</v>
      </c>
      <c r="K1319" s="171">
        <v>3.26</v>
      </c>
    </row>
    <row r="1320" spans="1:11" x14ac:dyDescent="0.2">
      <c r="A1320" s="175">
        <v>36081</v>
      </c>
      <c r="B1320" s="176">
        <v>5.49</v>
      </c>
      <c r="C1320" s="176"/>
      <c r="D1320" s="176"/>
      <c r="E1320" s="176"/>
      <c r="J1320" s="170">
        <v>43427</v>
      </c>
      <c r="K1320" s="171">
        <v>3.22</v>
      </c>
    </row>
    <row r="1321" spans="1:11" x14ac:dyDescent="0.2">
      <c r="A1321" s="175">
        <v>36082</v>
      </c>
      <c r="B1321" s="176">
        <v>5.38</v>
      </c>
      <c r="C1321" s="176"/>
      <c r="D1321" s="176"/>
      <c r="E1321" s="176"/>
      <c r="J1321" s="170">
        <v>43434</v>
      </c>
      <c r="K1321" s="171">
        <v>3.21</v>
      </c>
    </row>
    <row r="1322" spans="1:11" x14ac:dyDescent="0.2">
      <c r="A1322" s="175">
        <v>36083</v>
      </c>
      <c r="B1322" s="176">
        <v>5.4</v>
      </c>
      <c r="C1322" s="176"/>
      <c r="D1322" s="176"/>
      <c r="E1322" s="176"/>
      <c r="J1322" s="170">
        <v>43441</v>
      </c>
      <c r="K1322" s="171">
        <v>3.06</v>
      </c>
    </row>
    <row r="1323" spans="1:11" x14ac:dyDescent="0.2">
      <c r="A1323" s="175">
        <v>36084</v>
      </c>
      <c r="B1323" s="176">
        <v>5.3</v>
      </c>
      <c r="C1323" s="176"/>
      <c r="D1323" s="176"/>
      <c r="E1323" s="176"/>
      <c r="J1323" s="170">
        <v>43448</v>
      </c>
      <c r="K1323" s="171">
        <v>3.03</v>
      </c>
    </row>
    <row r="1324" spans="1:11" x14ac:dyDescent="0.2">
      <c r="A1324" s="175">
        <v>36087</v>
      </c>
      <c r="B1324" s="176">
        <v>5.32</v>
      </c>
      <c r="C1324" s="176"/>
      <c r="D1324" s="176"/>
      <c r="E1324" s="176"/>
    </row>
    <row r="1325" spans="1:11" x14ac:dyDescent="0.2">
      <c r="A1325" s="175">
        <v>36088</v>
      </c>
      <c r="B1325" s="176">
        <v>5.42</v>
      </c>
      <c r="C1325" s="176"/>
      <c r="D1325" s="176"/>
      <c r="E1325" s="176"/>
    </row>
    <row r="1326" spans="1:11" x14ac:dyDescent="0.2">
      <c r="A1326" s="175">
        <v>36089</v>
      </c>
      <c r="B1326" s="176">
        <v>5.41</v>
      </c>
      <c r="C1326" s="176"/>
      <c r="D1326" s="176"/>
      <c r="E1326" s="176"/>
    </row>
    <row r="1327" spans="1:11" x14ac:dyDescent="0.2">
      <c r="A1327" s="175">
        <v>36090</v>
      </c>
      <c r="B1327" s="176">
        <v>5.46</v>
      </c>
      <c r="C1327" s="176"/>
      <c r="D1327" s="176"/>
      <c r="E1327" s="176"/>
    </row>
    <row r="1328" spans="1:11" x14ac:dyDescent="0.2">
      <c r="A1328" s="175">
        <v>36091</v>
      </c>
      <c r="B1328" s="176">
        <v>5.47</v>
      </c>
      <c r="C1328" s="176"/>
      <c r="D1328" s="176"/>
      <c r="E1328" s="176"/>
    </row>
    <row r="1329" spans="1:5" x14ac:dyDescent="0.2">
      <c r="A1329" s="175">
        <v>36094</v>
      </c>
      <c r="B1329" s="176">
        <v>5.38</v>
      </c>
      <c r="C1329" s="176"/>
      <c r="D1329" s="176"/>
      <c r="E1329" s="176"/>
    </row>
    <row r="1330" spans="1:5" x14ac:dyDescent="0.2">
      <c r="A1330" s="175">
        <v>36095</v>
      </c>
      <c r="B1330" s="176">
        <v>5.33</v>
      </c>
      <c r="C1330" s="176"/>
      <c r="D1330" s="176"/>
      <c r="E1330" s="176"/>
    </row>
    <row r="1331" spans="1:5" x14ac:dyDescent="0.2">
      <c r="A1331" s="175">
        <v>36096</v>
      </c>
      <c r="B1331" s="176">
        <v>5.34</v>
      </c>
      <c r="C1331" s="176"/>
      <c r="D1331" s="176"/>
      <c r="E1331" s="176"/>
    </row>
    <row r="1332" spans="1:5" x14ac:dyDescent="0.2">
      <c r="A1332" s="175">
        <v>36097</v>
      </c>
      <c r="B1332" s="176">
        <v>5.31</v>
      </c>
      <c r="C1332" s="176"/>
      <c r="D1332" s="176"/>
      <c r="E1332" s="176"/>
    </row>
    <row r="1333" spans="1:5" x14ac:dyDescent="0.2">
      <c r="A1333" s="175">
        <v>36098</v>
      </c>
      <c r="B1333" s="176">
        <v>5.38</v>
      </c>
      <c r="C1333" s="176"/>
      <c r="D1333" s="176"/>
      <c r="E1333" s="176"/>
    </row>
    <row r="1334" spans="1:5" x14ac:dyDescent="0.2">
      <c r="A1334" s="175">
        <v>36101</v>
      </c>
      <c r="B1334" s="176">
        <v>5.49</v>
      </c>
      <c r="C1334" s="176"/>
      <c r="D1334" s="176"/>
      <c r="E1334" s="176"/>
    </row>
    <row r="1335" spans="1:5" x14ac:dyDescent="0.2">
      <c r="A1335" s="175">
        <v>36102</v>
      </c>
      <c r="B1335" s="176">
        <v>5.46</v>
      </c>
      <c r="C1335" s="176"/>
      <c r="D1335" s="176"/>
      <c r="E1335" s="176"/>
    </row>
    <row r="1336" spans="1:5" x14ac:dyDescent="0.2">
      <c r="A1336" s="175">
        <v>36103</v>
      </c>
      <c r="B1336" s="176">
        <v>5.56</v>
      </c>
      <c r="C1336" s="176"/>
      <c r="D1336" s="176"/>
      <c r="E1336" s="176"/>
    </row>
    <row r="1337" spans="1:5" x14ac:dyDescent="0.2">
      <c r="A1337" s="175">
        <v>36104</v>
      </c>
      <c r="B1337" s="176">
        <v>5.55</v>
      </c>
      <c r="C1337" s="176"/>
      <c r="D1337" s="176"/>
      <c r="E1337" s="176"/>
    </row>
    <row r="1338" spans="1:5" x14ac:dyDescent="0.2">
      <c r="A1338" s="175">
        <v>36105</v>
      </c>
      <c r="B1338" s="176">
        <v>5.63</v>
      </c>
      <c r="C1338" s="176"/>
      <c r="D1338" s="176"/>
      <c r="E1338" s="176"/>
    </row>
    <row r="1339" spans="1:5" x14ac:dyDescent="0.2">
      <c r="A1339" s="175">
        <v>36108</v>
      </c>
      <c r="B1339" s="176">
        <v>5.51</v>
      </c>
      <c r="C1339" s="176"/>
      <c r="D1339" s="176"/>
      <c r="E1339" s="176"/>
    </row>
    <row r="1340" spans="1:5" x14ac:dyDescent="0.2">
      <c r="A1340" s="175">
        <v>36109</v>
      </c>
      <c r="B1340" s="176">
        <v>5.48</v>
      </c>
      <c r="C1340" s="176"/>
      <c r="D1340" s="176"/>
      <c r="E1340" s="176"/>
    </row>
    <row r="1341" spans="1:5" x14ac:dyDescent="0.2">
      <c r="A1341" s="175">
        <v>36110</v>
      </c>
      <c r="B1341" s="176" t="e">
        <f>NA()</f>
        <v>#N/A</v>
      </c>
      <c r="C1341" s="176"/>
      <c r="D1341" s="176"/>
      <c r="E1341" s="176"/>
    </row>
    <row r="1342" spans="1:5" x14ac:dyDescent="0.2">
      <c r="A1342" s="175">
        <v>36111</v>
      </c>
      <c r="B1342" s="176">
        <v>5.46</v>
      </c>
      <c r="C1342" s="176"/>
      <c r="D1342" s="176"/>
      <c r="E1342" s="176"/>
    </row>
    <row r="1343" spans="1:5" x14ac:dyDescent="0.2">
      <c r="A1343" s="175">
        <v>36112</v>
      </c>
      <c r="B1343" s="176">
        <v>5.46</v>
      </c>
      <c r="C1343" s="176"/>
      <c r="D1343" s="176"/>
      <c r="E1343" s="176"/>
    </row>
    <row r="1344" spans="1:5" x14ac:dyDescent="0.2">
      <c r="A1344" s="175">
        <v>36115</v>
      </c>
      <c r="B1344" s="176">
        <v>5.47</v>
      </c>
      <c r="C1344" s="176"/>
      <c r="D1344" s="176"/>
      <c r="E1344" s="176"/>
    </row>
    <row r="1345" spans="1:5" x14ac:dyDescent="0.2">
      <c r="A1345" s="175">
        <v>36116</v>
      </c>
      <c r="B1345" s="176">
        <v>5.51</v>
      </c>
      <c r="C1345" s="176"/>
      <c r="D1345" s="176"/>
      <c r="E1345" s="176"/>
    </row>
    <row r="1346" spans="1:5" x14ac:dyDescent="0.2">
      <c r="A1346" s="175">
        <v>36117</v>
      </c>
      <c r="B1346" s="176">
        <v>5.44</v>
      </c>
      <c r="C1346" s="176"/>
      <c r="D1346" s="176"/>
      <c r="E1346" s="176"/>
    </row>
    <row r="1347" spans="1:5" x14ac:dyDescent="0.2">
      <c r="A1347" s="175">
        <v>36118</v>
      </c>
      <c r="B1347" s="176">
        <v>5.45</v>
      </c>
      <c r="C1347" s="176"/>
      <c r="D1347" s="176"/>
      <c r="E1347" s="176"/>
    </row>
    <row r="1348" spans="1:5" x14ac:dyDescent="0.2">
      <c r="A1348" s="175">
        <v>36119</v>
      </c>
      <c r="B1348" s="176">
        <v>5.44</v>
      </c>
      <c r="C1348" s="176"/>
      <c r="D1348" s="176"/>
      <c r="E1348" s="176"/>
    </row>
    <row r="1349" spans="1:5" x14ac:dyDescent="0.2">
      <c r="A1349" s="175">
        <v>36122</v>
      </c>
      <c r="B1349" s="176">
        <v>5.49</v>
      </c>
      <c r="C1349" s="176"/>
      <c r="D1349" s="176"/>
      <c r="E1349" s="176"/>
    </row>
    <row r="1350" spans="1:5" x14ac:dyDescent="0.2">
      <c r="A1350" s="175">
        <v>36123</v>
      </c>
      <c r="B1350" s="176">
        <v>5.47</v>
      </c>
      <c r="C1350" s="176"/>
      <c r="D1350" s="176"/>
      <c r="E1350" s="176"/>
    </row>
    <row r="1351" spans="1:5" x14ac:dyDescent="0.2">
      <c r="A1351" s="175">
        <v>36124</v>
      </c>
      <c r="B1351" s="176">
        <v>5.45</v>
      </c>
      <c r="C1351" s="176"/>
      <c r="D1351" s="176"/>
      <c r="E1351" s="176"/>
    </row>
    <row r="1352" spans="1:5" x14ac:dyDescent="0.2">
      <c r="A1352" s="175">
        <v>36125</v>
      </c>
      <c r="B1352" s="176" t="e">
        <f>NA()</f>
        <v>#N/A</v>
      </c>
      <c r="C1352" s="176"/>
      <c r="D1352" s="176"/>
      <c r="E1352" s="176"/>
    </row>
    <row r="1353" spans="1:5" x14ac:dyDescent="0.2">
      <c r="A1353" s="175">
        <v>36126</v>
      </c>
      <c r="B1353" s="176">
        <v>5.42</v>
      </c>
      <c r="C1353" s="176"/>
      <c r="D1353" s="176"/>
      <c r="E1353" s="176"/>
    </row>
    <row r="1354" spans="1:5" x14ac:dyDescent="0.2">
      <c r="A1354" s="175">
        <v>36129</v>
      </c>
      <c r="B1354" s="176">
        <v>5.33</v>
      </c>
      <c r="C1354" s="176"/>
      <c r="D1354" s="176"/>
      <c r="E1354" s="176"/>
    </row>
    <row r="1355" spans="1:5" x14ac:dyDescent="0.2">
      <c r="A1355" s="175">
        <v>36130</v>
      </c>
      <c r="B1355" s="176">
        <v>5.32</v>
      </c>
      <c r="C1355" s="176"/>
      <c r="D1355" s="176"/>
      <c r="E1355" s="176"/>
    </row>
    <row r="1356" spans="1:5" x14ac:dyDescent="0.2">
      <c r="A1356" s="175">
        <v>36131</v>
      </c>
      <c r="B1356" s="176">
        <v>5.28</v>
      </c>
      <c r="C1356" s="176"/>
      <c r="D1356" s="176"/>
      <c r="E1356" s="176"/>
    </row>
    <row r="1357" spans="1:5" x14ac:dyDescent="0.2">
      <c r="A1357" s="175">
        <v>36132</v>
      </c>
      <c r="B1357" s="176">
        <v>5.29</v>
      </c>
      <c r="C1357" s="176"/>
      <c r="D1357" s="176"/>
      <c r="E1357" s="176"/>
    </row>
    <row r="1358" spans="1:5" x14ac:dyDescent="0.2">
      <c r="A1358" s="175">
        <v>36133</v>
      </c>
      <c r="B1358" s="176">
        <v>5.34</v>
      </c>
      <c r="C1358" s="176"/>
      <c r="D1358" s="176"/>
      <c r="E1358" s="176"/>
    </row>
    <row r="1359" spans="1:5" x14ac:dyDescent="0.2">
      <c r="A1359" s="175">
        <v>36136</v>
      </c>
      <c r="B1359" s="176">
        <v>5.36</v>
      </c>
      <c r="C1359" s="176"/>
      <c r="D1359" s="176"/>
      <c r="E1359" s="176"/>
    </row>
    <row r="1360" spans="1:5" x14ac:dyDescent="0.2">
      <c r="A1360" s="175">
        <v>36137</v>
      </c>
      <c r="B1360" s="176">
        <v>5.29</v>
      </c>
      <c r="C1360" s="176"/>
      <c r="D1360" s="176"/>
      <c r="E1360" s="176"/>
    </row>
    <row r="1361" spans="1:5" x14ac:dyDescent="0.2">
      <c r="A1361" s="175">
        <v>36138</v>
      </c>
      <c r="B1361" s="176">
        <v>5.25</v>
      </c>
      <c r="C1361" s="176"/>
      <c r="D1361" s="176"/>
      <c r="E1361" s="176"/>
    </row>
    <row r="1362" spans="1:5" x14ac:dyDescent="0.2">
      <c r="A1362" s="175">
        <v>36139</v>
      </c>
      <c r="B1362" s="176">
        <v>5.24</v>
      </c>
      <c r="C1362" s="176"/>
      <c r="D1362" s="176"/>
      <c r="E1362" s="176"/>
    </row>
    <row r="1363" spans="1:5" x14ac:dyDescent="0.2">
      <c r="A1363" s="175">
        <v>36140</v>
      </c>
      <c r="B1363" s="176">
        <v>5.31</v>
      </c>
      <c r="C1363" s="176"/>
      <c r="D1363" s="176"/>
      <c r="E1363" s="176"/>
    </row>
    <row r="1364" spans="1:5" x14ac:dyDescent="0.2">
      <c r="A1364" s="175">
        <v>36143</v>
      </c>
      <c r="B1364" s="177">
        <v>5.3</v>
      </c>
      <c r="C1364" s="177"/>
      <c r="D1364" s="177"/>
      <c r="E1364" s="177"/>
    </row>
    <row r="1365" spans="1:5" x14ac:dyDescent="0.2">
      <c r="A1365" s="175">
        <v>36144</v>
      </c>
      <c r="B1365" s="176">
        <v>5.34</v>
      </c>
      <c r="C1365" s="176"/>
      <c r="D1365" s="176"/>
      <c r="E1365" s="176"/>
    </row>
    <row r="1366" spans="1:5" x14ac:dyDescent="0.2">
      <c r="A1366" s="175">
        <v>36145</v>
      </c>
      <c r="B1366" s="176">
        <v>5.33</v>
      </c>
      <c r="C1366" s="176"/>
      <c r="D1366" s="176"/>
      <c r="E1366" s="176"/>
    </row>
    <row r="1367" spans="1:5" x14ac:dyDescent="0.2">
      <c r="A1367" s="175">
        <v>36146</v>
      </c>
      <c r="B1367" s="176">
        <v>5.32</v>
      </c>
      <c r="C1367" s="176"/>
      <c r="D1367" s="176"/>
      <c r="E1367" s="176"/>
    </row>
    <row r="1368" spans="1:5" x14ac:dyDescent="0.2">
      <c r="A1368" s="175">
        <v>36147</v>
      </c>
      <c r="B1368" s="176">
        <v>5.32</v>
      </c>
      <c r="C1368" s="176"/>
      <c r="D1368" s="176"/>
      <c r="E1368" s="176"/>
    </row>
    <row r="1369" spans="1:5" x14ac:dyDescent="0.2">
      <c r="A1369" s="175">
        <v>36150</v>
      </c>
      <c r="B1369" s="176">
        <v>5.38</v>
      </c>
      <c r="C1369" s="176"/>
      <c r="D1369" s="176"/>
      <c r="E1369" s="176"/>
    </row>
    <row r="1370" spans="1:5" x14ac:dyDescent="0.2">
      <c r="A1370" s="175">
        <v>36151</v>
      </c>
      <c r="B1370" s="176">
        <v>5.45</v>
      </c>
      <c r="C1370" s="176"/>
      <c r="D1370" s="176"/>
      <c r="E1370" s="176"/>
    </row>
    <row r="1371" spans="1:5" x14ac:dyDescent="0.2">
      <c r="A1371" s="175">
        <v>36152</v>
      </c>
      <c r="B1371" s="176">
        <v>5.51</v>
      </c>
      <c r="C1371" s="176"/>
      <c r="D1371" s="176"/>
      <c r="E1371" s="176"/>
    </row>
    <row r="1372" spans="1:5" x14ac:dyDescent="0.2">
      <c r="A1372" s="175">
        <v>36153</v>
      </c>
      <c r="B1372" s="176">
        <v>5.55</v>
      </c>
      <c r="C1372" s="176"/>
      <c r="D1372" s="176"/>
      <c r="E1372" s="176"/>
    </row>
    <row r="1373" spans="1:5" x14ac:dyDescent="0.2">
      <c r="A1373" s="175">
        <v>36154</v>
      </c>
      <c r="B1373" s="176" t="e">
        <f>NA()</f>
        <v>#N/A</v>
      </c>
      <c r="C1373" s="176"/>
      <c r="D1373" s="176"/>
      <c r="E1373" s="176"/>
    </row>
    <row r="1374" spans="1:5" x14ac:dyDescent="0.2">
      <c r="A1374" s="175">
        <v>36157</v>
      </c>
      <c r="B1374" s="176">
        <v>5.47</v>
      </c>
      <c r="C1374" s="176"/>
      <c r="D1374" s="176"/>
      <c r="E1374" s="176"/>
    </row>
    <row r="1375" spans="1:5" x14ac:dyDescent="0.2">
      <c r="A1375" s="175">
        <v>36158</v>
      </c>
      <c r="B1375" s="176">
        <v>5.41</v>
      </c>
      <c r="C1375" s="176"/>
      <c r="D1375" s="176"/>
      <c r="E1375" s="176"/>
    </row>
    <row r="1376" spans="1:5" x14ac:dyDescent="0.2">
      <c r="A1376" s="175">
        <v>36159</v>
      </c>
      <c r="B1376" s="176">
        <v>5.4</v>
      </c>
      <c r="C1376" s="176"/>
      <c r="D1376" s="176"/>
      <c r="E1376" s="176"/>
    </row>
    <row r="1377" spans="1:5" x14ac:dyDescent="0.2">
      <c r="A1377" s="175">
        <v>36160</v>
      </c>
      <c r="B1377" s="176">
        <v>5.39</v>
      </c>
      <c r="C1377" s="176"/>
      <c r="D1377" s="176"/>
      <c r="E1377" s="176"/>
    </row>
    <row r="1378" spans="1:5" x14ac:dyDescent="0.2">
      <c r="A1378" s="175">
        <v>36161</v>
      </c>
      <c r="B1378" s="176" t="e">
        <f>NA()</f>
        <v>#N/A</v>
      </c>
      <c r="C1378" s="176"/>
      <c r="D1378" s="176"/>
      <c r="E1378" s="176"/>
    </row>
    <row r="1379" spans="1:5" x14ac:dyDescent="0.2">
      <c r="A1379" s="175">
        <v>36164</v>
      </c>
      <c r="B1379" s="176">
        <v>5.42</v>
      </c>
      <c r="C1379" s="176"/>
      <c r="D1379" s="176"/>
      <c r="E1379" s="176"/>
    </row>
    <row r="1380" spans="1:5" x14ac:dyDescent="0.2">
      <c r="A1380" s="175">
        <v>36165</v>
      </c>
      <c r="B1380" s="176">
        <v>5.48</v>
      </c>
      <c r="C1380" s="176"/>
      <c r="D1380" s="176"/>
      <c r="E1380" s="176"/>
    </row>
    <row r="1381" spans="1:5" x14ac:dyDescent="0.2">
      <c r="A1381" s="175">
        <v>36166</v>
      </c>
      <c r="B1381" s="176">
        <v>5.42</v>
      </c>
      <c r="C1381" s="176"/>
      <c r="D1381" s="176"/>
      <c r="E1381" s="176"/>
    </row>
    <row r="1382" spans="1:5" x14ac:dyDescent="0.2">
      <c r="A1382" s="175">
        <v>36167</v>
      </c>
      <c r="B1382" s="176">
        <v>5.48</v>
      </c>
      <c r="C1382" s="176"/>
      <c r="D1382" s="176"/>
      <c r="E1382" s="176"/>
    </row>
    <row r="1383" spans="1:5" x14ac:dyDescent="0.2">
      <c r="A1383" s="175">
        <v>36168</v>
      </c>
      <c r="B1383" s="176">
        <v>5.57</v>
      </c>
      <c r="C1383" s="176"/>
      <c r="D1383" s="176"/>
      <c r="E1383" s="176"/>
    </row>
    <row r="1384" spans="1:5" x14ac:dyDescent="0.2">
      <c r="A1384" s="175">
        <v>36171</v>
      </c>
      <c r="B1384" s="176">
        <v>5.61</v>
      </c>
      <c r="C1384" s="176"/>
      <c r="D1384" s="176"/>
      <c r="E1384" s="176"/>
    </row>
    <row r="1385" spans="1:5" x14ac:dyDescent="0.2">
      <c r="A1385" s="175">
        <v>36172</v>
      </c>
      <c r="B1385" s="176">
        <v>5.55</v>
      </c>
      <c r="C1385" s="176"/>
      <c r="D1385" s="176"/>
      <c r="E1385" s="176"/>
    </row>
    <row r="1386" spans="1:5" x14ac:dyDescent="0.2">
      <c r="A1386" s="175">
        <v>36173</v>
      </c>
      <c r="B1386" s="176">
        <v>5.49</v>
      </c>
      <c r="C1386" s="176"/>
      <c r="D1386" s="176"/>
      <c r="E1386" s="176"/>
    </row>
    <row r="1387" spans="1:5" x14ac:dyDescent="0.2">
      <c r="A1387" s="175">
        <v>36174</v>
      </c>
      <c r="B1387" s="176">
        <v>5.39</v>
      </c>
      <c r="C1387" s="176"/>
      <c r="D1387" s="176"/>
      <c r="E1387" s="176"/>
    </row>
    <row r="1388" spans="1:5" x14ac:dyDescent="0.2">
      <c r="A1388" s="175">
        <v>36175</v>
      </c>
      <c r="B1388" s="176">
        <v>5.43</v>
      </c>
      <c r="C1388" s="176"/>
      <c r="D1388" s="176"/>
      <c r="E1388" s="176"/>
    </row>
    <row r="1389" spans="1:5" x14ac:dyDescent="0.2">
      <c r="A1389" s="175">
        <v>36178</v>
      </c>
      <c r="B1389" s="177" t="e">
        <f>NA()</f>
        <v>#N/A</v>
      </c>
      <c r="C1389" s="177"/>
      <c r="D1389" s="177"/>
      <c r="E1389" s="177"/>
    </row>
    <row r="1390" spans="1:5" x14ac:dyDescent="0.2">
      <c r="A1390" s="175">
        <v>36179</v>
      </c>
      <c r="B1390" s="176">
        <v>5.46</v>
      </c>
      <c r="C1390" s="176"/>
      <c r="D1390" s="176"/>
      <c r="E1390" s="176"/>
    </row>
    <row r="1391" spans="1:5" x14ac:dyDescent="0.2">
      <c r="A1391" s="175">
        <v>36180</v>
      </c>
      <c r="B1391" s="176">
        <v>5.48</v>
      </c>
      <c r="C1391" s="176"/>
      <c r="D1391" s="176"/>
      <c r="E1391" s="176"/>
    </row>
    <row r="1392" spans="1:5" x14ac:dyDescent="0.2">
      <c r="A1392" s="175">
        <v>36181</v>
      </c>
      <c r="B1392" s="176">
        <v>5.43</v>
      </c>
      <c r="C1392" s="176"/>
      <c r="D1392" s="176"/>
      <c r="E1392" s="176"/>
    </row>
    <row r="1393" spans="1:5" x14ac:dyDescent="0.2">
      <c r="A1393" s="175">
        <v>36182</v>
      </c>
      <c r="B1393" s="176">
        <v>5.38</v>
      </c>
      <c r="C1393" s="176"/>
      <c r="D1393" s="176"/>
      <c r="E1393" s="176"/>
    </row>
    <row r="1394" spans="1:5" x14ac:dyDescent="0.2">
      <c r="A1394" s="175">
        <v>36185</v>
      </c>
      <c r="B1394" s="176">
        <v>5.4</v>
      </c>
      <c r="C1394" s="176"/>
      <c r="D1394" s="176"/>
      <c r="E1394" s="176"/>
    </row>
    <row r="1395" spans="1:5" x14ac:dyDescent="0.2">
      <c r="A1395" s="175">
        <v>36186</v>
      </c>
      <c r="B1395" s="176">
        <v>5.41</v>
      </c>
      <c r="C1395" s="176"/>
      <c r="D1395" s="176"/>
      <c r="E1395" s="176"/>
    </row>
    <row r="1396" spans="1:5" x14ac:dyDescent="0.2">
      <c r="A1396" s="175">
        <v>36187</v>
      </c>
      <c r="B1396" s="176">
        <v>5.4</v>
      </c>
      <c r="C1396" s="176"/>
      <c r="D1396" s="176"/>
      <c r="E1396" s="176"/>
    </row>
    <row r="1397" spans="1:5" x14ac:dyDescent="0.2">
      <c r="A1397" s="175">
        <v>36188</v>
      </c>
      <c r="B1397" s="176">
        <v>5.37</v>
      </c>
      <c r="C1397" s="176"/>
      <c r="D1397" s="176"/>
      <c r="E1397" s="176"/>
    </row>
    <row r="1398" spans="1:5" x14ac:dyDescent="0.2">
      <c r="A1398" s="175">
        <v>36189</v>
      </c>
      <c r="B1398" s="176">
        <v>5.35</v>
      </c>
      <c r="C1398" s="176"/>
      <c r="D1398" s="176"/>
      <c r="E1398" s="176"/>
    </row>
    <row r="1399" spans="1:5" x14ac:dyDescent="0.2">
      <c r="A1399" s="175">
        <v>36192</v>
      </c>
      <c r="B1399" s="176">
        <v>5.45</v>
      </c>
      <c r="C1399" s="176"/>
      <c r="D1399" s="176"/>
      <c r="E1399" s="176"/>
    </row>
    <row r="1400" spans="1:5" x14ac:dyDescent="0.2">
      <c r="A1400" s="175">
        <v>36193</v>
      </c>
      <c r="B1400" s="176">
        <v>5.51</v>
      </c>
      <c r="C1400" s="176"/>
      <c r="D1400" s="176"/>
      <c r="E1400" s="176"/>
    </row>
    <row r="1401" spans="1:5" x14ac:dyDescent="0.2">
      <c r="A1401" s="175">
        <v>36194</v>
      </c>
      <c r="B1401" s="176">
        <v>5.52</v>
      </c>
      <c r="C1401" s="176"/>
      <c r="D1401" s="176"/>
      <c r="E1401" s="176"/>
    </row>
    <row r="1402" spans="1:5" x14ac:dyDescent="0.2">
      <c r="A1402" s="175">
        <v>36195</v>
      </c>
      <c r="B1402" s="176">
        <v>5.57</v>
      </c>
      <c r="C1402" s="176"/>
      <c r="D1402" s="176"/>
      <c r="E1402" s="176"/>
    </row>
    <row r="1403" spans="1:5" x14ac:dyDescent="0.2">
      <c r="A1403" s="175">
        <v>36196</v>
      </c>
      <c r="B1403" s="176">
        <v>5.61</v>
      </c>
      <c r="C1403" s="176"/>
      <c r="D1403" s="176"/>
      <c r="E1403" s="176"/>
    </row>
    <row r="1404" spans="1:5" x14ac:dyDescent="0.2">
      <c r="A1404" s="175">
        <v>36199</v>
      </c>
      <c r="B1404" s="176">
        <v>5.61</v>
      </c>
      <c r="C1404" s="176"/>
      <c r="D1404" s="176"/>
      <c r="E1404" s="176"/>
    </row>
    <row r="1405" spans="1:5" x14ac:dyDescent="0.2">
      <c r="A1405" s="175">
        <v>36200</v>
      </c>
      <c r="B1405" s="176">
        <v>5.58</v>
      </c>
      <c r="C1405" s="176"/>
      <c r="D1405" s="176"/>
      <c r="E1405" s="176"/>
    </row>
    <row r="1406" spans="1:5" x14ac:dyDescent="0.2">
      <c r="A1406" s="175">
        <v>36201</v>
      </c>
      <c r="B1406" s="176">
        <v>5.58</v>
      </c>
      <c r="C1406" s="176"/>
      <c r="D1406" s="176"/>
      <c r="E1406" s="176"/>
    </row>
    <row r="1407" spans="1:5" x14ac:dyDescent="0.2">
      <c r="A1407" s="175">
        <v>36202</v>
      </c>
      <c r="B1407" s="176">
        <v>5.58</v>
      </c>
      <c r="C1407" s="176"/>
      <c r="D1407" s="176"/>
      <c r="E1407" s="176"/>
    </row>
    <row r="1408" spans="1:5" x14ac:dyDescent="0.2">
      <c r="A1408" s="175">
        <v>36203</v>
      </c>
      <c r="B1408" s="176">
        <v>5.76</v>
      </c>
      <c r="C1408" s="176"/>
      <c r="D1408" s="176"/>
      <c r="E1408" s="176"/>
    </row>
    <row r="1409" spans="1:5" x14ac:dyDescent="0.2">
      <c r="A1409" s="175">
        <v>36206</v>
      </c>
      <c r="B1409" s="176" t="e">
        <f>NA()</f>
        <v>#N/A</v>
      </c>
      <c r="C1409" s="176"/>
      <c r="D1409" s="176"/>
      <c r="E1409" s="176"/>
    </row>
    <row r="1410" spans="1:5" x14ac:dyDescent="0.2">
      <c r="A1410" s="175">
        <v>36207</v>
      </c>
      <c r="B1410" s="176">
        <v>5.69</v>
      </c>
      <c r="C1410" s="176"/>
      <c r="D1410" s="176"/>
      <c r="E1410" s="176"/>
    </row>
    <row r="1411" spans="1:5" x14ac:dyDescent="0.2">
      <c r="A1411" s="175">
        <v>36208</v>
      </c>
      <c r="B1411" s="177">
        <v>5.65</v>
      </c>
      <c r="C1411" s="177"/>
      <c r="D1411" s="177"/>
      <c r="E1411" s="177"/>
    </row>
    <row r="1412" spans="1:5" x14ac:dyDescent="0.2">
      <c r="A1412" s="175">
        <v>36209</v>
      </c>
      <c r="B1412" s="176">
        <v>5.7</v>
      </c>
      <c r="C1412" s="176"/>
      <c r="D1412" s="176"/>
      <c r="E1412" s="176"/>
    </row>
    <row r="1413" spans="1:5" x14ac:dyDescent="0.2">
      <c r="A1413" s="175">
        <v>36210</v>
      </c>
      <c r="B1413" s="176">
        <v>5.71</v>
      </c>
      <c r="C1413" s="176"/>
      <c r="D1413" s="176"/>
      <c r="E1413" s="176"/>
    </row>
    <row r="1414" spans="1:5" x14ac:dyDescent="0.2">
      <c r="A1414" s="175">
        <v>36213</v>
      </c>
      <c r="B1414" s="176">
        <v>5.67</v>
      </c>
      <c r="C1414" s="176"/>
      <c r="D1414" s="176"/>
      <c r="E1414" s="176"/>
    </row>
    <row r="1415" spans="1:5" x14ac:dyDescent="0.2">
      <c r="A1415" s="175">
        <v>36214</v>
      </c>
      <c r="B1415" s="176">
        <v>5.74</v>
      </c>
      <c r="C1415" s="176"/>
      <c r="D1415" s="176"/>
      <c r="E1415" s="176"/>
    </row>
    <row r="1416" spans="1:5" x14ac:dyDescent="0.2">
      <c r="A1416" s="175">
        <v>36215</v>
      </c>
      <c r="B1416" s="176">
        <v>5.82</v>
      </c>
      <c r="C1416" s="176"/>
      <c r="D1416" s="176"/>
      <c r="E1416" s="176"/>
    </row>
    <row r="1417" spans="1:5" x14ac:dyDescent="0.2">
      <c r="A1417" s="175">
        <v>36216</v>
      </c>
      <c r="B1417" s="176">
        <v>5.9</v>
      </c>
      <c r="C1417" s="176"/>
      <c r="D1417" s="176"/>
      <c r="E1417" s="176"/>
    </row>
    <row r="1418" spans="1:5" x14ac:dyDescent="0.2">
      <c r="A1418" s="175">
        <v>36217</v>
      </c>
      <c r="B1418" s="176">
        <v>5.85</v>
      </c>
      <c r="C1418" s="176"/>
      <c r="D1418" s="176"/>
      <c r="E1418" s="176"/>
    </row>
    <row r="1419" spans="1:5" x14ac:dyDescent="0.2">
      <c r="A1419" s="175">
        <v>36220</v>
      </c>
      <c r="B1419" s="176">
        <v>5.94</v>
      </c>
      <c r="C1419" s="176"/>
      <c r="D1419" s="176"/>
      <c r="E1419" s="176"/>
    </row>
    <row r="1420" spans="1:5" x14ac:dyDescent="0.2">
      <c r="A1420" s="175">
        <v>36221</v>
      </c>
      <c r="B1420" s="176">
        <v>5.88</v>
      </c>
      <c r="C1420" s="176"/>
      <c r="D1420" s="176"/>
      <c r="E1420" s="176"/>
    </row>
    <row r="1421" spans="1:5" x14ac:dyDescent="0.2">
      <c r="A1421" s="175">
        <v>36222</v>
      </c>
      <c r="B1421" s="176">
        <v>5.95</v>
      </c>
      <c r="C1421" s="176"/>
      <c r="D1421" s="176"/>
      <c r="E1421" s="176"/>
    </row>
    <row r="1422" spans="1:5" x14ac:dyDescent="0.2">
      <c r="A1422" s="175">
        <v>36223</v>
      </c>
      <c r="B1422" s="177">
        <v>5.97</v>
      </c>
      <c r="C1422" s="177"/>
      <c r="D1422" s="177"/>
      <c r="E1422" s="177"/>
    </row>
    <row r="1423" spans="1:5" x14ac:dyDescent="0.2">
      <c r="A1423" s="175">
        <v>36224</v>
      </c>
      <c r="B1423" s="176">
        <v>5.91</v>
      </c>
      <c r="C1423" s="176"/>
      <c r="D1423" s="176"/>
      <c r="E1423" s="176"/>
    </row>
    <row r="1424" spans="1:5" x14ac:dyDescent="0.2">
      <c r="A1424" s="175">
        <v>36227</v>
      </c>
      <c r="B1424" s="176">
        <v>5.9</v>
      </c>
      <c r="C1424" s="176"/>
      <c r="D1424" s="176"/>
      <c r="E1424" s="176"/>
    </row>
    <row r="1425" spans="1:5" x14ac:dyDescent="0.2">
      <c r="A1425" s="175">
        <v>36228</v>
      </c>
      <c r="B1425" s="176">
        <v>5.84</v>
      </c>
      <c r="C1425" s="176"/>
      <c r="D1425" s="176"/>
      <c r="E1425" s="176"/>
    </row>
    <row r="1426" spans="1:5" x14ac:dyDescent="0.2">
      <c r="A1426" s="175">
        <v>36229</v>
      </c>
      <c r="B1426" s="176">
        <v>5.86</v>
      </c>
      <c r="C1426" s="176"/>
      <c r="D1426" s="176"/>
      <c r="E1426" s="176"/>
    </row>
    <row r="1427" spans="1:5" x14ac:dyDescent="0.2">
      <c r="A1427" s="175">
        <v>36230</v>
      </c>
      <c r="B1427" s="176">
        <v>5.87</v>
      </c>
      <c r="C1427" s="176"/>
      <c r="D1427" s="176"/>
      <c r="E1427" s="176"/>
    </row>
    <row r="1428" spans="1:5" x14ac:dyDescent="0.2">
      <c r="A1428" s="175">
        <v>36231</v>
      </c>
      <c r="B1428" s="176">
        <v>5.82</v>
      </c>
      <c r="C1428" s="176"/>
      <c r="D1428" s="176"/>
      <c r="E1428" s="176"/>
    </row>
    <row r="1429" spans="1:5" x14ac:dyDescent="0.2">
      <c r="A1429" s="175">
        <v>36234</v>
      </c>
      <c r="B1429" s="176">
        <v>5.79</v>
      </c>
      <c r="C1429" s="176"/>
      <c r="D1429" s="176"/>
      <c r="E1429" s="176"/>
    </row>
    <row r="1430" spans="1:5" x14ac:dyDescent="0.2">
      <c r="A1430" s="175">
        <v>36235</v>
      </c>
      <c r="B1430" s="176">
        <v>5.75</v>
      </c>
      <c r="C1430" s="176"/>
      <c r="D1430" s="176"/>
      <c r="E1430" s="176"/>
    </row>
    <row r="1431" spans="1:5" x14ac:dyDescent="0.2">
      <c r="A1431" s="175">
        <v>36236</v>
      </c>
      <c r="B1431" s="176">
        <v>5.78</v>
      </c>
      <c r="C1431" s="176"/>
      <c r="D1431" s="176"/>
      <c r="E1431" s="176"/>
    </row>
    <row r="1432" spans="1:5" x14ac:dyDescent="0.2">
      <c r="A1432" s="175">
        <v>36237</v>
      </c>
      <c r="B1432" s="176">
        <v>5.77</v>
      </c>
      <c r="C1432" s="176"/>
      <c r="D1432" s="176"/>
      <c r="E1432" s="176"/>
    </row>
    <row r="1433" spans="1:5" x14ac:dyDescent="0.2">
      <c r="A1433" s="175">
        <v>36238</v>
      </c>
      <c r="B1433" s="176">
        <v>5.82</v>
      </c>
      <c r="C1433" s="176"/>
      <c r="D1433" s="176"/>
      <c r="E1433" s="176"/>
    </row>
    <row r="1434" spans="1:5" x14ac:dyDescent="0.2">
      <c r="A1434" s="175">
        <v>36241</v>
      </c>
      <c r="B1434" s="176">
        <v>5.87</v>
      </c>
      <c r="C1434" s="176"/>
      <c r="D1434" s="176"/>
      <c r="E1434" s="176"/>
    </row>
    <row r="1435" spans="1:5" x14ac:dyDescent="0.2">
      <c r="A1435" s="175">
        <v>36242</v>
      </c>
      <c r="B1435" s="176">
        <v>5.87</v>
      </c>
      <c r="C1435" s="176"/>
      <c r="D1435" s="176"/>
      <c r="E1435" s="176"/>
    </row>
    <row r="1436" spans="1:5" x14ac:dyDescent="0.2">
      <c r="A1436" s="175">
        <v>36243</v>
      </c>
      <c r="B1436" s="176">
        <v>5.84</v>
      </c>
      <c r="C1436" s="176"/>
      <c r="D1436" s="176"/>
      <c r="E1436" s="176"/>
    </row>
    <row r="1437" spans="1:5" x14ac:dyDescent="0.2">
      <c r="A1437" s="175">
        <v>36244</v>
      </c>
      <c r="B1437" s="176">
        <v>5.88</v>
      </c>
      <c r="C1437" s="176"/>
      <c r="D1437" s="176"/>
      <c r="E1437" s="176"/>
    </row>
    <row r="1438" spans="1:5" x14ac:dyDescent="0.2">
      <c r="A1438" s="175">
        <v>36245</v>
      </c>
      <c r="B1438" s="176">
        <v>5.9</v>
      </c>
      <c r="C1438" s="176"/>
      <c r="D1438" s="176"/>
      <c r="E1438" s="176"/>
    </row>
    <row r="1439" spans="1:5" x14ac:dyDescent="0.2">
      <c r="A1439" s="175">
        <v>36248</v>
      </c>
      <c r="B1439" s="176">
        <v>5.94</v>
      </c>
      <c r="C1439" s="176"/>
      <c r="D1439" s="176"/>
      <c r="E1439" s="176"/>
    </row>
    <row r="1440" spans="1:5" x14ac:dyDescent="0.2">
      <c r="A1440" s="175">
        <v>36249</v>
      </c>
      <c r="B1440" s="176">
        <v>5.89</v>
      </c>
      <c r="C1440" s="176"/>
      <c r="D1440" s="176"/>
      <c r="E1440" s="176"/>
    </row>
    <row r="1441" spans="1:5" x14ac:dyDescent="0.2">
      <c r="A1441" s="175">
        <v>36250</v>
      </c>
      <c r="B1441" s="176">
        <v>5.92</v>
      </c>
      <c r="C1441" s="176"/>
      <c r="D1441" s="176"/>
      <c r="E1441" s="176"/>
    </row>
    <row r="1442" spans="1:5" x14ac:dyDescent="0.2">
      <c r="A1442" s="175">
        <v>36251</v>
      </c>
      <c r="B1442" s="176">
        <v>5.96</v>
      </c>
      <c r="C1442" s="176"/>
      <c r="D1442" s="176"/>
      <c r="E1442" s="176"/>
    </row>
    <row r="1443" spans="1:5" x14ac:dyDescent="0.2">
      <c r="A1443" s="175">
        <v>36252</v>
      </c>
      <c r="B1443" s="177">
        <v>5.88</v>
      </c>
      <c r="C1443" s="177"/>
      <c r="D1443" s="177"/>
      <c r="E1443" s="177"/>
    </row>
    <row r="1444" spans="1:5" x14ac:dyDescent="0.2">
      <c r="A1444" s="175">
        <v>36255</v>
      </c>
      <c r="B1444" s="176">
        <v>5.88</v>
      </c>
      <c r="C1444" s="176"/>
      <c r="D1444" s="176"/>
      <c r="E1444" s="176"/>
    </row>
    <row r="1445" spans="1:5" x14ac:dyDescent="0.2">
      <c r="A1445" s="175">
        <v>36256</v>
      </c>
      <c r="B1445" s="176">
        <v>5.8</v>
      </c>
      <c r="C1445" s="176"/>
      <c r="D1445" s="176"/>
      <c r="E1445" s="176"/>
    </row>
    <row r="1446" spans="1:5" x14ac:dyDescent="0.2">
      <c r="A1446" s="175">
        <v>36257</v>
      </c>
      <c r="B1446" s="176">
        <v>5.8</v>
      </c>
      <c r="C1446" s="176"/>
      <c r="D1446" s="176"/>
      <c r="E1446" s="176"/>
    </row>
    <row r="1447" spans="1:5" x14ac:dyDescent="0.2">
      <c r="A1447" s="175">
        <v>36258</v>
      </c>
      <c r="B1447" s="176">
        <v>5.71</v>
      </c>
      <c r="C1447" s="176"/>
      <c r="D1447" s="176"/>
      <c r="E1447" s="176"/>
    </row>
    <row r="1448" spans="1:5" x14ac:dyDescent="0.2">
      <c r="A1448" s="175">
        <v>36259</v>
      </c>
      <c r="B1448" s="177">
        <v>5.73</v>
      </c>
      <c r="C1448" s="177"/>
      <c r="D1448" s="177"/>
      <c r="E1448" s="177"/>
    </row>
    <row r="1449" spans="1:5" x14ac:dyDescent="0.2">
      <c r="A1449" s="175">
        <v>36262</v>
      </c>
      <c r="B1449" s="176">
        <v>5.72</v>
      </c>
      <c r="C1449" s="176"/>
      <c r="D1449" s="176"/>
      <c r="E1449" s="176"/>
    </row>
    <row r="1450" spans="1:5" x14ac:dyDescent="0.2">
      <c r="A1450" s="175">
        <v>36263</v>
      </c>
      <c r="B1450" s="176">
        <v>5.77</v>
      </c>
      <c r="C1450" s="176"/>
      <c r="D1450" s="176"/>
      <c r="E1450" s="176"/>
    </row>
    <row r="1451" spans="1:5" x14ac:dyDescent="0.2">
      <c r="A1451" s="175">
        <v>36264</v>
      </c>
      <c r="B1451" s="176">
        <v>5.77</v>
      </c>
      <c r="C1451" s="176"/>
      <c r="D1451" s="176"/>
      <c r="E1451" s="176"/>
    </row>
    <row r="1452" spans="1:5" x14ac:dyDescent="0.2">
      <c r="A1452" s="175">
        <v>36265</v>
      </c>
      <c r="B1452" s="176">
        <v>5.8</v>
      </c>
      <c r="C1452" s="176"/>
      <c r="D1452" s="176"/>
      <c r="E1452" s="176"/>
    </row>
    <row r="1453" spans="1:5" x14ac:dyDescent="0.2">
      <c r="A1453" s="175">
        <v>36266</v>
      </c>
      <c r="B1453" s="176">
        <v>5.85</v>
      </c>
      <c r="C1453" s="176"/>
      <c r="D1453" s="176"/>
      <c r="E1453" s="176"/>
    </row>
    <row r="1454" spans="1:5" x14ac:dyDescent="0.2">
      <c r="A1454" s="175">
        <v>36269</v>
      </c>
      <c r="B1454" s="176">
        <v>5.81</v>
      </c>
      <c r="C1454" s="176"/>
      <c r="D1454" s="176"/>
      <c r="E1454" s="176"/>
    </row>
    <row r="1455" spans="1:5" x14ac:dyDescent="0.2">
      <c r="A1455" s="175">
        <v>36270</v>
      </c>
      <c r="B1455" s="176">
        <v>5.79</v>
      </c>
      <c r="C1455" s="176"/>
      <c r="D1455" s="176"/>
      <c r="E1455" s="176"/>
    </row>
    <row r="1456" spans="1:5" x14ac:dyDescent="0.2">
      <c r="A1456" s="175">
        <v>36271</v>
      </c>
      <c r="B1456" s="176">
        <v>5.8</v>
      </c>
      <c r="C1456" s="176"/>
      <c r="D1456" s="176"/>
      <c r="E1456" s="176"/>
    </row>
    <row r="1457" spans="1:5" x14ac:dyDescent="0.2">
      <c r="A1457" s="175">
        <v>36272</v>
      </c>
      <c r="B1457" s="176">
        <v>5.89</v>
      </c>
      <c r="C1457" s="176"/>
      <c r="D1457" s="176"/>
      <c r="E1457" s="176"/>
    </row>
    <row r="1458" spans="1:5" x14ac:dyDescent="0.2">
      <c r="A1458" s="175">
        <v>36273</v>
      </c>
      <c r="B1458" s="176">
        <v>5.87</v>
      </c>
      <c r="C1458" s="176"/>
      <c r="D1458" s="176"/>
      <c r="E1458" s="176"/>
    </row>
    <row r="1459" spans="1:5" x14ac:dyDescent="0.2">
      <c r="A1459" s="175">
        <v>36276</v>
      </c>
      <c r="B1459" s="177">
        <v>5.84</v>
      </c>
      <c r="C1459" s="177"/>
      <c r="D1459" s="177"/>
      <c r="E1459" s="177"/>
    </row>
    <row r="1460" spans="1:5" x14ac:dyDescent="0.2">
      <c r="A1460" s="175">
        <v>36277</v>
      </c>
      <c r="B1460" s="176">
        <v>5.82</v>
      </c>
      <c r="C1460" s="176"/>
      <c r="D1460" s="176"/>
      <c r="E1460" s="176"/>
    </row>
    <row r="1461" spans="1:5" x14ac:dyDescent="0.2">
      <c r="A1461" s="175">
        <v>36278</v>
      </c>
      <c r="B1461" s="176">
        <v>5.84</v>
      </c>
      <c r="C1461" s="176"/>
      <c r="D1461" s="176"/>
      <c r="E1461" s="176"/>
    </row>
    <row r="1462" spans="1:5" x14ac:dyDescent="0.2">
      <c r="A1462" s="175">
        <v>36279</v>
      </c>
      <c r="B1462" s="176">
        <v>5.79</v>
      </c>
      <c r="C1462" s="176"/>
      <c r="D1462" s="176"/>
      <c r="E1462" s="176"/>
    </row>
    <row r="1463" spans="1:5" x14ac:dyDescent="0.2">
      <c r="A1463" s="175">
        <v>36280</v>
      </c>
      <c r="B1463" s="176">
        <v>5.94</v>
      </c>
      <c r="C1463" s="176"/>
      <c r="D1463" s="176"/>
      <c r="E1463" s="176"/>
    </row>
    <row r="1464" spans="1:5" x14ac:dyDescent="0.2">
      <c r="A1464" s="175">
        <v>36283</v>
      </c>
      <c r="B1464" s="176">
        <v>5.93</v>
      </c>
      <c r="C1464" s="176"/>
      <c r="D1464" s="176"/>
      <c r="E1464" s="176"/>
    </row>
    <row r="1465" spans="1:5" x14ac:dyDescent="0.2">
      <c r="A1465" s="175">
        <v>36284</v>
      </c>
      <c r="B1465" s="176">
        <v>6</v>
      </c>
      <c r="C1465" s="176"/>
      <c r="D1465" s="176"/>
      <c r="E1465" s="176"/>
    </row>
    <row r="1466" spans="1:5" x14ac:dyDescent="0.2">
      <c r="A1466" s="175">
        <v>36285</v>
      </c>
      <c r="B1466" s="176">
        <v>5.97</v>
      </c>
      <c r="C1466" s="176"/>
      <c r="D1466" s="176"/>
      <c r="E1466" s="176"/>
    </row>
    <row r="1467" spans="1:5" x14ac:dyDescent="0.2">
      <c r="A1467" s="175">
        <v>36286</v>
      </c>
      <c r="B1467" s="176">
        <v>6.07</v>
      </c>
      <c r="C1467" s="176"/>
      <c r="D1467" s="176"/>
      <c r="E1467" s="176"/>
    </row>
    <row r="1468" spans="1:5" x14ac:dyDescent="0.2">
      <c r="A1468" s="175">
        <v>36287</v>
      </c>
      <c r="B1468" s="176">
        <v>6.1</v>
      </c>
      <c r="C1468" s="176"/>
      <c r="D1468" s="176"/>
      <c r="E1468" s="176"/>
    </row>
    <row r="1469" spans="1:5" x14ac:dyDescent="0.2">
      <c r="A1469" s="175">
        <v>36290</v>
      </c>
      <c r="B1469" s="176">
        <v>6.07</v>
      </c>
      <c r="C1469" s="176"/>
      <c r="D1469" s="176"/>
      <c r="E1469" s="176"/>
    </row>
    <row r="1470" spans="1:5" x14ac:dyDescent="0.2">
      <c r="A1470" s="175">
        <v>36291</v>
      </c>
      <c r="B1470" s="176">
        <v>6.11</v>
      </c>
      <c r="C1470" s="176"/>
      <c r="D1470" s="176"/>
      <c r="E1470" s="176"/>
    </row>
    <row r="1471" spans="1:5" x14ac:dyDescent="0.2">
      <c r="A1471" s="175">
        <v>36292</v>
      </c>
      <c r="B1471" s="176">
        <v>6.09</v>
      </c>
      <c r="C1471" s="176"/>
      <c r="D1471" s="176"/>
      <c r="E1471" s="176"/>
    </row>
    <row r="1472" spans="1:5" x14ac:dyDescent="0.2">
      <c r="A1472" s="175">
        <v>36293</v>
      </c>
      <c r="B1472" s="176">
        <v>6</v>
      </c>
      <c r="C1472" s="176"/>
      <c r="D1472" s="176"/>
      <c r="E1472" s="176"/>
    </row>
    <row r="1473" spans="1:5" x14ac:dyDescent="0.2">
      <c r="A1473" s="175">
        <v>36294</v>
      </c>
      <c r="B1473" s="176">
        <v>6.16</v>
      </c>
      <c r="C1473" s="176"/>
      <c r="D1473" s="176"/>
      <c r="E1473" s="176"/>
    </row>
    <row r="1474" spans="1:5" x14ac:dyDescent="0.2">
      <c r="A1474" s="175">
        <v>36297</v>
      </c>
      <c r="B1474" s="176">
        <v>6.16</v>
      </c>
      <c r="C1474" s="176"/>
      <c r="D1474" s="176"/>
      <c r="E1474" s="176"/>
    </row>
    <row r="1475" spans="1:5" x14ac:dyDescent="0.2">
      <c r="A1475" s="175">
        <v>36298</v>
      </c>
      <c r="B1475" s="176">
        <v>6.15</v>
      </c>
      <c r="C1475" s="176"/>
      <c r="D1475" s="176"/>
      <c r="E1475" s="176"/>
    </row>
    <row r="1476" spans="1:5" x14ac:dyDescent="0.2">
      <c r="A1476" s="175">
        <v>36299</v>
      </c>
      <c r="B1476" s="176">
        <v>6.09</v>
      </c>
      <c r="C1476" s="176"/>
      <c r="D1476" s="176"/>
      <c r="E1476" s="176"/>
    </row>
    <row r="1477" spans="1:5" x14ac:dyDescent="0.2">
      <c r="A1477" s="175">
        <v>36300</v>
      </c>
      <c r="B1477" s="176">
        <v>6.13</v>
      </c>
      <c r="C1477" s="176"/>
      <c r="D1477" s="176"/>
      <c r="E1477" s="176"/>
    </row>
    <row r="1478" spans="1:5" x14ac:dyDescent="0.2">
      <c r="A1478" s="175">
        <v>36301</v>
      </c>
      <c r="B1478" s="176">
        <v>6.08</v>
      </c>
      <c r="C1478" s="176"/>
      <c r="D1478" s="176"/>
      <c r="E1478" s="176"/>
    </row>
    <row r="1479" spans="1:5" x14ac:dyDescent="0.2">
      <c r="A1479" s="175">
        <v>36304</v>
      </c>
      <c r="B1479" s="177">
        <v>6.08</v>
      </c>
      <c r="C1479" s="177"/>
      <c r="D1479" s="177"/>
      <c r="E1479" s="177"/>
    </row>
    <row r="1480" spans="1:5" x14ac:dyDescent="0.2">
      <c r="A1480" s="175">
        <v>36305</v>
      </c>
      <c r="B1480" s="176">
        <v>6.07</v>
      </c>
      <c r="C1480" s="176"/>
      <c r="D1480" s="176"/>
      <c r="E1480" s="176"/>
    </row>
    <row r="1481" spans="1:5" x14ac:dyDescent="0.2">
      <c r="A1481" s="175">
        <v>36306</v>
      </c>
      <c r="B1481" s="176">
        <v>6.12</v>
      </c>
      <c r="C1481" s="176"/>
      <c r="D1481" s="176"/>
      <c r="E1481" s="176"/>
    </row>
    <row r="1482" spans="1:5" x14ac:dyDescent="0.2">
      <c r="A1482" s="175">
        <v>36307</v>
      </c>
      <c r="B1482" s="176">
        <v>6.15</v>
      </c>
      <c r="C1482" s="176"/>
      <c r="D1482" s="176"/>
      <c r="E1482" s="176"/>
    </row>
    <row r="1483" spans="1:5" x14ac:dyDescent="0.2">
      <c r="A1483" s="175">
        <v>36308</v>
      </c>
      <c r="B1483" s="176">
        <v>6.15</v>
      </c>
      <c r="C1483" s="176"/>
      <c r="D1483" s="176"/>
      <c r="E1483" s="176"/>
    </row>
    <row r="1484" spans="1:5" x14ac:dyDescent="0.2">
      <c r="A1484" s="175">
        <v>36311</v>
      </c>
      <c r="B1484" s="176" t="e">
        <f>NA()</f>
        <v>#N/A</v>
      </c>
      <c r="C1484" s="176"/>
      <c r="D1484" s="176"/>
      <c r="E1484" s="176"/>
    </row>
    <row r="1485" spans="1:5" x14ac:dyDescent="0.2">
      <c r="A1485" s="175">
        <v>36312</v>
      </c>
      <c r="B1485" s="176">
        <v>6.27</v>
      </c>
      <c r="C1485" s="176"/>
      <c r="D1485" s="176"/>
      <c r="E1485" s="176"/>
    </row>
    <row r="1486" spans="1:5" x14ac:dyDescent="0.2">
      <c r="A1486" s="175">
        <v>36313</v>
      </c>
      <c r="B1486" s="176">
        <v>6.26</v>
      </c>
      <c r="C1486" s="176"/>
      <c r="D1486" s="176"/>
      <c r="E1486" s="176"/>
    </row>
    <row r="1487" spans="1:5" x14ac:dyDescent="0.2">
      <c r="A1487" s="175">
        <v>36314</v>
      </c>
      <c r="B1487" s="176">
        <v>6.25</v>
      </c>
      <c r="C1487" s="176"/>
      <c r="D1487" s="176"/>
      <c r="E1487" s="176"/>
    </row>
    <row r="1488" spans="1:5" x14ac:dyDescent="0.2">
      <c r="A1488" s="175">
        <v>36315</v>
      </c>
      <c r="B1488" s="176">
        <v>6.28</v>
      </c>
      <c r="C1488" s="176"/>
      <c r="D1488" s="176"/>
      <c r="E1488" s="176"/>
    </row>
    <row r="1489" spans="1:5" x14ac:dyDescent="0.2">
      <c r="A1489" s="175">
        <v>36318</v>
      </c>
      <c r="B1489" s="176">
        <v>6.27</v>
      </c>
      <c r="C1489" s="176"/>
      <c r="D1489" s="176"/>
      <c r="E1489" s="176"/>
    </row>
    <row r="1490" spans="1:5" x14ac:dyDescent="0.2">
      <c r="A1490" s="175">
        <v>36319</v>
      </c>
      <c r="B1490" s="176">
        <v>6.3</v>
      </c>
      <c r="C1490" s="176"/>
      <c r="D1490" s="176"/>
      <c r="E1490" s="176"/>
    </row>
    <row r="1491" spans="1:5" x14ac:dyDescent="0.2">
      <c r="A1491" s="175">
        <v>36320</v>
      </c>
      <c r="B1491" s="176">
        <v>6.32</v>
      </c>
      <c r="C1491" s="176"/>
      <c r="D1491" s="176"/>
      <c r="E1491" s="176"/>
    </row>
    <row r="1492" spans="1:5" x14ac:dyDescent="0.2">
      <c r="A1492" s="175">
        <v>36321</v>
      </c>
      <c r="B1492" s="176">
        <v>6.37</v>
      </c>
      <c r="C1492" s="176"/>
      <c r="D1492" s="176"/>
      <c r="E1492" s="176"/>
    </row>
    <row r="1493" spans="1:5" x14ac:dyDescent="0.2">
      <c r="A1493" s="175">
        <v>36322</v>
      </c>
      <c r="B1493" s="176">
        <v>6.47</v>
      </c>
      <c r="C1493" s="176"/>
      <c r="D1493" s="176"/>
      <c r="E1493" s="176"/>
    </row>
    <row r="1494" spans="1:5" x14ac:dyDescent="0.2">
      <c r="A1494" s="175">
        <v>36325</v>
      </c>
      <c r="B1494" s="176">
        <v>6.43</v>
      </c>
      <c r="C1494" s="176"/>
      <c r="D1494" s="176"/>
      <c r="E1494" s="176"/>
    </row>
    <row r="1495" spans="1:5" x14ac:dyDescent="0.2">
      <c r="A1495" s="175">
        <v>36326</v>
      </c>
      <c r="B1495" s="176">
        <v>6.43</v>
      </c>
      <c r="C1495" s="176"/>
      <c r="D1495" s="176"/>
      <c r="E1495" s="176"/>
    </row>
    <row r="1496" spans="1:5" x14ac:dyDescent="0.2">
      <c r="A1496" s="175">
        <v>36327</v>
      </c>
      <c r="B1496" s="176">
        <v>6.4</v>
      </c>
      <c r="C1496" s="176"/>
      <c r="D1496" s="176"/>
      <c r="E1496" s="176"/>
    </row>
    <row r="1497" spans="1:5" x14ac:dyDescent="0.2">
      <c r="A1497" s="175">
        <v>36328</v>
      </c>
      <c r="B1497" s="176">
        <v>6.27</v>
      </c>
      <c r="C1497" s="176"/>
      <c r="D1497" s="176"/>
      <c r="E1497" s="176"/>
    </row>
    <row r="1498" spans="1:5" x14ac:dyDescent="0.2">
      <c r="A1498" s="175">
        <v>36329</v>
      </c>
      <c r="B1498" s="176">
        <v>6.3</v>
      </c>
      <c r="C1498" s="176"/>
      <c r="D1498" s="176"/>
      <c r="E1498" s="176"/>
    </row>
    <row r="1499" spans="1:5" x14ac:dyDescent="0.2">
      <c r="A1499" s="175">
        <v>36332</v>
      </c>
      <c r="B1499" s="176">
        <v>6.36</v>
      </c>
      <c r="C1499" s="176"/>
      <c r="D1499" s="176"/>
      <c r="E1499" s="176"/>
    </row>
    <row r="1500" spans="1:5" x14ac:dyDescent="0.2">
      <c r="A1500" s="175">
        <v>36333</v>
      </c>
      <c r="B1500" s="176">
        <v>6.41</v>
      </c>
      <c r="C1500" s="176"/>
      <c r="D1500" s="176"/>
      <c r="E1500" s="176"/>
    </row>
    <row r="1501" spans="1:5" x14ac:dyDescent="0.2">
      <c r="A1501" s="175">
        <v>36334</v>
      </c>
      <c r="B1501" s="176">
        <v>6.47</v>
      </c>
      <c r="C1501" s="176"/>
      <c r="D1501" s="176"/>
      <c r="E1501" s="176"/>
    </row>
    <row r="1502" spans="1:5" x14ac:dyDescent="0.2">
      <c r="A1502" s="175">
        <v>36335</v>
      </c>
      <c r="B1502" s="176">
        <v>6.51</v>
      </c>
      <c r="C1502" s="176"/>
      <c r="D1502" s="176"/>
      <c r="E1502" s="176"/>
    </row>
    <row r="1503" spans="1:5" x14ac:dyDescent="0.2">
      <c r="A1503" s="175">
        <v>36336</v>
      </c>
      <c r="B1503" s="176">
        <v>6.49</v>
      </c>
      <c r="C1503" s="176"/>
      <c r="D1503" s="176"/>
      <c r="E1503" s="176"/>
    </row>
    <row r="1504" spans="1:5" x14ac:dyDescent="0.2">
      <c r="A1504" s="175">
        <v>36339</v>
      </c>
      <c r="B1504" s="176">
        <v>6.42</v>
      </c>
      <c r="C1504" s="176"/>
      <c r="D1504" s="176"/>
      <c r="E1504" s="176"/>
    </row>
    <row r="1505" spans="1:5" x14ac:dyDescent="0.2">
      <c r="A1505" s="175">
        <v>36340</v>
      </c>
      <c r="B1505" s="176">
        <v>6.38</v>
      </c>
      <c r="C1505" s="176"/>
      <c r="D1505" s="176"/>
      <c r="E1505" s="176"/>
    </row>
    <row r="1506" spans="1:5" x14ac:dyDescent="0.2">
      <c r="A1506" s="175">
        <v>36341</v>
      </c>
      <c r="B1506" s="176">
        <v>6.29</v>
      </c>
      <c r="C1506" s="176"/>
      <c r="D1506" s="176"/>
      <c r="E1506" s="176"/>
    </row>
    <row r="1507" spans="1:5" x14ac:dyDescent="0.2">
      <c r="A1507" s="175">
        <v>36342</v>
      </c>
      <c r="B1507" s="176">
        <v>6.32</v>
      </c>
      <c r="C1507" s="176"/>
      <c r="D1507" s="176"/>
      <c r="E1507" s="176"/>
    </row>
    <row r="1508" spans="1:5" x14ac:dyDescent="0.2">
      <c r="A1508" s="175">
        <v>36343</v>
      </c>
      <c r="B1508" s="176">
        <v>6.3</v>
      </c>
      <c r="C1508" s="176"/>
      <c r="D1508" s="176"/>
      <c r="E1508" s="176"/>
    </row>
    <row r="1509" spans="1:5" x14ac:dyDescent="0.2">
      <c r="A1509" s="175">
        <v>36346</v>
      </c>
      <c r="B1509" s="176" t="e">
        <f>NA()</f>
        <v>#N/A</v>
      </c>
      <c r="C1509" s="176"/>
      <c r="D1509" s="176"/>
      <c r="E1509" s="176"/>
    </row>
    <row r="1510" spans="1:5" x14ac:dyDescent="0.2">
      <c r="A1510" s="175">
        <v>36347</v>
      </c>
      <c r="B1510" s="176">
        <v>6.34</v>
      </c>
      <c r="C1510" s="176"/>
      <c r="D1510" s="176"/>
      <c r="E1510" s="176"/>
    </row>
    <row r="1511" spans="1:5" x14ac:dyDescent="0.2">
      <c r="A1511" s="175">
        <v>36348</v>
      </c>
      <c r="B1511" s="176">
        <v>6.36</v>
      </c>
      <c r="C1511" s="176"/>
      <c r="D1511" s="176"/>
      <c r="E1511" s="176"/>
    </row>
    <row r="1512" spans="1:5" x14ac:dyDescent="0.2">
      <c r="A1512" s="175">
        <v>36349</v>
      </c>
      <c r="B1512" s="176">
        <v>6.3</v>
      </c>
      <c r="C1512" s="176"/>
      <c r="D1512" s="176"/>
      <c r="E1512" s="176"/>
    </row>
    <row r="1513" spans="1:5" x14ac:dyDescent="0.2">
      <c r="A1513" s="175">
        <v>36350</v>
      </c>
      <c r="B1513" s="176">
        <v>6.3</v>
      </c>
      <c r="C1513" s="176"/>
      <c r="D1513" s="176"/>
      <c r="E1513" s="176"/>
    </row>
    <row r="1514" spans="1:5" x14ac:dyDescent="0.2">
      <c r="A1514" s="175">
        <v>36353</v>
      </c>
      <c r="B1514" s="176">
        <v>6.2</v>
      </c>
      <c r="C1514" s="176"/>
      <c r="D1514" s="176"/>
      <c r="E1514" s="176"/>
    </row>
    <row r="1515" spans="1:5" x14ac:dyDescent="0.2">
      <c r="A1515" s="175">
        <v>36354</v>
      </c>
      <c r="B1515" s="176">
        <v>6.19</v>
      </c>
      <c r="C1515" s="176"/>
      <c r="D1515" s="176"/>
      <c r="E1515" s="176"/>
    </row>
    <row r="1516" spans="1:5" x14ac:dyDescent="0.2">
      <c r="A1516" s="175">
        <v>36355</v>
      </c>
      <c r="B1516" s="176">
        <v>6.21</v>
      </c>
      <c r="C1516" s="176"/>
      <c r="D1516" s="176"/>
      <c r="E1516" s="176"/>
    </row>
    <row r="1517" spans="1:5" x14ac:dyDescent="0.2">
      <c r="A1517" s="175">
        <v>36356</v>
      </c>
      <c r="B1517" s="176">
        <v>6.2</v>
      </c>
      <c r="C1517" s="176"/>
      <c r="D1517" s="176"/>
      <c r="E1517" s="176"/>
    </row>
    <row r="1518" spans="1:5" x14ac:dyDescent="0.2">
      <c r="A1518" s="175">
        <v>36357</v>
      </c>
      <c r="B1518" s="176">
        <v>6.18</v>
      </c>
      <c r="C1518" s="176"/>
      <c r="D1518" s="176"/>
      <c r="E1518" s="176"/>
    </row>
    <row r="1519" spans="1:5" x14ac:dyDescent="0.2">
      <c r="A1519" s="175">
        <v>36360</v>
      </c>
      <c r="B1519" s="176">
        <v>6.19</v>
      </c>
      <c r="C1519" s="176"/>
      <c r="D1519" s="176"/>
      <c r="E1519" s="176"/>
    </row>
    <row r="1520" spans="1:5" x14ac:dyDescent="0.2">
      <c r="A1520" s="175">
        <v>36361</v>
      </c>
      <c r="B1520" s="176">
        <v>6.18</v>
      </c>
      <c r="C1520" s="176"/>
      <c r="D1520" s="176"/>
      <c r="E1520" s="176"/>
    </row>
    <row r="1521" spans="1:5" x14ac:dyDescent="0.2">
      <c r="A1521" s="175">
        <v>36362</v>
      </c>
      <c r="B1521" s="176">
        <v>6.2</v>
      </c>
      <c r="C1521" s="176"/>
      <c r="D1521" s="176"/>
      <c r="E1521" s="176"/>
    </row>
    <row r="1522" spans="1:5" x14ac:dyDescent="0.2">
      <c r="A1522" s="175">
        <v>36363</v>
      </c>
      <c r="B1522" s="176">
        <v>6.27</v>
      </c>
      <c r="C1522" s="176"/>
      <c r="D1522" s="176"/>
      <c r="E1522" s="176"/>
    </row>
    <row r="1523" spans="1:5" x14ac:dyDescent="0.2">
      <c r="A1523" s="175">
        <v>36364</v>
      </c>
      <c r="B1523" s="176">
        <v>6.32</v>
      </c>
      <c r="C1523" s="176"/>
      <c r="D1523" s="176"/>
      <c r="E1523" s="176"/>
    </row>
    <row r="1524" spans="1:5" x14ac:dyDescent="0.2">
      <c r="A1524" s="175">
        <v>36367</v>
      </c>
      <c r="B1524" s="176">
        <v>6.34</v>
      </c>
      <c r="C1524" s="176"/>
      <c r="D1524" s="176"/>
      <c r="E1524" s="176"/>
    </row>
    <row r="1525" spans="1:5" x14ac:dyDescent="0.2">
      <c r="A1525" s="175">
        <v>36368</v>
      </c>
      <c r="B1525" s="176">
        <v>6.31</v>
      </c>
      <c r="C1525" s="176"/>
      <c r="D1525" s="176"/>
      <c r="E1525" s="176"/>
    </row>
    <row r="1526" spans="1:5" x14ac:dyDescent="0.2">
      <c r="A1526" s="175">
        <v>36369</v>
      </c>
      <c r="B1526" s="176">
        <v>6.3</v>
      </c>
      <c r="C1526" s="176"/>
      <c r="D1526" s="176"/>
      <c r="E1526" s="176"/>
    </row>
    <row r="1527" spans="1:5" x14ac:dyDescent="0.2">
      <c r="A1527" s="175">
        <v>36370</v>
      </c>
      <c r="B1527" s="176">
        <v>6.37</v>
      </c>
      <c r="C1527" s="176"/>
      <c r="D1527" s="176"/>
      <c r="E1527" s="176"/>
    </row>
    <row r="1528" spans="1:5" x14ac:dyDescent="0.2">
      <c r="A1528" s="175">
        <v>36371</v>
      </c>
      <c r="B1528" s="176">
        <v>6.4</v>
      </c>
      <c r="C1528" s="176"/>
      <c r="D1528" s="176"/>
      <c r="E1528" s="176"/>
    </row>
    <row r="1529" spans="1:5" x14ac:dyDescent="0.2">
      <c r="A1529" s="175">
        <v>36374</v>
      </c>
      <c r="B1529" s="176">
        <v>6.4</v>
      </c>
      <c r="C1529" s="176"/>
      <c r="D1529" s="176"/>
      <c r="E1529" s="176"/>
    </row>
    <row r="1530" spans="1:5" x14ac:dyDescent="0.2">
      <c r="A1530" s="175">
        <v>36375</v>
      </c>
      <c r="B1530" s="176">
        <v>6.42</v>
      </c>
      <c r="C1530" s="176"/>
      <c r="D1530" s="176"/>
      <c r="E1530" s="176"/>
    </row>
    <row r="1531" spans="1:5" x14ac:dyDescent="0.2">
      <c r="A1531" s="175">
        <v>36376</v>
      </c>
      <c r="B1531" s="176">
        <v>6.41</v>
      </c>
      <c r="C1531" s="176"/>
      <c r="D1531" s="176"/>
      <c r="E1531" s="176"/>
    </row>
    <row r="1532" spans="1:5" x14ac:dyDescent="0.2">
      <c r="A1532" s="175">
        <v>36377</v>
      </c>
      <c r="B1532" s="176">
        <v>6.38</v>
      </c>
      <c r="C1532" s="176"/>
      <c r="D1532" s="176"/>
      <c r="E1532" s="176"/>
    </row>
    <row r="1533" spans="1:5" x14ac:dyDescent="0.2">
      <c r="A1533" s="175">
        <v>36378</v>
      </c>
      <c r="B1533" s="176">
        <v>6.48</v>
      </c>
      <c r="C1533" s="176"/>
      <c r="D1533" s="176"/>
      <c r="E1533" s="176"/>
    </row>
    <row r="1534" spans="1:5" x14ac:dyDescent="0.2">
      <c r="A1534" s="175">
        <v>36381</v>
      </c>
      <c r="B1534" s="176">
        <v>6.54</v>
      </c>
      <c r="C1534" s="176"/>
      <c r="D1534" s="176"/>
      <c r="E1534" s="176"/>
    </row>
    <row r="1535" spans="1:5" x14ac:dyDescent="0.2">
      <c r="A1535" s="175">
        <v>36382</v>
      </c>
      <c r="B1535" s="176">
        <v>6.55</v>
      </c>
      <c r="C1535" s="176"/>
      <c r="D1535" s="176"/>
      <c r="E1535" s="176"/>
    </row>
    <row r="1536" spans="1:5" x14ac:dyDescent="0.2">
      <c r="A1536" s="175">
        <v>36383</v>
      </c>
      <c r="B1536" s="176">
        <v>6.52</v>
      </c>
      <c r="C1536" s="176"/>
      <c r="D1536" s="176"/>
      <c r="E1536" s="176"/>
    </row>
    <row r="1537" spans="1:5" x14ac:dyDescent="0.2">
      <c r="A1537" s="175">
        <v>36384</v>
      </c>
      <c r="B1537" s="176">
        <v>6.56</v>
      </c>
      <c r="C1537" s="176"/>
      <c r="D1537" s="176"/>
      <c r="E1537" s="176"/>
    </row>
    <row r="1538" spans="1:5" x14ac:dyDescent="0.2">
      <c r="A1538" s="175">
        <v>36385</v>
      </c>
      <c r="B1538" s="176">
        <v>6.45</v>
      </c>
      <c r="C1538" s="176"/>
      <c r="D1538" s="176"/>
      <c r="E1538" s="176"/>
    </row>
    <row r="1539" spans="1:5" x14ac:dyDescent="0.2">
      <c r="A1539" s="175">
        <v>36388</v>
      </c>
      <c r="B1539" s="176">
        <v>6.48</v>
      </c>
      <c r="C1539" s="176"/>
      <c r="D1539" s="176"/>
      <c r="E1539" s="176"/>
    </row>
    <row r="1540" spans="1:5" x14ac:dyDescent="0.2">
      <c r="A1540" s="175">
        <v>36389</v>
      </c>
      <c r="B1540" s="176">
        <v>6.41</v>
      </c>
      <c r="C1540" s="176"/>
      <c r="D1540" s="176"/>
      <c r="E1540" s="176"/>
    </row>
    <row r="1541" spans="1:5" x14ac:dyDescent="0.2">
      <c r="A1541" s="175">
        <v>36390</v>
      </c>
      <c r="B1541" s="176">
        <v>6.41</v>
      </c>
      <c r="C1541" s="176"/>
      <c r="D1541" s="176"/>
      <c r="E1541" s="176"/>
    </row>
    <row r="1542" spans="1:5" x14ac:dyDescent="0.2">
      <c r="A1542" s="175">
        <v>36391</v>
      </c>
      <c r="B1542" s="176">
        <v>6.43</v>
      </c>
      <c r="C1542" s="176"/>
      <c r="D1542" s="176"/>
      <c r="E1542" s="176"/>
    </row>
    <row r="1543" spans="1:5" x14ac:dyDescent="0.2">
      <c r="A1543" s="175">
        <v>36392</v>
      </c>
      <c r="B1543" s="176">
        <v>6.41</v>
      </c>
      <c r="C1543" s="176"/>
      <c r="D1543" s="176"/>
      <c r="E1543" s="176"/>
    </row>
    <row r="1544" spans="1:5" x14ac:dyDescent="0.2">
      <c r="A1544" s="175">
        <v>36395</v>
      </c>
      <c r="B1544" s="176">
        <v>6.41</v>
      </c>
      <c r="C1544" s="176"/>
      <c r="D1544" s="176"/>
      <c r="E1544" s="176"/>
    </row>
    <row r="1545" spans="1:5" x14ac:dyDescent="0.2">
      <c r="A1545" s="175">
        <v>36396</v>
      </c>
      <c r="B1545" s="176">
        <v>6.38</v>
      </c>
      <c r="C1545" s="176"/>
      <c r="D1545" s="176"/>
      <c r="E1545" s="176"/>
    </row>
    <row r="1546" spans="1:5" x14ac:dyDescent="0.2">
      <c r="A1546" s="175">
        <v>36397</v>
      </c>
      <c r="B1546" s="176">
        <v>6.28</v>
      </c>
      <c r="C1546" s="176"/>
      <c r="D1546" s="176"/>
      <c r="E1546" s="176"/>
    </row>
    <row r="1547" spans="1:5" x14ac:dyDescent="0.2">
      <c r="A1547" s="175">
        <v>36398</v>
      </c>
      <c r="B1547" s="176">
        <v>6.29</v>
      </c>
      <c r="C1547" s="176"/>
      <c r="D1547" s="176"/>
      <c r="E1547" s="176"/>
    </row>
    <row r="1548" spans="1:5" x14ac:dyDescent="0.2">
      <c r="A1548" s="175">
        <v>36399</v>
      </c>
      <c r="B1548" s="176">
        <v>6.38</v>
      </c>
      <c r="C1548" s="176"/>
      <c r="D1548" s="176"/>
      <c r="E1548" s="176"/>
    </row>
    <row r="1549" spans="1:5" x14ac:dyDescent="0.2">
      <c r="A1549" s="175">
        <v>36402</v>
      </c>
      <c r="B1549" s="176">
        <v>6.48</v>
      </c>
      <c r="C1549" s="176"/>
      <c r="D1549" s="176"/>
      <c r="E1549" s="176"/>
    </row>
    <row r="1550" spans="1:5" x14ac:dyDescent="0.2">
      <c r="A1550" s="175">
        <v>36403</v>
      </c>
      <c r="B1550" s="176">
        <v>6.49</v>
      </c>
      <c r="C1550" s="176"/>
      <c r="D1550" s="176"/>
      <c r="E1550" s="176"/>
    </row>
    <row r="1551" spans="1:5" x14ac:dyDescent="0.2">
      <c r="A1551" s="175">
        <v>36404</v>
      </c>
      <c r="B1551" s="176">
        <v>6.5</v>
      </c>
      <c r="C1551" s="176"/>
      <c r="D1551" s="176"/>
      <c r="E1551" s="176"/>
    </row>
    <row r="1552" spans="1:5" x14ac:dyDescent="0.2">
      <c r="A1552" s="175">
        <v>36405</v>
      </c>
      <c r="B1552" s="176">
        <v>6.58</v>
      </c>
      <c r="C1552" s="176"/>
      <c r="D1552" s="176"/>
      <c r="E1552" s="176"/>
    </row>
    <row r="1553" spans="1:5" x14ac:dyDescent="0.2">
      <c r="A1553" s="175">
        <v>36406</v>
      </c>
      <c r="B1553" s="176">
        <v>6.45</v>
      </c>
      <c r="C1553" s="176"/>
      <c r="D1553" s="176"/>
      <c r="E1553" s="176"/>
    </row>
    <row r="1554" spans="1:5" x14ac:dyDescent="0.2">
      <c r="A1554" s="175">
        <v>36409</v>
      </c>
      <c r="B1554" s="177" t="e">
        <f>NA()</f>
        <v>#N/A</v>
      </c>
      <c r="C1554" s="177"/>
      <c r="D1554" s="177"/>
      <c r="E1554" s="177"/>
    </row>
    <row r="1555" spans="1:5" x14ac:dyDescent="0.2">
      <c r="A1555" s="175">
        <v>36410</v>
      </c>
      <c r="B1555" s="176">
        <v>6.52</v>
      </c>
      <c r="C1555" s="176"/>
      <c r="D1555" s="176"/>
      <c r="E1555" s="176"/>
    </row>
    <row r="1556" spans="1:5" x14ac:dyDescent="0.2">
      <c r="A1556" s="175">
        <v>36411</v>
      </c>
      <c r="B1556" s="176">
        <v>6.5</v>
      </c>
      <c r="C1556" s="176"/>
      <c r="D1556" s="176"/>
      <c r="E1556" s="176"/>
    </row>
    <row r="1557" spans="1:5" x14ac:dyDescent="0.2">
      <c r="A1557" s="175">
        <v>36412</v>
      </c>
      <c r="B1557" s="176">
        <v>6.54</v>
      </c>
      <c r="C1557" s="176"/>
      <c r="D1557" s="176"/>
      <c r="E1557" s="176"/>
    </row>
    <row r="1558" spans="1:5" x14ac:dyDescent="0.2">
      <c r="A1558" s="175">
        <v>36413</v>
      </c>
      <c r="B1558" s="176">
        <v>6.48</v>
      </c>
      <c r="C1558" s="176"/>
      <c r="D1558" s="176"/>
      <c r="E1558" s="176"/>
    </row>
    <row r="1559" spans="1:5" x14ac:dyDescent="0.2">
      <c r="A1559" s="175">
        <v>36416</v>
      </c>
      <c r="B1559" s="176">
        <v>6.51</v>
      </c>
      <c r="C1559" s="176"/>
      <c r="D1559" s="176"/>
      <c r="E1559" s="176"/>
    </row>
    <row r="1560" spans="1:5" x14ac:dyDescent="0.2">
      <c r="A1560" s="175">
        <v>36417</v>
      </c>
      <c r="B1560" s="176">
        <v>6.57</v>
      </c>
      <c r="C1560" s="176"/>
      <c r="D1560" s="176"/>
      <c r="E1560" s="176"/>
    </row>
    <row r="1561" spans="1:5" x14ac:dyDescent="0.2">
      <c r="A1561" s="175">
        <v>36418</v>
      </c>
      <c r="B1561" s="176">
        <v>6.56</v>
      </c>
      <c r="C1561" s="176"/>
      <c r="D1561" s="176"/>
      <c r="E1561" s="176"/>
    </row>
    <row r="1562" spans="1:5" x14ac:dyDescent="0.2">
      <c r="A1562" s="175">
        <v>36419</v>
      </c>
      <c r="B1562" s="176">
        <v>6.51</v>
      </c>
      <c r="C1562" s="176"/>
      <c r="D1562" s="176"/>
      <c r="E1562" s="176"/>
    </row>
    <row r="1563" spans="1:5" x14ac:dyDescent="0.2">
      <c r="A1563" s="175">
        <v>36420</v>
      </c>
      <c r="B1563" s="176">
        <v>6.47</v>
      </c>
      <c r="C1563" s="176"/>
      <c r="D1563" s="176"/>
      <c r="E1563" s="176"/>
    </row>
    <row r="1564" spans="1:5" x14ac:dyDescent="0.2">
      <c r="A1564" s="175">
        <v>36423</v>
      </c>
      <c r="B1564" s="176">
        <v>6.5</v>
      </c>
      <c r="C1564" s="176"/>
      <c r="D1564" s="176"/>
      <c r="E1564" s="176"/>
    </row>
    <row r="1565" spans="1:5" x14ac:dyDescent="0.2">
      <c r="A1565" s="175">
        <v>36424</v>
      </c>
      <c r="B1565" s="176">
        <v>6.52</v>
      </c>
      <c r="C1565" s="176"/>
      <c r="D1565" s="176"/>
      <c r="E1565" s="176"/>
    </row>
    <row r="1566" spans="1:5" x14ac:dyDescent="0.2">
      <c r="A1566" s="175">
        <v>36425</v>
      </c>
      <c r="B1566" s="176">
        <v>6.5</v>
      </c>
      <c r="C1566" s="176"/>
      <c r="D1566" s="176"/>
      <c r="E1566" s="176"/>
    </row>
    <row r="1567" spans="1:5" x14ac:dyDescent="0.2">
      <c r="A1567" s="175">
        <v>36426</v>
      </c>
      <c r="B1567" s="176">
        <v>6.44</v>
      </c>
      <c r="C1567" s="176"/>
      <c r="D1567" s="176"/>
      <c r="E1567" s="176"/>
    </row>
    <row r="1568" spans="1:5" x14ac:dyDescent="0.2">
      <c r="A1568" s="175">
        <v>36427</v>
      </c>
      <c r="B1568" s="176">
        <v>6.36</v>
      </c>
      <c r="C1568" s="176"/>
      <c r="D1568" s="176"/>
      <c r="E1568" s="176"/>
    </row>
    <row r="1569" spans="1:5" x14ac:dyDescent="0.2">
      <c r="A1569" s="175">
        <v>36430</v>
      </c>
      <c r="B1569" s="176">
        <v>6.42</v>
      </c>
      <c r="C1569" s="176"/>
      <c r="D1569" s="176"/>
      <c r="E1569" s="176"/>
    </row>
    <row r="1570" spans="1:5" x14ac:dyDescent="0.2">
      <c r="A1570" s="175">
        <v>36431</v>
      </c>
      <c r="B1570" s="176">
        <v>6.47</v>
      </c>
      <c r="C1570" s="176"/>
      <c r="D1570" s="176"/>
      <c r="E1570" s="176"/>
    </row>
    <row r="1571" spans="1:5" x14ac:dyDescent="0.2">
      <c r="A1571" s="175">
        <v>36432</v>
      </c>
      <c r="B1571" s="176">
        <v>6.55</v>
      </c>
      <c r="C1571" s="176"/>
      <c r="D1571" s="176"/>
      <c r="E1571" s="176"/>
    </row>
    <row r="1572" spans="1:5" x14ac:dyDescent="0.2">
      <c r="A1572" s="175">
        <v>36433</v>
      </c>
      <c r="B1572" s="176">
        <v>6.47</v>
      </c>
      <c r="C1572" s="176"/>
      <c r="D1572" s="176"/>
      <c r="E1572" s="176"/>
    </row>
    <row r="1573" spans="1:5" x14ac:dyDescent="0.2">
      <c r="A1573" s="175">
        <v>36434</v>
      </c>
      <c r="B1573" s="176">
        <v>6.57</v>
      </c>
      <c r="C1573" s="176"/>
      <c r="D1573" s="176"/>
      <c r="E1573" s="176"/>
    </row>
    <row r="1574" spans="1:5" x14ac:dyDescent="0.2">
      <c r="A1574" s="175">
        <v>36437</v>
      </c>
      <c r="B1574" s="176">
        <v>6.51</v>
      </c>
      <c r="C1574" s="176"/>
      <c r="D1574" s="176"/>
      <c r="E1574" s="176"/>
    </row>
    <row r="1575" spans="1:5" x14ac:dyDescent="0.2">
      <c r="A1575" s="175">
        <v>36438</v>
      </c>
      <c r="B1575" s="176">
        <v>6.59</v>
      </c>
      <c r="C1575" s="176"/>
      <c r="D1575" s="176"/>
      <c r="E1575" s="176"/>
    </row>
    <row r="1576" spans="1:5" x14ac:dyDescent="0.2">
      <c r="A1576" s="175">
        <v>36439</v>
      </c>
      <c r="B1576" s="176">
        <v>6.6</v>
      </c>
      <c r="C1576" s="176"/>
      <c r="D1576" s="176"/>
      <c r="E1576" s="176"/>
    </row>
    <row r="1577" spans="1:5" x14ac:dyDescent="0.2">
      <c r="A1577" s="175">
        <v>36440</v>
      </c>
      <c r="B1577" s="176">
        <v>6.6</v>
      </c>
      <c r="C1577" s="176"/>
      <c r="D1577" s="176"/>
      <c r="E1577" s="176"/>
    </row>
    <row r="1578" spans="1:5" x14ac:dyDescent="0.2">
      <c r="A1578" s="175">
        <v>36441</v>
      </c>
      <c r="B1578" s="176">
        <v>6.61</v>
      </c>
      <c r="C1578" s="176"/>
      <c r="D1578" s="176"/>
      <c r="E1578" s="176"/>
    </row>
    <row r="1579" spans="1:5" x14ac:dyDescent="0.2">
      <c r="A1579" s="175">
        <v>36444</v>
      </c>
      <c r="B1579" s="177" t="e">
        <f>NA()</f>
        <v>#N/A</v>
      </c>
      <c r="C1579" s="177"/>
      <c r="D1579" s="177"/>
      <c r="E1579" s="177"/>
    </row>
    <row r="1580" spans="1:5" x14ac:dyDescent="0.2">
      <c r="A1580" s="175">
        <v>36445</v>
      </c>
      <c r="B1580" s="176">
        <v>6.63</v>
      </c>
      <c r="C1580" s="176"/>
      <c r="D1580" s="176"/>
      <c r="E1580" s="176"/>
    </row>
    <row r="1581" spans="1:5" x14ac:dyDescent="0.2">
      <c r="A1581" s="175">
        <v>36446</v>
      </c>
      <c r="B1581" s="176">
        <v>6.69</v>
      </c>
      <c r="C1581" s="176"/>
      <c r="D1581" s="176"/>
      <c r="E1581" s="176"/>
    </row>
    <row r="1582" spans="1:5" x14ac:dyDescent="0.2">
      <c r="A1582" s="175">
        <v>36447</v>
      </c>
      <c r="B1582" s="176">
        <v>6.73</v>
      </c>
      <c r="C1582" s="176"/>
      <c r="D1582" s="176"/>
      <c r="E1582" s="176"/>
    </row>
    <row r="1583" spans="1:5" x14ac:dyDescent="0.2">
      <c r="A1583" s="175">
        <v>36448</v>
      </c>
      <c r="B1583" s="176">
        <v>6.66</v>
      </c>
      <c r="C1583" s="176"/>
      <c r="D1583" s="176"/>
      <c r="E1583" s="176"/>
    </row>
    <row r="1584" spans="1:5" x14ac:dyDescent="0.2">
      <c r="A1584" s="175">
        <v>36451</v>
      </c>
      <c r="B1584" s="176">
        <v>6.69</v>
      </c>
      <c r="C1584" s="176"/>
      <c r="D1584" s="176"/>
      <c r="E1584" s="176"/>
    </row>
    <row r="1585" spans="1:5" x14ac:dyDescent="0.2">
      <c r="A1585" s="175">
        <v>36452</v>
      </c>
      <c r="B1585" s="176">
        <v>6.74</v>
      </c>
      <c r="C1585" s="176"/>
      <c r="D1585" s="176"/>
      <c r="E1585" s="176"/>
    </row>
    <row r="1586" spans="1:5" x14ac:dyDescent="0.2">
      <c r="A1586" s="175">
        <v>36453</v>
      </c>
      <c r="B1586" s="176">
        <v>6.74</v>
      </c>
      <c r="C1586" s="176"/>
      <c r="D1586" s="176"/>
      <c r="E1586" s="176"/>
    </row>
    <row r="1587" spans="1:5" x14ac:dyDescent="0.2">
      <c r="A1587" s="175">
        <v>36454</v>
      </c>
      <c r="B1587" s="176">
        <v>6.76</v>
      </c>
      <c r="C1587" s="176"/>
      <c r="D1587" s="176"/>
      <c r="E1587" s="176"/>
    </row>
    <row r="1588" spans="1:5" x14ac:dyDescent="0.2">
      <c r="A1588" s="175">
        <v>36455</v>
      </c>
      <c r="B1588" s="176">
        <v>6.76</v>
      </c>
      <c r="C1588" s="176"/>
      <c r="D1588" s="176"/>
      <c r="E1588" s="176"/>
    </row>
    <row r="1589" spans="1:5" x14ac:dyDescent="0.2">
      <c r="A1589" s="175">
        <v>36458</v>
      </c>
      <c r="B1589" s="176">
        <v>6.75</v>
      </c>
      <c r="C1589" s="176"/>
      <c r="D1589" s="176"/>
      <c r="E1589" s="176"/>
    </row>
    <row r="1590" spans="1:5" x14ac:dyDescent="0.2">
      <c r="A1590" s="175">
        <v>36459</v>
      </c>
      <c r="B1590" s="176">
        <v>6.77</v>
      </c>
      <c r="C1590" s="176"/>
      <c r="D1590" s="176"/>
      <c r="E1590" s="176"/>
    </row>
    <row r="1591" spans="1:5" x14ac:dyDescent="0.2">
      <c r="A1591" s="175">
        <v>36460</v>
      </c>
      <c r="B1591" s="176">
        <v>6.71</v>
      </c>
      <c r="C1591" s="176"/>
      <c r="D1591" s="176"/>
      <c r="E1591" s="176"/>
    </row>
    <row r="1592" spans="1:5" x14ac:dyDescent="0.2">
      <c r="A1592" s="175">
        <v>36461</v>
      </c>
      <c r="B1592" s="176">
        <v>6.63</v>
      </c>
      <c r="C1592" s="176"/>
      <c r="D1592" s="176"/>
      <c r="E1592" s="176"/>
    </row>
    <row r="1593" spans="1:5" x14ac:dyDescent="0.2">
      <c r="A1593" s="175">
        <v>36462</v>
      </c>
      <c r="B1593" s="176">
        <v>6.52</v>
      </c>
      <c r="C1593" s="176"/>
      <c r="D1593" s="176"/>
      <c r="E1593" s="176"/>
    </row>
    <row r="1594" spans="1:5" x14ac:dyDescent="0.2">
      <c r="A1594" s="175">
        <v>36465</v>
      </c>
      <c r="B1594" s="176">
        <v>6.55</v>
      </c>
      <c r="C1594" s="176"/>
      <c r="D1594" s="176"/>
      <c r="E1594" s="176"/>
    </row>
    <row r="1595" spans="1:5" x14ac:dyDescent="0.2">
      <c r="A1595" s="175">
        <v>36466</v>
      </c>
      <c r="B1595" s="176">
        <v>6.51</v>
      </c>
      <c r="C1595" s="176"/>
      <c r="D1595" s="176"/>
      <c r="E1595" s="176"/>
    </row>
    <row r="1596" spans="1:5" x14ac:dyDescent="0.2">
      <c r="A1596" s="175">
        <v>36467</v>
      </c>
      <c r="B1596" s="176">
        <v>6.49</v>
      </c>
      <c r="C1596" s="176"/>
      <c r="D1596" s="176"/>
      <c r="E1596" s="176"/>
    </row>
    <row r="1597" spans="1:5" x14ac:dyDescent="0.2">
      <c r="A1597" s="175">
        <v>36468</v>
      </c>
      <c r="B1597" s="176">
        <v>6.45</v>
      </c>
      <c r="C1597" s="176"/>
      <c r="D1597" s="176"/>
      <c r="E1597" s="176"/>
    </row>
    <row r="1598" spans="1:5" x14ac:dyDescent="0.2">
      <c r="A1598" s="175">
        <v>36469</v>
      </c>
      <c r="B1598" s="176">
        <v>6.41</v>
      </c>
      <c r="C1598" s="176"/>
      <c r="D1598" s="176"/>
      <c r="E1598" s="176"/>
    </row>
    <row r="1599" spans="1:5" x14ac:dyDescent="0.2">
      <c r="A1599" s="175">
        <v>36472</v>
      </c>
      <c r="B1599" s="176">
        <v>6.42</v>
      </c>
      <c r="C1599" s="176"/>
      <c r="D1599" s="176"/>
      <c r="E1599" s="176"/>
    </row>
    <row r="1600" spans="1:5" x14ac:dyDescent="0.2">
      <c r="A1600" s="175">
        <v>36473</v>
      </c>
      <c r="B1600" s="176">
        <v>6.43</v>
      </c>
      <c r="C1600" s="176"/>
      <c r="D1600" s="176"/>
      <c r="E1600" s="176"/>
    </row>
    <row r="1601" spans="1:5" x14ac:dyDescent="0.2">
      <c r="A1601" s="175">
        <v>36474</v>
      </c>
      <c r="B1601" s="176">
        <v>6.45</v>
      </c>
      <c r="C1601" s="176"/>
      <c r="D1601" s="176"/>
      <c r="E1601" s="176"/>
    </row>
    <row r="1602" spans="1:5" x14ac:dyDescent="0.2">
      <c r="A1602" s="175">
        <v>36475</v>
      </c>
      <c r="B1602" s="176" t="e">
        <f>NA()</f>
        <v>#N/A</v>
      </c>
      <c r="C1602" s="176"/>
      <c r="D1602" s="176"/>
      <c r="E1602" s="176"/>
    </row>
    <row r="1603" spans="1:5" x14ac:dyDescent="0.2">
      <c r="A1603" s="175">
        <v>36476</v>
      </c>
      <c r="B1603" s="176">
        <v>6.37</v>
      </c>
      <c r="C1603" s="176"/>
      <c r="D1603" s="176"/>
      <c r="E1603" s="176"/>
    </row>
    <row r="1604" spans="1:5" x14ac:dyDescent="0.2">
      <c r="A1604" s="175">
        <v>36479</v>
      </c>
      <c r="B1604" s="176">
        <v>6.37</v>
      </c>
      <c r="C1604" s="176"/>
      <c r="D1604" s="176"/>
      <c r="E1604" s="176"/>
    </row>
    <row r="1605" spans="1:5" x14ac:dyDescent="0.2">
      <c r="A1605" s="175">
        <v>36480</v>
      </c>
      <c r="B1605" s="176">
        <v>6.4</v>
      </c>
      <c r="C1605" s="176"/>
      <c r="D1605" s="176"/>
      <c r="E1605" s="176"/>
    </row>
    <row r="1606" spans="1:5" x14ac:dyDescent="0.2">
      <c r="A1606" s="175">
        <v>36481</v>
      </c>
      <c r="B1606" s="176">
        <v>6.46</v>
      </c>
      <c r="C1606" s="176"/>
      <c r="D1606" s="176"/>
      <c r="E1606" s="176"/>
    </row>
    <row r="1607" spans="1:5" x14ac:dyDescent="0.2">
      <c r="A1607" s="175">
        <v>36482</v>
      </c>
      <c r="B1607" s="176">
        <v>6.49</v>
      </c>
      <c r="C1607" s="176"/>
      <c r="D1607" s="176"/>
      <c r="E1607" s="176"/>
    </row>
    <row r="1608" spans="1:5" x14ac:dyDescent="0.2">
      <c r="A1608" s="175">
        <v>36483</v>
      </c>
      <c r="B1608" s="176">
        <v>6.48</v>
      </c>
      <c r="C1608" s="176"/>
      <c r="D1608" s="176"/>
      <c r="E1608" s="176"/>
    </row>
    <row r="1609" spans="1:5" x14ac:dyDescent="0.2">
      <c r="A1609" s="175">
        <v>36486</v>
      </c>
      <c r="B1609" s="176">
        <v>6.51</v>
      </c>
      <c r="C1609" s="176"/>
      <c r="D1609" s="176"/>
      <c r="E1609" s="176"/>
    </row>
    <row r="1610" spans="1:5" x14ac:dyDescent="0.2">
      <c r="A1610" s="175">
        <v>36487</v>
      </c>
      <c r="B1610" s="176">
        <v>6.51</v>
      </c>
      <c r="C1610" s="176"/>
      <c r="D1610" s="176"/>
      <c r="E1610" s="176"/>
    </row>
    <row r="1611" spans="1:5" x14ac:dyDescent="0.2">
      <c r="A1611" s="175">
        <v>36488</v>
      </c>
      <c r="B1611" s="176">
        <v>6.53</v>
      </c>
      <c r="C1611" s="176"/>
      <c r="D1611" s="176"/>
      <c r="E1611" s="176"/>
    </row>
    <row r="1612" spans="1:5" x14ac:dyDescent="0.2">
      <c r="A1612" s="175">
        <v>36489</v>
      </c>
      <c r="B1612" s="176" t="e">
        <f>NA()</f>
        <v>#N/A</v>
      </c>
      <c r="C1612" s="176"/>
      <c r="D1612" s="176"/>
      <c r="E1612" s="176"/>
    </row>
    <row r="1613" spans="1:5" x14ac:dyDescent="0.2">
      <c r="A1613" s="175">
        <v>36490</v>
      </c>
      <c r="B1613" s="176">
        <v>6.57</v>
      </c>
      <c r="C1613" s="176"/>
      <c r="D1613" s="176"/>
      <c r="E1613" s="176"/>
    </row>
    <row r="1614" spans="1:5" x14ac:dyDescent="0.2">
      <c r="A1614" s="175">
        <v>36493</v>
      </c>
      <c r="B1614" s="176">
        <v>6.66</v>
      </c>
      <c r="C1614" s="176"/>
      <c r="D1614" s="176"/>
      <c r="E1614" s="176"/>
    </row>
    <row r="1615" spans="1:5" x14ac:dyDescent="0.2">
      <c r="A1615" s="175">
        <v>36494</v>
      </c>
      <c r="B1615" s="176">
        <v>6.62</v>
      </c>
      <c r="C1615" s="176"/>
      <c r="D1615" s="176"/>
      <c r="E1615" s="176"/>
    </row>
    <row r="1616" spans="1:5" x14ac:dyDescent="0.2">
      <c r="A1616" s="175">
        <v>36495</v>
      </c>
      <c r="B1616" s="176">
        <v>6.65</v>
      </c>
      <c r="C1616" s="176"/>
      <c r="D1616" s="176"/>
      <c r="E1616" s="176"/>
    </row>
    <row r="1617" spans="1:5" x14ac:dyDescent="0.2">
      <c r="A1617" s="175">
        <v>36496</v>
      </c>
      <c r="B1617" s="176">
        <v>6.67</v>
      </c>
      <c r="C1617" s="176"/>
      <c r="D1617" s="176"/>
      <c r="E1617" s="176"/>
    </row>
    <row r="1618" spans="1:5" x14ac:dyDescent="0.2">
      <c r="A1618" s="175">
        <v>36497</v>
      </c>
      <c r="B1618" s="176">
        <v>6.6</v>
      </c>
      <c r="C1618" s="176"/>
      <c r="D1618" s="176"/>
      <c r="E1618" s="176"/>
    </row>
    <row r="1619" spans="1:5" x14ac:dyDescent="0.2">
      <c r="A1619" s="175">
        <v>36500</v>
      </c>
      <c r="B1619" s="176">
        <v>6.58</v>
      </c>
      <c r="C1619" s="176"/>
      <c r="D1619" s="176"/>
      <c r="E1619" s="176"/>
    </row>
    <row r="1620" spans="1:5" x14ac:dyDescent="0.2">
      <c r="A1620" s="175">
        <v>36501</v>
      </c>
      <c r="B1620" s="176">
        <v>6.54</v>
      </c>
      <c r="C1620" s="176"/>
      <c r="D1620" s="176"/>
      <c r="E1620" s="176"/>
    </row>
    <row r="1621" spans="1:5" x14ac:dyDescent="0.2">
      <c r="A1621" s="175">
        <v>36502</v>
      </c>
      <c r="B1621" s="176">
        <v>6.57</v>
      </c>
      <c r="C1621" s="176"/>
      <c r="D1621" s="176"/>
      <c r="E1621" s="176"/>
    </row>
    <row r="1622" spans="1:5" x14ac:dyDescent="0.2">
      <c r="A1622" s="175">
        <v>36503</v>
      </c>
      <c r="B1622" s="176">
        <v>6.55</v>
      </c>
      <c r="C1622" s="176"/>
      <c r="D1622" s="176"/>
      <c r="E1622" s="176"/>
    </row>
    <row r="1623" spans="1:5" x14ac:dyDescent="0.2">
      <c r="A1623" s="175">
        <v>36504</v>
      </c>
      <c r="B1623" s="176">
        <v>6.48</v>
      </c>
      <c r="C1623" s="176"/>
      <c r="D1623" s="176"/>
      <c r="E1623" s="176"/>
    </row>
    <row r="1624" spans="1:5" x14ac:dyDescent="0.2">
      <c r="A1624" s="175">
        <v>36507</v>
      </c>
      <c r="B1624" s="177">
        <v>6.52</v>
      </c>
      <c r="C1624" s="177"/>
      <c r="D1624" s="177"/>
      <c r="E1624" s="177"/>
    </row>
    <row r="1625" spans="1:5" x14ac:dyDescent="0.2">
      <c r="A1625" s="175">
        <v>36508</v>
      </c>
      <c r="B1625" s="176">
        <v>6.64</v>
      </c>
      <c r="C1625" s="176"/>
      <c r="D1625" s="176"/>
      <c r="E1625" s="176"/>
    </row>
    <row r="1626" spans="1:5" x14ac:dyDescent="0.2">
      <c r="A1626" s="175">
        <v>36509</v>
      </c>
      <c r="B1626" s="176">
        <v>6.68</v>
      </c>
      <c r="C1626" s="176"/>
      <c r="D1626" s="176"/>
      <c r="E1626" s="176"/>
    </row>
    <row r="1627" spans="1:5" x14ac:dyDescent="0.2">
      <c r="A1627" s="175">
        <v>36510</v>
      </c>
      <c r="B1627" s="176">
        <v>6.75</v>
      </c>
      <c r="C1627" s="176"/>
      <c r="D1627" s="176"/>
      <c r="E1627" s="176"/>
    </row>
    <row r="1628" spans="1:5" x14ac:dyDescent="0.2">
      <c r="A1628" s="175">
        <v>36511</v>
      </c>
      <c r="B1628" s="176">
        <v>6.74</v>
      </c>
      <c r="C1628" s="176"/>
      <c r="D1628" s="176"/>
      <c r="E1628" s="176"/>
    </row>
    <row r="1629" spans="1:5" x14ac:dyDescent="0.2">
      <c r="A1629" s="175">
        <v>36514</v>
      </c>
      <c r="B1629" s="176">
        <v>6.81</v>
      </c>
      <c r="C1629" s="176"/>
      <c r="D1629" s="176"/>
      <c r="E1629" s="176"/>
    </row>
    <row r="1630" spans="1:5" x14ac:dyDescent="0.2">
      <c r="A1630" s="175">
        <v>36515</v>
      </c>
      <c r="B1630" s="176">
        <v>6.83</v>
      </c>
      <c r="C1630" s="176"/>
      <c r="D1630" s="176"/>
      <c r="E1630" s="176"/>
    </row>
    <row r="1631" spans="1:5" x14ac:dyDescent="0.2">
      <c r="A1631" s="175">
        <v>36516</v>
      </c>
      <c r="B1631" s="176">
        <v>6.82</v>
      </c>
      <c r="C1631" s="176"/>
      <c r="D1631" s="176"/>
      <c r="E1631" s="176"/>
    </row>
    <row r="1632" spans="1:5" x14ac:dyDescent="0.2">
      <c r="A1632" s="175">
        <v>36517</v>
      </c>
      <c r="B1632" s="176">
        <v>6.83</v>
      </c>
      <c r="C1632" s="176"/>
      <c r="D1632" s="176"/>
      <c r="E1632" s="176"/>
    </row>
    <row r="1633" spans="1:5" x14ac:dyDescent="0.2">
      <c r="A1633" s="175">
        <v>36518</v>
      </c>
      <c r="B1633" s="176" t="e">
        <f>NA()</f>
        <v>#N/A</v>
      </c>
      <c r="C1633" s="176"/>
      <c r="D1633" s="176"/>
      <c r="E1633" s="176"/>
    </row>
    <row r="1634" spans="1:5" x14ac:dyDescent="0.2">
      <c r="A1634" s="175">
        <v>36521</v>
      </c>
      <c r="B1634" s="176">
        <v>6.8</v>
      </c>
      <c r="C1634" s="176"/>
      <c r="D1634" s="176"/>
      <c r="E1634" s="176"/>
    </row>
    <row r="1635" spans="1:5" x14ac:dyDescent="0.2">
      <c r="A1635" s="175">
        <v>36522</v>
      </c>
      <c r="B1635" s="176">
        <v>6.82</v>
      </c>
      <c r="C1635" s="176"/>
      <c r="D1635" s="176"/>
      <c r="E1635" s="176"/>
    </row>
    <row r="1636" spans="1:5" x14ac:dyDescent="0.2">
      <c r="A1636" s="175">
        <v>36523</v>
      </c>
      <c r="B1636" s="176">
        <v>6.79</v>
      </c>
      <c r="C1636" s="176"/>
      <c r="D1636" s="176"/>
      <c r="E1636" s="176"/>
    </row>
    <row r="1637" spans="1:5" x14ac:dyDescent="0.2">
      <c r="A1637" s="175">
        <v>36524</v>
      </c>
      <c r="B1637" s="176">
        <v>6.78</v>
      </c>
      <c r="C1637" s="176"/>
      <c r="D1637" s="176"/>
      <c r="E1637" s="176"/>
    </row>
    <row r="1638" spans="1:5" x14ac:dyDescent="0.2">
      <c r="A1638" s="175">
        <v>36525</v>
      </c>
      <c r="B1638" s="176">
        <v>6.83</v>
      </c>
      <c r="C1638" s="176"/>
      <c r="D1638" s="176"/>
      <c r="E1638" s="176"/>
    </row>
    <row r="1639" spans="1:5" x14ac:dyDescent="0.2">
      <c r="A1639" s="175">
        <v>36528</v>
      </c>
      <c r="B1639" s="176">
        <v>6.94</v>
      </c>
      <c r="C1639" s="176"/>
      <c r="D1639" s="176"/>
      <c r="E1639" s="176"/>
    </row>
    <row r="1640" spans="1:5" x14ac:dyDescent="0.2">
      <c r="A1640" s="175">
        <v>36529</v>
      </c>
      <c r="B1640" s="176">
        <v>6.84</v>
      </c>
      <c r="C1640" s="176"/>
      <c r="D1640" s="176"/>
      <c r="E1640" s="176"/>
    </row>
    <row r="1641" spans="1:5" x14ac:dyDescent="0.2">
      <c r="A1641" s="175">
        <v>36530</v>
      </c>
      <c r="B1641" s="176">
        <v>6.95</v>
      </c>
      <c r="C1641" s="176"/>
      <c r="D1641" s="176"/>
      <c r="E1641" s="176"/>
    </row>
    <row r="1642" spans="1:5" x14ac:dyDescent="0.2">
      <c r="A1642" s="175">
        <v>36531</v>
      </c>
      <c r="B1642" s="176">
        <v>6.86</v>
      </c>
      <c r="C1642" s="176"/>
      <c r="D1642" s="176"/>
      <c r="E1642" s="176"/>
    </row>
    <row r="1643" spans="1:5" x14ac:dyDescent="0.2">
      <c r="A1643" s="175">
        <v>36532</v>
      </c>
      <c r="B1643" s="176">
        <v>6.82</v>
      </c>
      <c r="C1643" s="176"/>
      <c r="D1643" s="176"/>
      <c r="E1643" s="176"/>
    </row>
    <row r="1644" spans="1:5" x14ac:dyDescent="0.2">
      <c r="A1644" s="175">
        <v>36535</v>
      </c>
      <c r="B1644" s="176">
        <v>6.86</v>
      </c>
      <c r="C1644" s="176"/>
      <c r="D1644" s="176"/>
      <c r="E1644" s="176"/>
    </row>
    <row r="1645" spans="1:5" x14ac:dyDescent="0.2">
      <c r="A1645" s="175">
        <v>36536</v>
      </c>
      <c r="B1645" s="176">
        <v>6.94</v>
      </c>
      <c r="C1645" s="176"/>
      <c r="D1645" s="176"/>
      <c r="E1645" s="176"/>
    </row>
    <row r="1646" spans="1:5" x14ac:dyDescent="0.2">
      <c r="A1646" s="175">
        <v>36537</v>
      </c>
      <c r="B1646" s="176">
        <v>6.97</v>
      </c>
      <c r="C1646" s="176"/>
      <c r="D1646" s="176"/>
      <c r="E1646" s="176"/>
    </row>
    <row r="1647" spans="1:5" x14ac:dyDescent="0.2">
      <c r="A1647" s="175">
        <v>36538</v>
      </c>
      <c r="B1647" s="176">
        <v>6.88</v>
      </c>
      <c r="C1647" s="176"/>
      <c r="D1647" s="176"/>
      <c r="E1647" s="176"/>
    </row>
    <row r="1648" spans="1:5" x14ac:dyDescent="0.2">
      <c r="A1648" s="175">
        <v>36539</v>
      </c>
      <c r="B1648" s="176">
        <v>6.91</v>
      </c>
      <c r="C1648" s="176"/>
      <c r="D1648" s="176"/>
      <c r="E1648" s="176"/>
    </row>
    <row r="1649" spans="1:5" x14ac:dyDescent="0.2">
      <c r="A1649" s="175">
        <v>36542</v>
      </c>
      <c r="B1649" s="177" t="e">
        <f>NA()</f>
        <v>#N/A</v>
      </c>
      <c r="C1649" s="177"/>
      <c r="D1649" s="177"/>
      <c r="E1649" s="177"/>
    </row>
    <row r="1650" spans="1:5" x14ac:dyDescent="0.2">
      <c r="A1650" s="175">
        <v>36543</v>
      </c>
      <c r="B1650" s="176">
        <v>6.94</v>
      </c>
      <c r="C1650" s="176"/>
      <c r="D1650" s="176"/>
      <c r="E1650" s="176"/>
    </row>
    <row r="1651" spans="1:5" x14ac:dyDescent="0.2">
      <c r="A1651" s="175">
        <v>36544</v>
      </c>
      <c r="B1651" s="176">
        <v>6.91</v>
      </c>
      <c r="C1651" s="176"/>
      <c r="D1651" s="176"/>
      <c r="E1651" s="176"/>
    </row>
    <row r="1652" spans="1:5" x14ac:dyDescent="0.2">
      <c r="A1652" s="175">
        <v>36545</v>
      </c>
      <c r="B1652" s="176">
        <v>6.93</v>
      </c>
      <c r="C1652" s="176"/>
      <c r="D1652" s="176"/>
      <c r="E1652" s="176"/>
    </row>
    <row r="1653" spans="1:5" x14ac:dyDescent="0.2">
      <c r="A1653" s="175">
        <v>36546</v>
      </c>
      <c r="B1653" s="176">
        <v>6.91</v>
      </c>
      <c r="C1653" s="176"/>
      <c r="D1653" s="176"/>
      <c r="E1653" s="176"/>
    </row>
    <row r="1654" spans="1:5" x14ac:dyDescent="0.2">
      <c r="A1654" s="175">
        <v>36549</v>
      </c>
      <c r="B1654" s="176">
        <v>6.86</v>
      </c>
      <c r="C1654" s="176"/>
      <c r="D1654" s="176"/>
      <c r="E1654" s="176"/>
    </row>
    <row r="1655" spans="1:5" x14ac:dyDescent="0.2">
      <c r="A1655" s="175">
        <v>36550</v>
      </c>
      <c r="B1655" s="176">
        <v>6.84</v>
      </c>
      <c r="C1655" s="176"/>
      <c r="D1655" s="176"/>
      <c r="E1655" s="176"/>
    </row>
    <row r="1656" spans="1:5" x14ac:dyDescent="0.2">
      <c r="A1656" s="175">
        <v>36551</v>
      </c>
      <c r="B1656" s="176">
        <v>6.79</v>
      </c>
      <c r="C1656" s="176"/>
      <c r="D1656" s="176"/>
      <c r="E1656" s="176"/>
    </row>
    <row r="1657" spans="1:5" x14ac:dyDescent="0.2">
      <c r="A1657" s="175">
        <v>36552</v>
      </c>
      <c r="B1657" s="176">
        <v>6.73</v>
      </c>
      <c r="C1657" s="176"/>
      <c r="D1657" s="176"/>
      <c r="E1657" s="176"/>
    </row>
    <row r="1658" spans="1:5" x14ac:dyDescent="0.2">
      <c r="A1658" s="175">
        <v>36553</v>
      </c>
      <c r="B1658" s="176">
        <v>6.65</v>
      </c>
      <c r="C1658" s="176"/>
      <c r="D1658" s="176"/>
      <c r="E1658" s="176"/>
    </row>
    <row r="1659" spans="1:5" x14ac:dyDescent="0.2">
      <c r="A1659" s="175">
        <v>36556</v>
      </c>
      <c r="B1659" s="176">
        <v>6.72</v>
      </c>
      <c r="C1659" s="176"/>
      <c r="D1659" s="176"/>
      <c r="E1659" s="176"/>
    </row>
    <row r="1660" spans="1:5" x14ac:dyDescent="0.2">
      <c r="A1660" s="175">
        <v>36557</v>
      </c>
      <c r="B1660" s="176">
        <v>6.66</v>
      </c>
      <c r="C1660" s="176"/>
      <c r="D1660" s="176"/>
      <c r="E1660" s="176"/>
    </row>
    <row r="1661" spans="1:5" x14ac:dyDescent="0.2">
      <c r="A1661" s="175">
        <v>36558</v>
      </c>
      <c r="B1661" s="176">
        <v>6.61</v>
      </c>
      <c r="C1661" s="176"/>
      <c r="D1661" s="176"/>
      <c r="E1661" s="176"/>
    </row>
    <row r="1662" spans="1:5" x14ac:dyDescent="0.2">
      <c r="A1662" s="175">
        <v>36559</v>
      </c>
      <c r="B1662" s="176">
        <v>6.52</v>
      </c>
      <c r="C1662" s="176"/>
      <c r="D1662" s="176"/>
      <c r="E1662" s="176"/>
    </row>
    <row r="1663" spans="1:5" x14ac:dyDescent="0.2">
      <c r="A1663" s="175">
        <v>36560</v>
      </c>
      <c r="B1663" s="176">
        <v>6.54</v>
      </c>
      <c r="C1663" s="176"/>
      <c r="D1663" s="176"/>
      <c r="E1663" s="176"/>
    </row>
    <row r="1664" spans="1:5" x14ac:dyDescent="0.2">
      <c r="A1664" s="175">
        <v>36563</v>
      </c>
      <c r="B1664" s="176">
        <v>6.62</v>
      </c>
      <c r="C1664" s="176"/>
      <c r="D1664" s="176"/>
      <c r="E1664" s="176"/>
    </row>
    <row r="1665" spans="1:5" x14ac:dyDescent="0.2">
      <c r="A1665" s="175">
        <v>36564</v>
      </c>
      <c r="B1665" s="176">
        <v>6.51</v>
      </c>
      <c r="C1665" s="176"/>
      <c r="D1665" s="176"/>
      <c r="E1665" s="176"/>
    </row>
    <row r="1666" spans="1:5" x14ac:dyDescent="0.2">
      <c r="A1666" s="175">
        <v>36565</v>
      </c>
      <c r="B1666" s="176">
        <v>6.6</v>
      </c>
      <c r="C1666" s="176"/>
      <c r="D1666" s="176"/>
      <c r="E1666" s="176"/>
    </row>
    <row r="1667" spans="1:5" x14ac:dyDescent="0.2">
      <c r="A1667" s="175">
        <v>36566</v>
      </c>
      <c r="B1667" s="176">
        <v>6.67</v>
      </c>
      <c r="C1667" s="176"/>
      <c r="D1667" s="176"/>
      <c r="E1667" s="176"/>
    </row>
    <row r="1668" spans="1:5" x14ac:dyDescent="0.2">
      <c r="A1668" s="175">
        <v>36567</v>
      </c>
      <c r="B1668" s="176">
        <v>6.62</v>
      </c>
      <c r="C1668" s="176"/>
      <c r="D1668" s="176"/>
      <c r="E1668" s="176"/>
    </row>
    <row r="1669" spans="1:5" x14ac:dyDescent="0.2">
      <c r="A1669" s="175">
        <v>36570</v>
      </c>
      <c r="B1669" s="176">
        <v>6.55</v>
      </c>
      <c r="C1669" s="176"/>
      <c r="D1669" s="176"/>
      <c r="E1669" s="176"/>
    </row>
    <row r="1670" spans="1:5" x14ac:dyDescent="0.2">
      <c r="A1670" s="175">
        <v>36571</v>
      </c>
      <c r="B1670" s="176">
        <v>6.59</v>
      </c>
      <c r="C1670" s="176"/>
      <c r="D1670" s="176"/>
      <c r="E1670" s="176"/>
    </row>
    <row r="1671" spans="1:5" x14ac:dyDescent="0.2">
      <c r="A1671" s="175">
        <v>36572</v>
      </c>
      <c r="B1671" s="176">
        <v>6.6</v>
      </c>
      <c r="C1671" s="176"/>
      <c r="D1671" s="176"/>
      <c r="E1671" s="176"/>
    </row>
    <row r="1672" spans="1:5" x14ac:dyDescent="0.2">
      <c r="A1672" s="175">
        <v>36573</v>
      </c>
      <c r="B1672" s="177">
        <v>6.55</v>
      </c>
      <c r="C1672" s="177"/>
      <c r="D1672" s="177"/>
      <c r="E1672" s="177"/>
    </row>
    <row r="1673" spans="1:5" x14ac:dyDescent="0.2">
      <c r="A1673" s="175">
        <v>36574</v>
      </c>
      <c r="B1673" s="176">
        <v>6.47</v>
      </c>
      <c r="C1673" s="176"/>
      <c r="D1673" s="176"/>
      <c r="E1673" s="176"/>
    </row>
    <row r="1674" spans="1:5" x14ac:dyDescent="0.2">
      <c r="A1674" s="175">
        <v>36577</v>
      </c>
      <c r="B1674" s="176" t="e">
        <f>NA()</f>
        <v>#N/A</v>
      </c>
      <c r="C1674" s="176"/>
      <c r="D1674" s="176"/>
      <c r="E1674" s="176"/>
    </row>
    <row r="1675" spans="1:5" x14ac:dyDescent="0.2">
      <c r="A1675" s="175">
        <v>36578</v>
      </c>
      <c r="B1675" s="176">
        <v>6.39</v>
      </c>
      <c r="C1675" s="176"/>
      <c r="D1675" s="176"/>
      <c r="E1675" s="176"/>
    </row>
    <row r="1676" spans="1:5" x14ac:dyDescent="0.2">
      <c r="A1676" s="175">
        <v>36579</v>
      </c>
      <c r="B1676" s="176">
        <v>6.45</v>
      </c>
      <c r="C1676" s="176"/>
      <c r="D1676" s="176"/>
      <c r="E1676" s="176"/>
    </row>
    <row r="1677" spans="1:5" x14ac:dyDescent="0.2">
      <c r="A1677" s="175">
        <v>36580</v>
      </c>
      <c r="B1677" s="176">
        <v>6.43</v>
      </c>
      <c r="C1677" s="176"/>
      <c r="D1677" s="176"/>
      <c r="E1677" s="176"/>
    </row>
    <row r="1678" spans="1:5" x14ac:dyDescent="0.2">
      <c r="A1678" s="175">
        <v>36581</v>
      </c>
      <c r="B1678" s="176">
        <v>6.47</v>
      </c>
      <c r="C1678" s="176"/>
      <c r="D1678" s="176"/>
      <c r="E1678" s="176"/>
    </row>
    <row r="1679" spans="1:5" x14ac:dyDescent="0.2">
      <c r="A1679" s="175">
        <v>36584</v>
      </c>
      <c r="B1679" s="176">
        <v>6.47</v>
      </c>
      <c r="C1679" s="176"/>
      <c r="D1679" s="176"/>
      <c r="E1679" s="176"/>
    </row>
    <row r="1680" spans="1:5" x14ac:dyDescent="0.2">
      <c r="A1680" s="175">
        <v>36585</v>
      </c>
      <c r="B1680" s="176">
        <v>6.46</v>
      </c>
      <c r="C1680" s="176"/>
      <c r="D1680" s="176"/>
      <c r="E1680" s="176"/>
    </row>
    <row r="1681" spans="1:5" x14ac:dyDescent="0.2">
      <c r="A1681" s="175">
        <v>36586</v>
      </c>
      <c r="B1681" s="176">
        <v>6.48</v>
      </c>
      <c r="C1681" s="176"/>
      <c r="D1681" s="176"/>
      <c r="E1681" s="176"/>
    </row>
    <row r="1682" spans="1:5" x14ac:dyDescent="0.2">
      <c r="A1682" s="175">
        <v>36587</v>
      </c>
      <c r="B1682" s="177">
        <v>6.45</v>
      </c>
      <c r="C1682" s="177"/>
      <c r="D1682" s="177"/>
      <c r="E1682" s="177"/>
    </row>
    <row r="1683" spans="1:5" x14ac:dyDescent="0.2">
      <c r="A1683" s="175">
        <v>36588</v>
      </c>
      <c r="B1683" s="176">
        <v>6.41</v>
      </c>
      <c r="C1683" s="176"/>
      <c r="D1683" s="176"/>
      <c r="E1683" s="176"/>
    </row>
    <row r="1684" spans="1:5" x14ac:dyDescent="0.2">
      <c r="A1684" s="175">
        <v>36591</v>
      </c>
      <c r="B1684" s="176">
        <v>6.46</v>
      </c>
      <c r="C1684" s="176"/>
      <c r="D1684" s="176"/>
      <c r="E1684" s="176"/>
    </row>
    <row r="1685" spans="1:5" x14ac:dyDescent="0.2">
      <c r="A1685" s="175">
        <v>36592</v>
      </c>
      <c r="B1685" s="176">
        <v>6.46</v>
      </c>
      <c r="C1685" s="176"/>
      <c r="D1685" s="176"/>
      <c r="E1685" s="176"/>
    </row>
    <row r="1686" spans="1:5" x14ac:dyDescent="0.2">
      <c r="A1686" s="175">
        <v>36593</v>
      </c>
      <c r="B1686" s="176">
        <v>6.48</v>
      </c>
      <c r="C1686" s="176"/>
      <c r="D1686" s="176"/>
      <c r="E1686" s="176"/>
    </row>
    <row r="1687" spans="1:5" x14ac:dyDescent="0.2">
      <c r="A1687" s="175">
        <v>36594</v>
      </c>
      <c r="B1687" s="176">
        <v>6.47</v>
      </c>
      <c r="C1687" s="176"/>
      <c r="D1687" s="176"/>
      <c r="E1687" s="176"/>
    </row>
    <row r="1688" spans="1:5" x14ac:dyDescent="0.2">
      <c r="A1688" s="175">
        <v>36595</v>
      </c>
      <c r="B1688" s="176">
        <v>6.52</v>
      </c>
      <c r="C1688" s="176"/>
      <c r="D1688" s="176"/>
      <c r="E1688" s="176"/>
    </row>
    <row r="1689" spans="1:5" x14ac:dyDescent="0.2">
      <c r="A1689" s="175">
        <v>36598</v>
      </c>
      <c r="B1689" s="176">
        <v>6.5</v>
      </c>
      <c r="C1689" s="176"/>
      <c r="D1689" s="176"/>
      <c r="E1689" s="176"/>
    </row>
    <row r="1690" spans="1:5" x14ac:dyDescent="0.2">
      <c r="A1690" s="175">
        <v>36599</v>
      </c>
      <c r="B1690" s="176">
        <v>6.43</v>
      </c>
      <c r="C1690" s="176"/>
      <c r="D1690" s="176"/>
      <c r="E1690" s="176"/>
    </row>
    <row r="1691" spans="1:5" x14ac:dyDescent="0.2">
      <c r="A1691" s="175">
        <v>36600</v>
      </c>
      <c r="B1691" s="176">
        <v>6.39</v>
      </c>
      <c r="C1691" s="176"/>
      <c r="D1691" s="176"/>
      <c r="E1691" s="176"/>
    </row>
    <row r="1692" spans="1:5" x14ac:dyDescent="0.2">
      <c r="A1692" s="175">
        <v>36601</v>
      </c>
      <c r="B1692" s="176">
        <v>6.37</v>
      </c>
      <c r="C1692" s="176"/>
      <c r="D1692" s="176"/>
      <c r="E1692" s="176"/>
    </row>
    <row r="1693" spans="1:5" x14ac:dyDescent="0.2">
      <c r="A1693" s="175">
        <v>36602</v>
      </c>
      <c r="B1693" s="176">
        <v>6.33</v>
      </c>
      <c r="C1693" s="176"/>
      <c r="D1693" s="176"/>
      <c r="E1693" s="176"/>
    </row>
    <row r="1694" spans="1:5" x14ac:dyDescent="0.2">
      <c r="A1694" s="175">
        <v>36605</v>
      </c>
      <c r="B1694" s="176">
        <v>6.31</v>
      </c>
      <c r="C1694" s="176"/>
      <c r="D1694" s="176"/>
      <c r="E1694" s="176"/>
    </row>
    <row r="1695" spans="1:5" x14ac:dyDescent="0.2">
      <c r="A1695" s="175">
        <v>36606</v>
      </c>
      <c r="B1695" s="176">
        <v>6.28</v>
      </c>
      <c r="C1695" s="176"/>
      <c r="D1695" s="176"/>
      <c r="E1695" s="176"/>
    </row>
    <row r="1696" spans="1:5" x14ac:dyDescent="0.2">
      <c r="A1696" s="175">
        <v>36607</v>
      </c>
      <c r="B1696" s="176">
        <v>6.3</v>
      </c>
      <c r="C1696" s="176"/>
      <c r="D1696" s="176"/>
      <c r="E1696" s="176"/>
    </row>
    <row r="1697" spans="1:5" x14ac:dyDescent="0.2">
      <c r="A1697" s="175">
        <v>36608</v>
      </c>
      <c r="B1697" s="176">
        <v>6.25</v>
      </c>
      <c r="C1697" s="176"/>
      <c r="D1697" s="176"/>
      <c r="E1697" s="176"/>
    </row>
    <row r="1698" spans="1:5" x14ac:dyDescent="0.2">
      <c r="A1698" s="175">
        <v>36609</v>
      </c>
      <c r="B1698" s="176">
        <v>6.36</v>
      </c>
      <c r="C1698" s="176"/>
      <c r="D1698" s="176"/>
      <c r="E1698" s="176"/>
    </row>
    <row r="1699" spans="1:5" x14ac:dyDescent="0.2">
      <c r="A1699" s="175">
        <v>36612</v>
      </c>
      <c r="B1699" s="176">
        <v>6.35</v>
      </c>
      <c r="C1699" s="176"/>
      <c r="D1699" s="176"/>
      <c r="E1699" s="176"/>
    </row>
    <row r="1700" spans="1:5" x14ac:dyDescent="0.2">
      <c r="A1700" s="175">
        <v>36613</v>
      </c>
      <c r="B1700" s="176">
        <v>6.34</v>
      </c>
      <c r="C1700" s="176"/>
      <c r="D1700" s="176"/>
      <c r="E1700" s="176"/>
    </row>
    <row r="1701" spans="1:5" x14ac:dyDescent="0.2">
      <c r="A1701" s="175">
        <v>36614</v>
      </c>
      <c r="B1701" s="176">
        <v>6.35</v>
      </c>
      <c r="C1701" s="176"/>
      <c r="D1701" s="176"/>
      <c r="E1701" s="176"/>
    </row>
    <row r="1702" spans="1:5" x14ac:dyDescent="0.2">
      <c r="A1702" s="175">
        <v>36615</v>
      </c>
      <c r="B1702" s="176">
        <v>6.26</v>
      </c>
      <c r="C1702" s="176"/>
      <c r="D1702" s="176"/>
      <c r="E1702" s="176"/>
    </row>
    <row r="1703" spans="1:5" x14ac:dyDescent="0.2">
      <c r="A1703" s="175">
        <v>36616</v>
      </c>
      <c r="B1703" s="177">
        <v>6.2</v>
      </c>
      <c r="C1703" s="177"/>
      <c r="D1703" s="177"/>
      <c r="E1703" s="177"/>
    </row>
    <row r="1704" spans="1:5" x14ac:dyDescent="0.2">
      <c r="A1704" s="175">
        <v>36619</v>
      </c>
      <c r="B1704" s="176">
        <v>6.19</v>
      </c>
      <c r="C1704" s="176"/>
      <c r="D1704" s="176"/>
      <c r="E1704" s="176"/>
    </row>
    <row r="1705" spans="1:5" x14ac:dyDescent="0.2">
      <c r="A1705" s="175">
        <v>36620</v>
      </c>
      <c r="B1705" s="176">
        <v>6.12</v>
      </c>
      <c r="C1705" s="176"/>
      <c r="D1705" s="176"/>
      <c r="E1705" s="176"/>
    </row>
    <row r="1706" spans="1:5" x14ac:dyDescent="0.2">
      <c r="A1706" s="175">
        <v>36621</v>
      </c>
      <c r="B1706" s="176">
        <v>6.14</v>
      </c>
      <c r="C1706" s="176"/>
      <c r="D1706" s="176"/>
      <c r="E1706" s="176"/>
    </row>
    <row r="1707" spans="1:5" x14ac:dyDescent="0.2">
      <c r="A1707" s="175">
        <v>36622</v>
      </c>
      <c r="B1707" s="176">
        <v>6.12</v>
      </c>
      <c r="C1707" s="176"/>
      <c r="D1707" s="176"/>
      <c r="E1707" s="176"/>
    </row>
    <row r="1708" spans="1:5" x14ac:dyDescent="0.2">
      <c r="A1708" s="175">
        <v>36623</v>
      </c>
      <c r="B1708" s="176">
        <v>6.04</v>
      </c>
      <c r="C1708" s="176"/>
      <c r="D1708" s="176"/>
      <c r="E1708" s="176"/>
    </row>
    <row r="1709" spans="1:5" x14ac:dyDescent="0.2">
      <c r="A1709" s="175">
        <v>36626</v>
      </c>
      <c r="B1709" s="176">
        <v>6.04</v>
      </c>
      <c r="C1709" s="176"/>
      <c r="D1709" s="176"/>
      <c r="E1709" s="176"/>
    </row>
    <row r="1710" spans="1:5" x14ac:dyDescent="0.2">
      <c r="A1710" s="175">
        <v>36627</v>
      </c>
      <c r="B1710" s="176">
        <v>6.13</v>
      </c>
      <c r="C1710" s="176"/>
      <c r="D1710" s="176"/>
      <c r="E1710" s="176"/>
    </row>
    <row r="1711" spans="1:5" x14ac:dyDescent="0.2">
      <c r="A1711" s="175">
        <v>36628</v>
      </c>
      <c r="B1711" s="176">
        <v>6.19</v>
      </c>
      <c r="C1711" s="176"/>
      <c r="D1711" s="176"/>
      <c r="E1711" s="176"/>
    </row>
    <row r="1712" spans="1:5" x14ac:dyDescent="0.2">
      <c r="A1712" s="175">
        <v>36629</v>
      </c>
      <c r="B1712" s="176">
        <v>6.16</v>
      </c>
      <c r="C1712" s="176"/>
      <c r="D1712" s="176"/>
      <c r="E1712" s="176"/>
    </row>
    <row r="1713" spans="1:5" x14ac:dyDescent="0.2">
      <c r="A1713" s="175">
        <v>36630</v>
      </c>
      <c r="B1713" s="176">
        <v>6.12</v>
      </c>
      <c r="C1713" s="176"/>
      <c r="D1713" s="176"/>
      <c r="E1713" s="176"/>
    </row>
    <row r="1714" spans="1:5" x14ac:dyDescent="0.2">
      <c r="A1714" s="175">
        <v>36633</v>
      </c>
      <c r="B1714" s="176">
        <v>6.26</v>
      </c>
      <c r="C1714" s="176"/>
      <c r="D1714" s="176"/>
      <c r="E1714" s="176"/>
    </row>
    <row r="1715" spans="1:5" x14ac:dyDescent="0.2">
      <c r="A1715" s="175">
        <v>36634</v>
      </c>
      <c r="B1715" s="176">
        <v>6.26</v>
      </c>
      <c r="C1715" s="176"/>
      <c r="D1715" s="176"/>
      <c r="E1715" s="176"/>
    </row>
    <row r="1716" spans="1:5" x14ac:dyDescent="0.2">
      <c r="A1716" s="175">
        <v>36635</v>
      </c>
      <c r="B1716" s="176">
        <v>6.18</v>
      </c>
      <c r="C1716" s="176"/>
      <c r="D1716" s="176"/>
      <c r="E1716" s="176"/>
    </row>
    <row r="1717" spans="1:5" x14ac:dyDescent="0.2">
      <c r="A1717" s="175">
        <v>36636</v>
      </c>
      <c r="B1717" s="176">
        <v>6.16</v>
      </c>
      <c r="C1717" s="176"/>
      <c r="D1717" s="176"/>
      <c r="E1717" s="176"/>
    </row>
    <row r="1718" spans="1:5" x14ac:dyDescent="0.2">
      <c r="A1718" s="175">
        <v>36637</v>
      </c>
      <c r="B1718" s="176" t="e">
        <f>NA()</f>
        <v>#N/A</v>
      </c>
      <c r="C1718" s="176"/>
      <c r="D1718" s="176"/>
      <c r="E1718" s="176"/>
    </row>
    <row r="1719" spans="1:5" x14ac:dyDescent="0.2">
      <c r="A1719" s="175">
        <v>36640</v>
      </c>
      <c r="B1719" s="177">
        <v>6.2</v>
      </c>
      <c r="C1719" s="177"/>
      <c r="D1719" s="177"/>
      <c r="E1719" s="177"/>
    </row>
    <row r="1720" spans="1:5" x14ac:dyDescent="0.2">
      <c r="A1720" s="175">
        <v>36641</v>
      </c>
      <c r="B1720" s="176">
        <v>6.27</v>
      </c>
      <c r="C1720" s="176"/>
      <c r="D1720" s="176"/>
      <c r="E1720" s="176"/>
    </row>
    <row r="1721" spans="1:5" x14ac:dyDescent="0.2">
      <c r="A1721" s="175">
        <v>36642</v>
      </c>
      <c r="B1721" s="176">
        <v>6.28</v>
      </c>
      <c r="C1721" s="176"/>
      <c r="D1721" s="176"/>
      <c r="E1721" s="176"/>
    </row>
    <row r="1722" spans="1:5" x14ac:dyDescent="0.2">
      <c r="A1722" s="175">
        <v>36643</v>
      </c>
      <c r="B1722" s="176">
        <v>6.34</v>
      </c>
      <c r="C1722" s="176"/>
      <c r="D1722" s="176"/>
      <c r="E1722" s="176"/>
    </row>
    <row r="1723" spans="1:5" x14ac:dyDescent="0.2">
      <c r="A1723" s="175">
        <v>36644</v>
      </c>
      <c r="B1723" s="176">
        <v>6.31</v>
      </c>
      <c r="C1723" s="176"/>
      <c r="D1723" s="176"/>
      <c r="E1723" s="176"/>
    </row>
    <row r="1724" spans="1:5" x14ac:dyDescent="0.2">
      <c r="A1724" s="175">
        <v>36647</v>
      </c>
      <c r="B1724" s="176">
        <v>6.33</v>
      </c>
      <c r="C1724" s="176"/>
      <c r="D1724" s="176"/>
      <c r="E1724" s="176"/>
    </row>
    <row r="1725" spans="1:5" x14ac:dyDescent="0.2">
      <c r="A1725" s="175">
        <v>36648</v>
      </c>
      <c r="B1725" s="176">
        <v>6.39</v>
      </c>
      <c r="C1725" s="176"/>
      <c r="D1725" s="176"/>
      <c r="E1725" s="176"/>
    </row>
    <row r="1726" spans="1:5" x14ac:dyDescent="0.2">
      <c r="A1726" s="175">
        <v>36649</v>
      </c>
      <c r="B1726" s="176">
        <v>6.49</v>
      </c>
      <c r="C1726" s="176"/>
      <c r="D1726" s="176"/>
      <c r="E1726" s="176"/>
    </row>
    <row r="1727" spans="1:5" x14ac:dyDescent="0.2">
      <c r="A1727" s="175">
        <v>36650</v>
      </c>
      <c r="B1727" s="176">
        <v>6.59</v>
      </c>
      <c r="C1727" s="176"/>
      <c r="D1727" s="176"/>
      <c r="E1727" s="176"/>
    </row>
    <row r="1728" spans="1:5" x14ac:dyDescent="0.2">
      <c r="A1728" s="175">
        <v>36651</v>
      </c>
      <c r="B1728" s="176">
        <v>6.61</v>
      </c>
      <c r="C1728" s="176"/>
      <c r="D1728" s="176"/>
      <c r="E1728" s="176"/>
    </row>
    <row r="1729" spans="1:5" x14ac:dyDescent="0.2">
      <c r="A1729" s="175">
        <v>36654</v>
      </c>
      <c r="B1729" s="176">
        <v>6.69</v>
      </c>
      <c r="C1729" s="176"/>
      <c r="D1729" s="176"/>
      <c r="E1729" s="176"/>
    </row>
    <row r="1730" spans="1:5" x14ac:dyDescent="0.2">
      <c r="A1730" s="175">
        <v>36655</v>
      </c>
      <c r="B1730" s="176">
        <v>6.64</v>
      </c>
      <c r="C1730" s="176"/>
      <c r="D1730" s="176"/>
      <c r="E1730" s="176"/>
    </row>
    <row r="1731" spans="1:5" x14ac:dyDescent="0.2">
      <c r="A1731" s="175">
        <v>36656</v>
      </c>
      <c r="B1731" s="176">
        <v>6.56</v>
      </c>
      <c r="C1731" s="176"/>
      <c r="D1731" s="176"/>
      <c r="E1731" s="176"/>
    </row>
    <row r="1732" spans="1:5" x14ac:dyDescent="0.2">
      <c r="A1732" s="175">
        <v>36657</v>
      </c>
      <c r="B1732" s="176">
        <v>6.54</v>
      </c>
      <c r="C1732" s="176"/>
      <c r="D1732" s="176"/>
      <c r="E1732" s="176"/>
    </row>
    <row r="1733" spans="1:5" x14ac:dyDescent="0.2">
      <c r="A1733" s="175">
        <v>36658</v>
      </c>
      <c r="B1733" s="176">
        <v>6.62</v>
      </c>
      <c r="C1733" s="176"/>
      <c r="D1733" s="176"/>
      <c r="E1733" s="176"/>
    </row>
    <row r="1734" spans="1:5" x14ac:dyDescent="0.2">
      <c r="A1734" s="175">
        <v>36661</v>
      </c>
      <c r="B1734" s="176">
        <v>6.56</v>
      </c>
      <c r="C1734" s="176"/>
      <c r="D1734" s="176"/>
      <c r="E1734" s="176"/>
    </row>
    <row r="1735" spans="1:5" x14ac:dyDescent="0.2">
      <c r="A1735" s="175">
        <v>36662</v>
      </c>
      <c r="B1735" s="176">
        <v>6.52</v>
      </c>
      <c r="C1735" s="176"/>
      <c r="D1735" s="176"/>
      <c r="E1735" s="176"/>
    </row>
    <row r="1736" spans="1:5" x14ac:dyDescent="0.2">
      <c r="A1736" s="175">
        <v>36663</v>
      </c>
      <c r="B1736" s="176">
        <v>6.58</v>
      </c>
      <c r="C1736" s="176"/>
      <c r="D1736" s="176"/>
      <c r="E1736" s="176"/>
    </row>
    <row r="1737" spans="1:5" x14ac:dyDescent="0.2">
      <c r="A1737" s="175">
        <v>36664</v>
      </c>
      <c r="B1737" s="176">
        <v>6.66</v>
      </c>
      <c r="C1737" s="176"/>
      <c r="D1737" s="176"/>
      <c r="E1737" s="176"/>
    </row>
    <row r="1738" spans="1:5" x14ac:dyDescent="0.2">
      <c r="A1738" s="175">
        <v>36665</v>
      </c>
      <c r="B1738" s="176">
        <v>6.64</v>
      </c>
      <c r="C1738" s="176"/>
      <c r="D1738" s="176"/>
      <c r="E1738" s="176"/>
    </row>
    <row r="1739" spans="1:5" x14ac:dyDescent="0.2">
      <c r="A1739" s="175">
        <v>36668</v>
      </c>
      <c r="B1739" s="176">
        <v>6.58</v>
      </c>
      <c r="C1739" s="176"/>
      <c r="D1739" s="176"/>
      <c r="E1739" s="176"/>
    </row>
    <row r="1740" spans="1:5" x14ac:dyDescent="0.2">
      <c r="A1740" s="175">
        <v>36669</v>
      </c>
      <c r="B1740" s="176">
        <v>6.58</v>
      </c>
      <c r="C1740" s="176"/>
      <c r="D1740" s="176"/>
      <c r="E1740" s="176"/>
    </row>
    <row r="1741" spans="1:5" x14ac:dyDescent="0.2">
      <c r="A1741" s="175">
        <v>36670</v>
      </c>
      <c r="B1741" s="176">
        <v>6.61</v>
      </c>
      <c r="C1741" s="176"/>
      <c r="D1741" s="176"/>
      <c r="E1741" s="176"/>
    </row>
    <row r="1742" spans="1:5" x14ac:dyDescent="0.2">
      <c r="A1742" s="175">
        <v>36671</v>
      </c>
      <c r="B1742" s="176">
        <v>6.5</v>
      </c>
      <c r="C1742" s="176"/>
      <c r="D1742" s="176"/>
      <c r="E1742" s="176"/>
    </row>
    <row r="1743" spans="1:5" x14ac:dyDescent="0.2">
      <c r="A1743" s="175">
        <v>36672</v>
      </c>
      <c r="B1743" s="176">
        <v>6.45</v>
      </c>
      <c r="C1743" s="176"/>
      <c r="D1743" s="176"/>
      <c r="E1743" s="176"/>
    </row>
    <row r="1744" spans="1:5" x14ac:dyDescent="0.2">
      <c r="A1744" s="175">
        <v>36675</v>
      </c>
      <c r="B1744" s="177" t="e">
        <f>NA()</f>
        <v>#N/A</v>
      </c>
      <c r="C1744" s="177"/>
      <c r="D1744" s="177"/>
      <c r="E1744" s="177"/>
    </row>
    <row r="1745" spans="1:5" x14ac:dyDescent="0.2">
      <c r="A1745" s="175">
        <v>36676</v>
      </c>
      <c r="B1745" s="176">
        <v>6.5</v>
      </c>
      <c r="C1745" s="176"/>
      <c r="D1745" s="176"/>
      <c r="E1745" s="176"/>
    </row>
    <row r="1746" spans="1:5" x14ac:dyDescent="0.2">
      <c r="A1746" s="175">
        <v>36677</v>
      </c>
      <c r="B1746" s="176">
        <v>6.42</v>
      </c>
      <c r="C1746" s="176"/>
      <c r="D1746" s="176"/>
      <c r="E1746" s="176"/>
    </row>
    <row r="1747" spans="1:5" x14ac:dyDescent="0.2">
      <c r="A1747" s="175">
        <v>36678</v>
      </c>
      <c r="B1747" s="176">
        <v>6.33</v>
      </c>
      <c r="C1747" s="176"/>
      <c r="D1747" s="176"/>
      <c r="E1747" s="176"/>
    </row>
    <row r="1748" spans="1:5" x14ac:dyDescent="0.2">
      <c r="A1748" s="175">
        <v>36679</v>
      </c>
      <c r="B1748" s="176">
        <v>6.31</v>
      </c>
      <c r="C1748" s="176"/>
      <c r="D1748" s="176"/>
      <c r="E1748" s="176"/>
    </row>
    <row r="1749" spans="1:5" x14ac:dyDescent="0.2">
      <c r="A1749" s="175">
        <v>36682</v>
      </c>
      <c r="B1749" s="176">
        <v>6.28</v>
      </c>
      <c r="C1749" s="176"/>
      <c r="D1749" s="176"/>
      <c r="E1749" s="176"/>
    </row>
    <row r="1750" spans="1:5" x14ac:dyDescent="0.2">
      <c r="A1750" s="175">
        <v>36683</v>
      </c>
      <c r="B1750" s="176">
        <v>6.28</v>
      </c>
      <c r="C1750" s="176"/>
      <c r="D1750" s="176"/>
      <c r="E1750" s="176"/>
    </row>
    <row r="1751" spans="1:5" x14ac:dyDescent="0.2">
      <c r="A1751" s="175">
        <v>36684</v>
      </c>
      <c r="B1751" s="176">
        <v>6.26</v>
      </c>
      <c r="C1751" s="176"/>
      <c r="D1751" s="176"/>
      <c r="E1751" s="176"/>
    </row>
    <row r="1752" spans="1:5" x14ac:dyDescent="0.2">
      <c r="A1752" s="175">
        <v>36685</v>
      </c>
      <c r="B1752" s="176">
        <v>6.25</v>
      </c>
      <c r="C1752" s="176"/>
      <c r="D1752" s="176"/>
      <c r="E1752" s="176"/>
    </row>
    <row r="1753" spans="1:5" x14ac:dyDescent="0.2">
      <c r="A1753" s="175">
        <v>36686</v>
      </c>
      <c r="B1753" s="176">
        <v>6.26</v>
      </c>
      <c r="C1753" s="176"/>
      <c r="D1753" s="176"/>
      <c r="E1753" s="176"/>
    </row>
    <row r="1754" spans="1:5" x14ac:dyDescent="0.2">
      <c r="A1754" s="175">
        <v>36689</v>
      </c>
      <c r="B1754" s="176">
        <v>6.23</v>
      </c>
      <c r="C1754" s="176"/>
      <c r="D1754" s="176"/>
      <c r="E1754" s="176"/>
    </row>
    <row r="1755" spans="1:5" x14ac:dyDescent="0.2">
      <c r="A1755" s="175">
        <v>36690</v>
      </c>
      <c r="B1755" s="176">
        <v>6.3</v>
      </c>
      <c r="C1755" s="176"/>
      <c r="D1755" s="176"/>
      <c r="E1755" s="176"/>
    </row>
    <row r="1756" spans="1:5" x14ac:dyDescent="0.2">
      <c r="A1756" s="175">
        <v>36691</v>
      </c>
      <c r="B1756" s="176">
        <v>6.25</v>
      </c>
      <c r="C1756" s="176"/>
      <c r="D1756" s="176"/>
      <c r="E1756" s="176"/>
    </row>
    <row r="1757" spans="1:5" x14ac:dyDescent="0.2">
      <c r="A1757" s="175">
        <v>36692</v>
      </c>
      <c r="B1757" s="176">
        <v>6.26</v>
      </c>
      <c r="C1757" s="176"/>
      <c r="D1757" s="176"/>
      <c r="E1757" s="176"/>
    </row>
    <row r="1758" spans="1:5" x14ac:dyDescent="0.2">
      <c r="A1758" s="175">
        <v>36693</v>
      </c>
      <c r="B1758" s="176">
        <v>6.21</v>
      </c>
      <c r="C1758" s="176"/>
      <c r="D1758" s="176"/>
      <c r="E1758" s="176"/>
    </row>
    <row r="1759" spans="1:5" x14ac:dyDescent="0.2">
      <c r="A1759" s="175">
        <v>36696</v>
      </c>
      <c r="B1759" s="176">
        <v>6.24</v>
      </c>
      <c r="C1759" s="176"/>
      <c r="D1759" s="176"/>
      <c r="E1759" s="176"/>
    </row>
    <row r="1760" spans="1:5" x14ac:dyDescent="0.2">
      <c r="A1760" s="175">
        <v>36697</v>
      </c>
      <c r="B1760" s="176">
        <v>6.25</v>
      </c>
      <c r="C1760" s="176"/>
      <c r="D1760" s="176"/>
      <c r="E1760" s="176"/>
    </row>
    <row r="1761" spans="1:5" x14ac:dyDescent="0.2">
      <c r="A1761" s="175">
        <v>36698</v>
      </c>
      <c r="B1761" s="176">
        <v>6.32</v>
      </c>
      <c r="C1761" s="176"/>
      <c r="D1761" s="176"/>
      <c r="E1761" s="176"/>
    </row>
    <row r="1762" spans="1:5" x14ac:dyDescent="0.2">
      <c r="A1762" s="175">
        <v>36699</v>
      </c>
      <c r="B1762" s="176">
        <v>6.33</v>
      </c>
      <c r="C1762" s="176"/>
      <c r="D1762" s="176"/>
      <c r="E1762" s="176"/>
    </row>
    <row r="1763" spans="1:5" x14ac:dyDescent="0.2">
      <c r="A1763" s="175">
        <v>36700</v>
      </c>
      <c r="B1763" s="176">
        <v>6.38</v>
      </c>
      <c r="C1763" s="176"/>
      <c r="D1763" s="176"/>
      <c r="E1763" s="176"/>
    </row>
    <row r="1764" spans="1:5" x14ac:dyDescent="0.2">
      <c r="A1764" s="175">
        <v>36703</v>
      </c>
      <c r="B1764" s="176">
        <v>6.34</v>
      </c>
      <c r="C1764" s="176"/>
      <c r="D1764" s="176"/>
      <c r="E1764" s="176"/>
    </row>
    <row r="1765" spans="1:5" x14ac:dyDescent="0.2">
      <c r="A1765" s="175">
        <v>36704</v>
      </c>
      <c r="B1765" s="176">
        <v>6.31</v>
      </c>
      <c r="C1765" s="176"/>
      <c r="D1765" s="176"/>
      <c r="E1765" s="176"/>
    </row>
    <row r="1766" spans="1:5" x14ac:dyDescent="0.2">
      <c r="A1766" s="175">
        <v>36705</v>
      </c>
      <c r="B1766" s="176">
        <v>6.33</v>
      </c>
      <c r="C1766" s="176"/>
      <c r="D1766" s="176"/>
      <c r="E1766" s="176"/>
    </row>
    <row r="1767" spans="1:5" x14ac:dyDescent="0.2">
      <c r="A1767" s="175">
        <v>36706</v>
      </c>
      <c r="B1767" s="176">
        <v>6.24</v>
      </c>
      <c r="C1767" s="176"/>
      <c r="D1767" s="176"/>
      <c r="E1767" s="176"/>
    </row>
    <row r="1768" spans="1:5" x14ac:dyDescent="0.2">
      <c r="A1768" s="175">
        <v>36707</v>
      </c>
      <c r="B1768" s="176">
        <v>6.26</v>
      </c>
      <c r="C1768" s="176"/>
      <c r="D1768" s="176"/>
      <c r="E1768" s="176"/>
    </row>
    <row r="1769" spans="1:5" x14ac:dyDescent="0.2">
      <c r="A1769" s="175">
        <v>36710</v>
      </c>
      <c r="B1769" s="176">
        <v>6.22</v>
      </c>
      <c r="C1769" s="176"/>
      <c r="D1769" s="176"/>
      <c r="E1769" s="176"/>
    </row>
    <row r="1770" spans="1:5" x14ac:dyDescent="0.2">
      <c r="A1770" s="175">
        <v>36711</v>
      </c>
      <c r="B1770" s="176" t="e">
        <f>NA()</f>
        <v>#N/A</v>
      </c>
      <c r="C1770" s="176"/>
      <c r="D1770" s="176"/>
      <c r="E1770" s="176"/>
    </row>
    <row r="1771" spans="1:5" x14ac:dyDescent="0.2">
      <c r="A1771" s="175">
        <v>36712</v>
      </c>
      <c r="B1771" s="176">
        <v>6.21</v>
      </c>
      <c r="C1771" s="176"/>
      <c r="D1771" s="176"/>
      <c r="E1771" s="176"/>
    </row>
    <row r="1772" spans="1:5" x14ac:dyDescent="0.2">
      <c r="A1772" s="175">
        <v>36713</v>
      </c>
      <c r="B1772" s="176">
        <v>6.27</v>
      </c>
      <c r="C1772" s="176"/>
      <c r="D1772" s="176"/>
      <c r="E1772" s="176"/>
    </row>
    <row r="1773" spans="1:5" x14ac:dyDescent="0.2">
      <c r="A1773" s="175">
        <v>36714</v>
      </c>
      <c r="B1773" s="176">
        <v>6.23</v>
      </c>
      <c r="C1773" s="176"/>
      <c r="D1773" s="176"/>
      <c r="E1773" s="176"/>
    </row>
    <row r="1774" spans="1:5" x14ac:dyDescent="0.2">
      <c r="A1774" s="175">
        <v>36717</v>
      </c>
      <c r="B1774" s="176">
        <v>6.23</v>
      </c>
      <c r="C1774" s="176"/>
      <c r="D1774" s="176"/>
      <c r="E1774" s="176"/>
    </row>
    <row r="1775" spans="1:5" x14ac:dyDescent="0.2">
      <c r="A1775" s="175">
        <v>36718</v>
      </c>
      <c r="B1775" s="176">
        <v>6.23</v>
      </c>
      <c r="C1775" s="176"/>
      <c r="D1775" s="176"/>
      <c r="E1775" s="176"/>
    </row>
    <row r="1776" spans="1:5" x14ac:dyDescent="0.2">
      <c r="A1776" s="175">
        <v>36719</v>
      </c>
      <c r="B1776" s="176">
        <v>6.23</v>
      </c>
      <c r="C1776" s="176"/>
      <c r="D1776" s="176"/>
      <c r="E1776" s="176"/>
    </row>
    <row r="1777" spans="1:5" x14ac:dyDescent="0.2">
      <c r="A1777" s="175">
        <v>36720</v>
      </c>
      <c r="B1777" s="176">
        <v>6.15</v>
      </c>
      <c r="C1777" s="176"/>
      <c r="D1777" s="176"/>
      <c r="E1777" s="176"/>
    </row>
    <row r="1778" spans="1:5" x14ac:dyDescent="0.2">
      <c r="A1778" s="175">
        <v>36721</v>
      </c>
      <c r="B1778" s="176">
        <v>6.24</v>
      </c>
      <c r="C1778" s="176"/>
      <c r="D1778" s="176"/>
      <c r="E1778" s="176"/>
    </row>
    <row r="1779" spans="1:5" x14ac:dyDescent="0.2">
      <c r="A1779" s="175">
        <v>36724</v>
      </c>
      <c r="B1779" s="176">
        <v>6.3</v>
      </c>
      <c r="C1779" s="176"/>
      <c r="D1779" s="176"/>
      <c r="E1779" s="176"/>
    </row>
    <row r="1780" spans="1:5" x14ac:dyDescent="0.2">
      <c r="A1780" s="175">
        <v>36725</v>
      </c>
      <c r="B1780" s="176">
        <v>6.29</v>
      </c>
      <c r="C1780" s="176"/>
      <c r="D1780" s="176"/>
      <c r="E1780" s="176"/>
    </row>
    <row r="1781" spans="1:5" x14ac:dyDescent="0.2">
      <c r="A1781" s="175">
        <v>36726</v>
      </c>
      <c r="B1781" s="176">
        <v>6.29</v>
      </c>
      <c r="C1781" s="176"/>
      <c r="D1781" s="176"/>
      <c r="E1781" s="176"/>
    </row>
    <row r="1782" spans="1:5" x14ac:dyDescent="0.2">
      <c r="A1782" s="175">
        <v>36727</v>
      </c>
      <c r="B1782" s="176">
        <v>6.15</v>
      </c>
      <c r="C1782" s="176"/>
      <c r="D1782" s="176"/>
      <c r="E1782" s="176"/>
    </row>
    <row r="1783" spans="1:5" x14ac:dyDescent="0.2">
      <c r="A1783" s="175">
        <v>36728</v>
      </c>
      <c r="B1783" s="176">
        <v>6.12</v>
      </c>
      <c r="C1783" s="176"/>
      <c r="D1783" s="176"/>
      <c r="E1783" s="176"/>
    </row>
    <row r="1784" spans="1:5" x14ac:dyDescent="0.2">
      <c r="A1784" s="175">
        <v>36731</v>
      </c>
      <c r="B1784" s="176">
        <v>6.15</v>
      </c>
      <c r="C1784" s="176"/>
      <c r="D1784" s="176"/>
      <c r="E1784" s="176"/>
    </row>
    <row r="1785" spans="1:5" x14ac:dyDescent="0.2">
      <c r="A1785" s="175">
        <v>36732</v>
      </c>
      <c r="B1785" s="176">
        <v>6.14</v>
      </c>
      <c r="C1785" s="176"/>
      <c r="D1785" s="176"/>
      <c r="E1785" s="176"/>
    </row>
    <row r="1786" spans="1:5" x14ac:dyDescent="0.2">
      <c r="A1786" s="175">
        <v>36733</v>
      </c>
      <c r="B1786" s="176">
        <v>6.14</v>
      </c>
      <c r="C1786" s="176"/>
      <c r="D1786" s="176"/>
      <c r="E1786" s="176"/>
    </row>
    <row r="1787" spans="1:5" x14ac:dyDescent="0.2">
      <c r="A1787" s="175">
        <v>36734</v>
      </c>
      <c r="B1787" s="176">
        <v>6.1</v>
      </c>
      <c r="C1787" s="176"/>
      <c r="D1787" s="176"/>
      <c r="E1787" s="176"/>
    </row>
    <row r="1788" spans="1:5" x14ac:dyDescent="0.2">
      <c r="A1788" s="175">
        <v>36735</v>
      </c>
      <c r="B1788" s="177">
        <v>6.12</v>
      </c>
      <c r="C1788" s="177"/>
      <c r="D1788" s="177"/>
      <c r="E1788" s="177"/>
    </row>
    <row r="1789" spans="1:5" x14ac:dyDescent="0.2">
      <c r="A1789" s="175">
        <v>36738</v>
      </c>
      <c r="B1789" s="176">
        <v>6.13</v>
      </c>
      <c r="C1789" s="176"/>
      <c r="D1789" s="176"/>
      <c r="E1789" s="176"/>
    </row>
    <row r="1790" spans="1:5" x14ac:dyDescent="0.2">
      <c r="A1790" s="175">
        <v>36739</v>
      </c>
      <c r="B1790" s="176">
        <v>6.09</v>
      </c>
      <c r="C1790" s="176"/>
      <c r="D1790" s="176"/>
      <c r="E1790" s="176"/>
    </row>
    <row r="1791" spans="1:5" x14ac:dyDescent="0.2">
      <c r="A1791" s="175">
        <v>36740</v>
      </c>
      <c r="B1791" s="176">
        <v>6.09</v>
      </c>
      <c r="C1791" s="176"/>
      <c r="D1791" s="176"/>
      <c r="E1791" s="176"/>
    </row>
    <row r="1792" spans="1:5" x14ac:dyDescent="0.2">
      <c r="A1792" s="175">
        <v>36741</v>
      </c>
      <c r="B1792" s="176">
        <v>6.05</v>
      </c>
      <c r="C1792" s="176"/>
      <c r="D1792" s="176"/>
      <c r="E1792" s="176"/>
    </row>
    <row r="1793" spans="1:5" x14ac:dyDescent="0.2">
      <c r="A1793" s="175">
        <v>36742</v>
      </c>
      <c r="B1793" s="176">
        <v>6.03</v>
      </c>
      <c r="C1793" s="176"/>
      <c r="D1793" s="176"/>
      <c r="E1793" s="176"/>
    </row>
    <row r="1794" spans="1:5" x14ac:dyDescent="0.2">
      <c r="A1794" s="175">
        <v>36745</v>
      </c>
      <c r="B1794" s="176">
        <v>6.06</v>
      </c>
      <c r="C1794" s="176"/>
      <c r="D1794" s="176"/>
      <c r="E1794" s="176"/>
    </row>
    <row r="1795" spans="1:5" x14ac:dyDescent="0.2">
      <c r="A1795" s="175">
        <v>36746</v>
      </c>
      <c r="B1795" s="176">
        <v>6.03</v>
      </c>
      <c r="C1795" s="176"/>
      <c r="D1795" s="176"/>
      <c r="E1795" s="176"/>
    </row>
    <row r="1796" spans="1:5" x14ac:dyDescent="0.2">
      <c r="A1796" s="175">
        <v>36747</v>
      </c>
      <c r="B1796" s="176">
        <v>6.02</v>
      </c>
      <c r="C1796" s="176"/>
      <c r="D1796" s="176"/>
      <c r="E1796" s="176"/>
    </row>
    <row r="1797" spans="1:5" x14ac:dyDescent="0.2">
      <c r="A1797" s="175">
        <v>36748</v>
      </c>
      <c r="B1797" s="176">
        <v>6</v>
      </c>
      <c r="C1797" s="176"/>
      <c r="D1797" s="176"/>
      <c r="E1797" s="176"/>
    </row>
    <row r="1798" spans="1:5" x14ac:dyDescent="0.2">
      <c r="A1798" s="175">
        <v>36749</v>
      </c>
      <c r="B1798" s="176">
        <v>6.04</v>
      </c>
      <c r="C1798" s="176"/>
      <c r="D1798" s="176"/>
      <c r="E1798" s="176"/>
    </row>
    <row r="1799" spans="1:5" x14ac:dyDescent="0.2">
      <c r="A1799" s="175">
        <v>36752</v>
      </c>
      <c r="B1799" s="176">
        <v>6</v>
      </c>
      <c r="C1799" s="176"/>
      <c r="D1799" s="176"/>
      <c r="E1799" s="176"/>
    </row>
    <row r="1800" spans="1:5" x14ac:dyDescent="0.2">
      <c r="A1800" s="175">
        <v>36753</v>
      </c>
      <c r="B1800" s="176">
        <v>6.02</v>
      </c>
      <c r="C1800" s="176"/>
      <c r="D1800" s="176"/>
      <c r="E1800" s="176"/>
    </row>
    <row r="1801" spans="1:5" x14ac:dyDescent="0.2">
      <c r="A1801" s="175">
        <v>36754</v>
      </c>
      <c r="B1801" s="176">
        <v>6.05</v>
      </c>
      <c r="C1801" s="176"/>
      <c r="D1801" s="176"/>
      <c r="E1801" s="176"/>
    </row>
    <row r="1802" spans="1:5" x14ac:dyDescent="0.2">
      <c r="A1802" s="175">
        <v>36755</v>
      </c>
      <c r="B1802" s="176">
        <v>6.02</v>
      </c>
      <c r="C1802" s="176"/>
      <c r="D1802" s="176"/>
      <c r="E1802" s="176"/>
    </row>
    <row r="1803" spans="1:5" x14ac:dyDescent="0.2">
      <c r="A1803" s="175">
        <v>36756</v>
      </c>
      <c r="B1803" s="176">
        <v>6</v>
      </c>
      <c r="C1803" s="176"/>
      <c r="D1803" s="176"/>
      <c r="E1803" s="176"/>
    </row>
    <row r="1804" spans="1:5" x14ac:dyDescent="0.2">
      <c r="A1804" s="175">
        <v>36759</v>
      </c>
      <c r="B1804" s="176">
        <v>6.02</v>
      </c>
      <c r="C1804" s="176"/>
      <c r="D1804" s="176"/>
      <c r="E1804" s="176"/>
    </row>
    <row r="1805" spans="1:5" x14ac:dyDescent="0.2">
      <c r="A1805" s="175">
        <v>36760</v>
      </c>
      <c r="B1805" s="176">
        <v>6.01</v>
      </c>
      <c r="C1805" s="176"/>
      <c r="D1805" s="176"/>
      <c r="E1805" s="176"/>
    </row>
    <row r="1806" spans="1:5" x14ac:dyDescent="0.2">
      <c r="A1806" s="175">
        <v>36761</v>
      </c>
      <c r="B1806" s="176">
        <v>5.97</v>
      </c>
      <c r="C1806" s="176"/>
      <c r="D1806" s="176"/>
      <c r="E1806" s="176"/>
    </row>
    <row r="1807" spans="1:5" x14ac:dyDescent="0.2">
      <c r="A1807" s="175">
        <v>36762</v>
      </c>
      <c r="B1807" s="176">
        <v>5.96</v>
      </c>
      <c r="C1807" s="176"/>
      <c r="D1807" s="176"/>
      <c r="E1807" s="176"/>
    </row>
    <row r="1808" spans="1:5" x14ac:dyDescent="0.2">
      <c r="A1808" s="175">
        <v>36763</v>
      </c>
      <c r="B1808" s="176">
        <v>5.96</v>
      </c>
      <c r="C1808" s="176"/>
      <c r="D1808" s="176"/>
      <c r="E1808" s="176"/>
    </row>
    <row r="1809" spans="1:5" x14ac:dyDescent="0.2">
      <c r="A1809" s="175">
        <v>36766</v>
      </c>
      <c r="B1809" s="176">
        <v>6.01</v>
      </c>
      <c r="C1809" s="176"/>
      <c r="D1809" s="176"/>
      <c r="E1809" s="176"/>
    </row>
    <row r="1810" spans="1:5" x14ac:dyDescent="0.2">
      <c r="A1810" s="175">
        <v>36767</v>
      </c>
      <c r="B1810" s="176">
        <v>6.04</v>
      </c>
      <c r="C1810" s="176"/>
      <c r="D1810" s="176"/>
      <c r="E1810" s="176"/>
    </row>
    <row r="1811" spans="1:5" x14ac:dyDescent="0.2">
      <c r="A1811" s="175">
        <v>36768</v>
      </c>
      <c r="B1811" s="176">
        <v>6.03</v>
      </c>
      <c r="C1811" s="176"/>
      <c r="D1811" s="176"/>
      <c r="E1811" s="176"/>
    </row>
    <row r="1812" spans="1:5" x14ac:dyDescent="0.2">
      <c r="A1812" s="175">
        <v>36769</v>
      </c>
      <c r="B1812" s="176">
        <v>5.96</v>
      </c>
      <c r="C1812" s="176"/>
      <c r="D1812" s="176"/>
      <c r="E1812" s="176"/>
    </row>
    <row r="1813" spans="1:5" x14ac:dyDescent="0.2">
      <c r="A1813" s="175">
        <v>36770</v>
      </c>
      <c r="B1813" s="176">
        <v>5.95</v>
      </c>
      <c r="C1813" s="176"/>
      <c r="D1813" s="176"/>
      <c r="E1813" s="176"/>
    </row>
    <row r="1814" spans="1:5" x14ac:dyDescent="0.2">
      <c r="A1814" s="175">
        <v>36773</v>
      </c>
      <c r="B1814" s="177" t="e">
        <f>NA()</f>
        <v>#N/A</v>
      </c>
      <c r="C1814" s="177"/>
      <c r="D1814" s="177"/>
      <c r="E1814" s="177"/>
    </row>
    <row r="1815" spans="1:5" x14ac:dyDescent="0.2">
      <c r="A1815" s="175">
        <v>36774</v>
      </c>
      <c r="B1815" s="176">
        <v>5.94</v>
      </c>
      <c r="C1815" s="176"/>
      <c r="D1815" s="176"/>
      <c r="E1815" s="176"/>
    </row>
    <row r="1816" spans="1:5" x14ac:dyDescent="0.2">
      <c r="A1816" s="175">
        <v>36775</v>
      </c>
      <c r="B1816" s="176">
        <v>5.99</v>
      </c>
      <c r="C1816" s="176"/>
      <c r="D1816" s="176"/>
      <c r="E1816" s="176"/>
    </row>
    <row r="1817" spans="1:5" x14ac:dyDescent="0.2">
      <c r="A1817" s="175">
        <v>36776</v>
      </c>
      <c r="B1817" s="176">
        <v>6.02</v>
      </c>
      <c r="C1817" s="176"/>
      <c r="D1817" s="176"/>
      <c r="E1817" s="176"/>
    </row>
    <row r="1818" spans="1:5" x14ac:dyDescent="0.2">
      <c r="A1818" s="175">
        <v>36777</v>
      </c>
      <c r="B1818" s="176">
        <v>5.99</v>
      </c>
      <c r="C1818" s="176"/>
      <c r="D1818" s="176"/>
      <c r="E1818" s="176"/>
    </row>
    <row r="1819" spans="1:5" x14ac:dyDescent="0.2">
      <c r="A1819" s="175">
        <v>36780</v>
      </c>
      <c r="B1819" s="176">
        <v>6.02</v>
      </c>
      <c r="C1819" s="176"/>
      <c r="D1819" s="176"/>
      <c r="E1819" s="176"/>
    </row>
    <row r="1820" spans="1:5" x14ac:dyDescent="0.2">
      <c r="A1820" s="175">
        <v>36781</v>
      </c>
      <c r="B1820" s="176">
        <v>6.04</v>
      </c>
      <c r="C1820" s="176"/>
      <c r="D1820" s="176"/>
      <c r="E1820" s="176"/>
    </row>
    <row r="1821" spans="1:5" x14ac:dyDescent="0.2">
      <c r="A1821" s="175">
        <v>36782</v>
      </c>
      <c r="B1821" s="176">
        <v>6.01</v>
      </c>
      <c r="C1821" s="176"/>
      <c r="D1821" s="176"/>
      <c r="E1821" s="176"/>
    </row>
    <row r="1822" spans="1:5" x14ac:dyDescent="0.2">
      <c r="A1822" s="175">
        <v>36783</v>
      </c>
      <c r="B1822" s="176">
        <v>6.09</v>
      </c>
      <c r="C1822" s="176"/>
      <c r="D1822" s="176"/>
      <c r="E1822" s="176"/>
    </row>
    <row r="1823" spans="1:5" x14ac:dyDescent="0.2">
      <c r="A1823" s="175">
        <v>36784</v>
      </c>
      <c r="B1823" s="176">
        <v>6.16</v>
      </c>
      <c r="C1823" s="176"/>
      <c r="D1823" s="176"/>
      <c r="E1823" s="176"/>
    </row>
    <row r="1824" spans="1:5" x14ac:dyDescent="0.2">
      <c r="A1824" s="175">
        <v>36787</v>
      </c>
      <c r="B1824" s="176">
        <v>6.2</v>
      </c>
      <c r="C1824" s="176"/>
      <c r="D1824" s="176"/>
      <c r="E1824" s="176"/>
    </row>
    <row r="1825" spans="1:5" x14ac:dyDescent="0.2">
      <c r="A1825" s="175">
        <v>36788</v>
      </c>
      <c r="B1825" s="176">
        <v>6.18</v>
      </c>
      <c r="C1825" s="176"/>
      <c r="D1825" s="176"/>
      <c r="E1825" s="176"/>
    </row>
    <row r="1826" spans="1:5" x14ac:dyDescent="0.2">
      <c r="A1826" s="175">
        <v>36789</v>
      </c>
      <c r="B1826" s="176">
        <v>6.23</v>
      </c>
      <c r="C1826" s="176"/>
      <c r="D1826" s="176"/>
      <c r="E1826" s="176"/>
    </row>
    <row r="1827" spans="1:5" x14ac:dyDescent="0.2">
      <c r="A1827" s="175">
        <v>36790</v>
      </c>
      <c r="B1827" s="176">
        <v>6.18</v>
      </c>
      <c r="C1827" s="176"/>
      <c r="D1827" s="176"/>
      <c r="E1827" s="176"/>
    </row>
    <row r="1828" spans="1:5" x14ac:dyDescent="0.2">
      <c r="A1828" s="175">
        <v>36791</v>
      </c>
      <c r="B1828" s="176">
        <v>6.18</v>
      </c>
      <c r="C1828" s="176"/>
      <c r="D1828" s="176"/>
      <c r="E1828" s="176"/>
    </row>
    <row r="1829" spans="1:5" x14ac:dyDescent="0.2">
      <c r="A1829" s="175">
        <v>36794</v>
      </c>
      <c r="B1829" s="176">
        <v>6.16</v>
      </c>
      <c r="C1829" s="176"/>
      <c r="D1829" s="176"/>
      <c r="E1829" s="176"/>
    </row>
    <row r="1830" spans="1:5" x14ac:dyDescent="0.2">
      <c r="A1830" s="175">
        <v>36795</v>
      </c>
      <c r="B1830" s="176">
        <v>6.12</v>
      </c>
      <c r="C1830" s="176"/>
      <c r="D1830" s="176"/>
      <c r="E1830" s="176"/>
    </row>
    <row r="1831" spans="1:5" x14ac:dyDescent="0.2">
      <c r="A1831" s="175">
        <v>36796</v>
      </c>
      <c r="B1831" s="176">
        <v>6.15</v>
      </c>
      <c r="C1831" s="176"/>
      <c r="D1831" s="176"/>
      <c r="E1831" s="176"/>
    </row>
    <row r="1832" spans="1:5" x14ac:dyDescent="0.2">
      <c r="A1832" s="175">
        <v>36797</v>
      </c>
      <c r="B1832" s="176">
        <v>6.14</v>
      </c>
      <c r="C1832" s="176"/>
      <c r="D1832" s="176"/>
      <c r="E1832" s="176"/>
    </row>
    <row r="1833" spans="1:5" x14ac:dyDescent="0.2">
      <c r="A1833" s="175">
        <v>36798</v>
      </c>
      <c r="B1833" s="176">
        <v>6.13</v>
      </c>
      <c r="C1833" s="176"/>
      <c r="D1833" s="176"/>
      <c r="E1833" s="176"/>
    </row>
    <row r="1834" spans="1:5" x14ac:dyDescent="0.2">
      <c r="A1834" s="175">
        <v>36801</v>
      </c>
      <c r="B1834" s="176">
        <v>6.18</v>
      </c>
      <c r="C1834" s="176"/>
      <c r="D1834" s="176"/>
      <c r="E1834" s="176"/>
    </row>
    <row r="1835" spans="1:5" x14ac:dyDescent="0.2">
      <c r="A1835" s="175">
        <v>36802</v>
      </c>
      <c r="B1835" s="176">
        <v>6.2</v>
      </c>
      <c r="C1835" s="176"/>
      <c r="D1835" s="176"/>
      <c r="E1835" s="176"/>
    </row>
    <row r="1836" spans="1:5" x14ac:dyDescent="0.2">
      <c r="A1836" s="175">
        <v>36803</v>
      </c>
      <c r="B1836" s="176">
        <v>6.21</v>
      </c>
      <c r="C1836" s="176"/>
      <c r="D1836" s="176"/>
      <c r="E1836" s="176"/>
    </row>
    <row r="1837" spans="1:5" x14ac:dyDescent="0.2">
      <c r="A1837" s="175">
        <v>36804</v>
      </c>
      <c r="B1837" s="176">
        <v>6.17</v>
      </c>
      <c r="C1837" s="176"/>
      <c r="D1837" s="176"/>
      <c r="E1837" s="176"/>
    </row>
    <row r="1838" spans="1:5" x14ac:dyDescent="0.2">
      <c r="A1838" s="175">
        <v>36805</v>
      </c>
      <c r="B1838" s="176">
        <v>6.11</v>
      </c>
      <c r="C1838" s="176"/>
      <c r="D1838" s="176"/>
      <c r="E1838" s="176"/>
    </row>
    <row r="1839" spans="1:5" x14ac:dyDescent="0.2">
      <c r="A1839" s="175">
        <v>36808</v>
      </c>
      <c r="B1839" s="177" t="e">
        <f>NA()</f>
        <v>#N/A</v>
      </c>
      <c r="C1839" s="177"/>
      <c r="D1839" s="177"/>
      <c r="E1839" s="177"/>
    </row>
    <row r="1840" spans="1:5" x14ac:dyDescent="0.2">
      <c r="A1840" s="175">
        <v>36809</v>
      </c>
      <c r="B1840" s="176">
        <v>6.08</v>
      </c>
      <c r="C1840" s="176"/>
      <c r="D1840" s="176"/>
      <c r="E1840" s="176"/>
    </row>
    <row r="1841" spans="1:5" x14ac:dyDescent="0.2">
      <c r="A1841" s="175">
        <v>36810</v>
      </c>
      <c r="B1841" s="176">
        <v>6.06</v>
      </c>
      <c r="C1841" s="176"/>
      <c r="D1841" s="176"/>
      <c r="E1841" s="176"/>
    </row>
    <row r="1842" spans="1:5" x14ac:dyDescent="0.2">
      <c r="A1842" s="175">
        <v>36811</v>
      </c>
      <c r="B1842" s="176">
        <v>6.05</v>
      </c>
      <c r="C1842" s="176"/>
      <c r="D1842" s="176"/>
      <c r="E1842" s="176"/>
    </row>
    <row r="1843" spans="1:5" x14ac:dyDescent="0.2">
      <c r="A1843" s="175">
        <v>36812</v>
      </c>
      <c r="B1843" s="176">
        <v>6.05</v>
      </c>
      <c r="C1843" s="176"/>
      <c r="D1843" s="176"/>
      <c r="E1843" s="176"/>
    </row>
    <row r="1844" spans="1:5" x14ac:dyDescent="0.2">
      <c r="A1844" s="175">
        <v>36815</v>
      </c>
      <c r="B1844" s="176">
        <v>6.06</v>
      </c>
      <c r="C1844" s="176"/>
      <c r="D1844" s="176"/>
      <c r="E1844" s="176"/>
    </row>
    <row r="1845" spans="1:5" x14ac:dyDescent="0.2">
      <c r="A1845" s="175">
        <v>36816</v>
      </c>
      <c r="B1845" s="176">
        <v>6</v>
      </c>
      <c r="C1845" s="176"/>
      <c r="D1845" s="176"/>
      <c r="E1845" s="176"/>
    </row>
    <row r="1846" spans="1:5" x14ac:dyDescent="0.2">
      <c r="A1846" s="175">
        <v>36817</v>
      </c>
      <c r="B1846" s="176">
        <v>6</v>
      </c>
      <c r="C1846" s="176"/>
      <c r="D1846" s="176"/>
      <c r="E1846" s="176"/>
    </row>
    <row r="1847" spans="1:5" x14ac:dyDescent="0.2">
      <c r="A1847" s="175">
        <v>36818</v>
      </c>
      <c r="B1847" s="176">
        <v>5.98</v>
      </c>
      <c r="C1847" s="176"/>
      <c r="D1847" s="176"/>
      <c r="E1847" s="176"/>
    </row>
    <row r="1848" spans="1:5" x14ac:dyDescent="0.2">
      <c r="A1848" s="175">
        <v>36819</v>
      </c>
      <c r="B1848" s="176">
        <v>5.95</v>
      </c>
      <c r="C1848" s="176"/>
      <c r="D1848" s="176"/>
      <c r="E1848" s="176"/>
    </row>
    <row r="1849" spans="1:5" x14ac:dyDescent="0.2">
      <c r="A1849" s="175">
        <v>36822</v>
      </c>
      <c r="B1849" s="176">
        <v>5.89</v>
      </c>
      <c r="C1849" s="176"/>
      <c r="D1849" s="176"/>
      <c r="E1849" s="176"/>
    </row>
    <row r="1850" spans="1:5" x14ac:dyDescent="0.2">
      <c r="A1850" s="175">
        <v>36823</v>
      </c>
      <c r="B1850" s="176">
        <v>5.93</v>
      </c>
      <c r="C1850" s="176"/>
      <c r="D1850" s="176"/>
      <c r="E1850" s="176"/>
    </row>
    <row r="1851" spans="1:5" x14ac:dyDescent="0.2">
      <c r="A1851" s="175">
        <v>36824</v>
      </c>
      <c r="B1851" s="176">
        <v>5.97</v>
      </c>
      <c r="C1851" s="176"/>
      <c r="D1851" s="176"/>
      <c r="E1851" s="176"/>
    </row>
    <row r="1852" spans="1:5" x14ac:dyDescent="0.2">
      <c r="A1852" s="175">
        <v>36825</v>
      </c>
      <c r="B1852" s="176">
        <v>5.96</v>
      </c>
      <c r="C1852" s="176"/>
      <c r="D1852" s="176"/>
      <c r="E1852" s="176"/>
    </row>
    <row r="1853" spans="1:5" x14ac:dyDescent="0.2">
      <c r="A1853" s="175">
        <v>36826</v>
      </c>
      <c r="B1853" s="176">
        <v>5.96</v>
      </c>
      <c r="C1853" s="176"/>
      <c r="D1853" s="176"/>
      <c r="E1853" s="176"/>
    </row>
    <row r="1854" spans="1:5" x14ac:dyDescent="0.2">
      <c r="A1854" s="175">
        <v>36829</v>
      </c>
      <c r="B1854" s="176">
        <v>5.98</v>
      </c>
      <c r="C1854" s="176"/>
      <c r="D1854" s="176"/>
      <c r="E1854" s="176"/>
    </row>
    <row r="1855" spans="1:5" x14ac:dyDescent="0.2">
      <c r="A1855" s="175">
        <v>36830</v>
      </c>
      <c r="B1855" s="176">
        <v>6.02</v>
      </c>
      <c r="C1855" s="176"/>
      <c r="D1855" s="176"/>
      <c r="E1855" s="176"/>
    </row>
    <row r="1856" spans="1:5" x14ac:dyDescent="0.2">
      <c r="A1856" s="175">
        <v>36831</v>
      </c>
      <c r="B1856" s="176">
        <v>6</v>
      </c>
      <c r="C1856" s="176"/>
      <c r="D1856" s="176"/>
      <c r="E1856" s="176"/>
    </row>
    <row r="1857" spans="1:5" x14ac:dyDescent="0.2">
      <c r="A1857" s="175">
        <v>36832</v>
      </c>
      <c r="B1857" s="176">
        <v>6.01</v>
      </c>
      <c r="C1857" s="176"/>
      <c r="D1857" s="176"/>
      <c r="E1857" s="176"/>
    </row>
    <row r="1858" spans="1:5" x14ac:dyDescent="0.2">
      <c r="A1858" s="175">
        <v>36833</v>
      </c>
      <c r="B1858" s="176">
        <v>6.09</v>
      </c>
      <c r="C1858" s="176"/>
      <c r="D1858" s="176"/>
      <c r="E1858" s="176"/>
    </row>
    <row r="1859" spans="1:5" x14ac:dyDescent="0.2">
      <c r="A1859" s="175">
        <v>36836</v>
      </c>
      <c r="B1859" s="176">
        <v>6.12</v>
      </c>
      <c r="C1859" s="176"/>
      <c r="D1859" s="176"/>
      <c r="E1859" s="176"/>
    </row>
    <row r="1860" spans="1:5" x14ac:dyDescent="0.2">
      <c r="A1860" s="175">
        <v>36837</v>
      </c>
      <c r="B1860" s="176">
        <v>6.12</v>
      </c>
      <c r="C1860" s="176"/>
      <c r="D1860" s="176"/>
      <c r="E1860" s="176"/>
    </row>
    <row r="1861" spans="1:5" x14ac:dyDescent="0.2">
      <c r="A1861" s="175">
        <v>36838</v>
      </c>
      <c r="B1861" s="176">
        <v>6.09</v>
      </c>
      <c r="C1861" s="176"/>
      <c r="D1861" s="176"/>
      <c r="E1861" s="176"/>
    </row>
    <row r="1862" spans="1:5" x14ac:dyDescent="0.2">
      <c r="A1862" s="175">
        <v>36839</v>
      </c>
      <c r="B1862" s="176">
        <v>6.06</v>
      </c>
      <c r="C1862" s="176"/>
      <c r="D1862" s="176"/>
      <c r="E1862" s="176"/>
    </row>
    <row r="1863" spans="1:5" x14ac:dyDescent="0.2">
      <c r="A1863" s="175">
        <v>36840</v>
      </c>
      <c r="B1863" s="176">
        <v>6.07</v>
      </c>
      <c r="C1863" s="176"/>
      <c r="D1863" s="176"/>
      <c r="E1863" s="176"/>
    </row>
    <row r="1864" spans="1:5" x14ac:dyDescent="0.2">
      <c r="A1864" s="175">
        <v>36843</v>
      </c>
      <c r="B1864" s="176">
        <v>6.04</v>
      </c>
      <c r="C1864" s="176"/>
      <c r="D1864" s="176"/>
      <c r="E1864" s="176"/>
    </row>
    <row r="1865" spans="1:5" x14ac:dyDescent="0.2">
      <c r="A1865" s="175">
        <v>36844</v>
      </c>
      <c r="B1865" s="176">
        <v>6.01</v>
      </c>
      <c r="C1865" s="176"/>
      <c r="D1865" s="176"/>
      <c r="E1865" s="176"/>
    </row>
    <row r="1866" spans="1:5" x14ac:dyDescent="0.2">
      <c r="A1866" s="175">
        <v>36845</v>
      </c>
      <c r="B1866" s="176">
        <v>5.97</v>
      </c>
      <c r="C1866" s="176"/>
      <c r="D1866" s="176"/>
      <c r="E1866" s="176"/>
    </row>
    <row r="1867" spans="1:5" x14ac:dyDescent="0.2">
      <c r="A1867" s="175">
        <v>36846</v>
      </c>
      <c r="B1867" s="176">
        <v>5.94</v>
      </c>
      <c r="C1867" s="176"/>
      <c r="D1867" s="176"/>
      <c r="E1867" s="176"/>
    </row>
    <row r="1868" spans="1:5" x14ac:dyDescent="0.2">
      <c r="A1868" s="175">
        <v>36847</v>
      </c>
      <c r="B1868" s="176">
        <v>5.97</v>
      </c>
      <c r="C1868" s="176"/>
      <c r="D1868" s="176"/>
      <c r="E1868" s="176"/>
    </row>
    <row r="1869" spans="1:5" x14ac:dyDescent="0.2">
      <c r="A1869" s="175">
        <v>36850</v>
      </c>
      <c r="B1869" s="176">
        <v>5.96</v>
      </c>
      <c r="C1869" s="176"/>
      <c r="D1869" s="176"/>
      <c r="E1869" s="176"/>
    </row>
    <row r="1870" spans="1:5" x14ac:dyDescent="0.2">
      <c r="A1870" s="175">
        <v>36851</v>
      </c>
      <c r="B1870" s="176">
        <v>5.93</v>
      </c>
      <c r="C1870" s="176"/>
      <c r="D1870" s="176"/>
      <c r="E1870" s="176"/>
    </row>
    <row r="1871" spans="1:5" x14ac:dyDescent="0.2">
      <c r="A1871" s="175">
        <v>36852</v>
      </c>
      <c r="B1871" s="176">
        <v>5.87</v>
      </c>
      <c r="C1871" s="176"/>
      <c r="D1871" s="176"/>
      <c r="E1871" s="176"/>
    </row>
    <row r="1872" spans="1:5" x14ac:dyDescent="0.2">
      <c r="A1872" s="175">
        <v>36853</v>
      </c>
      <c r="B1872" s="176" t="e">
        <f>NA()</f>
        <v>#N/A</v>
      </c>
      <c r="C1872" s="176"/>
      <c r="D1872" s="176"/>
      <c r="E1872" s="176"/>
    </row>
    <row r="1873" spans="1:5" x14ac:dyDescent="0.2">
      <c r="A1873" s="175">
        <v>36854</v>
      </c>
      <c r="B1873" s="176">
        <v>5.86</v>
      </c>
      <c r="C1873" s="176"/>
      <c r="D1873" s="176"/>
      <c r="E1873" s="176"/>
    </row>
    <row r="1874" spans="1:5" x14ac:dyDescent="0.2">
      <c r="A1874" s="175">
        <v>36857</v>
      </c>
      <c r="B1874" s="176">
        <v>5.89</v>
      </c>
      <c r="C1874" s="176"/>
      <c r="D1874" s="176"/>
      <c r="E1874" s="176"/>
    </row>
    <row r="1875" spans="1:5" x14ac:dyDescent="0.2">
      <c r="A1875" s="175">
        <v>36858</v>
      </c>
      <c r="B1875" s="176">
        <v>5.86</v>
      </c>
      <c r="C1875" s="176"/>
      <c r="D1875" s="176"/>
      <c r="E1875" s="176"/>
    </row>
    <row r="1876" spans="1:5" x14ac:dyDescent="0.2">
      <c r="A1876" s="175">
        <v>36859</v>
      </c>
      <c r="B1876" s="176">
        <v>5.84</v>
      </c>
      <c r="C1876" s="176"/>
      <c r="D1876" s="176"/>
      <c r="E1876" s="176"/>
    </row>
    <row r="1877" spans="1:5" x14ac:dyDescent="0.2">
      <c r="A1877" s="175">
        <v>36860</v>
      </c>
      <c r="B1877" s="176">
        <v>5.78</v>
      </c>
      <c r="C1877" s="176"/>
      <c r="D1877" s="176"/>
      <c r="E1877" s="176"/>
    </row>
    <row r="1878" spans="1:5" x14ac:dyDescent="0.2">
      <c r="A1878" s="175">
        <v>36861</v>
      </c>
      <c r="B1878" s="176">
        <v>5.82</v>
      </c>
      <c r="C1878" s="176"/>
      <c r="D1878" s="176"/>
      <c r="E1878" s="176"/>
    </row>
    <row r="1879" spans="1:5" x14ac:dyDescent="0.2">
      <c r="A1879" s="175">
        <v>36864</v>
      </c>
      <c r="B1879" s="176">
        <v>5.84</v>
      </c>
      <c r="C1879" s="176"/>
      <c r="D1879" s="176"/>
      <c r="E1879" s="176"/>
    </row>
    <row r="1880" spans="1:5" x14ac:dyDescent="0.2">
      <c r="A1880" s="175">
        <v>36865</v>
      </c>
      <c r="B1880" s="176">
        <v>5.76</v>
      </c>
      <c r="C1880" s="176"/>
      <c r="D1880" s="176"/>
      <c r="E1880" s="176"/>
    </row>
    <row r="1881" spans="1:5" x14ac:dyDescent="0.2">
      <c r="A1881" s="175">
        <v>36866</v>
      </c>
      <c r="B1881" s="176">
        <v>5.68</v>
      </c>
      <c r="C1881" s="176"/>
      <c r="D1881" s="176"/>
      <c r="E1881" s="176"/>
    </row>
    <row r="1882" spans="1:5" x14ac:dyDescent="0.2">
      <c r="A1882" s="175">
        <v>36867</v>
      </c>
      <c r="B1882" s="176">
        <v>5.67</v>
      </c>
      <c r="C1882" s="176"/>
      <c r="D1882" s="176"/>
      <c r="E1882" s="176"/>
    </row>
    <row r="1883" spans="1:5" x14ac:dyDescent="0.2">
      <c r="A1883" s="175">
        <v>36868</v>
      </c>
      <c r="B1883" s="176">
        <v>5.71</v>
      </c>
      <c r="C1883" s="176"/>
      <c r="D1883" s="176"/>
      <c r="E1883" s="176"/>
    </row>
    <row r="1884" spans="1:5" x14ac:dyDescent="0.2">
      <c r="A1884" s="175">
        <v>36871</v>
      </c>
      <c r="B1884" s="177">
        <v>5.71</v>
      </c>
      <c r="C1884" s="177"/>
      <c r="D1884" s="177"/>
      <c r="E1884" s="177"/>
    </row>
    <row r="1885" spans="1:5" x14ac:dyDescent="0.2">
      <c r="A1885" s="175">
        <v>36872</v>
      </c>
      <c r="B1885" s="176">
        <v>5.7</v>
      </c>
      <c r="C1885" s="176"/>
      <c r="D1885" s="176"/>
      <c r="E1885" s="176"/>
    </row>
    <row r="1886" spans="1:5" x14ac:dyDescent="0.2">
      <c r="A1886" s="175">
        <v>36873</v>
      </c>
      <c r="B1886" s="176">
        <v>5.64</v>
      </c>
      <c r="C1886" s="176"/>
      <c r="D1886" s="176"/>
      <c r="E1886" s="176"/>
    </row>
    <row r="1887" spans="1:5" x14ac:dyDescent="0.2">
      <c r="A1887" s="175">
        <v>36874</v>
      </c>
      <c r="B1887" s="176">
        <v>5.6</v>
      </c>
      <c r="C1887" s="176"/>
      <c r="D1887" s="176"/>
      <c r="E1887" s="176"/>
    </row>
    <row r="1888" spans="1:5" x14ac:dyDescent="0.2">
      <c r="A1888" s="175">
        <v>36875</v>
      </c>
      <c r="B1888" s="176">
        <v>5.59</v>
      </c>
      <c r="C1888" s="176"/>
      <c r="D1888" s="176"/>
      <c r="E1888" s="176"/>
    </row>
    <row r="1889" spans="1:5" x14ac:dyDescent="0.2">
      <c r="A1889" s="175">
        <v>36878</v>
      </c>
      <c r="B1889" s="176">
        <v>5.59</v>
      </c>
      <c r="C1889" s="176"/>
      <c r="D1889" s="176"/>
      <c r="E1889" s="176"/>
    </row>
    <row r="1890" spans="1:5" x14ac:dyDescent="0.2">
      <c r="A1890" s="175">
        <v>36879</v>
      </c>
      <c r="B1890" s="176">
        <v>5.61</v>
      </c>
      <c r="C1890" s="176"/>
      <c r="D1890" s="176"/>
      <c r="E1890" s="176"/>
    </row>
    <row r="1891" spans="1:5" x14ac:dyDescent="0.2">
      <c r="A1891" s="175">
        <v>36880</v>
      </c>
      <c r="B1891" s="176">
        <v>5.55</v>
      </c>
      <c r="C1891" s="176"/>
      <c r="D1891" s="176"/>
      <c r="E1891" s="176"/>
    </row>
    <row r="1892" spans="1:5" x14ac:dyDescent="0.2">
      <c r="A1892" s="175">
        <v>36881</v>
      </c>
      <c r="B1892" s="176">
        <v>5.53</v>
      </c>
      <c r="C1892" s="176"/>
      <c r="D1892" s="176"/>
      <c r="E1892" s="176"/>
    </row>
    <row r="1893" spans="1:5" x14ac:dyDescent="0.2">
      <c r="A1893" s="175">
        <v>36882</v>
      </c>
      <c r="B1893" s="176">
        <v>5.52</v>
      </c>
      <c r="C1893" s="176"/>
      <c r="D1893" s="176"/>
      <c r="E1893" s="176"/>
    </row>
    <row r="1894" spans="1:5" x14ac:dyDescent="0.2">
      <c r="A1894" s="175">
        <v>36885</v>
      </c>
      <c r="B1894" s="176" t="e">
        <f>NA()</f>
        <v>#N/A</v>
      </c>
      <c r="C1894" s="176"/>
      <c r="D1894" s="176"/>
      <c r="E1894" s="176"/>
    </row>
    <row r="1895" spans="1:5" x14ac:dyDescent="0.2">
      <c r="A1895" s="175">
        <v>36886</v>
      </c>
      <c r="B1895" s="176">
        <v>5.54</v>
      </c>
      <c r="C1895" s="176"/>
      <c r="D1895" s="176"/>
      <c r="E1895" s="176"/>
    </row>
    <row r="1896" spans="1:5" x14ac:dyDescent="0.2">
      <c r="A1896" s="175">
        <v>36887</v>
      </c>
      <c r="B1896" s="176">
        <v>5.58</v>
      </c>
      <c r="C1896" s="176"/>
      <c r="D1896" s="176"/>
      <c r="E1896" s="176"/>
    </row>
    <row r="1897" spans="1:5" x14ac:dyDescent="0.2">
      <c r="A1897" s="175">
        <v>36888</v>
      </c>
      <c r="B1897" s="176">
        <v>5.59</v>
      </c>
      <c r="C1897" s="176"/>
      <c r="D1897" s="176"/>
      <c r="E1897" s="176"/>
    </row>
    <row r="1898" spans="1:5" x14ac:dyDescent="0.2">
      <c r="A1898" s="175">
        <v>36889</v>
      </c>
      <c r="B1898" s="176">
        <v>5.59</v>
      </c>
      <c r="C1898" s="176"/>
      <c r="D1898" s="176"/>
      <c r="E1898" s="176"/>
    </row>
    <row r="1899" spans="1:5" x14ac:dyDescent="0.2">
      <c r="A1899" s="175">
        <v>36892</v>
      </c>
      <c r="B1899" s="176" t="e">
        <f>NA()</f>
        <v>#N/A</v>
      </c>
      <c r="C1899" s="176"/>
      <c r="D1899" s="176"/>
      <c r="E1899" s="176"/>
    </row>
    <row r="1900" spans="1:5" x14ac:dyDescent="0.2">
      <c r="A1900" s="175">
        <v>36893</v>
      </c>
      <c r="B1900" s="176">
        <v>5.46</v>
      </c>
      <c r="C1900" s="176"/>
      <c r="D1900" s="176"/>
      <c r="E1900" s="176"/>
    </row>
    <row r="1901" spans="1:5" x14ac:dyDescent="0.2">
      <c r="A1901" s="175">
        <v>36894</v>
      </c>
      <c r="B1901" s="176">
        <v>5.62</v>
      </c>
      <c r="C1901" s="176"/>
      <c r="D1901" s="176"/>
      <c r="E1901" s="176"/>
    </row>
    <row r="1902" spans="1:5" x14ac:dyDescent="0.2">
      <c r="A1902" s="175">
        <v>36895</v>
      </c>
      <c r="B1902" s="176">
        <v>5.56</v>
      </c>
      <c r="C1902" s="176"/>
      <c r="D1902" s="176"/>
      <c r="E1902" s="176"/>
    </row>
    <row r="1903" spans="1:5" x14ac:dyDescent="0.2">
      <c r="A1903" s="175">
        <v>36896</v>
      </c>
      <c r="B1903" s="176">
        <v>5.5</v>
      </c>
      <c r="C1903" s="176"/>
      <c r="D1903" s="176"/>
      <c r="E1903" s="176"/>
    </row>
    <row r="1904" spans="1:5" x14ac:dyDescent="0.2">
      <c r="A1904" s="175">
        <v>36899</v>
      </c>
      <c r="B1904" s="176">
        <v>5.52</v>
      </c>
      <c r="C1904" s="176"/>
      <c r="D1904" s="176"/>
      <c r="E1904" s="176"/>
    </row>
    <row r="1905" spans="1:5" x14ac:dyDescent="0.2">
      <c r="A1905" s="175">
        <v>36900</v>
      </c>
      <c r="B1905" s="176">
        <v>5.53</v>
      </c>
      <c r="C1905" s="176"/>
      <c r="D1905" s="176"/>
      <c r="E1905" s="176"/>
    </row>
    <row r="1906" spans="1:5" x14ac:dyDescent="0.2">
      <c r="A1906" s="175">
        <v>36901</v>
      </c>
      <c r="B1906" s="176">
        <v>5.6</v>
      </c>
      <c r="C1906" s="176"/>
      <c r="D1906" s="176"/>
      <c r="E1906" s="176"/>
    </row>
    <row r="1907" spans="1:5" x14ac:dyDescent="0.2">
      <c r="A1907" s="175">
        <v>36902</v>
      </c>
      <c r="B1907" s="176">
        <v>5.67</v>
      </c>
      <c r="C1907" s="176"/>
      <c r="D1907" s="176"/>
      <c r="E1907" s="176"/>
    </row>
    <row r="1908" spans="1:5" x14ac:dyDescent="0.2">
      <c r="A1908" s="175">
        <v>36903</v>
      </c>
      <c r="B1908" s="176">
        <v>5.74</v>
      </c>
      <c r="C1908" s="176"/>
      <c r="D1908" s="176"/>
      <c r="E1908" s="176"/>
    </row>
    <row r="1909" spans="1:5" x14ac:dyDescent="0.2">
      <c r="A1909" s="175">
        <v>36906</v>
      </c>
      <c r="B1909" s="177" t="e">
        <f>NA()</f>
        <v>#N/A</v>
      </c>
      <c r="C1909" s="177"/>
      <c r="D1909" s="177"/>
      <c r="E1909" s="177"/>
    </row>
    <row r="1910" spans="1:5" x14ac:dyDescent="0.2">
      <c r="A1910" s="175">
        <v>36907</v>
      </c>
      <c r="B1910" s="176">
        <v>5.71</v>
      </c>
      <c r="C1910" s="176"/>
      <c r="D1910" s="176"/>
      <c r="E1910" s="176"/>
    </row>
    <row r="1911" spans="1:5" x14ac:dyDescent="0.2">
      <c r="A1911" s="175">
        <v>36908</v>
      </c>
      <c r="B1911" s="176">
        <v>5.64</v>
      </c>
      <c r="C1911" s="176"/>
      <c r="D1911" s="176"/>
      <c r="E1911" s="176"/>
    </row>
    <row r="1912" spans="1:5" x14ac:dyDescent="0.2">
      <c r="A1912" s="175">
        <v>36909</v>
      </c>
      <c r="B1912" s="176">
        <v>5.57</v>
      </c>
      <c r="C1912" s="176"/>
      <c r="D1912" s="176"/>
      <c r="E1912" s="176"/>
    </row>
    <row r="1913" spans="1:5" x14ac:dyDescent="0.2">
      <c r="A1913" s="175">
        <v>36910</v>
      </c>
      <c r="B1913" s="176">
        <v>5.67</v>
      </c>
      <c r="C1913" s="176"/>
      <c r="D1913" s="176"/>
      <c r="E1913" s="176"/>
    </row>
    <row r="1914" spans="1:5" x14ac:dyDescent="0.2">
      <c r="A1914" s="175">
        <v>36913</v>
      </c>
      <c r="B1914" s="176">
        <v>5.71</v>
      </c>
      <c r="C1914" s="176"/>
      <c r="D1914" s="176"/>
      <c r="E1914" s="176"/>
    </row>
    <row r="1915" spans="1:5" x14ac:dyDescent="0.2">
      <c r="A1915" s="175">
        <v>36914</v>
      </c>
      <c r="B1915" s="176">
        <v>5.76</v>
      </c>
      <c r="C1915" s="176"/>
      <c r="D1915" s="176"/>
      <c r="E1915" s="176"/>
    </row>
    <row r="1916" spans="1:5" x14ac:dyDescent="0.2">
      <c r="A1916" s="175">
        <v>36915</v>
      </c>
      <c r="B1916" s="176">
        <v>5.78</v>
      </c>
      <c r="C1916" s="176"/>
      <c r="D1916" s="176"/>
      <c r="E1916" s="176"/>
    </row>
    <row r="1917" spans="1:5" x14ac:dyDescent="0.2">
      <c r="A1917" s="175">
        <v>36916</v>
      </c>
      <c r="B1917" s="176">
        <v>5.73</v>
      </c>
      <c r="C1917" s="176"/>
      <c r="D1917" s="176"/>
      <c r="E1917" s="176"/>
    </row>
    <row r="1918" spans="1:5" x14ac:dyDescent="0.2">
      <c r="A1918" s="175">
        <v>36917</v>
      </c>
      <c r="B1918" s="176">
        <v>5.75</v>
      </c>
      <c r="C1918" s="176"/>
      <c r="D1918" s="176"/>
      <c r="E1918" s="176"/>
    </row>
    <row r="1919" spans="1:5" x14ac:dyDescent="0.2">
      <c r="A1919" s="175">
        <v>36920</v>
      </c>
      <c r="B1919" s="176">
        <v>5.78</v>
      </c>
      <c r="C1919" s="176"/>
      <c r="D1919" s="176"/>
      <c r="E1919" s="176"/>
    </row>
    <row r="1920" spans="1:5" x14ac:dyDescent="0.2">
      <c r="A1920" s="175">
        <v>36921</v>
      </c>
      <c r="B1920" s="176">
        <v>5.68</v>
      </c>
      <c r="C1920" s="176"/>
      <c r="D1920" s="176"/>
      <c r="E1920" s="176"/>
    </row>
    <row r="1921" spans="1:5" x14ac:dyDescent="0.2">
      <c r="A1921" s="175">
        <v>36922</v>
      </c>
      <c r="B1921" s="176">
        <v>5.65</v>
      </c>
      <c r="C1921" s="176"/>
      <c r="D1921" s="176"/>
      <c r="E1921" s="176"/>
    </row>
    <row r="1922" spans="1:5" x14ac:dyDescent="0.2">
      <c r="A1922" s="175">
        <v>36923</v>
      </c>
      <c r="B1922" s="176">
        <v>5.55</v>
      </c>
      <c r="C1922" s="176"/>
      <c r="D1922" s="176"/>
      <c r="E1922" s="176"/>
    </row>
    <row r="1923" spans="1:5" x14ac:dyDescent="0.2">
      <c r="A1923" s="175">
        <v>36924</v>
      </c>
      <c r="B1923" s="176">
        <v>5.6</v>
      </c>
      <c r="C1923" s="176"/>
      <c r="D1923" s="176"/>
      <c r="E1923" s="176"/>
    </row>
    <row r="1924" spans="1:5" x14ac:dyDescent="0.2">
      <c r="A1924" s="175">
        <v>36927</v>
      </c>
      <c r="B1924" s="176">
        <v>5.58</v>
      </c>
      <c r="C1924" s="176"/>
      <c r="D1924" s="176"/>
      <c r="E1924" s="176"/>
    </row>
    <row r="1925" spans="1:5" x14ac:dyDescent="0.2">
      <c r="A1925" s="175">
        <v>36928</v>
      </c>
      <c r="B1925" s="176">
        <v>5.61</v>
      </c>
      <c r="C1925" s="176"/>
      <c r="D1925" s="176"/>
      <c r="E1925" s="176"/>
    </row>
    <row r="1926" spans="1:5" x14ac:dyDescent="0.2">
      <c r="A1926" s="175">
        <v>36929</v>
      </c>
      <c r="B1926" s="176">
        <v>5.61</v>
      </c>
      <c r="C1926" s="176"/>
      <c r="D1926" s="176"/>
      <c r="E1926" s="176"/>
    </row>
    <row r="1927" spans="1:5" x14ac:dyDescent="0.2">
      <c r="A1927" s="175">
        <v>36930</v>
      </c>
      <c r="B1927" s="176">
        <v>5.62</v>
      </c>
      <c r="C1927" s="176"/>
      <c r="D1927" s="176"/>
      <c r="E1927" s="176"/>
    </row>
    <row r="1928" spans="1:5" x14ac:dyDescent="0.2">
      <c r="A1928" s="175">
        <v>36931</v>
      </c>
      <c r="B1928" s="176">
        <v>5.55</v>
      </c>
      <c r="C1928" s="176"/>
      <c r="D1928" s="176"/>
      <c r="E1928" s="176"/>
    </row>
    <row r="1929" spans="1:5" x14ac:dyDescent="0.2">
      <c r="A1929" s="175">
        <v>36934</v>
      </c>
      <c r="B1929" s="176">
        <v>5.6</v>
      </c>
      <c r="C1929" s="176"/>
      <c r="D1929" s="176"/>
      <c r="E1929" s="176"/>
    </row>
    <row r="1930" spans="1:5" x14ac:dyDescent="0.2">
      <c r="A1930" s="175">
        <v>36935</v>
      </c>
      <c r="B1930" s="176">
        <v>5.62</v>
      </c>
      <c r="C1930" s="176"/>
      <c r="D1930" s="176"/>
      <c r="E1930" s="176"/>
    </row>
    <row r="1931" spans="1:5" x14ac:dyDescent="0.2">
      <c r="A1931" s="175">
        <v>36936</v>
      </c>
      <c r="B1931" s="176">
        <v>5.64</v>
      </c>
      <c r="C1931" s="176"/>
      <c r="D1931" s="176"/>
      <c r="E1931" s="176"/>
    </row>
    <row r="1932" spans="1:5" x14ac:dyDescent="0.2">
      <c r="A1932" s="175">
        <v>36937</v>
      </c>
      <c r="B1932" s="176">
        <v>5.71</v>
      </c>
      <c r="C1932" s="176"/>
      <c r="D1932" s="176"/>
      <c r="E1932" s="176"/>
    </row>
    <row r="1933" spans="1:5" x14ac:dyDescent="0.2">
      <c r="A1933" s="175">
        <v>36938</v>
      </c>
      <c r="B1933" s="177">
        <v>5.67</v>
      </c>
      <c r="C1933" s="177"/>
      <c r="D1933" s="177"/>
      <c r="E1933" s="177"/>
    </row>
    <row r="1934" spans="1:5" x14ac:dyDescent="0.2">
      <c r="A1934" s="175">
        <v>36941</v>
      </c>
      <c r="B1934" s="176" t="e">
        <f>NA()</f>
        <v>#N/A</v>
      </c>
      <c r="C1934" s="176"/>
      <c r="D1934" s="176"/>
      <c r="E1934" s="176"/>
    </row>
    <row r="1935" spans="1:5" x14ac:dyDescent="0.2">
      <c r="A1935" s="175">
        <v>36942</v>
      </c>
      <c r="B1935" s="176">
        <v>5.66</v>
      </c>
      <c r="C1935" s="176"/>
      <c r="D1935" s="176"/>
      <c r="E1935" s="176"/>
    </row>
    <row r="1936" spans="1:5" x14ac:dyDescent="0.2">
      <c r="A1936" s="175">
        <v>36943</v>
      </c>
      <c r="B1936" s="176">
        <v>5.7</v>
      </c>
      <c r="C1936" s="176"/>
      <c r="D1936" s="176"/>
      <c r="E1936" s="176"/>
    </row>
    <row r="1937" spans="1:5" x14ac:dyDescent="0.2">
      <c r="A1937" s="175">
        <v>36944</v>
      </c>
      <c r="B1937" s="176">
        <v>5.72</v>
      </c>
      <c r="C1937" s="176"/>
      <c r="D1937" s="176"/>
      <c r="E1937" s="176"/>
    </row>
    <row r="1938" spans="1:5" x14ac:dyDescent="0.2">
      <c r="A1938" s="175">
        <v>36945</v>
      </c>
      <c r="B1938" s="176">
        <v>5.66</v>
      </c>
      <c r="C1938" s="176"/>
      <c r="D1938" s="176"/>
      <c r="E1938" s="176"/>
    </row>
    <row r="1939" spans="1:5" x14ac:dyDescent="0.2">
      <c r="A1939" s="175">
        <v>36948</v>
      </c>
      <c r="B1939" s="176">
        <v>5.62</v>
      </c>
      <c r="C1939" s="176"/>
      <c r="D1939" s="176"/>
      <c r="E1939" s="176"/>
    </row>
    <row r="1940" spans="1:5" x14ac:dyDescent="0.2">
      <c r="A1940" s="175">
        <v>36949</v>
      </c>
      <c r="B1940" s="176">
        <v>5.51</v>
      </c>
      <c r="C1940" s="176"/>
      <c r="D1940" s="176"/>
      <c r="E1940" s="176"/>
    </row>
    <row r="1941" spans="1:5" x14ac:dyDescent="0.2">
      <c r="A1941" s="175">
        <v>36950</v>
      </c>
      <c r="B1941" s="176">
        <v>5.51</v>
      </c>
      <c r="C1941" s="176"/>
      <c r="D1941" s="176"/>
      <c r="E1941" s="176"/>
    </row>
    <row r="1942" spans="1:5" x14ac:dyDescent="0.2">
      <c r="A1942" s="175">
        <v>36951</v>
      </c>
      <c r="B1942" s="177">
        <v>5.45</v>
      </c>
      <c r="C1942" s="177"/>
      <c r="D1942" s="177"/>
      <c r="E1942" s="177"/>
    </row>
    <row r="1943" spans="1:5" x14ac:dyDescent="0.2">
      <c r="A1943" s="175">
        <v>36952</v>
      </c>
      <c r="B1943" s="176">
        <v>5.55</v>
      </c>
      <c r="C1943" s="176"/>
      <c r="D1943" s="176"/>
      <c r="E1943" s="176"/>
    </row>
    <row r="1944" spans="1:5" x14ac:dyDescent="0.2">
      <c r="A1944" s="175">
        <v>36955</v>
      </c>
      <c r="B1944" s="176">
        <v>5.55</v>
      </c>
      <c r="C1944" s="176"/>
      <c r="D1944" s="176"/>
      <c r="E1944" s="176"/>
    </row>
    <row r="1945" spans="1:5" x14ac:dyDescent="0.2">
      <c r="A1945" s="175">
        <v>36956</v>
      </c>
      <c r="B1945" s="176">
        <v>5.56</v>
      </c>
      <c r="C1945" s="176"/>
      <c r="D1945" s="176"/>
      <c r="E1945" s="176"/>
    </row>
    <row r="1946" spans="1:5" x14ac:dyDescent="0.2">
      <c r="A1946" s="175">
        <v>36957</v>
      </c>
      <c r="B1946" s="176">
        <v>5.49</v>
      </c>
      <c r="C1946" s="176"/>
      <c r="D1946" s="176"/>
      <c r="E1946" s="176"/>
    </row>
    <row r="1947" spans="1:5" x14ac:dyDescent="0.2">
      <c r="A1947" s="175">
        <v>36958</v>
      </c>
      <c r="B1947" s="176">
        <v>5.48</v>
      </c>
      <c r="C1947" s="176"/>
      <c r="D1947" s="176"/>
      <c r="E1947" s="176"/>
    </row>
    <row r="1948" spans="1:5" x14ac:dyDescent="0.2">
      <c r="A1948" s="175">
        <v>36959</v>
      </c>
      <c r="B1948" s="176">
        <v>5.5</v>
      </c>
      <c r="C1948" s="176"/>
      <c r="D1948" s="176"/>
      <c r="E1948" s="176"/>
    </row>
    <row r="1949" spans="1:5" x14ac:dyDescent="0.2">
      <c r="A1949" s="175">
        <v>36962</v>
      </c>
      <c r="B1949" s="176">
        <v>5.48</v>
      </c>
      <c r="C1949" s="176"/>
      <c r="D1949" s="176"/>
      <c r="E1949" s="176"/>
    </row>
    <row r="1950" spans="1:5" x14ac:dyDescent="0.2">
      <c r="A1950" s="175">
        <v>36963</v>
      </c>
      <c r="B1950" s="176">
        <v>5.5</v>
      </c>
      <c r="C1950" s="176"/>
      <c r="D1950" s="176"/>
      <c r="E1950" s="176"/>
    </row>
    <row r="1951" spans="1:5" x14ac:dyDescent="0.2">
      <c r="A1951" s="175">
        <v>36964</v>
      </c>
      <c r="B1951" s="176">
        <v>5.43</v>
      </c>
      <c r="C1951" s="176"/>
      <c r="D1951" s="176"/>
      <c r="E1951" s="176"/>
    </row>
    <row r="1952" spans="1:5" x14ac:dyDescent="0.2">
      <c r="A1952" s="175">
        <v>36965</v>
      </c>
      <c r="B1952" s="176">
        <v>5.43</v>
      </c>
      <c r="C1952" s="176"/>
      <c r="D1952" s="176"/>
      <c r="E1952" s="176"/>
    </row>
    <row r="1953" spans="1:5" x14ac:dyDescent="0.2">
      <c r="A1953" s="175">
        <v>36966</v>
      </c>
      <c r="B1953" s="176">
        <v>5.41</v>
      </c>
      <c r="C1953" s="176"/>
      <c r="D1953" s="176"/>
      <c r="E1953" s="176"/>
    </row>
    <row r="1954" spans="1:5" x14ac:dyDescent="0.2">
      <c r="A1954" s="175">
        <v>36969</v>
      </c>
      <c r="B1954" s="176">
        <v>5.44</v>
      </c>
      <c r="C1954" s="176"/>
      <c r="D1954" s="176"/>
      <c r="E1954" s="176"/>
    </row>
    <row r="1955" spans="1:5" x14ac:dyDescent="0.2">
      <c r="A1955" s="175">
        <v>36970</v>
      </c>
      <c r="B1955" s="176">
        <v>5.41</v>
      </c>
      <c r="C1955" s="176"/>
      <c r="D1955" s="176"/>
      <c r="E1955" s="176"/>
    </row>
    <row r="1956" spans="1:5" x14ac:dyDescent="0.2">
      <c r="A1956" s="175">
        <v>36971</v>
      </c>
      <c r="B1956" s="176">
        <v>5.42</v>
      </c>
      <c r="C1956" s="176"/>
      <c r="D1956" s="176"/>
      <c r="E1956" s="176"/>
    </row>
    <row r="1957" spans="1:5" x14ac:dyDescent="0.2">
      <c r="A1957" s="175">
        <v>36972</v>
      </c>
      <c r="B1957" s="176">
        <v>5.38</v>
      </c>
      <c r="C1957" s="176"/>
      <c r="D1957" s="176"/>
      <c r="E1957" s="176"/>
    </row>
    <row r="1958" spans="1:5" x14ac:dyDescent="0.2">
      <c r="A1958" s="175">
        <v>36973</v>
      </c>
      <c r="B1958" s="176">
        <v>5.43</v>
      </c>
      <c r="C1958" s="176"/>
      <c r="D1958" s="176"/>
      <c r="E1958" s="176"/>
    </row>
    <row r="1959" spans="1:5" x14ac:dyDescent="0.2">
      <c r="A1959" s="175">
        <v>36976</v>
      </c>
      <c r="B1959" s="176">
        <v>5.5</v>
      </c>
      <c r="C1959" s="176"/>
      <c r="D1959" s="176"/>
      <c r="E1959" s="176"/>
    </row>
    <row r="1960" spans="1:5" x14ac:dyDescent="0.2">
      <c r="A1960" s="175">
        <v>36977</v>
      </c>
      <c r="B1960" s="176">
        <v>5.61</v>
      </c>
      <c r="C1960" s="176"/>
      <c r="D1960" s="176"/>
      <c r="E1960" s="176"/>
    </row>
    <row r="1961" spans="1:5" x14ac:dyDescent="0.2">
      <c r="A1961" s="175">
        <v>36978</v>
      </c>
      <c r="B1961" s="176">
        <v>5.61</v>
      </c>
      <c r="C1961" s="176"/>
      <c r="D1961" s="176"/>
      <c r="E1961" s="176"/>
    </row>
    <row r="1962" spans="1:5" x14ac:dyDescent="0.2">
      <c r="A1962" s="175">
        <v>36979</v>
      </c>
      <c r="B1962" s="176">
        <v>5.63</v>
      </c>
      <c r="C1962" s="176"/>
      <c r="D1962" s="176"/>
      <c r="E1962" s="176"/>
    </row>
    <row r="1963" spans="1:5" x14ac:dyDescent="0.2">
      <c r="A1963" s="175">
        <v>36980</v>
      </c>
      <c r="B1963" s="176">
        <v>5.6</v>
      </c>
      <c r="C1963" s="176"/>
      <c r="D1963" s="176"/>
      <c r="E1963" s="176"/>
    </row>
    <row r="1964" spans="1:5" x14ac:dyDescent="0.2">
      <c r="A1964" s="175">
        <v>36983</v>
      </c>
      <c r="B1964" s="177">
        <v>5.64</v>
      </c>
      <c r="C1964" s="177"/>
      <c r="D1964" s="177"/>
      <c r="E1964" s="177"/>
    </row>
    <row r="1965" spans="1:5" x14ac:dyDescent="0.2">
      <c r="A1965" s="175">
        <v>36984</v>
      </c>
      <c r="B1965" s="176">
        <v>5.62</v>
      </c>
      <c r="C1965" s="176"/>
      <c r="D1965" s="176"/>
      <c r="E1965" s="176"/>
    </row>
    <row r="1966" spans="1:5" x14ac:dyDescent="0.2">
      <c r="A1966" s="175">
        <v>36985</v>
      </c>
      <c r="B1966" s="176">
        <v>5.62</v>
      </c>
      <c r="C1966" s="176"/>
      <c r="D1966" s="176"/>
      <c r="E1966" s="176"/>
    </row>
    <row r="1967" spans="1:5" x14ac:dyDescent="0.2">
      <c r="A1967" s="175">
        <v>36986</v>
      </c>
      <c r="B1967" s="176">
        <v>5.66</v>
      </c>
      <c r="C1967" s="176"/>
      <c r="D1967" s="176"/>
      <c r="E1967" s="176"/>
    </row>
    <row r="1968" spans="1:5" x14ac:dyDescent="0.2">
      <c r="A1968" s="175">
        <v>36987</v>
      </c>
      <c r="B1968" s="176">
        <v>5.57</v>
      </c>
      <c r="C1968" s="176"/>
      <c r="D1968" s="176"/>
      <c r="E1968" s="176"/>
    </row>
    <row r="1969" spans="1:5" x14ac:dyDescent="0.2">
      <c r="A1969" s="175">
        <v>36990</v>
      </c>
      <c r="B1969" s="177">
        <v>5.61</v>
      </c>
      <c r="C1969" s="177"/>
      <c r="D1969" s="177"/>
      <c r="E1969" s="177"/>
    </row>
    <row r="1970" spans="1:5" x14ac:dyDescent="0.2">
      <c r="A1970" s="175">
        <v>36991</v>
      </c>
      <c r="B1970" s="176">
        <v>5.76</v>
      </c>
      <c r="C1970" s="176"/>
      <c r="D1970" s="176"/>
      <c r="E1970" s="176"/>
    </row>
    <row r="1971" spans="1:5" x14ac:dyDescent="0.2">
      <c r="A1971" s="175">
        <v>36992</v>
      </c>
      <c r="B1971" s="176">
        <v>5.75</v>
      </c>
      <c r="C1971" s="176"/>
      <c r="D1971" s="176"/>
      <c r="E1971" s="176"/>
    </row>
    <row r="1972" spans="1:5" x14ac:dyDescent="0.2">
      <c r="A1972" s="175">
        <v>36993</v>
      </c>
      <c r="B1972" s="176">
        <v>5.77</v>
      </c>
      <c r="C1972" s="176"/>
      <c r="D1972" s="176"/>
      <c r="E1972" s="176"/>
    </row>
    <row r="1973" spans="1:5" x14ac:dyDescent="0.2">
      <c r="A1973" s="175">
        <v>36994</v>
      </c>
      <c r="B1973" s="176" t="e">
        <f>NA()</f>
        <v>#N/A</v>
      </c>
      <c r="C1973" s="176"/>
      <c r="D1973" s="176"/>
      <c r="E1973" s="176"/>
    </row>
    <row r="1974" spans="1:5" x14ac:dyDescent="0.2">
      <c r="A1974" s="175">
        <v>36997</v>
      </c>
      <c r="B1974" s="176">
        <v>5.86</v>
      </c>
      <c r="C1974" s="176"/>
      <c r="D1974" s="176"/>
      <c r="E1974" s="176"/>
    </row>
    <row r="1975" spans="1:5" x14ac:dyDescent="0.2">
      <c r="A1975" s="175">
        <v>36998</v>
      </c>
      <c r="B1975" s="176">
        <v>5.8</v>
      </c>
      <c r="C1975" s="176"/>
      <c r="D1975" s="176"/>
      <c r="E1975" s="176"/>
    </row>
    <row r="1976" spans="1:5" x14ac:dyDescent="0.2">
      <c r="A1976" s="175">
        <v>36999</v>
      </c>
      <c r="B1976" s="176">
        <v>5.79</v>
      </c>
      <c r="C1976" s="176"/>
      <c r="D1976" s="176"/>
      <c r="E1976" s="176"/>
    </row>
    <row r="1977" spans="1:5" x14ac:dyDescent="0.2">
      <c r="A1977" s="175">
        <v>37000</v>
      </c>
      <c r="B1977" s="176">
        <v>5.91</v>
      </c>
      <c r="C1977" s="176"/>
      <c r="D1977" s="176"/>
      <c r="E1977" s="176"/>
    </row>
    <row r="1978" spans="1:5" x14ac:dyDescent="0.2">
      <c r="A1978" s="175">
        <v>37001</v>
      </c>
      <c r="B1978" s="176">
        <v>5.92</v>
      </c>
      <c r="C1978" s="176"/>
      <c r="D1978" s="176"/>
      <c r="E1978" s="176"/>
    </row>
    <row r="1979" spans="1:5" x14ac:dyDescent="0.2">
      <c r="A1979" s="175">
        <v>37004</v>
      </c>
      <c r="B1979" s="177">
        <v>5.84</v>
      </c>
      <c r="C1979" s="177"/>
      <c r="D1979" s="177"/>
      <c r="E1979" s="177"/>
    </row>
    <row r="1980" spans="1:5" x14ac:dyDescent="0.2">
      <c r="A1980" s="175">
        <v>37005</v>
      </c>
      <c r="B1980" s="176">
        <v>5.87</v>
      </c>
      <c r="C1980" s="176"/>
      <c r="D1980" s="176"/>
      <c r="E1980" s="176"/>
    </row>
    <row r="1981" spans="1:5" x14ac:dyDescent="0.2">
      <c r="A1981" s="175">
        <v>37006</v>
      </c>
      <c r="B1981" s="176">
        <v>5.91</v>
      </c>
      <c r="C1981" s="176"/>
      <c r="D1981" s="176"/>
      <c r="E1981" s="176"/>
    </row>
    <row r="1982" spans="1:5" x14ac:dyDescent="0.2">
      <c r="A1982" s="175">
        <v>37007</v>
      </c>
      <c r="B1982" s="176">
        <v>5.82</v>
      </c>
      <c r="C1982" s="176"/>
      <c r="D1982" s="176"/>
      <c r="E1982" s="176"/>
    </row>
    <row r="1983" spans="1:5" x14ac:dyDescent="0.2">
      <c r="A1983" s="175">
        <v>37008</v>
      </c>
      <c r="B1983" s="176">
        <v>5.94</v>
      </c>
      <c r="C1983" s="176"/>
      <c r="D1983" s="176"/>
      <c r="E1983" s="176"/>
    </row>
    <row r="1984" spans="1:5" x14ac:dyDescent="0.2">
      <c r="A1984" s="175">
        <v>37011</v>
      </c>
      <c r="B1984" s="176">
        <v>5.92</v>
      </c>
      <c r="C1984" s="176"/>
      <c r="D1984" s="176"/>
      <c r="E1984" s="176"/>
    </row>
    <row r="1985" spans="1:5" x14ac:dyDescent="0.2">
      <c r="A1985" s="175">
        <v>37012</v>
      </c>
      <c r="B1985" s="176">
        <v>5.87</v>
      </c>
      <c r="C1985" s="176"/>
      <c r="D1985" s="176"/>
      <c r="E1985" s="176"/>
    </row>
    <row r="1986" spans="1:5" x14ac:dyDescent="0.2">
      <c r="A1986" s="175">
        <v>37013</v>
      </c>
      <c r="B1986" s="176">
        <v>5.83</v>
      </c>
      <c r="C1986" s="176"/>
      <c r="D1986" s="176"/>
      <c r="E1986" s="176"/>
    </row>
    <row r="1987" spans="1:5" x14ac:dyDescent="0.2">
      <c r="A1987" s="175">
        <v>37014</v>
      </c>
      <c r="B1987" s="176">
        <v>5.75</v>
      </c>
      <c r="C1987" s="176"/>
      <c r="D1987" s="176"/>
      <c r="E1987" s="176"/>
    </row>
    <row r="1988" spans="1:5" x14ac:dyDescent="0.2">
      <c r="A1988" s="175">
        <v>37015</v>
      </c>
      <c r="B1988" s="176">
        <v>5.77</v>
      </c>
      <c r="C1988" s="176"/>
      <c r="D1988" s="176"/>
      <c r="E1988" s="176"/>
    </row>
    <row r="1989" spans="1:5" x14ac:dyDescent="0.2">
      <c r="A1989" s="175">
        <v>37018</v>
      </c>
      <c r="B1989" s="176">
        <v>5.78</v>
      </c>
      <c r="C1989" s="176"/>
      <c r="D1989" s="176"/>
      <c r="E1989" s="176"/>
    </row>
    <row r="1990" spans="1:5" x14ac:dyDescent="0.2">
      <c r="A1990" s="175">
        <v>37019</v>
      </c>
      <c r="B1990" s="176">
        <v>5.81</v>
      </c>
      <c r="C1990" s="176"/>
      <c r="D1990" s="176"/>
      <c r="E1990" s="176"/>
    </row>
    <row r="1991" spans="1:5" x14ac:dyDescent="0.2">
      <c r="A1991" s="175">
        <v>37020</v>
      </c>
      <c r="B1991" s="176">
        <v>5.76</v>
      </c>
      <c r="C1991" s="176"/>
      <c r="D1991" s="176"/>
      <c r="E1991" s="176"/>
    </row>
    <row r="1992" spans="1:5" x14ac:dyDescent="0.2">
      <c r="A1992" s="175">
        <v>37021</v>
      </c>
      <c r="B1992" s="176">
        <v>5.86</v>
      </c>
      <c r="C1992" s="176"/>
      <c r="D1992" s="176"/>
      <c r="E1992" s="176"/>
    </row>
    <row r="1993" spans="1:5" x14ac:dyDescent="0.2">
      <c r="A1993" s="175">
        <v>37022</v>
      </c>
      <c r="B1993" s="176">
        <v>6.02</v>
      </c>
      <c r="C1993" s="176"/>
      <c r="D1993" s="176"/>
      <c r="E1993" s="176"/>
    </row>
    <row r="1994" spans="1:5" x14ac:dyDescent="0.2">
      <c r="A1994" s="175">
        <v>37025</v>
      </c>
      <c r="B1994" s="176">
        <v>5.99</v>
      </c>
      <c r="C1994" s="176"/>
      <c r="D1994" s="176"/>
      <c r="E1994" s="176"/>
    </row>
    <row r="1995" spans="1:5" x14ac:dyDescent="0.2">
      <c r="A1995" s="175">
        <v>37026</v>
      </c>
      <c r="B1995" s="176">
        <v>6.03</v>
      </c>
      <c r="C1995" s="176"/>
      <c r="D1995" s="176"/>
      <c r="E1995" s="176"/>
    </row>
    <row r="1996" spans="1:5" x14ac:dyDescent="0.2">
      <c r="A1996" s="175">
        <v>37027</v>
      </c>
      <c r="B1996" s="176">
        <v>6.01</v>
      </c>
      <c r="C1996" s="176"/>
      <c r="D1996" s="176"/>
      <c r="E1996" s="176"/>
    </row>
    <row r="1997" spans="1:5" x14ac:dyDescent="0.2">
      <c r="A1997" s="175">
        <v>37028</v>
      </c>
      <c r="B1997" s="176">
        <v>5.96</v>
      </c>
      <c r="C1997" s="176"/>
      <c r="D1997" s="176"/>
      <c r="E1997" s="176"/>
    </row>
    <row r="1998" spans="1:5" x14ac:dyDescent="0.2">
      <c r="A1998" s="175">
        <v>37029</v>
      </c>
      <c r="B1998" s="176">
        <v>5.93</v>
      </c>
      <c r="C1998" s="176"/>
      <c r="D1998" s="176"/>
      <c r="E1998" s="176"/>
    </row>
    <row r="1999" spans="1:5" x14ac:dyDescent="0.2">
      <c r="A1999" s="175">
        <v>37032</v>
      </c>
      <c r="B1999" s="176">
        <v>5.92</v>
      </c>
      <c r="C1999" s="176"/>
      <c r="D1999" s="176"/>
      <c r="E1999" s="176"/>
    </row>
    <row r="2000" spans="1:5" x14ac:dyDescent="0.2">
      <c r="A2000" s="175">
        <v>37033</v>
      </c>
      <c r="B2000" s="176">
        <v>5.95</v>
      </c>
      <c r="C2000" s="176"/>
      <c r="D2000" s="176"/>
      <c r="E2000" s="176"/>
    </row>
    <row r="2001" spans="1:5" x14ac:dyDescent="0.2">
      <c r="A2001" s="175">
        <v>37034</v>
      </c>
      <c r="B2001" s="176">
        <v>5.95</v>
      </c>
      <c r="C2001" s="176"/>
      <c r="D2001" s="176"/>
      <c r="E2001" s="176"/>
    </row>
    <row r="2002" spans="1:5" x14ac:dyDescent="0.2">
      <c r="A2002" s="175">
        <v>37035</v>
      </c>
      <c r="B2002" s="176">
        <v>6.04</v>
      </c>
      <c r="C2002" s="176"/>
      <c r="D2002" s="176"/>
      <c r="E2002" s="176"/>
    </row>
    <row r="2003" spans="1:5" x14ac:dyDescent="0.2">
      <c r="A2003" s="175">
        <v>37036</v>
      </c>
      <c r="B2003" s="176">
        <v>6.04</v>
      </c>
      <c r="C2003" s="176"/>
      <c r="D2003" s="176"/>
      <c r="E2003" s="176"/>
    </row>
    <row r="2004" spans="1:5" x14ac:dyDescent="0.2">
      <c r="A2004" s="175">
        <v>37039</v>
      </c>
      <c r="B2004" s="177" t="e">
        <f>NA()</f>
        <v>#N/A</v>
      </c>
      <c r="C2004" s="177"/>
      <c r="D2004" s="177"/>
      <c r="E2004" s="177"/>
    </row>
    <row r="2005" spans="1:5" x14ac:dyDescent="0.2">
      <c r="A2005" s="175">
        <v>37040</v>
      </c>
      <c r="B2005" s="176">
        <v>6.05</v>
      </c>
      <c r="C2005" s="176"/>
      <c r="D2005" s="176"/>
      <c r="E2005" s="176"/>
    </row>
    <row r="2006" spans="1:5" x14ac:dyDescent="0.2">
      <c r="A2006" s="175">
        <v>37041</v>
      </c>
      <c r="B2006" s="176">
        <v>6.04</v>
      </c>
      <c r="C2006" s="176"/>
      <c r="D2006" s="176"/>
      <c r="E2006" s="176"/>
    </row>
    <row r="2007" spans="1:5" x14ac:dyDescent="0.2">
      <c r="A2007" s="175">
        <v>37042</v>
      </c>
      <c r="B2007" s="176">
        <v>5.95</v>
      </c>
      <c r="C2007" s="176"/>
      <c r="D2007" s="176"/>
      <c r="E2007" s="176"/>
    </row>
    <row r="2008" spans="1:5" x14ac:dyDescent="0.2">
      <c r="A2008" s="175">
        <v>37043</v>
      </c>
      <c r="B2008" s="176">
        <v>5.89</v>
      </c>
      <c r="C2008" s="176"/>
      <c r="D2008" s="176"/>
      <c r="E2008" s="176"/>
    </row>
    <row r="2009" spans="1:5" x14ac:dyDescent="0.2">
      <c r="A2009" s="175">
        <v>37046</v>
      </c>
      <c r="B2009" s="176">
        <v>5.87</v>
      </c>
      <c r="C2009" s="176"/>
      <c r="D2009" s="176"/>
      <c r="E2009" s="176"/>
    </row>
    <row r="2010" spans="1:5" x14ac:dyDescent="0.2">
      <c r="A2010" s="175">
        <v>37047</v>
      </c>
      <c r="B2010" s="176">
        <v>5.85</v>
      </c>
      <c r="C2010" s="176"/>
      <c r="D2010" s="176"/>
      <c r="E2010" s="176"/>
    </row>
    <row r="2011" spans="1:5" x14ac:dyDescent="0.2">
      <c r="A2011" s="175">
        <v>37048</v>
      </c>
      <c r="B2011" s="176">
        <v>5.83</v>
      </c>
      <c r="C2011" s="176"/>
      <c r="D2011" s="176"/>
      <c r="E2011" s="176"/>
    </row>
    <row r="2012" spans="1:5" x14ac:dyDescent="0.2">
      <c r="A2012" s="175">
        <v>37049</v>
      </c>
      <c r="B2012" s="176">
        <v>5.89</v>
      </c>
      <c r="C2012" s="176"/>
      <c r="D2012" s="176"/>
      <c r="E2012" s="176"/>
    </row>
    <row r="2013" spans="1:5" x14ac:dyDescent="0.2">
      <c r="A2013" s="175">
        <v>37050</v>
      </c>
      <c r="B2013" s="176">
        <v>5.9</v>
      </c>
      <c r="C2013" s="176"/>
      <c r="D2013" s="176"/>
      <c r="E2013" s="176"/>
    </row>
    <row r="2014" spans="1:5" x14ac:dyDescent="0.2">
      <c r="A2014" s="175">
        <v>37053</v>
      </c>
      <c r="B2014" s="176">
        <v>5.85</v>
      </c>
      <c r="C2014" s="176"/>
      <c r="D2014" s="176"/>
      <c r="E2014" s="176"/>
    </row>
    <row r="2015" spans="1:5" x14ac:dyDescent="0.2">
      <c r="A2015" s="175">
        <v>37054</v>
      </c>
      <c r="B2015" s="176">
        <v>5.81</v>
      </c>
      <c r="C2015" s="176"/>
      <c r="D2015" s="176"/>
      <c r="E2015" s="176"/>
    </row>
    <row r="2016" spans="1:5" x14ac:dyDescent="0.2">
      <c r="A2016" s="175">
        <v>37055</v>
      </c>
      <c r="B2016" s="176">
        <v>5.81</v>
      </c>
      <c r="C2016" s="176"/>
      <c r="D2016" s="176"/>
      <c r="E2016" s="176"/>
    </row>
    <row r="2017" spans="1:5" x14ac:dyDescent="0.2">
      <c r="A2017" s="175">
        <v>37056</v>
      </c>
      <c r="B2017" s="176">
        <v>5.8</v>
      </c>
      <c r="C2017" s="176"/>
      <c r="D2017" s="176"/>
      <c r="E2017" s="176"/>
    </row>
    <row r="2018" spans="1:5" x14ac:dyDescent="0.2">
      <c r="A2018" s="175">
        <v>37057</v>
      </c>
      <c r="B2018" s="176">
        <v>5.83</v>
      </c>
      <c r="C2018" s="176"/>
      <c r="D2018" s="176"/>
      <c r="E2018" s="176"/>
    </row>
    <row r="2019" spans="1:5" x14ac:dyDescent="0.2">
      <c r="A2019" s="175">
        <v>37060</v>
      </c>
      <c r="B2019" s="176">
        <v>5.84</v>
      </c>
      <c r="C2019" s="176"/>
      <c r="D2019" s="176"/>
      <c r="E2019" s="176"/>
    </row>
    <row r="2020" spans="1:5" x14ac:dyDescent="0.2">
      <c r="A2020" s="175">
        <v>37061</v>
      </c>
      <c r="B2020" s="176">
        <v>5.82</v>
      </c>
      <c r="C2020" s="176"/>
      <c r="D2020" s="176"/>
      <c r="E2020" s="176"/>
    </row>
    <row r="2021" spans="1:5" x14ac:dyDescent="0.2">
      <c r="A2021" s="175">
        <v>37062</v>
      </c>
      <c r="B2021" s="176">
        <v>5.8</v>
      </c>
      <c r="C2021" s="176"/>
      <c r="D2021" s="176"/>
      <c r="E2021" s="176"/>
    </row>
    <row r="2022" spans="1:5" x14ac:dyDescent="0.2">
      <c r="A2022" s="175">
        <v>37063</v>
      </c>
      <c r="B2022" s="176">
        <v>5.77</v>
      </c>
      <c r="C2022" s="176"/>
      <c r="D2022" s="176"/>
      <c r="E2022" s="176"/>
    </row>
    <row r="2023" spans="1:5" x14ac:dyDescent="0.2">
      <c r="A2023" s="175">
        <v>37064</v>
      </c>
      <c r="B2023" s="176">
        <v>5.7</v>
      </c>
      <c r="C2023" s="176"/>
      <c r="D2023" s="176"/>
      <c r="E2023" s="176"/>
    </row>
    <row r="2024" spans="1:5" x14ac:dyDescent="0.2">
      <c r="A2024" s="175">
        <v>37067</v>
      </c>
      <c r="B2024" s="176">
        <v>5.72</v>
      </c>
      <c r="C2024" s="176"/>
      <c r="D2024" s="176"/>
      <c r="E2024" s="176"/>
    </row>
    <row r="2025" spans="1:5" x14ac:dyDescent="0.2">
      <c r="A2025" s="175">
        <v>37068</v>
      </c>
      <c r="B2025" s="176">
        <v>5.78</v>
      </c>
      <c r="C2025" s="176"/>
      <c r="D2025" s="176"/>
      <c r="E2025" s="176"/>
    </row>
    <row r="2026" spans="1:5" x14ac:dyDescent="0.2">
      <c r="A2026" s="175">
        <v>37069</v>
      </c>
      <c r="B2026" s="176">
        <v>5.77</v>
      </c>
      <c r="C2026" s="176"/>
      <c r="D2026" s="176"/>
      <c r="E2026" s="176"/>
    </row>
    <row r="2027" spans="1:5" x14ac:dyDescent="0.2">
      <c r="A2027" s="175">
        <v>37070</v>
      </c>
      <c r="B2027" s="176">
        <v>5.85</v>
      </c>
      <c r="C2027" s="176"/>
      <c r="D2027" s="176"/>
      <c r="E2027" s="176"/>
    </row>
    <row r="2028" spans="1:5" x14ac:dyDescent="0.2">
      <c r="A2028" s="175">
        <v>37071</v>
      </c>
      <c r="B2028" s="176">
        <v>5.91</v>
      </c>
      <c r="C2028" s="176"/>
      <c r="D2028" s="176"/>
      <c r="E2028" s="176"/>
    </row>
    <row r="2029" spans="1:5" x14ac:dyDescent="0.2">
      <c r="A2029" s="175">
        <v>37074</v>
      </c>
      <c r="B2029" s="176">
        <v>5.86</v>
      </c>
      <c r="C2029" s="176"/>
      <c r="D2029" s="176"/>
      <c r="E2029" s="176"/>
    </row>
    <row r="2030" spans="1:5" x14ac:dyDescent="0.2">
      <c r="A2030" s="175">
        <v>37075</v>
      </c>
      <c r="B2030" s="176">
        <v>5.9</v>
      </c>
      <c r="C2030" s="176"/>
      <c r="D2030" s="176"/>
      <c r="E2030" s="176"/>
    </row>
    <row r="2031" spans="1:5" x14ac:dyDescent="0.2">
      <c r="A2031" s="175">
        <v>37076</v>
      </c>
      <c r="B2031" s="176" t="e">
        <f>NA()</f>
        <v>#N/A</v>
      </c>
      <c r="C2031" s="176"/>
      <c r="D2031" s="176"/>
      <c r="E2031" s="176"/>
    </row>
    <row r="2032" spans="1:5" x14ac:dyDescent="0.2">
      <c r="A2032" s="175">
        <v>37077</v>
      </c>
      <c r="B2032" s="176">
        <v>5.94</v>
      </c>
      <c r="C2032" s="176"/>
      <c r="D2032" s="176"/>
      <c r="E2032" s="176"/>
    </row>
    <row r="2033" spans="1:5" x14ac:dyDescent="0.2">
      <c r="A2033" s="175">
        <v>37078</v>
      </c>
      <c r="B2033" s="176">
        <v>5.92</v>
      </c>
      <c r="C2033" s="176"/>
      <c r="D2033" s="176"/>
      <c r="E2033" s="176"/>
    </row>
    <row r="2034" spans="1:5" x14ac:dyDescent="0.2">
      <c r="A2034" s="175">
        <v>37081</v>
      </c>
      <c r="B2034" s="176">
        <v>5.87</v>
      </c>
      <c r="C2034" s="176"/>
      <c r="D2034" s="176"/>
      <c r="E2034" s="176"/>
    </row>
    <row r="2035" spans="1:5" x14ac:dyDescent="0.2">
      <c r="A2035" s="175">
        <v>37082</v>
      </c>
      <c r="B2035" s="176">
        <v>5.83</v>
      </c>
      <c r="C2035" s="176"/>
      <c r="D2035" s="176"/>
      <c r="E2035" s="176"/>
    </row>
    <row r="2036" spans="1:5" x14ac:dyDescent="0.2">
      <c r="A2036" s="175">
        <v>37083</v>
      </c>
      <c r="B2036" s="176">
        <v>5.84</v>
      </c>
      <c r="C2036" s="176"/>
      <c r="D2036" s="176"/>
      <c r="E2036" s="176"/>
    </row>
    <row r="2037" spans="1:5" x14ac:dyDescent="0.2">
      <c r="A2037" s="175">
        <v>37084</v>
      </c>
      <c r="B2037" s="176">
        <v>5.8</v>
      </c>
      <c r="C2037" s="176"/>
      <c r="D2037" s="176"/>
      <c r="E2037" s="176"/>
    </row>
    <row r="2038" spans="1:5" x14ac:dyDescent="0.2">
      <c r="A2038" s="175">
        <v>37085</v>
      </c>
      <c r="B2038" s="176">
        <v>5.79</v>
      </c>
      <c r="C2038" s="176"/>
      <c r="D2038" s="176"/>
      <c r="E2038" s="176"/>
    </row>
    <row r="2039" spans="1:5" x14ac:dyDescent="0.2">
      <c r="A2039" s="175">
        <v>37088</v>
      </c>
      <c r="B2039" s="176">
        <v>5.74</v>
      </c>
      <c r="C2039" s="176"/>
      <c r="D2039" s="176"/>
      <c r="E2039" s="176"/>
    </row>
    <row r="2040" spans="1:5" x14ac:dyDescent="0.2">
      <c r="A2040" s="175">
        <v>37089</v>
      </c>
      <c r="B2040" s="176">
        <v>5.74</v>
      </c>
      <c r="C2040" s="176"/>
      <c r="D2040" s="176"/>
      <c r="E2040" s="176"/>
    </row>
    <row r="2041" spans="1:5" x14ac:dyDescent="0.2">
      <c r="A2041" s="175">
        <v>37090</v>
      </c>
      <c r="B2041" s="176">
        <v>5.65</v>
      </c>
      <c r="C2041" s="176"/>
      <c r="D2041" s="176"/>
      <c r="E2041" s="176"/>
    </row>
    <row r="2042" spans="1:5" x14ac:dyDescent="0.2">
      <c r="A2042" s="175">
        <v>37091</v>
      </c>
      <c r="B2042" s="176">
        <v>5.66</v>
      </c>
      <c r="C2042" s="176"/>
      <c r="D2042" s="176"/>
      <c r="E2042" s="176"/>
    </row>
    <row r="2043" spans="1:5" x14ac:dyDescent="0.2">
      <c r="A2043" s="175">
        <v>37092</v>
      </c>
      <c r="B2043" s="176">
        <v>5.67</v>
      </c>
      <c r="C2043" s="176"/>
      <c r="D2043" s="176"/>
      <c r="E2043" s="176"/>
    </row>
    <row r="2044" spans="1:5" x14ac:dyDescent="0.2">
      <c r="A2044" s="175">
        <v>37095</v>
      </c>
      <c r="B2044" s="176">
        <v>5.66</v>
      </c>
      <c r="C2044" s="176"/>
      <c r="D2044" s="176"/>
      <c r="E2044" s="176"/>
    </row>
    <row r="2045" spans="1:5" x14ac:dyDescent="0.2">
      <c r="A2045" s="175">
        <v>37096</v>
      </c>
      <c r="B2045" s="176">
        <v>5.64</v>
      </c>
      <c r="C2045" s="176"/>
      <c r="D2045" s="176"/>
      <c r="E2045" s="176"/>
    </row>
    <row r="2046" spans="1:5" x14ac:dyDescent="0.2">
      <c r="A2046" s="175">
        <v>37097</v>
      </c>
      <c r="B2046" s="176">
        <v>5.7</v>
      </c>
      <c r="C2046" s="176"/>
      <c r="D2046" s="176"/>
      <c r="E2046" s="176"/>
    </row>
    <row r="2047" spans="1:5" x14ac:dyDescent="0.2">
      <c r="A2047" s="175">
        <v>37098</v>
      </c>
      <c r="B2047" s="176">
        <v>5.71</v>
      </c>
      <c r="C2047" s="176"/>
      <c r="D2047" s="176"/>
      <c r="E2047" s="176"/>
    </row>
    <row r="2048" spans="1:5" x14ac:dyDescent="0.2">
      <c r="A2048" s="175">
        <v>37099</v>
      </c>
      <c r="B2048" s="176">
        <v>5.65</v>
      </c>
      <c r="C2048" s="176"/>
      <c r="D2048" s="176"/>
      <c r="E2048" s="176"/>
    </row>
    <row r="2049" spans="1:5" x14ac:dyDescent="0.2">
      <c r="A2049" s="175">
        <v>37102</v>
      </c>
      <c r="B2049" s="176">
        <v>5.63</v>
      </c>
      <c r="C2049" s="176"/>
      <c r="D2049" s="176"/>
      <c r="E2049" s="176"/>
    </row>
    <row r="2050" spans="1:5" x14ac:dyDescent="0.2">
      <c r="A2050" s="175">
        <v>37103</v>
      </c>
      <c r="B2050" s="176">
        <v>5.61</v>
      </c>
      <c r="C2050" s="176"/>
      <c r="D2050" s="176"/>
      <c r="E2050" s="176"/>
    </row>
    <row r="2051" spans="1:5" x14ac:dyDescent="0.2">
      <c r="A2051" s="175">
        <v>37104</v>
      </c>
      <c r="B2051" s="176">
        <v>5.63</v>
      </c>
      <c r="C2051" s="176"/>
      <c r="D2051" s="176"/>
      <c r="E2051" s="176"/>
    </row>
    <row r="2052" spans="1:5" x14ac:dyDescent="0.2">
      <c r="A2052" s="175">
        <v>37105</v>
      </c>
      <c r="B2052" s="176">
        <v>5.68</v>
      </c>
      <c r="C2052" s="176"/>
      <c r="D2052" s="176"/>
      <c r="E2052" s="176"/>
    </row>
    <row r="2053" spans="1:5" x14ac:dyDescent="0.2">
      <c r="A2053" s="175">
        <v>37106</v>
      </c>
      <c r="B2053" s="176">
        <v>5.7</v>
      </c>
      <c r="C2053" s="176"/>
      <c r="D2053" s="176"/>
      <c r="E2053" s="176"/>
    </row>
    <row r="2054" spans="1:5" x14ac:dyDescent="0.2">
      <c r="A2054" s="175">
        <v>37109</v>
      </c>
      <c r="B2054" s="176">
        <v>5.7</v>
      </c>
      <c r="C2054" s="176"/>
      <c r="D2054" s="176"/>
      <c r="E2054" s="176"/>
    </row>
    <row r="2055" spans="1:5" x14ac:dyDescent="0.2">
      <c r="A2055" s="175">
        <v>37110</v>
      </c>
      <c r="B2055" s="176">
        <v>5.71</v>
      </c>
      <c r="C2055" s="176"/>
      <c r="D2055" s="176"/>
      <c r="E2055" s="176"/>
    </row>
    <row r="2056" spans="1:5" x14ac:dyDescent="0.2">
      <c r="A2056" s="175">
        <v>37111</v>
      </c>
      <c r="B2056" s="176">
        <v>5.61</v>
      </c>
      <c r="C2056" s="176"/>
      <c r="D2056" s="176"/>
      <c r="E2056" s="176"/>
    </row>
    <row r="2057" spans="1:5" x14ac:dyDescent="0.2">
      <c r="A2057" s="175">
        <v>37112</v>
      </c>
      <c r="B2057" s="176">
        <v>5.64</v>
      </c>
      <c r="C2057" s="176"/>
      <c r="D2057" s="176"/>
      <c r="E2057" s="176"/>
    </row>
    <row r="2058" spans="1:5" x14ac:dyDescent="0.2">
      <c r="A2058" s="175">
        <v>37113</v>
      </c>
      <c r="B2058" s="176">
        <v>5.61</v>
      </c>
      <c r="C2058" s="176"/>
      <c r="D2058" s="176"/>
      <c r="E2058" s="176"/>
    </row>
    <row r="2059" spans="1:5" x14ac:dyDescent="0.2">
      <c r="A2059" s="175">
        <v>37116</v>
      </c>
      <c r="B2059" s="176">
        <v>5.6</v>
      </c>
      <c r="C2059" s="176"/>
      <c r="D2059" s="176"/>
      <c r="E2059" s="176"/>
    </row>
    <row r="2060" spans="1:5" x14ac:dyDescent="0.2">
      <c r="A2060" s="175">
        <v>37117</v>
      </c>
      <c r="B2060" s="176">
        <v>5.61</v>
      </c>
      <c r="C2060" s="176"/>
      <c r="D2060" s="176"/>
      <c r="E2060" s="176"/>
    </row>
    <row r="2061" spans="1:5" x14ac:dyDescent="0.2">
      <c r="A2061" s="175">
        <v>37118</v>
      </c>
      <c r="B2061" s="176">
        <v>5.62</v>
      </c>
      <c r="C2061" s="176"/>
      <c r="D2061" s="176"/>
      <c r="E2061" s="176"/>
    </row>
    <row r="2062" spans="1:5" x14ac:dyDescent="0.2">
      <c r="A2062" s="175">
        <v>37119</v>
      </c>
      <c r="B2062" s="176">
        <v>5.58</v>
      </c>
      <c r="C2062" s="176"/>
      <c r="D2062" s="176"/>
      <c r="E2062" s="176"/>
    </row>
    <row r="2063" spans="1:5" x14ac:dyDescent="0.2">
      <c r="A2063" s="175">
        <v>37120</v>
      </c>
      <c r="B2063" s="176">
        <v>5.51</v>
      </c>
      <c r="C2063" s="176"/>
      <c r="D2063" s="176"/>
      <c r="E2063" s="176"/>
    </row>
    <row r="2064" spans="1:5" x14ac:dyDescent="0.2">
      <c r="A2064" s="175">
        <v>37123</v>
      </c>
      <c r="B2064" s="176">
        <v>5.55</v>
      </c>
      <c r="C2064" s="176"/>
      <c r="D2064" s="176"/>
      <c r="E2064" s="176"/>
    </row>
    <row r="2065" spans="1:5" x14ac:dyDescent="0.2">
      <c r="A2065" s="175">
        <v>37124</v>
      </c>
      <c r="B2065" s="176">
        <v>5.54</v>
      </c>
      <c r="C2065" s="176"/>
      <c r="D2065" s="176"/>
      <c r="E2065" s="176"/>
    </row>
    <row r="2066" spans="1:5" x14ac:dyDescent="0.2">
      <c r="A2066" s="175">
        <v>37125</v>
      </c>
      <c r="B2066" s="176">
        <v>5.53</v>
      </c>
      <c r="C2066" s="176"/>
      <c r="D2066" s="176"/>
      <c r="E2066" s="176"/>
    </row>
    <row r="2067" spans="1:5" x14ac:dyDescent="0.2">
      <c r="A2067" s="175">
        <v>37126</v>
      </c>
      <c r="B2067" s="176">
        <v>5.5</v>
      </c>
      <c r="C2067" s="176"/>
      <c r="D2067" s="176"/>
      <c r="E2067" s="176"/>
    </row>
    <row r="2068" spans="1:5" x14ac:dyDescent="0.2">
      <c r="A2068" s="175">
        <v>37127</v>
      </c>
      <c r="B2068" s="176">
        <v>5.54</v>
      </c>
      <c r="C2068" s="176"/>
      <c r="D2068" s="176"/>
      <c r="E2068" s="176"/>
    </row>
    <row r="2069" spans="1:5" x14ac:dyDescent="0.2">
      <c r="A2069" s="175">
        <v>37130</v>
      </c>
      <c r="B2069" s="176">
        <v>5.56</v>
      </c>
      <c r="C2069" s="176"/>
      <c r="D2069" s="176"/>
      <c r="E2069" s="176"/>
    </row>
    <row r="2070" spans="1:5" x14ac:dyDescent="0.2">
      <c r="A2070" s="175">
        <v>37131</v>
      </c>
      <c r="B2070" s="176">
        <v>5.49</v>
      </c>
      <c r="C2070" s="176"/>
      <c r="D2070" s="176"/>
      <c r="E2070" s="176"/>
    </row>
    <row r="2071" spans="1:5" x14ac:dyDescent="0.2">
      <c r="A2071" s="175">
        <v>37132</v>
      </c>
      <c r="B2071" s="176">
        <v>5.44</v>
      </c>
      <c r="C2071" s="176"/>
      <c r="D2071" s="176"/>
      <c r="E2071" s="176"/>
    </row>
    <row r="2072" spans="1:5" x14ac:dyDescent="0.2">
      <c r="A2072" s="175">
        <v>37133</v>
      </c>
      <c r="B2072" s="176">
        <v>5.45</v>
      </c>
      <c r="C2072" s="176"/>
      <c r="D2072" s="176"/>
      <c r="E2072" s="176"/>
    </row>
    <row r="2073" spans="1:5" x14ac:dyDescent="0.2">
      <c r="A2073" s="175">
        <v>37134</v>
      </c>
      <c r="B2073" s="176">
        <v>5.47</v>
      </c>
      <c r="C2073" s="176"/>
      <c r="D2073" s="176"/>
      <c r="E2073" s="176"/>
    </row>
    <row r="2074" spans="1:5" x14ac:dyDescent="0.2">
      <c r="A2074" s="175">
        <v>37137</v>
      </c>
      <c r="B2074" s="177" t="e">
        <f>NA()</f>
        <v>#N/A</v>
      </c>
      <c r="C2074" s="177"/>
      <c r="D2074" s="177"/>
      <c r="E2074" s="177"/>
    </row>
    <row r="2075" spans="1:5" x14ac:dyDescent="0.2">
      <c r="A2075" s="175">
        <v>37138</v>
      </c>
      <c r="B2075" s="176">
        <v>5.59</v>
      </c>
      <c r="C2075" s="176"/>
      <c r="D2075" s="176"/>
      <c r="E2075" s="176"/>
    </row>
    <row r="2076" spans="1:5" x14ac:dyDescent="0.2">
      <c r="A2076" s="175">
        <v>37139</v>
      </c>
      <c r="B2076" s="176">
        <v>5.57</v>
      </c>
      <c r="C2076" s="176"/>
      <c r="D2076" s="176"/>
      <c r="E2076" s="176"/>
    </row>
    <row r="2077" spans="1:5" x14ac:dyDescent="0.2">
      <c r="A2077" s="175">
        <v>37140</v>
      </c>
      <c r="B2077" s="176">
        <v>5.5</v>
      </c>
      <c r="C2077" s="176"/>
      <c r="D2077" s="176"/>
      <c r="E2077" s="176"/>
    </row>
    <row r="2078" spans="1:5" x14ac:dyDescent="0.2">
      <c r="A2078" s="175">
        <v>37141</v>
      </c>
      <c r="B2078" s="176">
        <v>5.45</v>
      </c>
      <c r="C2078" s="176"/>
      <c r="D2078" s="176"/>
      <c r="E2078" s="176"/>
    </row>
    <row r="2079" spans="1:5" x14ac:dyDescent="0.2">
      <c r="A2079" s="175">
        <v>37144</v>
      </c>
      <c r="B2079" s="176">
        <v>5.5</v>
      </c>
      <c r="C2079" s="176"/>
      <c r="D2079" s="176"/>
      <c r="E2079" s="176"/>
    </row>
    <row r="2080" spans="1:5" x14ac:dyDescent="0.2">
      <c r="A2080" s="175">
        <v>37145</v>
      </c>
      <c r="B2080" s="176" t="e">
        <f>NA()</f>
        <v>#N/A</v>
      </c>
      <c r="C2080" s="176"/>
      <c r="D2080" s="176"/>
      <c r="E2080" s="176"/>
    </row>
    <row r="2081" spans="1:5" x14ac:dyDescent="0.2">
      <c r="A2081" s="175">
        <v>37146</v>
      </c>
      <c r="B2081" s="176" t="e">
        <f>NA()</f>
        <v>#N/A</v>
      </c>
      <c r="C2081" s="176"/>
      <c r="D2081" s="176"/>
      <c r="E2081" s="176"/>
    </row>
    <row r="2082" spans="1:5" x14ac:dyDescent="0.2">
      <c r="A2082" s="175">
        <v>37147</v>
      </c>
      <c r="B2082" s="176">
        <v>5.41</v>
      </c>
      <c r="C2082" s="176"/>
      <c r="D2082" s="176"/>
      <c r="E2082" s="176"/>
    </row>
    <row r="2083" spans="1:5" x14ac:dyDescent="0.2">
      <c r="A2083" s="175">
        <v>37148</v>
      </c>
      <c r="B2083" s="176">
        <v>5.38</v>
      </c>
      <c r="C2083" s="176"/>
      <c r="D2083" s="176"/>
      <c r="E2083" s="176"/>
    </row>
    <row r="2084" spans="1:5" x14ac:dyDescent="0.2">
      <c r="A2084" s="175">
        <v>37151</v>
      </c>
      <c r="B2084" s="176">
        <v>5.44</v>
      </c>
      <c r="C2084" s="176"/>
      <c r="D2084" s="176"/>
      <c r="E2084" s="176"/>
    </row>
    <row r="2085" spans="1:5" x14ac:dyDescent="0.2">
      <c r="A2085" s="175">
        <v>37152</v>
      </c>
      <c r="B2085" s="176">
        <v>5.59</v>
      </c>
      <c r="C2085" s="176"/>
      <c r="D2085" s="176"/>
      <c r="E2085" s="176"/>
    </row>
    <row r="2086" spans="1:5" x14ac:dyDescent="0.2">
      <c r="A2086" s="175">
        <v>37153</v>
      </c>
      <c r="B2086" s="176">
        <v>5.59</v>
      </c>
      <c r="C2086" s="176"/>
      <c r="D2086" s="176"/>
      <c r="E2086" s="176"/>
    </row>
    <row r="2087" spans="1:5" x14ac:dyDescent="0.2">
      <c r="A2087" s="175">
        <v>37154</v>
      </c>
      <c r="B2087" s="176">
        <v>5.67</v>
      </c>
      <c r="C2087" s="176"/>
      <c r="D2087" s="176"/>
      <c r="E2087" s="176"/>
    </row>
    <row r="2088" spans="1:5" x14ac:dyDescent="0.2">
      <c r="A2088" s="175">
        <v>37155</v>
      </c>
      <c r="B2088" s="176">
        <v>5.62</v>
      </c>
      <c r="C2088" s="176"/>
      <c r="D2088" s="176"/>
      <c r="E2088" s="176"/>
    </row>
    <row r="2089" spans="1:5" x14ac:dyDescent="0.2">
      <c r="A2089" s="175">
        <v>37158</v>
      </c>
      <c r="B2089" s="176">
        <v>5.61</v>
      </c>
      <c r="C2089" s="176"/>
      <c r="D2089" s="176"/>
      <c r="E2089" s="176"/>
    </row>
    <row r="2090" spans="1:5" x14ac:dyDescent="0.2">
      <c r="A2090" s="175">
        <v>37159</v>
      </c>
      <c r="B2090" s="176">
        <v>5.6</v>
      </c>
      <c r="C2090" s="176"/>
      <c r="D2090" s="176"/>
      <c r="E2090" s="176"/>
    </row>
    <row r="2091" spans="1:5" x14ac:dyDescent="0.2">
      <c r="A2091" s="175">
        <v>37160</v>
      </c>
      <c r="B2091" s="176">
        <v>5.52</v>
      </c>
      <c r="C2091" s="176"/>
      <c r="D2091" s="176"/>
      <c r="E2091" s="176"/>
    </row>
    <row r="2092" spans="1:5" x14ac:dyDescent="0.2">
      <c r="A2092" s="175">
        <v>37161</v>
      </c>
      <c r="B2092" s="176">
        <v>5.46</v>
      </c>
      <c r="C2092" s="176"/>
      <c r="D2092" s="176"/>
      <c r="E2092" s="176"/>
    </row>
    <row r="2093" spans="1:5" x14ac:dyDescent="0.2">
      <c r="A2093" s="175">
        <v>37162</v>
      </c>
      <c r="B2093" s="176">
        <v>5.45</v>
      </c>
      <c r="C2093" s="176"/>
      <c r="D2093" s="176"/>
      <c r="E2093" s="176"/>
    </row>
    <row r="2094" spans="1:5" x14ac:dyDescent="0.2">
      <c r="A2094" s="175">
        <v>37165</v>
      </c>
      <c r="B2094" s="176">
        <v>5.39</v>
      </c>
      <c r="C2094" s="176"/>
      <c r="D2094" s="176"/>
      <c r="E2094" s="176"/>
    </row>
    <row r="2095" spans="1:5" x14ac:dyDescent="0.2">
      <c r="A2095" s="175">
        <v>37166</v>
      </c>
      <c r="B2095" s="176">
        <v>5.36</v>
      </c>
      <c r="C2095" s="176"/>
      <c r="D2095" s="176"/>
      <c r="E2095" s="176"/>
    </row>
    <row r="2096" spans="1:5" x14ac:dyDescent="0.2">
      <c r="A2096" s="175">
        <v>37167</v>
      </c>
      <c r="B2096" s="176">
        <v>5.34</v>
      </c>
      <c r="C2096" s="176"/>
      <c r="D2096" s="176"/>
      <c r="E2096" s="176"/>
    </row>
    <row r="2097" spans="1:5" x14ac:dyDescent="0.2">
      <c r="A2097" s="175">
        <v>37168</v>
      </c>
      <c r="B2097" s="176">
        <v>5.33</v>
      </c>
      <c r="C2097" s="176"/>
      <c r="D2097" s="176"/>
      <c r="E2097" s="176"/>
    </row>
    <row r="2098" spans="1:5" x14ac:dyDescent="0.2">
      <c r="A2098" s="175">
        <v>37169</v>
      </c>
      <c r="B2098" s="176">
        <v>5.34</v>
      </c>
      <c r="C2098" s="176"/>
      <c r="D2098" s="176"/>
      <c r="E2098" s="176"/>
    </row>
    <row r="2099" spans="1:5" x14ac:dyDescent="0.2">
      <c r="A2099" s="175">
        <v>37172</v>
      </c>
      <c r="B2099" s="176" t="e">
        <f>NA()</f>
        <v>#N/A</v>
      </c>
      <c r="C2099" s="176"/>
      <c r="D2099" s="176"/>
      <c r="E2099" s="176"/>
    </row>
    <row r="2100" spans="1:5" x14ac:dyDescent="0.2">
      <c r="A2100" s="175">
        <v>37173</v>
      </c>
      <c r="B2100" s="176">
        <v>5.42</v>
      </c>
      <c r="C2100" s="176"/>
      <c r="D2100" s="176"/>
      <c r="E2100" s="176"/>
    </row>
    <row r="2101" spans="1:5" x14ac:dyDescent="0.2">
      <c r="A2101" s="175">
        <v>37174</v>
      </c>
      <c r="B2101" s="177">
        <v>5.38</v>
      </c>
      <c r="C2101" s="177"/>
      <c r="D2101" s="177"/>
      <c r="E2101" s="177"/>
    </row>
    <row r="2102" spans="1:5" x14ac:dyDescent="0.2">
      <c r="A2102" s="175">
        <v>37175</v>
      </c>
      <c r="B2102" s="176">
        <v>5.45</v>
      </c>
      <c r="C2102" s="176"/>
      <c r="D2102" s="176"/>
      <c r="E2102" s="176"/>
    </row>
    <row r="2103" spans="1:5" x14ac:dyDescent="0.2">
      <c r="A2103" s="175">
        <v>37176</v>
      </c>
      <c r="B2103" s="176">
        <v>5.45</v>
      </c>
      <c r="C2103" s="176"/>
      <c r="D2103" s="176"/>
      <c r="E2103" s="176"/>
    </row>
    <row r="2104" spans="1:5" x14ac:dyDescent="0.2">
      <c r="A2104" s="175">
        <v>37179</v>
      </c>
      <c r="B2104" s="176">
        <v>5.4</v>
      </c>
      <c r="C2104" s="176"/>
      <c r="D2104" s="176"/>
      <c r="E2104" s="176"/>
    </row>
    <row r="2105" spans="1:5" x14ac:dyDescent="0.2">
      <c r="A2105" s="175">
        <v>37180</v>
      </c>
      <c r="B2105" s="176">
        <v>5.38</v>
      </c>
      <c r="C2105" s="176"/>
      <c r="D2105" s="176"/>
      <c r="E2105" s="176"/>
    </row>
    <row r="2106" spans="1:5" x14ac:dyDescent="0.2">
      <c r="A2106" s="175">
        <v>37181</v>
      </c>
      <c r="B2106" s="176">
        <v>5.35</v>
      </c>
      <c r="C2106" s="176"/>
      <c r="D2106" s="176"/>
      <c r="E2106" s="176"/>
    </row>
    <row r="2107" spans="1:5" x14ac:dyDescent="0.2">
      <c r="A2107" s="175">
        <v>37182</v>
      </c>
      <c r="B2107" s="176">
        <v>5.34</v>
      </c>
      <c r="C2107" s="176"/>
      <c r="D2107" s="176"/>
      <c r="E2107" s="176"/>
    </row>
    <row r="2108" spans="1:5" x14ac:dyDescent="0.2">
      <c r="A2108" s="175">
        <v>37183</v>
      </c>
      <c r="B2108" s="176">
        <v>5.39</v>
      </c>
      <c r="C2108" s="176"/>
      <c r="D2108" s="176"/>
      <c r="E2108" s="176"/>
    </row>
    <row r="2109" spans="1:5" x14ac:dyDescent="0.2">
      <c r="A2109" s="175">
        <v>37186</v>
      </c>
      <c r="B2109" s="176">
        <v>5.38</v>
      </c>
      <c r="C2109" s="176"/>
      <c r="D2109" s="176"/>
      <c r="E2109" s="176"/>
    </row>
    <row r="2110" spans="1:5" x14ac:dyDescent="0.2">
      <c r="A2110" s="175">
        <v>37187</v>
      </c>
      <c r="B2110" s="176">
        <v>5.4</v>
      </c>
      <c r="C2110" s="176"/>
      <c r="D2110" s="176"/>
      <c r="E2110" s="176"/>
    </row>
    <row r="2111" spans="1:5" x14ac:dyDescent="0.2">
      <c r="A2111" s="175">
        <v>37188</v>
      </c>
      <c r="B2111" s="176">
        <v>5.32</v>
      </c>
      <c r="C2111" s="176"/>
      <c r="D2111" s="176"/>
      <c r="E2111" s="176"/>
    </row>
    <row r="2112" spans="1:5" x14ac:dyDescent="0.2">
      <c r="A2112" s="175">
        <v>37189</v>
      </c>
      <c r="B2112" s="176">
        <v>5.28</v>
      </c>
      <c r="C2112" s="176"/>
      <c r="D2112" s="176"/>
      <c r="E2112" s="176"/>
    </row>
    <row r="2113" spans="1:5" x14ac:dyDescent="0.2">
      <c r="A2113" s="175">
        <v>37190</v>
      </c>
      <c r="B2113" s="176">
        <v>5.27</v>
      </c>
      <c r="C2113" s="176"/>
      <c r="D2113" s="176"/>
      <c r="E2113" s="176"/>
    </row>
    <row r="2114" spans="1:5" x14ac:dyDescent="0.2">
      <c r="A2114" s="175">
        <v>37193</v>
      </c>
      <c r="B2114" s="176">
        <v>5.24</v>
      </c>
      <c r="C2114" s="176"/>
      <c r="D2114" s="176"/>
      <c r="E2114" s="176"/>
    </row>
    <row r="2115" spans="1:5" x14ac:dyDescent="0.2">
      <c r="A2115" s="175">
        <v>37194</v>
      </c>
      <c r="B2115" s="176">
        <v>5.21</v>
      </c>
      <c r="C2115" s="176"/>
      <c r="D2115" s="176"/>
      <c r="E2115" s="176"/>
    </row>
    <row r="2116" spans="1:5" x14ac:dyDescent="0.2">
      <c r="A2116" s="175">
        <v>37195</v>
      </c>
      <c r="B2116" s="176">
        <v>5.05</v>
      </c>
      <c r="C2116" s="176"/>
      <c r="D2116" s="176"/>
      <c r="E2116" s="176"/>
    </row>
    <row r="2117" spans="1:5" x14ac:dyDescent="0.2">
      <c r="A2117" s="175">
        <v>37196</v>
      </c>
      <c r="B2117" s="176">
        <v>5</v>
      </c>
      <c r="C2117" s="176"/>
      <c r="D2117" s="176"/>
      <c r="E2117" s="176"/>
    </row>
    <row r="2118" spans="1:5" x14ac:dyDescent="0.2">
      <c r="A2118" s="175">
        <v>37197</v>
      </c>
      <c r="B2118" s="176">
        <v>5.14</v>
      </c>
      <c r="C2118" s="176"/>
      <c r="D2118" s="176"/>
      <c r="E2118" s="176"/>
    </row>
    <row r="2119" spans="1:5" x14ac:dyDescent="0.2">
      <c r="A2119" s="175">
        <v>37200</v>
      </c>
      <c r="B2119" s="176">
        <v>5.0599999999999996</v>
      </c>
      <c r="C2119" s="176"/>
      <c r="D2119" s="176"/>
      <c r="E2119" s="176"/>
    </row>
    <row r="2120" spans="1:5" x14ac:dyDescent="0.2">
      <c r="A2120" s="175">
        <v>37201</v>
      </c>
      <c r="B2120" s="176">
        <v>5.05</v>
      </c>
      <c r="C2120" s="176"/>
      <c r="D2120" s="176"/>
      <c r="E2120" s="176"/>
    </row>
    <row r="2121" spans="1:5" x14ac:dyDescent="0.2">
      <c r="A2121" s="175">
        <v>37202</v>
      </c>
      <c r="B2121" s="176">
        <v>4.95</v>
      </c>
      <c r="C2121" s="176"/>
      <c r="D2121" s="176"/>
      <c r="E2121" s="176"/>
    </row>
    <row r="2122" spans="1:5" x14ac:dyDescent="0.2">
      <c r="A2122" s="175">
        <v>37203</v>
      </c>
      <c r="B2122" s="176">
        <v>5.03</v>
      </c>
      <c r="C2122" s="176"/>
      <c r="D2122" s="176"/>
      <c r="E2122" s="176"/>
    </row>
    <row r="2123" spans="1:5" x14ac:dyDescent="0.2">
      <c r="A2123" s="175">
        <v>37204</v>
      </c>
      <c r="B2123" s="176">
        <v>5.05</v>
      </c>
      <c r="C2123" s="176"/>
      <c r="D2123" s="176"/>
      <c r="E2123" s="176"/>
    </row>
    <row r="2124" spans="1:5" x14ac:dyDescent="0.2">
      <c r="A2124" s="175">
        <v>37207</v>
      </c>
      <c r="B2124" s="176" t="e">
        <f>NA()</f>
        <v>#N/A</v>
      </c>
      <c r="C2124" s="176"/>
      <c r="D2124" s="176"/>
      <c r="E2124" s="176"/>
    </row>
    <row r="2125" spans="1:5" x14ac:dyDescent="0.2">
      <c r="A2125" s="175">
        <v>37208</v>
      </c>
      <c r="B2125" s="176">
        <v>5.0999999999999996</v>
      </c>
      <c r="C2125" s="176"/>
      <c r="D2125" s="176"/>
      <c r="E2125" s="176"/>
    </row>
    <row r="2126" spans="1:5" x14ac:dyDescent="0.2">
      <c r="A2126" s="175">
        <v>37209</v>
      </c>
      <c r="B2126" s="176">
        <v>5.2</v>
      </c>
      <c r="C2126" s="176"/>
      <c r="D2126" s="176"/>
      <c r="E2126" s="176"/>
    </row>
    <row r="2127" spans="1:5" x14ac:dyDescent="0.2">
      <c r="A2127" s="175">
        <v>37210</v>
      </c>
      <c r="B2127" s="176">
        <v>5.41</v>
      </c>
      <c r="C2127" s="176"/>
      <c r="D2127" s="176"/>
      <c r="E2127" s="176"/>
    </row>
    <row r="2128" spans="1:5" x14ac:dyDescent="0.2">
      <c r="A2128" s="175">
        <v>37211</v>
      </c>
      <c r="B2128" s="176">
        <v>5.52</v>
      </c>
      <c r="C2128" s="176"/>
      <c r="D2128" s="176"/>
      <c r="E2128" s="176"/>
    </row>
    <row r="2129" spans="1:5" x14ac:dyDescent="0.2">
      <c r="A2129" s="175">
        <v>37214</v>
      </c>
      <c r="B2129" s="176">
        <v>5.42</v>
      </c>
      <c r="C2129" s="176"/>
      <c r="D2129" s="176"/>
      <c r="E2129" s="176"/>
    </row>
    <row r="2130" spans="1:5" x14ac:dyDescent="0.2">
      <c r="A2130" s="175">
        <v>37215</v>
      </c>
      <c r="B2130" s="176">
        <v>5.5</v>
      </c>
      <c r="C2130" s="176"/>
      <c r="D2130" s="176"/>
      <c r="E2130" s="176"/>
    </row>
    <row r="2131" spans="1:5" x14ac:dyDescent="0.2">
      <c r="A2131" s="175">
        <v>37216</v>
      </c>
      <c r="B2131" s="176">
        <v>5.59</v>
      </c>
      <c r="C2131" s="176"/>
      <c r="D2131" s="176"/>
      <c r="E2131" s="176"/>
    </row>
    <row r="2132" spans="1:5" x14ac:dyDescent="0.2">
      <c r="A2132" s="175">
        <v>37217</v>
      </c>
      <c r="B2132" s="176" t="e">
        <f>NA()</f>
        <v>#N/A</v>
      </c>
      <c r="C2132" s="176"/>
      <c r="D2132" s="176"/>
      <c r="E2132" s="176"/>
    </row>
    <row r="2133" spans="1:5" x14ac:dyDescent="0.2">
      <c r="A2133" s="175">
        <v>37218</v>
      </c>
      <c r="B2133" s="176">
        <v>5.65</v>
      </c>
      <c r="C2133" s="176"/>
      <c r="D2133" s="176"/>
      <c r="E2133" s="176"/>
    </row>
    <row r="2134" spans="1:5" x14ac:dyDescent="0.2">
      <c r="A2134" s="175">
        <v>37221</v>
      </c>
      <c r="B2134" s="176">
        <v>5.66</v>
      </c>
      <c r="C2134" s="176"/>
      <c r="D2134" s="176"/>
      <c r="E2134" s="176"/>
    </row>
    <row r="2135" spans="1:5" x14ac:dyDescent="0.2">
      <c r="A2135" s="175">
        <v>37222</v>
      </c>
      <c r="B2135" s="176">
        <v>5.64</v>
      </c>
      <c r="C2135" s="176"/>
      <c r="D2135" s="176"/>
      <c r="E2135" s="176"/>
    </row>
    <row r="2136" spans="1:5" x14ac:dyDescent="0.2">
      <c r="A2136" s="175">
        <v>37223</v>
      </c>
      <c r="B2136" s="176">
        <v>5.63</v>
      </c>
      <c r="C2136" s="176"/>
      <c r="D2136" s="176"/>
      <c r="E2136" s="176"/>
    </row>
    <row r="2137" spans="1:5" x14ac:dyDescent="0.2">
      <c r="A2137" s="175">
        <v>37224</v>
      </c>
      <c r="B2137" s="176">
        <v>5.52</v>
      </c>
      <c r="C2137" s="176"/>
      <c r="D2137" s="176"/>
      <c r="E2137" s="176"/>
    </row>
    <row r="2138" spans="1:5" x14ac:dyDescent="0.2">
      <c r="A2138" s="175">
        <v>37225</v>
      </c>
      <c r="B2138" s="176">
        <v>5.54</v>
      </c>
      <c r="C2138" s="176"/>
      <c r="D2138" s="176"/>
      <c r="E2138" s="176"/>
    </row>
    <row r="2139" spans="1:5" x14ac:dyDescent="0.2">
      <c r="A2139" s="175">
        <v>37228</v>
      </c>
      <c r="B2139" s="176">
        <v>5.49</v>
      </c>
      <c r="C2139" s="176"/>
      <c r="D2139" s="176"/>
      <c r="E2139" s="176"/>
    </row>
    <row r="2140" spans="1:5" x14ac:dyDescent="0.2">
      <c r="A2140" s="175">
        <v>37229</v>
      </c>
      <c r="B2140" s="176">
        <v>5.43</v>
      </c>
      <c r="C2140" s="176"/>
      <c r="D2140" s="176"/>
      <c r="E2140" s="176"/>
    </row>
    <row r="2141" spans="1:5" x14ac:dyDescent="0.2">
      <c r="A2141" s="175">
        <v>37230</v>
      </c>
      <c r="B2141" s="176">
        <v>5.61</v>
      </c>
      <c r="C2141" s="176"/>
      <c r="D2141" s="176"/>
      <c r="E2141" s="176"/>
    </row>
    <row r="2142" spans="1:5" x14ac:dyDescent="0.2">
      <c r="A2142" s="175">
        <v>37231</v>
      </c>
      <c r="B2142" s="176">
        <v>5.72</v>
      </c>
      <c r="C2142" s="176"/>
      <c r="D2142" s="176"/>
      <c r="E2142" s="176"/>
    </row>
    <row r="2143" spans="1:5" x14ac:dyDescent="0.2">
      <c r="A2143" s="175">
        <v>37232</v>
      </c>
      <c r="B2143" s="176">
        <v>5.9</v>
      </c>
      <c r="C2143" s="176"/>
      <c r="D2143" s="176"/>
      <c r="E2143" s="176"/>
    </row>
    <row r="2144" spans="1:5" x14ac:dyDescent="0.2">
      <c r="A2144" s="175">
        <v>37235</v>
      </c>
      <c r="B2144" s="177">
        <v>5.86</v>
      </c>
      <c r="C2144" s="177"/>
      <c r="D2144" s="177"/>
      <c r="E2144" s="177"/>
    </row>
    <row r="2145" spans="1:5" x14ac:dyDescent="0.2">
      <c r="A2145" s="175">
        <v>37236</v>
      </c>
      <c r="B2145" s="176">
        <v>5.83</v>
      </c>
      <c r="C2145" s="176"/>
      <c r="D2145" s="176"/>
      <c r="E2145" s="176"/>
    </row>
    <row r="2146" spans="1:5" x14ac:dyDescent="0.2">
      <c r="A2146" s="175">
        <v>37237</v>
      </c>
      <c r="B2146" s="176">
        <v>5.74</v>
      </c>
      <c r="C2146" s="176"/>
      <c r="D2146" s="176"/>
      <c r="E2146" s="176"/>
    </row>
    <row r="2147" spans="1:5" x14ac:dyDescent="0.2">
      <c r="A2147" s="175">
        <v>37238</v>
      </c>
      <c r="B2147" s="176">
        <v>5.81</v>
      </c>
      <c r="C2147" s="176"/>
      <c r="D2147" s="176"/>
      <c r="E2147" s="176"/>
    </row>
    <row r="2148" spans="1:5" x14ac:dyDescent="0.2">
      <c r="A2148" s="175">
        <v>37239</v>
      </c>
      <c r="B2148" s="176">
        <v>5.89</v>
      </c>
      <c r="C2148" s="176"/>
      <c r="D2148" s="176"/>
      <c r="E2148" s="176"/>
    </row>
    <row r="2149" spans="1:5" x14ac:dyDescent="0.2">
      <c r="A2149" s="175">
        <v>37242</v>
      </c>
      <c r="B2149" s="176">
        <v>5.91</v>
      </c>
      <c r="C2149" s="176"/>
      <c r="D2149" s="176"/>
      <c r="E2149" s="176"/>
    </row>
    <row r="2150" spans="1:5" x14ac:dyDescent="0.2">
      <c r="A2150" s="175">
        <v>37243</v>
      </c>
      <c r="B2150" s="176">
        <v>5.81</v>
      </c>
      <c r="C2150" s="176"/>
      <c r="D2150" s="176"/>
      <c r="E2150" s="176"/>
    </row>
    <row r="2151" spans="1:5" x14ac:dyDescent="0.2">
      <c r="A2151" s="175">
        <v>37244</v>
      </c>
      <c r="B2151" s="176">
        <v>5.73</v>
      </c>
      <c r="C2151" s="176"/>
      <c r="D2151" s="176"/>
      <c r="E2151" s="176"/>
    </row>
    <row r="2152" spans="1:5" x14ac:dyDescent="0.2">
      <c r="A2152" s="175">
        <v>37245</v>
      </c>
      <c r="B2152" s="176">
        <v>5.73</v>
      </c>
      <c r="C2152" s="176"/>
      <c r="D2152" s="176"/>
      <c r="E2152" s="176"/>
    </row>
    <row r="2153" spans="1:5" x14ac:dyDescent="0.2">
      <c r="A2153" s="175">
        <v>37246</v>
      </c>
      <c r="B2153" s="176">
        <v>5.76</v>
      </c>
      <c r="C2153" s="176"/>
      <c r="D2153" s="176"/>
      <c r="E2153" s="176"/>
    </row>
    <row r="2154" spans="1:5" x14ac:dyDescent="0.2">
      <c r="A2154" s="175">
        <v>37249</v>
      </c>
      <c r="B2154" s="176">
        <v>5.81</v>
      </c>
      <c r="C2154" s="176"/>
      <c r="D2154" s="176"/>
      <c r="E2154" s="176"/>
    </row>
    <row r="2155" spans="1:5" x14ac:dyDescent="0.2">
      <c r="A2155" s="175">
        <v>37250</v>
      </c>
      <c r="B2155" s="176" t="e">
        <f>NA()</f>
        <v>#N/A</v>
      </c>
      <c r="C2155" s="176"/>
      <c r="D2155" s="176"/>
      <c r="E2155" s="176"/>
    </row>
    <row r="2156" spans="1:5" x14ac:dyDescent="0.2">
      <c r="A2156" s="175">
        <v>37251</v>
      </c>
      <c r="B2156" s="176">
        <v>5.84</v>
      </c>
      <c r="C2156" s="176"/>
      <c r="D2156" s="176"/>
      <c r="E2156" s="176"/>
    </row>
    <row r="2157" spans="1:5" x14ac:dyDescent="0.2">
      <c r="A2157" s="175">
        <v>37252</v>
      </c>
      <c r="B2157" s="176">
        <v>5.78</v>
      </c>
      <c r="C2157" s="176"/>
      <c r="D2157" s="176"/>
      <c r="E2157" s="176"/>
    </row>
    <row r="2158" spans="1:5" x14ac:dyDescent="0.2">
      <c r="A2158" s="175">
        <v>37253</v>
      </c>
      <c r="B2158" s="176">
        <v>5.82</v>
      </c>
      <c r="C2158" s="176"/>
      <c r="D2158" s="176"/>
      <c r="E2158" s="176"/>
    </row>
    <row r="2159" spans="1:5" x14ac:dyDescent="0.2">
      <c r="A2159" s="175">
        <v>37256</v>
      </c>
      <c r="B2159" s="176">
        <v>5.74</v>
      </c>
      <c r="C2159" s="176"/>
      <c r="D2159" s="176"/>
      <c r="E2159" s="176"/>
    </row>
    <row r="2160" spans="1:5" x14ac:dyDescent="0.2">
      <c r="A2160" s="175">
        <v>37257</v>
      </c>
      <c r="B2160" s="176" t="e">
        <f>NA()</f>
        <v>#N/A</v>
      </c>
      <c r="C2160" s="176"/>
      <c r="D2160" s="176"/>
      <c r="E2160" s="176"/>
    </row>
    <row r="2161" spans="1:5" x14ac:dyDescent="0.2">
      <c r="A2161" s="175">
        <v>37258</v>
      </c>
      <c r="B2161" s="176">
        <v>5.86</v>
      </c>
      <c r="C2161" s="176"/>
      <c r="D2161" s="176"/>
      <c r="E2161" s="176"/>
    </row>
    <row r="2162" spans="1:5" x14ac:dyDescent="0.2">
      <c r="A2162" s="175">
        <v>37259</v>
      </c>
      <c r="B2162" s="176">
        <v>5.83</v>
      </c>
      <c r="C2162" s="176"/>
      <c r="D2162" s="176"/>
      <c r="E2162" s="176"/>
    </row>
    <row r="2163" spans="1:5" x14ac:dyDescent="0.2">
      <c r="A2163" s="175">
        <v>37260</v>
      </c>
      <c r="B2163" s="176">
        <v>5.87</v>
      </c>
      <c r="C2163" s="176"/>
      <c r="D2163" s="176"/>
      <c r="E2163" s="176"/>
    </row>
    <row r="2164" spans="1:5" x14ac:dyDescent="0.2">
      <c r="A2164" s="175">
        <v>37263</v>
      </c>
      <c r="B2164" s="176">
        <v>5.76</v>
      </c>
      <c r="C2164" s="176"/>
      <c r="D2164" s="176"/>
      <c r="E2164" s="176"/>
    </row>
    <row r="2165" spans="1:5" x14ac:dyDescent="0.2">
      <c r="A2165" s="175">
        <v>37264</v>
      </c>
      <c r="B2165" s="176">
        <v>5.77</v>
      </c>
      <c r="C2165" s="176"/>
      <c r="D2165" s="176"/>
      <c r="E2165" s="176"/>
    </row>
    <row r="2166" spans="1:5" x14ac:dyDescent="0.2">
      <c r="A2166" s="175">
        <v>37265</v>
      </c>
      <c r="B2166" s="176">
        <v>5.76</v>
      </c>
      <c r="C2166" s="176"/>
      <c r="D2166" s="176"/>
      <c r="E2166" s="176"/>
    </row>
    <row r="2167" spans="1:5" x14ac:dyDescent="0.2">
      <c r="A2167" s="175">
        <v>37266</v>
      </c>
      <c r="B2167" s="176">
        <v>5.64</v>
      </c>
      <c r="C2167" s="176"/>
      <c r="D2167" s="176"/>
      <c r="E2167" s="176"/>
    </row>
    <row r="2168" spans="1:5" x14ac:dyDescent="0.2">
      <c r="A2168" s="175">
        <v>37267</v>
      </c>
      <c r="B2168" s="176">
        <v>5.6</v>
      </c>
      <c r="C2168" s="176"/>
      <c r="D2168" s="176"/>
      <c r="E2168" s="176"/>
    </row>
    <row r="2169" spans="1:5" x14ac:dyDescent="0.2">
      <c r="A2169" s="175">
        <v>37270</v>
      </c>
      <c r="B2169" s="177">
        <v>5.62</v>
      </c>
      <c r="C2169" s="177"/>
      <c r="D2169" s="177"/>
      <c r="E2169" s="177"/>
    </row>
    <row r="2170" spans="1:5" x14ac:dyDescent="0.2">
      <c r="A2170" s="175">
        <v>37271</v>
      </c>
      <c r="B2170" s="176">
        <v>5.56</v>
      </c>
      <c r="C2170" s="176"/>
      <c r="D2170" s="176"/>
      <c r="E2170" s="176"/>
    </row>
    <row r="2171" spans="1:5" x14ac:dyDescent="0.2">
      <c r="A2171" s="175">
        <v>37272</v>
      </c>
      <c r="B2171" s="176">
        <v>5.58</v>
      </c>
      <c r="C2171" s="176"/>
      <c r="D2171" s="176"/>
      <c r="E2171" s="176"/>
    </row>
    <row r="2172" spans="1:5" x14ac:dyDescent="0.2">
      <c r="A2172" s="175">
        <v>37273</v>
      </c>
      <c r="B2172" s="176">
        <v>5.65</v>
      </c>
      <c r="C2172" s="176"/>
      <c r="D2172" s="176"/>
      <c r="E2172" s="176"/>
    </row>
    <row r="2173" spans="1:5" x14ac:dyDescent="0.2">
      <c r="A2173" s="175">
        <v>37274</v>
      </c>
      <c r="B2173" s="176">
        <v>5.59</v>
      </c>
      <c r="C2173" s="176"/>
      <c r="D2173" s="176"/>
      <c r="E2173" s="176"/>
    </row>
    <row r="2174" spans="1:5" x14ac:dyDescent="0.2">
      <c r="A2174" s="175">
        <v>37277</v>
      </c>
      <c r="B2174" s="176" t="e">
        <f>NA()</f>
        <v>#N/A</v>
      </c>
      <c r="C2174" s="176"/>
      <c r="D2174" s="176"/>
      <c r="E2174" s="176"/>
    </row>
    <row r="2175" spans="1:5" x14ac:dyDescent="0.2">
      <c r="A2175" s="175">
        <v>37278</v>
      </c>
      <c r="B2175" s="176">
        <v>5.62</v>
      </c>
      <c r="C2175" s="176"/>
      <c r="D2175" s="176"/>
      <c r="E2175" s="176"/>
    </row>
    <row r="2176" spans="1:5" x14ac:dyDescent="0.2">
      <c r="A2176" s="175">
        <v>37279</v>
      </c>
      <c r="B2176" s="176">
        <v>5.73</v>
      </c>
      <c r="C2176" s="176"/>
      <c r="D2176" s="176"/>
      <c r="E2176" s="176"/>
    </row>
    <row r="2177" spans="1:5" x14ac:dyDescent="0.2">
      <c r="A2177" s="175">
        <v>37280</v>
      </c>
      <c r="B2177" s="176">
        <v>5.71</v>
      </c>
      <c r="C2177" s="176"/>
      <c r="D2177" s="176"/>
      <c r="E2177" s="176"/>
    </row>
    <row r="2178" spans="1:5" x14ac:dyDescent="0.2">
      <c r="A2178" s="175">
        <v>37281</v>
      </c>
      <c r="B2178" s="176">
        <v>5.72</v>
      </c>
      <c r="C2178" s="176"/>
      <c r="D2178" s="176"/>
      <c r="E2178" s="176"/>
    </row>
    <row r="2179" spans="1:5" x14ac:dyDescent="0.2">
      <c r="A2179" s="175">
        <v>37284</v>
      </c>
      <c r="B2179" s="176">
        <v>5.72</v>
      </c>
      <c r="C2179" s="176"/>
      <c r="D2179" s="176"/>
      <c r="E2179" s="176"/>
    </row>
    <row r="2180" spans="1:5" x14ac:dyDescent="0.2">
      <c r="A2180" s="175">
        <v>37285</v>
      </c>
      <c r="B2180" s="176">
        <v>5.63</v>
      </c>
      <c r="C2180" s="176"/>
      <c r="D2180" s="176"/>
      <c r="E2180" s="176"/>
    </row>
    <row r="2181" spans="1:5" x14ac:dyDescent="0.2">
      <c r="A2181" s="175">
        <v>37286</v>
      </c>
      <c r="B2181" s="176">
        <v>5.64</v>
      </c>
      <c r="C2181" s="176"/>
      <c r="D2181" s="176"/>
      <c r="E2181" s="176"/>
    </row>
    <row r="2182" spans="1:5" x14ac:dyDescent="0.2">
      <c r="A2182" s="175">
        <v>37287</v>
      </c>
      <c r="B2182" s="176">
        <v>5.68</v>
      </c>
      <c r="C2182" s="176"/>
      <c r="D2182" s="176"/>
      <c r="E2182" s="176"/>
    </row>
    <row r="2183" spans="1:5" x14ac:dyDescent="0.2">
      <c r="A2183" s="175">
        <v>37288</v>
      </c>
      <c r="B2183" s="176">
        <v>5.63</v>
      </c>
      <c r="C2183" s="176"/>
      <c r="D2183" s="176"/>
      <c r="E2183" s="176"/>
    </row>
    <row r="2184" spans="1:5" x14ac:dyDescent="0.2">
      <c r="A2184" s="175">
        <v>37291</v>
      </c>
      <c r="B2184" s="176">
        <v>5.57</v>
      </c>
      <c r="C2184" s="176"/>
      <c r="D2184" s="176"/>
      <c r="E2184" s="176"/>
    </row>
    <row r="2185" spans="1:5" x14ac:dyDescent="0.2">
      <c r="A2185" s="175">
        <v>37292</v>
      </c>
      <c r="B2185" s="177">
        <v>5.56</v>
      </c>
      <c r="C2185" s="177"/>
      <c r="D2185" s="177"/>
      <c r="E2185" s="177"/>
    </row>
    <row r="2186" spans="1:5" x14ac:dyDescent="0.2">
      <c r="A2186" s="175">
        <v>37293</v>
      </c>
      <c r="B2186" s="176">
        <v>5.61</v>
      </c>
      <c r="C2186" s="176"/>
      <c r="D2186" s="176"/>
      <c r="E2186" s="176"/>
    </row>
    <row r="2187" spans="1:5" x14ac:dyDescent="0.2">
      <c r="A2187" s="175">
        <v>37294</v>
      </c>
      <c r="B2187" s="176">
        <v>5.64</v>
      </c>
      <c r="C2187" s="176"/>
      <c r="D2187" s="176"/>
      <c r="E2187" s="176"/>
    </row>
    <row r="2188" spans="1:5" x14ac:dyDescent="0.2">
      <c r="A2188" s="175">
        <v>37295</v>
      </c>
      <c r="B2188" s="176">
        <v>5.6</v>
      </c>
      <c r="C2188" s="176"/>
      <c r="D2188" s="176"/>
      <c r="E2188" s="176"/>
    </row>
    <row r="2189" spans="1:5" x14ac:dyDescent="0.2">
      <c r="A2189" s="175">
        <v>37298</v>
      </c>
      <c r="B2189" s="176">
        <v>5.63</v>
      </c>
      <c r="C2189" s="176"/>
      <c r="D2189" s="176"/>
      <c r="E2189" s="176"/>
    </row>
    <row r="2190" spans="1:5" x14ac:dyDescent="0.2">
      <c r="A2190" s="175">
        <v>37299</v>
      </c>
      <c r="B2190" s="176">
        <v>5.69</v>
      </c>
      <c r="C2190" s="176"/>
      <c r="D2190" s="176"/>
      <c r="E2190" s="176"/>
    </row>
    <row r="2191" spans="1:5" x14ac:dyDescent="0.2">
      <c r="A2191" s="175">
        <v>37300</v>
      </c>
      <c r="B2191" s="176">
        <v>5.72</v>
      </c>
      <c r="C2191" s="176"/>
      <c r="D2191" s="176"/>
      <c r="E2191" s="176"/>
    </row>
    <row r="2192" spans="1:5" x14ac:dyDescent="0.2">
      <c r="A2192" s="175">
        <v>37301</v>
      </c>
      <c r="B2192" s="176">
        <v>5.64</v>
      </c>
      <c r="C2192" s="176"/>
      <c r="D2192" s="176"/>
      <c r="E2192" s="176"/>
    </row>
    <row r="2193" spans="1:5" x14ac:dyDescent="0.2">
      <c r="A2193" s="175">
        <v>37302</v>
      </c>
      <c r="B2193" s="176">
        <v>5.58</v>
      </c>
      <c r="C2193" s="176"/>
      <c r="D2193" s="176"/>
      <c r="E2193" s="176"/>
    </row>
    <row r="2194" spans="1:5" x14ac:dyDescent="0.2">
      <c r="A2194" s="175">
        <v>37305</v>
      </c>
      <c r="B2194" s="177" t="e">
        <f>NA()</f>
        <v>#N/A</v>
      </c>
      <c r="C2194" s="177"/>
      <c r="D2194" s="177"/>
      <c r="E2194" s="177"/>
    </row>
    <row r="2195" spans="1:5" x14ac:dyDescent="0.2">
      <c r="A2195" s="175">
        <v>37306</v>
      </c>
      <c r="B2195" s="176">
        <v>5.61</v>
      </c>
      <c r="C2195" s="176"/>
      <c r="D2195" s="176"/>
      <c r="E2195" s="176"/>
    </row>
    <row r="2196" spans="1:5" x14ac:dyDescent="0.2">
      <c r="A2196" s="175">
        <v>37307</v>
      </c>
      <c r="B2196" s="176">
        <v>5.6</v>
      </c>
      <c r="C2196" s="176"/>
      <c r="D2196" s="176"/>
      <c r="E2196" s="176"/>
    </row>
    <row r="2197" spans="1:5" x14ac:dyDescent="0.2">
      <c r="A2197" s="175">
        <v>37308</v>
      </c>
      <c r="B2197" s="176">
        <v>5.58</v>
      </c>
      <c r="C2197" s="176"/>
      <c r="D2197" s="176"/>
      <c r="E2197" s="176"/>
    </row>
    <row r="2198" spans="1:5" x14ac:dyDescent="0.2">
      <c r="A2198" s="175">
        <v>37309</v>
      </c>
      <c r="B2198" s="176">
        <v>5.55</v>
      </c>
      <c r="C2198" s="176"/>
      <c r="D2198" s="176"/>
      <c r="E2198" s="176"/>
    </row>
    <row r="2199" spans="1:5" x14ac:dyDescent="0.2">
      <c r="A2199" s="175">
        <v>37312</v>
      </c>
      <c r="B2199" s="176">
        <v>5.56</v>
      </c>
      <c r="C2199" s="176"/>
      <c r="D2199" s="176"/>
      <c r="E2199" s="176"/>
    </row>
    <row r="2200" spans="1:5" x14ac:dyDescent="0.2">
      <c r="A2200" s="175">
        <v>37313</v>
      </c>
      <c r="B2200" s="176">
        <v>5.63</v>
      </c>
      <c r="C2200" s="176"/>
      <c r="D2200" s="176"/>
      <c r="E2200" s="176"/>
    </row>
    <row r="2201" spans="1:5" x14ac:dyDescent="0.2">
      <c r="A2201" s="175">
        <v>37314</v>
      </c>
      <c r="B2201" s="176">
        <v>5.56</v>
      </c>
      <c r="C2201" s="176"/>
      <c r="D2201" s="176"/>
      <c r="E2201" s="176"/>
    </row>
    <row r="2202" spans="1:5" x14ac:dyDescent="0.2">
      <c r="A2202" s="175">
        <v>37315</v>
      </c>
      <c r="B2202" s="177">
        <v>5.61</v>
      </c>
      <c r="C2202" s="177"/>
      <c r="D2202" s="177"/>
      <c r="E2202" s="177"/>
    </row>
    <row r="2203" spans="1:5" x14ac:dyDescent="0.2">
      <c r="A2203" s="175">
        <v>37316</v>
      </c>
      <c r="B2203" s="176">
        <v>5.7</v>
      </c>
      <c r="C2203" s="176"/>
      <c r="D2203" s="176"/>
      <c r="E2203" s="176"/>
    </row>
    <row r="2204" spans="1:5" x14ac:dyDescent="0.2">
      <c r="A2204" s="175">
        <v>37319</v>
      </c>
      <c r="B2204" s="176">
        <v>5.71</v>
      </c>
      <c r="C2204" s="176"/>
      <c r="D2204" s="176"/>
      <c r="E2204" s="176"/>
    </row>
    <row r="2205" spans="1:5" x14ac:dyDescent="0.2">
      <c r="A2205" s="175">
        <v>37320</v>
      </c>
      <c r="B2205" s="176">
        <v>5.7</v>
      </c>
      <c r="C2205" s="176"/>
      <c r="D2205" s="176"/>
      <c r="E2205" s="176"/>
    </row>
    <row r="2206" spans="1:5" x14ac:dyDescent="0.2">
      <c r="A2206" s="175">
        <v>37321</v>
      </c>
      <c r="B2206" s="176">
        <v>5.74</v>
      </c>
      <c r="C2206" s="176"/>
      <c r="D2206" s="176"/>
      <c r="E2206" s="176"/>
    </row>
    <row r="2207" spans="1:5" x14ac:dyDescent="0.2">
      <c r="A2207" s="175">
        <v>37322</v>
      </c>
      <c r="B2207" s="176">
        <v>5.88</v>
      </c>
      <c r="C2207" s="176"/>
      <c r="D2207" s="176"/>
      <c r="E2207" s="176"/>
    </row>
    <row r="2208" spans="1:5" x14ac:dyDescent="0.2">
      <c r="A2208" s="175">
        <v>37323</v>
      </c>
      <c r="B2208" s="176">
        <v>5.95</v>
      </c>
      <c r="C2208" s="176"/>
      <c r="D2208" s="176"/>
      <c r="E2208" s="176"/>
    </row>
    <row r="2209" spans="1:5" x14ac:dyDescent="0.2">
      <c r="A2209" s="175">
        <v>37326</v>
      </c>
      <c r="B2209" s="176">
        <v>5.96</v>
      </c>
      <c r="C2209" s="176"/>
      <c r="D2209" s="176"/>
      <c r="E2209" s="176"/>
    </row>
    <row r="2210" spans="1:5" x14ac:dyDescent="0.2">
      <c r="A2210" s="175">
        <v>37327</v>
      </c>
      <c r="B2210" s="176">
        <v>5.96</v>
      </c>
      <c r="C2210" s="176"/>
      <c r="D2210" s="176"/>
      <c r="E2210" s="176"/>
    </row>
    <row r="2211" spans="1:5" x14ac:dyDescent="0.2">
      <c r="A2211" s="175">
        <v>37328</v>
      </c>
      <c r="B2211" s="176">
        <v>5.95</v>
      </c>
      <c r="C2211" s="176"/>
      <c r="D2211" s="176"/>
      <c r="E2211" s="176"/>
    </row>
    <row r="2212" spans="1:5" x14ac:dyDescent="0.2">
      <c r="A2212" s="175">
        <v>37329</v>
      </c>
      <c r="B2212" s="176">
        <v>6.05</v>
      </c>
      <c r="C2212" s="176"/>
      <c r="D2212" s="176"/>
      <c r="E2212" s="176"/>
    </row>
    <row r="2213" spans="1:5" x14ac:dyDescent="0.2">
      <c r="A2213" s="175">
        <v>37330</v>
      </c>
      <c r="B2213" s="176">
        <v>5.98</v>
      </c>
      <c r="C2213" s="176"/>
      <c r="D2213" s="176"/>
      <c r="E2213" s="176"/>
    </row>
    <row r="2214" spans="1:5" x14ac:dyDescent="0.2">
      <c r="A2214" s="175">
        <v>37333</v>
      </c>
      <c r="B2214" s="176">
        <v>5.95</v>
      </c>
      <c r="C2214" s="176"/>
      <c r="D2214" s="176"/>
      <c r="E2214" s="176"/>
    </row>
    <row r="2215" spans="1:5" x14ac:dyDescent="0.2">
      <c r="A2215" s="175">
        <v>37334</v>
      </c>
      <c r="B2215" s="176">
        <v>5.96</v>
      </c>
      <c r="C2215" s="176"/>
      <c r="D2215" s="176"/>
      <c r="E2215" s="176"/>
    </row>
    <row r="2216" spans="1:5" x14ac:dyDescent="0.2">
      <c r="A2216" s="175">
        <v>37335</v>
      </c>
      <c r="B2216" s="176">
        <v>6.04</v>
      </c>
      <c r="C2216" s="176"/>
      <c r="D2216" s="176"/>
      <c r="E2216" s="176"/>
    </row>
    <row r="2217" spans="1:5" x14ac:dyDescent="0.2">
      <c r="A2217" s="175">
        <v>37336</v>
      </c>
      <c r="B2217" s="176">
        <v>6.02</v>
      </c>
      <c r="C2217" s="176"/>
      <c r="D2217" s="176"/>
      <c r="E2217" s="176"/>
    </row>
    <row r="2218" spans="1:5" x14ac:dyDescent="0.2">
      <c r="A2218" s="175">
        <v>37337</v>
      </c>
      <c r="B2218" s="176">
        <v>6.04</v>
      </c>
      <c r="C2218" s="176"/>
      <c r="D2218" s="176"/>
      <c r="E2218" s="176"/>
    </row>
    <row r="2219" spans="1:5" x14ac:dyDescent="0.2">
      <c r="A2219" s="175">
        <v>37340</v>
      </c>
      <c r="B2219" s="176">
        <v>6.03</v>
      </c>
      <c r="C2219" s="176"/>
      <c r="D2219" s="176"/>
      <c r="E2219" s="176"/>
    </row>
    <row r="2220" spans="1:5" x14ac:dyDescent="0.2">
      <c r="A2220" s="175">
        <v>37341</v>
      </c>
      <c r="B2220" s="176">
        <v>5.96</v>
      </c>
      <c r="C2220" s="176"/>
      <c r="D2220" s="176"/>
      <c r="E2220" s="176"/>
    </row>
    <row r="2221" spans="1:5" x14ac:dyDescent="0.2">
      <c r="A2221" s="175">
        <v>37342</v>
      </c>
      <c r="B2221" s="176">
        <v>5.96</v>
      </c>
      <c r="C2221" s="176"/>
      <c r="D2221" s="176"/>
      <c r="E2221" s="176"/>
    </row>
    <row r="2222" spans="1:5" x14ac:dyDescent="0.2">
      <c r="A2222" s="175">
        <v>37343</v>
      </c>
      <c r="B2222" s="176">
        <v>6.03</v>
      </c>
      <c r="C2222" s="176"/>
      <c r="D2222" s="176"/>
      <c r="E2222" s="176"/>
    </row>
    <row r="2223" spans="1:5" x14ac:dyDescent="0.2">
      <c r="A2223" s="175">
        <v>37344</v>
      </c>
      <c r="B2223" s="176" t="e">
        <f>NA()</f>
        <v>#N/A</v>
      </c>
      <c r="C2223" s="176"/>
      <c r="D2223" s="176"/>
      <c r="E2223" s="176"/>
    </row>
    <row r="2224" spans="1:5" x14ac:dyDescent="0.2">
      <c r="A2224" s="175">
        <v>37347</v>
      </c>
      <c r="B2224" s="176">
        <v>6.04</v>
      </c>
      <c r="C2224" s="176"/>
      <c r="D2224" s="176"/>
      <c r="E2224" s="176"/>
    </row>
    <row r="2225" spans="1:5" x14ac:dyDescent="0.2">
      <c r="A2225" s="175">
        <v>37348</v>
      </c>
      <c r="B2225" s="177">
        <v>5.96</v>
      </c>
      <c r="C2225" s="177"/>
      <c r="D2225" s="177"/>
      <c r="E2225" s="177"/>
    </row>
    <row r="2226" spans="1:5" x14ac:dyDescent="0.2">
      <c r="A2226" s="175">
        <v>37349</v>
      </c>
      <c r="B2226" s="176">
        <v>5.92</v>
      </c>
      <c r="C2226" s="176"/>
      <c r="D2226" s="176"/>
      <c r="E2226" s="176"/>
    </row>
    <row r="2227" spans="1:5" x14ac:dyDescent="0.2">
      <c r="A2227" s="175">
        <v>37350</v>
      </c>
      <c r="B2227" s="176">
        <v>5.89</v>
      </c>
      <c r="C2227" s="176"/>
      <c r="D2227" s="176"/>
      <c r="E2227" s="176"/>
    </row>
    <row r="2228" spans="1:5" x14ac:dyDescent="0.2">
      <c r="A2228" s="175">
        <v>37351</v>
      </c>
      <c r="B2228" s="176">
        <v>5.84</v>
      </c>
      <c r="C2228" s="176"/>
      <c r="D2228" s="176"/>
      <c r="E2228" s="176"/>
    </row>
    <row r="2229" spans="1:5" x14ac:dyDescent="0.2">
      <c r="A2229" s="175">
        <v>37354</v>
      </c>
      <c r="B2229" s="176">
        <v>5.89</v>
      </c>
      <c r="C2229" s="176"/>
      <c r="D2229" s="176"/>
      <c r="E2229" s="176"/>
    </row>
    <row r="2230" spans="1:5" x14ac:dyDescent="0.2">
      <c r="A2230" s="175">
        <v>37355</v>
      </c>
      <c r="B2230" s="177">
        <v>5.84</v>
      </c>
      <c r="C2230" s="177"/>
      <c r="D2230" s="177"/>
      <c r="E2230" s="177"/>
    </row>
    <row r="2231" spans="1:5" x14ac:dyDescent="0.2">
      <c r="A2231" s="175">
        <v>37356</v>
      </c>
      <c r="B2231" s="176">
        <v>5.88</v>
      </c>
      <c r="C2231" s="176"/>
      <c r="D2231" s="176"/>
      <c r="E2231" s="176"/>
    </row>
    <row r="2232" spans="1:5" x14ac:dyDescent="0.2">
      <c r="A2232" s="175">
        <v>37357</v>
      </c>
      <c r="B2232" s="176">
        <v>5.85</v>
      </c>
      <c r="C2232" s="176"/>
      <c r="D2232" s="176"/>
      <c r="E2232" s="176"/>
    </row>
    <row r="2233" spans="1:5" x14ac:dyDescent="0.2">
      <c r="A2233" s="175">
        <v>37358</v>
      </c>
      <c r="B2233" s="176">
        <v>5.81</v>
      </c>
      <c r="C2233" s="176"/>
      <c r="D2233" s="176"/>
      <c r="E2233" s="176"/>
    </row>
    <row r="2234" spans="1:5" x14ac:dyDescent="0.2">
      <c r="A2234" s="175">
        <v>37361</v>
      </c>
      <c r="B2234" s="176">
        <v>5.78</v>
      </c>
      <c r="C2234" s="176"/>
      <c r="D2234" s="176"/>
      <c r="E2234" s="176"/>
    </row>
    <row r="2235" spans="1:5" x14ac:dyDescent="0.2">
      <c r="A2235" s="175">
        <v>37362</v>
      </c>
      <c r="B2235" s="176">
        <v>5.83</v>
      </c>
      <c r="C2235" s="176"/>
      <c r="D2235" s="176"/>
      <c r="E2235" s="176"/>
    </row>
    <row r="2236" spans="1:5" x14ac:dyDescent="0.2">
      <c r="A2236" s="175">
        <v>37363</v>
      </c>
      <c r="B2236" s="176">
        <v>5.9</v>
      </c>
      <c r="C2236" s="176"/>
      <c r="D2236" s="176"/>
      <c r="E2236" s="176"/>
    </row>
    <row r="2237" spans="1:5" x14ac:dyDescent="0.2">
      <c r="A2237" s="175">
        <v>37364</v>
      </c>
      <c r="B2237" s="176">
        <v>5.88</v>
      </c>
      <c r="C2237" s="176"/>
      <c r="D2237" s="176"/>
      <c r="E2237" s="176"/>
    </row>
    <row r="2238" spans="1:5" x14ac:dyDescent="0.2">
      <c r="A2238" s="175">
        <v>37365</v>
      </c>
      <c r="B2238" s="176">
        <v>5.85</v>
      </c>
      <c r="C2238" s="176"/>
      <c r="D2238" s="176"/>
      <c r="E2238" s="176"/>
    </row>
    <row r="2239" spans="1:5" x14ac:dyDescent="0.2">
      <c r="A2239" s="175">
        <v>37368</v>
      </c>
      <c r="B2239" s="176">
        <v>5.85</v>
      </c>
      <c r="C2239" s="176"/>
      <c r="D2239" s="176"/>
      <c r="E2239" s="176"/>
    </row>
    <row r="2240" spans="1:5" x14ac:dyDescent="0.2">
      <c r="A2240" s="175">
        <v>37369</v>
      </c>
      <c r="B2240" s="176">
        <v>5.83</v>
      </c>
      <c r="C2240" s="176"/>
      <c r="D2240" s="176"/>
      <c r="E2240" s="176"/>
    </row>
    <row r="2241" spans="1:5" x14ac:dyDescent="0.2">
      <c r="A2241" s="175">
        <v>37370</v>
      </c>
      <c r="B2241" s="176">
        <v>5.77</v>
      </c>
      <c r="C2241" s="176"/>
      <c r="D2241" s="176"/>
      <c r="E2241" s="176"/>
    </row>
    <row r="2242" spans="1:5" x14ac:dyDescent="0.2">
      <c r="A2242" s="175">
        <v>37371</v>
      </c>
      <c r="B2242" s="176">
        <v>5.77</v>
      </c>
      <c r="C2242" s="176"/>
      <c r="D2242" s="176"/>
      <c r="E2242" s="176"/>
    </row>
    <row r="2243" spans="1:5" x14ac:dyDescent="0.2">
      <c r="A2243" s="175">
        <v>37372</v>
      </c>
      <c r="B2243" s="176">
        <v>5.73</v>
      </c>
      <c r="C2243" s="176"/>
      <c r="D2243" s="176"/>
      <c r="E2243" s="176"/>
    </row>
    <row r="2244" spans="1:5" x14ac:dyDescent="0.2">
      <c r="A2244" s="175">
        <v>37375</v>
      </c>
      <c r="B2244" s="177">
        <v>5.77</v>
      </c>
      <c r="C2244" s="177"/>
      <c r="D2244" s="177"/>
      <c r="E2244" s="177"/>
    </row>
    <row r="2245" spans="1:5" x14ac:dyDescent="0.2">
      <c r="A2245" s="175">
        <v>37376</v>
      </c>
      <c r="B2245" s="176">
        <v>5.74</v>
      </c>
      <c r="C2245" s="176"/>
      <c r="D2245" s="176"/>
      <c r="E2245" s="176"/>
    </row>
    <row r="2246" spans="1:5" x14ac:dyDescent="0.2">
      <c r="A2246" s="175">
        <v>37377</v>
      </c>
      <c r="B2246" s="176">
        <v>5.71</v>
      </c>
      <c r="C2246" s="176"/>
      <c r="D2246" s="176"/>
      <c r="E2246" s="176"/>
    </row>
    <row r="2247" spans="1:5" x14ac:dyDescent="0.2">
      <c r="A2247" s="175">
        <v>37378</v>
      </c>
      <c r="B2247" s="176">
        <v>5.74</v>
      </c>
      <c r="C2247" s="176"/>
      <c r="D2247" s="176"/>
      <c r="E2247" s="176"/>
    </row>
    <row r="2248" spans="1:5" x14ac:dyDescent="0.2">
      <c r="A2248" s="175">
        <v>37379</v>
      </c>
      <c r="B2248" s="176">
        <v>5.7</v>
      </c>
      <c r="C2248" s="176"/>
      <c r="D2248" s="176"/>
      <c r="E2248" s="176"/>
    </row>
    <row r="2249" spans="1:5" x14ac:dyDescent="0.2">
      <c r="A2249" s="175">
        <v>37382</v>
      </c>
      <c r="B2249" s="176">
        <v>5.71</v>
      </c>
      <c r="C2249" s="176"/>
      <c r="D2249" s="176"/>
      <c r="E2249" s="176"/>
    </row>
    <row r="2250" spans="1:5" x14ac:dyDescent="0.2">
      <c r="A2250" s="175">
        <v>37383</v>
      </c>
      <c r="B2250" s="176">
        <v>5.71</v>
      </c>
      <c r="C2250" s="176"/>
      <c r="D2250" s="176"/>
      <c r="E2250" s="176"/>
    </row>
    <row r="2251" spans="1:5" x14ac:dyDescent="0.2">
      <c r="A2251" s="175">
        <v>37384</v>
      </c>
      <c r="B2251" s="176">
        <v>5.84</v>
      </c>
      <c r="C2251" s="176"/>
      <c r="D2251" s="176"/>
      <c r="E2251" s="176"/>
    </row>
    <row r="2252" spans="1:5" x14ac:dyDescent="0.2">
      <c r="A2252" s="175">
        <v>37385</v>
      </c>
      <c r="B2252" s="176">
        <v>5.8</v>
      </c>
      <c r="C2252" s="176"/>
      <c r="D2252" s="176"/>
      <c r="E2252" s="176"/>
    </row>
    <row r="2253" spans="1:5" x14ac:dyDescent="0.2">
      <c r="A2253" s="175">
        <v>37386</v>
      </c>
      <c r="B2253" s="176">
        <v>5.77</v>
      </c>
      <c r="C2253" s="176"/>
      <c r="D2253" s="176"/>
      <c r="E2253" s="176"/>
    </row>
    <row r="2254" spans="1:5" x14ac:dyDescent="0.2">
      <c r="A2254" s="175">
        <v>37389</v>
      </c>
      <c r="B2254" s="176">
        <v>5.86</v>
      </c>
      <c r="C2254" s="176"/>
      <c r="D2254" s="176"/>
      <c r="E2254" s="176"/>
    </row>
    <row r="2255" spans="1:5" x14ac:dyDescent="0.2">
      <c r="A2255" s="175">
        <v>37390</v>
      </c>
      <c r="B2255" s="176">
        <v>5.94</v>
      </c>
      <c r="C2255" s="176"/>
      <c r="D2255" s="176"/>
      <c r="E2255" s="176"/>
    </row>
    <row r="2256" spans="1:5" x14ac:dyDescent="0.2">
      <c r="A2256" s="175">
        <v>37391</v>
      </c>
      <c r="B2256" s="176">
        <v>5.92</v>
      </c>
      <c r="C2256" s="176"/>
      <c r="D2256" s="176"/>
      <c r="E2256" s="176"/>
    </row>
    <row r="2257" spans="1:5" x14ac:dyDescent="0.2">
      <c r="A2257" s="175">
        <v>37392</v>
      </c>
      <c r="B2257" s="176">
        <v>5.87</v>
      </c>
      <c r="C2257" s="176"/>
      <c r="D2257" s="176"/>
      <c r="E2257" s="176"/>
    </row>
    <row r="2258" spans="1:5" x14ac:dyDescent="0.2">
      <c r="A2258" s="175">
        <v>37393</v>
      </c>
      <c r="B2258" s="176">
        <v>5.94</v>
      </c>
      <c r="C2258" s="176"/>
      <c r="D2258" s="176"/>
      <c r="E2258" s="176"/>
    </row>
    <row r="2259" spans="1:5" x14ac:dyDescent="0.2">
      <c r="A2259" s="175">
        <v>37396</v>
      </c>
      <c r="B2259" s="176">
        <v>5.88</v>
      </c>
      <c r="C2259" s="176"/>
      <c r="D2259" s="176"/>
      <c r="E2259" s="176"/>
    </row>
    <row r="2260" spans="1:5" x14ac:dyDescent="0.2">
      <c r="A2260" s="175">
        <v>37397</v>
      </c>
      <c r="B2260" s="176">
        <v>5.84</v>
      </c>
      <c r="C2260" s="176"/>
      <c r="D2260" s="176"/>
      <c r="E2260" s="176"/>
    </row>
    <row r="2261" spans="1:5" x14ac:dyDescent="0.2">
      <c r="A2261" s="175">
        <v>37398</v>
      </c>
      <c r="B2261" s="176">
        <v>5.8</v>
      </c>
      <c r="C2261" s="176"/>
      <c r="D2261" s="176"/>
      <c r="E2261" s="176"/>
    </row>
    <row r="2262" spans="1:5" x14ac:dyDescent="0.2">
      <c r="A2262" s="175">
        <v>37399</v>
      </c>
      <c r="B2262" s="176">
        <v>5.83</v>
      </c>
      <c r="C2262" s="176"/>
      <c r="D2262" s="176"/>
      <c r="E2262" s="176"/>
    </row>
    <row r="2263" spans="1:5" x14ac:dyDescent="0.2">
      <c r="A2263" s="175">
        <v>37400</v>
      </c>
      <c r="B2263" s="176">
        <v>5.83</v>
      </c>
      <c r="C2263" s="176"/>
      <c r="D2263" s="176"/>
      <c r="E2263" s="176"/>
    </row>
    <row r="2264" spans="1:5" x14ac:dyDescent="0.2">
      <c r="A2264" s="175">
        <v>37403</v>
      </c>
      <c r="B2264" s="177" t="e">
        <f>NA()</f>
        <v>#N/A</v>
      </c>
      <c r="C2264" s="177"/>
      <c r="D2264" s="177"/>
      <c r="E2264" s="177"/>
    </row>
    <row r="2265" spans="1:5" x14ac:dyDescent="0.2">
      <c r="A2265" s="175">
        <v>37404</v>
      </c>
      <c r="B2265" s="176">
        <v>5.83</v>
      </c>
      <c r="C2265" s="176"/>
      <c r="D2265" s="176"/>
      <c r="E2265" s="176"/>
    </row>
    <row r="2266" spans="1:5" x14ac:dyDescent="0.2">
      <c r="A2266" s="175">
        <v>37405</v>
      </c>
      <c r="B2266" s="176">
        <v>5.79</v>
      </c>
      <c r="C2266" s="176"/>
      <c r="D2266" s="176"/>
      <c r="E2266" s="176"/>
    </row>
    <row r="2267" spans="1:5" x14ac:dyDescent="0.2">
      <c r="A2267" s="175">
        <v>37406</v>
      </c>
      <c r="B2267" s="176">
        <v>5.74</v>
      </c>
      <c r="C2267" s="176"/>
      <c r="D2267" s="176"/>
      <c r="E2267" s="176"/>
    </row>
    <row r="2268" spans="1:5" x14ac:dyDescent="0.2">
      <c r="A2268" s="175">
        <v>37407</v>
      </c>
      <c r="B2268" s="176">
        <v>5.77</v>
      </c>
      <c r="C2268" s="176"/>
      <c r="D2268" s="176"/>
      <c r="E2268" s="176"/>
    </row>
    <row r="2269" spans="1:5" x14ac:dyDescent="0.2">
      <c r="A2269" s="175">
        <v>37410</v>
      </c>
      <c r="B2269" s="176">
        <v>5.76</v>
      </c>
      <c r="C2269" s="176"/>
      <c r="D2269" s="176"/>
      <c r="E2269" s="176"/>
    </row>
    <row r="2270" spans="1:5" x14ac:dyDescent="0.2">
      <c r="A2270" s="175">
        <v>37411</v>
      </c>
      <c r="B2270" s="176">
        <v>5.75</v>
      </c>
      <c r="C2270" s="176"/>
      <c r="D2270" s="176"/>
      <c r="E2270" s="176"/>
    </row>
    <row r="2271" spans="1:5" x14ac:dyDescent="0.2">
      <c r="A2271" s="175">
        <v>37412</v>
      </c>
      <c r="B2271" s="176">
        <v>5.79</v>
      </c>
      <c r="C2271" s="176"/>
      <c r="D2271" s="176"/>
      <c r="E2271" s="176"/>
    </row>
    <row r="2272" spans="1:5" x14ac:dyDescent="0.2">
      <c r="A2272" s="175">
        <v>37413</v>
      </c>
      <c r="B2272" s="176">
        <v>5.75</v>
      </c>
      <c r="C2272" s="176"/>
      <c r="D2272" s="176"/>
      <c r="E2272" s="176"/>
    </row>
    <row r="2273" spans="1:5" x14ac:dyDescent="0.2">
      <c r="A2273" s="175">
        <v>37414</v>
      </c>
      <c r="B2273" s="176">
        <v>5.81</v>
      </c>
      <c r="C2273" s="176"/>
      <c r="D2273" s="176"/>
      <c r="E2273" s="176"/>
    </row>
    <row r="2274" spans="1:5" x14ac:dyDescent="0.2">
      <c r="A2274" s="175">
        <v>37417</v>
      </c>
      <c r="B2274" s="176">
        <v>5.76</v>
      </c>
      <c r="C2274" s="176"/>
      <c r="D2274" s="176"/>
      <c r="E2274" s="176"/>
    </row>
    <row r="2275" spans="1:5" x14ac:dyDescent="0.2">
      <c r="A2275" s="175">
        <v>37418</v>
      </c>
      <c r="B2275" s="176">
        <v>5.71</v>
      </c>
      <c r="C2275" s="176"/>
      <c r="D2275" s="176"/>
      <c r="E2275" s="176"/>
    </row>
    <row r="2276" spans="1:5" x14ac:dyDescent="0.2">
      <c r="A2276" s="175">
        <v>37419</v>
      </c>
      <c r="B2276" s="176">
        <v>5.68</v>
      </c>
      <c r="C2276" s="176"/>
      <c r="D2276" s="176"/>
      <c r="E2276" s="176"/>
    </row>
    <row r="2277" spans="1:5" x14ac:dyDescent="0.2">
      <c r="A2277" s="175">
        <v>37420</v>
      </c>
      <c r="B2277" s="176">
        <v>5.65</v>
      </c>
      <c r="C2277" s="176"/>
      <c r="D2277" s="176"/>
      <c r="E2277" s="176"/>
    </row>
    <row r="2278" spans="1:5" x14ac:dyDescent="0.2">
      <c r="A2278" s="175">
        <v>37421</v>
      </c>
      <c r="B2278" s="176">
        <v>5.54</v>
      </c>
      <c r="C2278" s="176"/>
      <c r="D2278" s="176"/>
      <c r="E2278" s="176"/>
    </row>
    <row r="2279" spans="1:5" x14ac:dyDescent="0.2">
      <c r="A2279" s="175">
        <v>37424</v>
      </c>
      <c r="B2279" s="176">
        <v>5.61</v>
      </c>
      <c r="C2279" s="176"/>
      <c r="D2279" s="176"/>
      <c r="E2279" s="176"/>
    </row>
    <row r="2280" spans="1:5" x14ac:dyDescent="0.2">
      <c r="A2280" s="175">
        <v>37425</v>
      </c>
      <c r="B2280" s="176">
        <v>5.6</v>
      </c>
      <c r="C2280" s="176"/>
      <c r="D2280" s="176"/>
      <c r="E2280" s="176"/>
    </row>
    <row r="2281" spans="1:5" x14ac:dyDescent="0.2">
      <c r="A2281" s="175">
        <v>37426</v>
      </c>
      <c r="B2281" s="176">
        <v>5.51</v>
      </c>
      <c r="C2281" s="176"/>
      <c r="D2281" s="176"/>
      <c r="E2281" s="176"/>
    </row>
    <row r="2282" spans="1:5" x14ac:dyDescent="0.2">
      <c r="A2282" s="175">
        <v>37427</v>
      </c>
      <c r="B2282" s="176">
        <v>5.59</v>
      </c>
      <c r="C2282" s="176"/>
      <c r="D2282" s="176"/>
      <c r="E2282" s="176"/>
    </row>
    <row r="2283" spans="1:5" x14ac:dyDescent="0.2">
      <c r="A2283" s="175">
        <v>37428</v>
      </c>
      <c r="B2283" s="176">
        <v>5.54</v>
      </c>
      <c r="C2283" s="176"/>
      <c r="D2283" s="176"/>
      <c r="E2283" s="176"/>
    </row>
    <row r="2284" spans="1:5" x14ac:dyDescent="0.2">
      <c r="A2284" s="175">
        <v>37431</v>
      </c>
      <c r="B2284" s="176">
        <v>5.6</v>
      </c>
      <c r="C2284" s="176"/>
      <c r="D2284" s="176"/>
      <c r="E2284" s="176"/>
    </row>
    <row r="2285" spans="1:5" x14ac:dyDescent="0.2">
      <c r="A2285" s="175">
        <v>37432</v>
      </c>
      <c r="B2285" s="176">
        <v>5.62</v>
      </c>
      <c r="C2285" s="176"/>
      <c r="D2285" s="176"/>
      <c r="E2285" s="176"/>
    </row>
    <row r="2286" spans="1:5" x14ac:dyDescent="0.2">
      <c r="A2286" s="175">
        <v>37433</v>
      </c>
      <c r="B2286" s="176">
        <v>5.53</v>
      </c>
      <c r="C2286" s="176"/>
      <c r="D2286" s="176"/>
      <c r="E2286" s="176"/>
    </row>
    <row r="2287" spans="1:5" x14ac:dyDescent="0.2">
      <c r="A2287" s="175">
        <v>37434</v>
      </c>
      <c r="B2287" s="176">
        <v>5.63</v>
      </c>
      <c r="C2287" s="176"/>
      <c r="D2287" s="176"/>
      <c r="E2287" s="176"/>
    </row>
    <row r="2288" spans="1:5" x14ac:dyDescent="0.2">
      <c r="A2288" s="175">
        <v>37435</v>
      </c>
      <c r="B2288" s="176">
        <v>5.65</v>
      </c>
      <c r="C2288" s="176"/>
      <c r="D2288" s="176"/>
      <c r="E2288" s="176"/>
    </row>
    <row r="2289" spans="1:5" x14ac:dyDescent="0.2">
      <c r="A2289" s="175">
        <v>37438</v>
      </c>
      <c r="B2289" s="176">
        <v>5.64</v>
      </c>
      <c r="C2289" s="176"/>
      <c r="D2289" s="176"/>
      <c r="E2289" s="176"/>
    </row>
    <row r="2290" spans="1:5" x14ac:dyDescent="0.2">
      <c r="A2290" s="175">
        <v>37439</v>
      </c>
      <c r="B2290" s="176">
        <v>5.56</v>
      </c>
      <c r="C2290" s="176"/>
      <c r="D2290" s="176"/>
      <c r="E2290" s="176"/>
    </row>
    <row r="2291" spans="1:5" x14ac:dyDescent="0.2">
      <c r="A2291" s="175">
        <v>37440</v>
      </c>
      <c r="B2291" s="176">
        <v>5.57</v>
      </c>
      <c r="C2291" s="176"/>
      <c r="D2291" s="176"/>
      <c r="E2291" s="176"/>
    </row>
    <row r="2292" spans="1:5" x14ac:dyDescent="0.2">
      <c r="A2292" s="175">
        <v>37441</v>
      </c>
      <c r="B2292" s="176" t="e">
        <f>NA()</f>
        <v>#N/A</v>
      </c>
      <c r="C2292" s="176"/>
      <c r="D2292" s="176"/>
      <c r="E2292" s="176"/>
    </row>
    <row r="2293" spans="1:5" x14ac:dyDescent="0.2">
      <c r="A2293" s="175">
        <v>37442</v>
      </c>
      <c r="B2293" s="177">
        <v>5.67</v>
      </c>
      <c r="C2293" s="177"/>
      <c r="D2293" s="177"/>
      <c r="E2293" s="177"/>
    </row>
    <row r="2294" spans="1:5" x14ac:dyDescent="0.2">
      <c r="A2294" s="175">
        <v>37445</v>
      </c>
      <c r="B2294" s="176">
        <v>5.63</v>
      </c>
      <c r="C2294" s="176"/>
      <c r="D2294" s="176"/>
      <c r="E2294" s="176"/>
    </row>
    <row r="2295" spans="1:5" x14ac:dyDescent="0.2">
      <c r="A2295" s="175">
        <v>37446</v>
      </c>
      <c r="B2295" s="176">
        <v>5.57</v>
      </c>
      <c r="C2295" s="176"/>
      <c r="D2295" s="176"/>
      <c r="E2295" s="176"/>
    </row>
    <row r="2296" spans="1:5" x14ac:dyDescent="0.2">
      <c r="A2296" s="175">
        <v>37447</v>
      </c>
      <c r="B2296" s="176">
        <v>5.48</v>
      </c>
      <c r="C2296" s="176"/>
      <c r="D2296" s="176"/>
      <c r="E2296" s="176"/>
    </row>
    <row r="2297" spans="1:5" x14ac:dyDescent="0.2">
      <c r="A2297" s="175">
        <v>37448</v>
      </c>
      <c r="B2297" s="176">
        <v>5.47</v>
      </c>
      <c r="C2297" s="176"/>
      <c r="D2297" s="176"/>
      <c r="E2297" s="176"/>
    </row>
    <row r="2298" spans="1:5" x14ac:dyDescent="0.2">
      <c r="A2298" s="175">
        <v>37449</v>
      </c>
      <c r="B2298" s="176">
        <v>5.45</v>
      </c>
      <c r="C2298" s="176"/>
      <c r="D2298" s="176"/>
      <c r="E2298" s="176"/>
    </row>
    <row r="2299" spans="1:5" x14ac:dyDescent="0.2">
      <c r="A2299" s="175">
        <v>37452</v>
      </c>
      <c r="B2299" s="176">
        <v>5.49</v>
      </c>
      <c r="C2299" s="176"/>
      <c r="D2299" s="176"/>
      <c r="E2299" s="176"/>
    </row>
    <row r="2300" spans="1:5" x14ac:dyDescent="0.2">
      <c r="A2300" s="175">
        <v>37453</v>
      </c>
      <c r="B2300" s="176">
        <v>5.58</v>
      </c>
      <c r="C2300" s="176"/>
      <c r="D2300" s="176"/>
      <c r="E2300" s="176"/>
    </row>
    <row r="2301" spans="1:5" x14ac:dyDescent="0.2">
      <c r="A2301" s="175">
        <v>37454</v>
      </c>
      <c r="B2301" s="176">
        <v>5.54</v>
      </c>
      <c r="C2301" s="176"/>
      <c r="D2301" s="176"/>
      <c r="E2301" s="176"/>
    </row>
    <row r="2302" spans="1:5" x14ac:dyDescent="0.2">
      <c r="A2302" s="175">
        <v>37455</v>
      </c>
      <c r="B2302" s="176">
        <v>5.52</v>
      </c>
      <c r="C2302" s="176"/>
      <c r="D2302" s="176"/>
      <c r="E2302" s="176"/>
    </row>
    <row r="2303" spans="1:5" x14ac:dyDescent="0.2">
      <c r="A2303" s="175">
        <v>37456</v>
      </c>
      <c r="B2303" s="176">
        <v>5.47</v>
      </c>
      <c r="C2303" s="176"/>
      <c r="D2303" s="176"/>
      <c r="E2303" s="176"/>
    </row>
    <row r="2304" spans="1:5" x14ac:dyDescent="0.2">
      <c r="A2304" s="175">
        <v>37459</v>
      </c>
      <c r="B2304" s="176">
        <v>5.4</v>
      </c>
      <c r="C2304" s="176"/>
      <c r="D2304" s="176"/>
      <c r="E2304" s="176"/>
    </row>
    <row r="2305" spans="1:5" x14ac:dyDescent="0.2">
      <c r="A2305" s="175">
        <v>37460</v>
      </c>
      <c r="B2305" s="176">
        <v>5.39</v>
      </c>
      <c r="C2305" s="176"/>
      <c r="D2305" s="176"/>
      <c r="E2305" s="176"/>
    </row>
    <row r="2306" spans="1:5" x14ac:dyDescent="0.2">
      <c r="A2306" s="175">
        <v>37461</v>
      </c>
      <c r="B2306" s="176">
        <v>5.42</v>
      </c>
      <c r="C2306" s="176"/>
      <c r="D2306" s="176"/>
      <c r="E2306" s="176"/>
    </row>
    <row r="2307" spans="1:5" x14ac:dyDescent="0.2">
      <c r="A2307" s="175">
        <v>37462</v>
      </c>
      <c r="B2307" s="176">
        <v>5.39</v>
      </c>
      <c r="C2307" s="176"/>
      <c r="D2307" s="176"/>
      <c r="E2307" s="176"/>
    </row>
    <row r="2308" spans="1:5" x14ac:dyDescent="0.2">
      <c r="A2308" s="175">
        <v>37463</v>
      </c>
      <c r="B2308" s="176">
        <v>5.42</v>
      </c>
      <c r="C2308" s="176"/>
      <c r="D2308" s="176"/>
      <c r="E2308" s="176"/>
    </row>
    <row r="2309" spans="1:5" x14ac:dyDescent="0.2">
      <c r="A2309" s="175">
        <v>37466</v>
      </c>
      <c r="B2309" s="176">
        <v>5.54</v>
      </c>
      <c r="C2309" s="176"/>
      <c r="D2309" s="176"/>
      <c r="E2309" s="176"/>
    </row>
    <row r="2310" spans="1:5" x14ac:dyDescent="0.2">
      <c r="A2310" s="175">
        <v>37467</v>
      </c>
      <c r="B2310" s="176">
        <v>5.54</v>
      </c>
      <c r="C2310" s="176"/>
      <c r="D2310" s="176"/>
      <c r="E2310" s="176"/>
    </row>
    <row r="2311" spans="1:5" x14ac:dyDescent="0.2">
      <c r="A2311" s="175">
        <v>37468</v>
      </c>
      <c r="B2311" s="176">
        <v>5.41</v>
      </c>
      <c r="C2311" s="176"/>
      <c r="D2311" s="176"/>
      <c r="E2311" s="176"/>
    </row>
    <row r="2312" spans="1:5" x14ac:dyDescent="0.2">
      <c r="A2312" s="175">
        <v>37469</v>
      </c>
      <c r="B2312" s="176">
        <v>5.41</v>
      </c>
      <c r="C2312" s="176"/>
      <c r="D2312" s="176"/>
      <c r="E2312" s="176"/>
    </row>
    <row r="2313" spans="1:5" x14ac:dyDescent="0.2">
      <c r="A2313" s="175">
        <v>37470</v>
      </c>
      <c r="B2313" s="176">
        <v>5.29</v>
      </c>
      <c r="C2313" s="176"/>
      <c r="D2313" s="176"/>
      <c r="E2313" s="176"/>
    </row>
    <row r="2314" spans="1:5" x14ac:dyDescent="0.2">
      <c r="A2314" s="175">
        <v>37473</v>
      </c>
      <c r="B2314" s="176">
        <v>5.26</v>
      </c>
      <c r="C2314" s="176"/>
      <c r="D2314" s="176"/>
      <c r="E2314" s="176"/>
    </row>
    <row r="2315" spans="1:5" x14ac:dyDescent="0.2">
      <c r="A2315" s="175">
        <v>37474</v>
      </c>
      <c r="B2315" s="176">
        <v>5.35</v>
      </c>
      <c r="C2315" s="176"/>
      <c r="D2315" s="176"/>
      <c r="E2315" s="176"/>
    </row>
    <row r="2316" spans="1:5" x14ac:dyDescent="0.2">
      <c r="A2316" s="175">
        <v>37475</v>
      </c>
      <c r="B2316" s="176">
        <v>5.31</v>
      </c>
      <c r="C2316" s="176"/>
      <c r="D2316" s="176"/>
      <c r="E2316" s="176"/>
    </row>
    <row r="2317" spans="1:5" x14ac:dyDescent="0.2">
      <c r="A2317" s="175">
        <v>37476</v>
      </c>
      <c r="B2317" s="176">
        <v>5.34</v>
      </c>
      <c r="C2317" s="176"/>
      <c r="D2317" s="176"/>
      <c r="E2317" s="176"/>
    </row>
    <row r="2318" spans="1:5" x14ac:dyDescent="0.2">
      <c r="A2318" s="175">
        <v>37477</v>
      </c>
      <c r="B2318" s="176">
        <v>5.22</v>
      </c>
      <c r="C2318" s="176"/>
      <c r="D2318" s="176"/>
      <c r="E2318" s="176"/>
    </row>
    <row r="2319" spans="1:5" x14ac:dyDescent="0.2">
      <c r="A2319" s="175">
        <v>37480</v>
      </c>
      <c r="B2319" s="176">
        <v>5.16</v>
      </c>
      <c r="C2319" s="176"/>
      <c r="D2319" s="176"/>
      <c r="E2319" s="176"/>
    </row>
    <row r="2320" spans="1:5" x14ac:dyDescent="0.2">
      <c r="A2320" s="175">
        <v>37481</v>
      </c>
      <c r="B2320" s="176">
        <v>5.09</v>
      </c>
      <c r="C2320" s="176"/>
      <c r="D2320" s="176"/>
      <c r="E2320" s="176"/>
    </row>
    <row r="2321" spans="1:5" x14ac:dyDescent="0.2">
      <c r="A2321" s="175">
        <v>37482</v>
      </c>
      <c r="B2321" s="176">
        <v>5.03</v>
      </c>
      <c r="C2321" s="176"/>
      <c r="D2321" s="176"/>
      <c r="E2321" s="176"/>
    </row>
    <row r="2322" spans="1:5" x14ac:dyDescent="0.2">
      <c r="A2322" s="175">
        <v>37483</v>
      </c>
      <c r="B2322" s="176">
        <v>5.12</v>
      </c>
      <c r="C2322" s="176"/>
      <c r="D2322" s="176"/>
      <c r="E2322" s="176"/>
    </row>
    <row r="2323" spans="1:5" x14ac:dyDescent="0.2">
      <c r="A2323" s="175">
        <v>37484</v>
      </c>
      <c r="B2323" s="176">
        <v>5.24</v>
      </c>
      <c r="C2323" s="176"/>
      <c r="D2323" s="176"/>
      <c r="E2323" s="176"/>
    </row>
    <row r="2324" spans="1:5" x14ac:dyDescent="0.2">
      <c r="A2324" s="175">
        <v>37487</v>
      </c>
      <c r="B2324" s="176">
        <v>5.21</v>
      </c>
      <c r="C2324" s="176"/>
      <c r="D2324" s="176"/>
      <c r="E2324" s="176"/>
    </row>
    <row r="2325" spans="1:5" x14ac:dyDescent="0.2">
      <c r="A2325" s="175">
        <v>37488</v>
      </c>
      <c r="B2325" s="176">
        <v>5.12</v>
      </c>
      <c r="C2325" s="176"/>
      <c r="D2325" s="176"/>
      <c r="E2325" s="176"/>
    </row>
    <row r="2326" spans="1:5" x14ac:dyDescent="0.2">
      <c r="A2326" s="175">
        <v>37489</v>
      </c>
      <c r="B2326" s="176">
        <v>5.14</v>
      </c>
      <c r="C2326" s="176"/>
      <c r="D2326" s="176"/>
      <c r="E2326" s="176"/>
    </row>
    <row r="2327" spans="1:5" x14ac:dyDescent="0.2">
      <c r="A2327" s="175">
        <v>37490</v>
      </c>
      <c r="B2327" s="176">
        <v>5.22</v>
      </c>
      <c r="C2327" s="176"/>
      <c r="D2327" s="176"/>
      <c r="E2327" s="176"/>
    </row>
    <row r="2328" spans="1:5" x14ac:dyDescent="0.2">
      <c r="A2328" s="175">
        <v>37491</v>
      </c>
      <c r="B2328" s="176">
        <v>5.15</v>
      </c>
      <c r="C2328" s="176"/>
      <c r="D2328" s="176"/>
      <c r="E2328" s="176"/>
    </row>
    <row r="2329" spans="1:5" x14ac:dyDescent="0.2">
      <c r="A2329" s="175">
        <v>37494</v>
      </c>
      <c r="B2329" s="176">
        <v>5.12</v>
      </c>
      <c r="C2329" s="176"/>
      <c r="D2329" s="176"/>
      <c r="E2329" s="176"/>
    </row>
    <row r="2330" spans="1:5" x14ac:dyDescent="0.2">
      <c r="A2330" s="175">
        <v>37495</v>
      </c>
      <c r="B2330" s="176">
        <v>5.2</v>
      </c>
      <c r="C2330" s="176"/>
      <c r="D2330" s="176"/>
      <c r="E2330" s="176"/>
    </row>
    <row r="2331" spans="1:5" x14ac:dyDescent="0.2">
      <c r="A2331" s="175">
        <v>37496</v>
      </c>
      <c r="B2331" s="176">
        <v>5.14</v>
      </c>
      <c r="C2331" s="176"/>
      <c r="D2331" s="176"/>
      <c r="E2331" s="176"/>
    </row>
    <row r="2332" spans="1:5" x14ac:dyDescent="0.2">
      <c r="A2332" s="175">
        <v>37497</v>
      </c>
      <c r="B2332" s="176">
        <v>5.08</v>
      </c>
      <c r="C2332" s="176"/>
      <c r="D2332" s="176"/>
      <c r="E2332" s="176"/>
    </row>
    <row r="2333" spans="1:5" x14ac:dyDescent="0.2">
      <c r="A2333" s="175">
        <v>37498</v>
      </c>
      <c r="B2333" s="176">
        <v>5.0599999999999996</v>
      </c>
      <c r="C2333" s="176"/>
      <c r="D2333" s="176"/>
      <c r="E2333" s="176"/>
    </row>
    <row r="2334" spans="1:5" x14ac:dyDescent="0.2">
      <c r="A2334" s="175">
        <v>37501</v>
      </c>
      <c r="B2334" s="177" t="e">
        <f>NA()</f>
        <v>#N/A</v>
      </c>
      <c r="C2334" s="177"/>
      <c r="D2334" s="177"/>
      <c r="E2334" s="177"/>
    </row>
    <row r="2335" spans="1:5" x14ac:dyDescent="0.2">
      <c r="A2335" s="175">
        <v>37502</v>
      </c>
      <c r="B2335" s="176">
        <v>4.92</v>
      </c>
      <c r="C2335" s="176"/>
      <c r="D2335" s="176"/>
      <c r="E2335" s="176"/>
    </row>
    <row r="2336" spans="1:5" x14ac:dyDescent="0.2">
      <c r="A2336" s="175">
        <v>37503</v>
      </c>
      <c r="B2336" s="176">
        <v>4.91</v>
      </c>
      <c r="C2336" s="176"/>
      <c r="D2336" s="176"/>
      <c r="E2336" s="176"/>
    </row>
    <row r="2337" spans="1:5" x14ac:dyDescent="0.2">
      <c r="A2337" s="175">
        <v>37504</v>
      </c>
      <c r="B2337" s="176">
        <v>4.88</v>
      </c>
      <c r="C2337" s="176"/>
      <c r="D2337" s="176"/>
      <c r="E2337" s="176"/>
    </row>
    <row r="2338" spans="1:5" x14ac:dyDescent="0.2">
      <c r="A2338" s="175">
        <v>37505</v>
      </c>
      <c r="B2338" s="176">
        <v>5</v>
      </c>
      <c r="C2338" s="176"/>
      <c r="D2338" s="176"/>
      <c r="E2338" s="176"/>
    </row>
    <row r="2339" spans="1:5" x14ac:dyDescent="0.2">
      <c r="A2339" s="175">
        <v>37508</v>
      </c>
      <c r="B2339" s="176">
        <v>4.99</v>
      </c>
      <c r="C2339" s="176"/>
      <c r="D2339" s="176"/>
      <c r="E2339" s="176"/>
    </row>
    <row r="2340" spans="1:5" x14ac:dyDescent="0.2">
      <c r="A2340" s="175">
        <v>37509</v>
      </c>
      <c r="B2340" s="176">
        <v>4.96</v>
      </c>
      <c r="C2340" s="176"/>
      <c r="D2340" s="176"/>
      <c r="E2340" s="176"/>
    </row>
    <row r="2341" spans="1:5" x14ac:dyDescent="0.2">
      <c r="A2341" s="175">
        <v>37510</v>
      </c>
      <c r="B2341" s="176">
        <v>5.01</v>
      </c>
      <c r="C2341" s="176"/>
      <c r="D2341" s="176"/>
      <c r="E2341" s="176"/>
    </row>
    <row r="2342" spans="1:5" x14ac:dyDescent="0.2">
      <c r="A2342" s="175">
        <v>37511</v>
      </c>
      <c r="B2342" s="176">
        <v>4.93</v>
      </c>
      <c r="C2342" s="176"/>
      <c r="D2342" s="176"/>
      <c r="E2342" s="176"/>
    </row>
    <row r="2343" spans="1:5" x14ac:dyDescent="0.2">
      <c r="A2343" s="175">
        <v>37512</v>
      </c>
      <c r="B2343" s="176">
        <v>4.87</v>
      </c>
      <c r="C2343" s="176"/>
      <c r="D2343" s="176"/>
      <c r="E2343" s="176"/>
    </row>
    <row r="2344" spans="1:5" x14ac:dyDescent="0.2">
      <c r="A2344" s="175">
        <v>37515</v>
      </c>
      <c r="B2344" s="176">
        <v>4.8499999999999996</v>
      </c>
      <c r="C2344" s="176"/>
      <c r="D2344" s="176"/>
      <c r="E2344" s="176"/>
    </row>
    <row r="2345" spans="1:5" x14ac:dyDescent="0.2">
      <c r="A2345" s="175">
        <v>37516</v>
      </c>
      <c r="B2345" s="176">
        <v>4.83</v>
      </c>
      <c r="C2345" s="176"/>
      <c r="D2345" s="176"/>
      <c r="E2345" s="176"/>
    </row>
    <row r="2346" spans="1:5" x14ac:dyDescent="0.2">
      <c r="A2346" s="175">
        <v>37517</v>
      </c>
      <c r="B2346" s="176">
        <v>4.8499999999999996</v>
      </c>
      <c r="C2346" s="176"/>
      <c r="D2346" s="176"/>
      <c r="E2346" s="176"/>
    </row>
    <row r="2347" spans="1:5" x14ac:dyDescent="0.2">
      <c r="A2347" s="175">
        <v>37518</v>
      </c>
      <c r="B2347" s="176">
        <v>4.8</v>
      </c>
      <c r="C2347" s="176"/>
      <c r="D2347" s="176"/>
      <c r="E2347" s="176"/>
    </row>
    <row r="2348" spans="1:5" x14ac:dyDescent="0.2">
      <c r="A2348" s="175">
        <v>37519</v>
      </c>
      <c r="B2348" s="176">
        <v>4.82</v>
      </c>
      <c r="C2348" s="176"/>
      <c r="D2348" s="176"/>
      <c r="E2348" s="176"/>
    </row>
    <row r="2349" spans="1:5" x14ac:dyDescent="0.2">
      <c r="A2349" s="175">
        <v>37522</v>
      </c>
      <c r="B2349" s="176">
        <v>4.75</v>
      </c>
      <c r="C2349" s="176"/>
      <c r="D2349" s="176"/>
      <c r="E2349" s="176"/>
    </row>
    <row r="2350" spans="1:5" x14ac:dyDescent="0.2">
      <c r="A2350" s="175">
        <v>37523</v>
      </c>
      <c r="B2350" s="176">
        <v>4.74</v>
      </c>
      <c r="C2350" s="176"/>
      <c r="D2350" s="176"/>
      <c r="E2350" s="176"/>
    </row>
    <row r="2351" spans="1:5" x14ac:dyDescent="0.2">
      <c r="A2351" s="175">
        <v>37524</v>
      </c>
      <c r="B2351" s="176">
        <v>4.83</v>
      </c>
      <c r="C2351" s="176"/>
      <c r="D2351" s="176"/>
      <c r="E2351" s="176"/>
    </row>
    <row r="2352" spans="1:5" x14ac:dyDescent="0.2">
      <c r="A2352" s="175">
        <v>37525</v>
      </c>
      <c r="B2352" s="176">
        <v>4.8499999999999996</v>
      </c>
      <c r="C2352" s="176"/>
      <c r="D2352" s="176"/>
      <c r="E2352" s="176"/>
    </row>
    <row r="2353" spans="1:5" x14ac:dyDescent="0.2">
      <c r="A2353" s="175">
        <v>37526</v>
      </c>
      <c r="B2353" s="176">
        <v>4.78</v>
      </c>
      <c r="C2353" s="176"/>
      <c r="D2353" s="176"/>
      <c r="E2353" s="176"/>
    </row>
    <row r="2354" spans="1:5" x14ac:dyDescent="0.2">
      <c r="A2354" s="175">
        <v>37529</v>
      </c>
      <c r="B2354" s="176">
        <v>4.75</v>
      </c>
      <c r="C2354" s="176"/>
      <c r="D2354" s="176"/>
      <c r="E2354" s="176"/>
    </row>
    <row r="2355" spans="1:5" x14ac:dyDescent="0.2">
      <c r="A2355" s="175">
        <v>37530</v>
      </c>
      <c r="B2355" s="176">
        <v>4.8099999999999996</v>
      </c>
      <c r="C2355" s="176"/>
      <c r="D2355" s="176"/>
      <c r="E2355" s="176"/>
    </row>
    <row r="2356" spans="1:5" x14ac:dyDescent="0.2">
      <c r="A2356" s="175">
        <v>37531</v>
      </c>
      <c r="B2356" s="176">
        <v>4.78</v>
      </c>
      <c r="C2356" s="176"/>
      <c r="D2356" s="176"/>
      <c r="E2356" s="176"/>
    </row>
    <row r="2357" spans="1:5" x14ac:dyDescent="0.2">
      <c r="A2357" s="175">
        <v>37532</v>
      </c>
      <c r="B2357" s="176">
        <v>4.79</v>
      </c>
      <c r="C2357" s="176"/>
      <c r="D2357" s="176"/>
      <c r="E2357" s="176"/>
    </row>
    <row r="2358" spans="1:5" x14ac:dyDescent="0.2">
      <c r="A2358" s="175">
        <v>37533</v>
      </c>
      <c r="B2358" s="176">
        <v>4.7699999999999996</v>
      </c>
      <c r="C2358" s="176"/>
      <c r="D2358" s="176"/>
      <c r="E2358" s="176"/>
    </row>
    <row r="2359" spans="1:5" x14ac:dyDescent="0.2">
      <c r="A2359" s="175">
        <v>37536</v>
      </c>
      <c r="B2359" s="176">
        <v>4.75</v>
      </c>
      <c r="C2359" s="176"/>
      <c r="D2359" s="176"/>
      <c r="E2359" s="176"/>
    </row>
    <row r="2360" spans="1:5" x14ac:dyDescent="0.2">
      <c r="A2360" s="175">
        <v>37537</v>
      </c>
      <c r="B2360" s="176">
        <v>4.75</v>
      </c>
      <c r="C2360" s="176"/>
      <c r="D2360" s="176"/>
      <c r="E2360" s="176"/>
    </row>
    <row r="2361" spans="1:5" x14ac:dyDescent="0.2">
      <c r="A2361" s="175">
        <v>37538</v>
      </c>
      <c r="B2361" s="176">
        <v>4.72</v>
      </c>
      <c r="C2361" s="176"/>
      <c r="D2361" s="176"/>
      <c r="E2361" s="176"/>
    </row>
    <row r="2362" spans="1:5" x14ac:dyDescent="0.2">
      <c r="A2362" s="175">
        <v>37539</v>
      </c>
      <c r="B2362" s="177">
        <v>4.78</v>
      </c>
      <c r="C2362" s="177"/>
      <c r="D2362" s="177"/>
      <c r="E2362" s="177"/>
    </row>
    <row r="2363" spans="1:5" x14ac:dyDescent="0.2">
      <c r="A2363" s="175">
        <v>37540</v>
      </c>
      <c r="B2363" s="176">
        <v>4.91</v>
      </c>
      <c r="C2363" s="176"/>
      <c r="D2363" s="176"/>
      <c r="E2363" s="176"/>
    </row>
    <row r="2364" spans="1:5" x14ac:dyDescent="0.2">
      <c r="A2364" s="175">
        <v>37543</v>
      </c>
      <c r="B2364" s="176" t="e">
        <f>NA()</f>
        <v>#N/A</v>
      </c>
      <c r="C2364" s="176"/>
      <c r="D2364" s="176"/>
      <c r="E2364" s="176"/>
    </row>
    <row r="2365" spans="1:5" x14ac:dyDescent="0.2">
      <c r="A2365" s="175">
        <v>37544</v>
      </c>
      <c r="B2365" s="176">
        <v>5.09</v>
      </c>
      <c r="C2365" s="176"/>
      <c r="D2365" s="176"/>
      <c r="E2365" s="176"/>
    </row>
    <row r="2366" spans="1:5" x14ac:dyDescent="0.2">
      <c r="A2366" s="175">
        <v>37545</v>
      </c>
      <c r="B2366" s="176">
        <v>5.0999999999999996</v>
      </c>
      <c r="C2366" s="176"/>
      <c r="D2366" s="176"/>
      <c r="E2366" s="176"/>
    </row>
    <row r="2367" spans="1:5" x14ac:dyDescent="0.2">
      <c r="A2367" s="175">
        <v>37546</v>
      </c>
      <c r="B2367" s="176">
        <v>5.18</v>
      </c>
      <c r="C2367" s="176"/>
      <c r="D2367" s="176"/>
      <c r="E2367" s="176"/>
    </row>
    <row r="2368" spans="1:5" x14ac:dyDescent="0.2">
      <c r="A2368" s="175">
        <v>37547</v>
      </c>
      <c r="B2368" s="176">
        <v>5.17</v>
      </c>
      <c r="C2368" s="176"/>
      <c r="D2368" s="176"/>
      <c r="E2368" s="176"/>
    </row>
    <row r="2369" spans="1:5" x14ac:dyDescent="0.2">
      <c r="A2369" s="175">
        <v>37550</v>
      </c>
      <c r="B2369" s="176">
        <v>5.23</v>
      </c>
      <c r="C2369" s="176"/>
      <c r="D2369" s="176"/>
      <c r="E2369" s="176"/>
    </row>
    <row r="2370" spans="1:5" x14ac:dyDescent="0.2">
      <c r="A2370" s="175">
        <v>37551</v>
      </c>
      <c r="B2370" s="176">
        <v>5.26</v>
      </c>
      <c r="C2370" s="176"/>
      <c r="D2370" s="176"/>
      <c r="E2370" s="176"/>
    </row>
    <row r="2371" spans="1:5" x14ac:dyDescent="0.2">
      <c r="A2371" s="175">
        <v>37552</v>
      </c>
      <c r="B2371" s="176">
        <v>5.26</v>
      </c>
      <c r="C2371" s="176"/>
      <c r="D2371" s="176"/>
      <c r="E2371" s="176"/>
    </row>
    <row r="2372" spans="1:5" x14ac:dyDescent="0.2">
      <c r="A2372" s="175">
        <v>37553</v>
      </c>
      <c r="B2372" s="176">
        <v>5.2</v>
      </c>
      <c r="C2372" s="176"/>
      <c r="D2372" s="176"/>
      <c r="E2372" s="176"/>
    </row>
    <row r="2373" spans="1:5" x14ac:dyDescent="0.2">
      <c r="A2373" s="175">
        <v>37554</v>
      </c>
      <c r="B2373" s="176">
        <v>5.16</v>
      </c>
      <c r="C2373" s="176"/>
      <c r="D2373" s="176"/>
      <c r="E2373" s="176"/>
    </row>
    <row r="2374" spans="1:5" x14ac:dyDescent="0.2">
      <c r="A2374" s="175">
        <v>37557</v>
      </c>
      <c r="B2374" s="176">
        <v>5.15</v>
      </c>
      <c r="C2374" s="176"/>
      <c r="D2374" s="176"/>
      <c r="E2374" s="176"/>
    </row>
    <row r="2375" spans="1:5" x14ac:dyDescent="0.2">
      <c r="A2375" s="175">
        <v>37558</v>
      </c>
      <c r="B2375" s="176">
        <v>5.05</v>
      </c>
      <c r="C2375" s="176"/>
      <c r="D2375" s="176"/>
      <c r="E2375" s="176"/>
    </row>
    <row r="2376" spans="1:5" x14ac:dyDescent="0.2">
      <c r="A2376" s="175">
        <v>37559</v>
      </c>
      <c r="B2376" s="176">
        <v>5.07</v>
      </c>
      <c r="C2376" s="176"/>
      <c r="D2376" s="176"/>
      <c r="E2376" s="176"/>
    </row>
    <row r="2377" spans="1:5" x14ac:dyDescent="0.2">
      <c r="A2377" s="175">
        <v>37560</v>
      </c>
      <c r="B2377" s="176">
        <v>5.03</v>
      </c>
      <c r="C2377" s="176"/>
      <c r="D2377" s="176"/>
      <c r="E2377" s="176"/>
    </row>
    <row r="2378" spans="1:5" x14ac:dyDescent="0.2">
      <c r="A2378" s="175">
        <v>37561</v>
      </c>
      <c r="B2378" s="176">
        <v>5.07</v>
      </c>
      <c r="C2378" s="176"/>
      <c r="D2378" s="176"/>
      <c r="E2378" s="176"/>
    </row>
    <row r="2379" spans="1:5" x14ac:dyDescent="0.2">
      <c r="A2379" s="175">
        <v>37564</v>
      </c>
      <c r="B2379" s="176">
        <v>5.1100000000000003</v>
      </c>
      <c r="C2379" s="176"/>
      <c r="D2379" s="176"/>
      <c r="E2379" s="176"/>
    </row>
    <row r="2380" spans="1:5" x14ac:dyDescent="0.2">
      <c r="A2380" s="175">
        <v>37565</v>
      </c>
      <c r="B2380" s="176">
        <v>5.13</v>
      </c>
      <c r="C2380" s="176"/>
      <c r="D2380" s="176"/>
      <c r="E2380" s="176"/>
    </row>
    <row r="2381" spans="1:5" x14ac:dyDescent="0.2">
      <c r="A2381" s="175">
        <v>37566</v>
      </c>
      <c r="B2381" s="176">
        <v>5.12</v>
      </c>
      <c r="C2381" s="176"/>
      <c r="D2381" s="176"/>
      <c r="E2381" s="176"/>
    </row>
    <row r="2382" spans="1:5" x14ac:dyDescent="0.2">
      <c r="A2382" s="175">
        <v>37567</v>
      </c>
      <c r="B2382" s="176">
        <v>4.9400000000000004</v>
      </c>
      <c r="C2382" s="176"/>
      <c r="D2382" s="176"/>
      <c r="E2382" s="176"/>
    </row>
    <row r="2383" spans="1:5" x14ac:dyDescent="0.2">
      <c r="A2383" s="175">
        <v>37568</v>
      </c>
      <c r="B2383" s="176">
        <v>4.87</v>
      </c>
      <c r="C2383" s="176"/>
      <c r="D2383" s="176"/>
      <c r="E2383" s="176"/>
    </row>
    <row r="2384" spans="1:5" x14ac:dyDescent="0.2">
      <c r="A2384" s="175">
        <v>37571</v>
      </c>
      <c r="B2384" s="176" t="e">
        <f>NA()</f>
        <v>#N/A</v>
      </c>
      <c r="C2384" s="176"/>
      <c r="D2384" s="176"/>
      <c r="E2384" s="176"/>
    </row>
    <row r="2385" spans="1:5" x14ac:dyDescent="0.2">
      <c r="A2385" s="175">
        <v>37572</v>
      </c>
      <c r="B2385" s="176">
        <v>4.87</v>
      </c>
      <c r="C2385" s="176"/>
      <c r="D2385" s="176"/>
      <c r="E2385" s="176"/>
    </row>
    <row r="2386" spans="1:5" x14ac:dyDescent="0.2">
      <c r="A2386" s="175">
        <v>37573</v>
      </c>
      <c r="B2386" s="176">
        <v>4.8600000000000003</v>
      </c>
      <c r="C2386" s="176"/>
      <c r="D2386" s="176"/>
      <c r="E2386" s="176"/>
    </row>
    <row r="2387" spans="1:5" x14ac:dyDescent="0.2">
      <c r="A2387" s="175">
        <v>37574</v>
      </c>
      <c r="B2387" s="176">
        <v>5.01</v>
      </c>
      <c r="C2387" s="176"/>
      <c r="D2387" s="176"/>
      <c r="E2387" s="176"/>
    </row>
    <row r="2388" spans="1:5" x14ac:dyDescent="0.2">
      <c r="A2388" s="175">
        <v>37575</v>
      </c>
      <c r="B2388" s="176">
        <v>5.0199999999999996</v>
      </c>
      <c r="C2388" s="176"/>
      <c r="D2388" s="176"/>
      <c r="E2388" s="176"/>
    </row>
    <row r="2389" spans="1:5" x14ac:dyDescent="0.2">
      <c r="A2389" s="175">
        <v>37578</v>
      </c>
      <c r="B2389" s="176">
        <v>4.9800000000000004</v>
      </c>
      <c r="C2389" s="176"/>
      <c r="D2389" s="176"/>
      <c r="E2389" s="176"/>
    </row>
    <row r="2390" spans="1:5" x14ac:dyDescent="0.2">
      <c r="A2390" s="175">
        <v>37579</v>
      </c>
      <c r="B2390" s="176">
        <v>4.9400000000000004</v>
      </c>
      <c r="C2390" s="176"/>
      <c r="D2390" s="176"/>
      <c r="E2390" s="176"/>
    </row>
    <row r="2391" spans="1:5" x14ac:dyDescent="0.2">
      <c r="A2391" s="175">
        <v>37580</v>
      </c>
      <c r="B2391" s="176">
        <v>5.04</v>
      </c>
      <c r="C2391" s="176"/>
      <c r="D2391" s="176"/>
      <c r="E2391" s="176"/>
    </row>
    <row r="2392" spans="1:5" x14ac:dyDescent="0.2">
      <c r="A2392" s="175">
        <v>37581</v>
      </c>
      <c r="B2392" s="176">
        <v>5.0999999999999996</v>
      </c>
      <c r="C2392" s="176"/>
      <c r="D2392" s="176"/>
      <c r="E2392" s="176"/>
    </row>
    <row r="2393" spans="1:5" x14ac:dyDescent="0.2">
      <c r="A2393" s="175">
        <v>37582</v>
      </c>
      <c r="B2393" s="176">
        <v>5.12</v>
      </c>
      <c r="C2393" s="176"/>
      <c r="D2393" s="176"/>
      <c r="E2393" s="176"/>
    </row>
    <row r="2394" spans="1:5" x14ac:dyDescent="0.2">
      <c r="A2394" s="175">
        <v>37585</v>
      </c>
      <c r="B2394" s="176">
        <v>5.13</v>
      </c>
      <c r="C2394" s="176"/>
      <c r="D2394" s="176"/>
      <c r="E2394" s="176"/>
    </row>
    <row r="2395" spans="1:5" x14ac:dyDescent="0.2">
      <c r="A2395" s="175">
        <v>37586</v>
      </c>
      <c r="B2395" s="176">
        <v>5.03</v>
      </c>
      <c r="C2395" s="176"/>
      <c r="D2395" s="176"/>
      <c r="E2395" s="176"/>
    </row>
    <row r="2396" spans="1:5" x14ac:dyDescent="0.2">
      <c r="A2396" s="175">
        <v>37587</v>
      </c>
      <c r="B2396" s="176">
        <v>5.23</v>
      </c>
      <c r="C2396" s="176"/>
      <c r="D2396" s="176"/>
      <c r="E2396" s="176"/>
    </row>
    <row r="2397" spans="1:5" x14ac:dyDescent="0.2">
      <c r="A2397" s="175">
        <v>37588</v>
      </c>
      <c r="B2397" s="176" t="e">
        <f>NA()</f>
        <v>#N/A</v>
      </c>
      <c r="C2397" s="176"/>
      <c r="D2397" s="176"/>
      <c r="E2397" s="176"/>
    </row>
    <row r="2398" spans="1:5" x14ac:dyDescent="0.2">
      <c r="A2398" s="175">
        <v>37589</v>
      </c>
      <c r="B2398" s="176">
        <v>5.18</v>
      </c>
      <c r="C2398" s="176"/>
      <c r="D2398" s="176"/>
      <c r="E2398" s="176"/>
    </row>
    <row r="2399" spans="1:5" x14ac:dyDescent="0.2">
      <c r="A2399" s="175">
        <v>37592</v>
      </c>
      <c r="B2399" s="176">
        <v>5.17</v>
      </c>
      <c r="C2399" s="176"/>
      <c r="D2399" s="176"/>
      <c r="E2399" s="176"/>
    </row>
    <row r="2400" spans="1:5" x14ac:dyDescent="0.2">
      <c r="A2400" s="175">
        <v>37593</v>
      </c>
      <c r="B2400" s="176">
        <v>5.18</v>
      </c>
      <c r="C2400" s="176"/>
      <c r="D2400" s="176"/>
      <c r="E2400" s="176"/>
    </row>
    <row r="2401" spans="1:5" x14ac:dyDescent="0.2">
      <c r="A2401" s="175">
        <v>37594</v>
      </c>
      <c r="B2401" s="176">
        <v>5.14</v>
      </c>
      <c r="C2401" s="176"/>
      <c r="D2401" s="176"/>
      <c r="E2401" s="176"/>
    </row>
    <row r="2402" spans="1:5" x14ac:dyDescent="0.2">
      <c r="A2402" s="175">
        <v>37595</v>
      </c>
      <c r="B2402" s="176">
        <v>5.09</v>
      </c>
      <c r="C2402" s="176"/>
      <c r="D2402" s="176"/>
      <c r="E2402" s="176"/>
    </row>
    <row r="2403" spans="1:5" x14ac:dyDescent="0.2">
      <c r="A2403" s="175">
        <v>37596</v>
      </c>
      <c r="B2403" s="176">
        <v>5.08</v>
      </c>
      <c r="C2403" s="176"/>
      <c r="D2403" s="176"/>
      <c r="E2403" s="176"/>
    </row>
    <row r="2404" spans="1:5" x14ac:dyDescent="0.2">
      <c r="A2404" s="175">
        <v>37599</v>
      </c>
      <c r="B2404" s="177">
        <v>5.05</v>
      </c>
      <c r="C2404" s="177"/>
      <c r="D2404" s="177"/>
      <c r="E2404" s="177"/>
    </row>
    <row r="2405" spans="1:5" x14ac:dyDescent="0.2">
      <c r="A2405" s="175">
        <v>37600</v>
      </c>
      <c r="B2405" s="176">
        <v>5.0199999999999996</v>
      </c>
      <c r="C2405" s="176"/>
      <c r="D2405" s="176"/>
      <c r="E2405" s="176"/>
    </row>
    <row r="2406" spans="1:5" x14ac:dyDescent="0.2">
      <c r="A2406" s="175">
        <v>37601</v>
      </c>
      <c r="B2406" s="176">
        <v>4.97</v>
      </c>
      <c r="C2406" s="176"/>
      <c r="D2406" s="176"/>
      <c r="E2406" s="176"/>
    </row>
    <row r="2407" spans="1:5" x14ac:dyDescent="0.2">
      <c r="A2407" s="175">
        <v>37602</v>
      </c>
      <c r="B2407" s="176">
        <v>4.97</v>
      </c>
      <c r="C2407" s="176"/>
      <c r="D2407" s="176"/>
      <c r="E2407" s="176"/>
    </row>
    <row r="2408" spans="1:5" x14ac:dyDescent="0.2">
      <c r="A2408" s="175">
        <v>37603</v>
      </c>
      <c r="B2408" s="176">
        <v>5.03</v>
      </c>
      <c r="C2408" s="176"/>
      <c r="D2408" s="176"/>
      <c r="E2408" s="176"/>
    </row>
    <row r="2409" spans="1:5" x14ac:dyDescent="0.2">
      <c r="A2409" s="175">
        <v>37606</v>
      </c>
      <c r="B2409" s="176">
        <v>5.1100000000000003</v>
      </c>
      <c r="C2409" s="176"/>
      <c r="D2409" s="176"/>
      <c r="E2409" s="176"/>
    </row>
    <row r="2410" spans="1:5" x14ac:dyDescent="0.2">
      <c r="A2410" s="175">
        <v>37607</v>
      </c>
      <c r="B2410" s="176">
        <v>5.1100000000000003</v>
      </c>
      <c r="C2410" s="176"/>
      <c r="D2410" s="176"/>
      <c r="E2410" s="176"/>
    </row>
    <row r="2411" spans="1:5" x14ac:dyDescent="0.2">
      <c r="A2411" s="175">
        <v>37608</v>
      </c>
      <c r="B2411" s="176">
        <v>5.05</v>
      </c>
      <c r="C2411" s="176"/>
      <c r="D2411" s="176"/>
      <c r="E2411" s="176"/>
    </row>
    <row r="2412" spans="1:5" x14ac:dyDescent="0.2">
      <c r="A2412" s="175">
        <v>37609</v>
      </c>
      <c r="B2412" s="176">
        <v>4.97</v>
      </c>
      <c r="C2412" s="176"/>
      <c r="D2412" s="176"/>
      <c r="E2412" s="176"/>
    </row>
    <row r="2413" spans="1:5" x14ac:dyDescent="0.2">
      <c r="A2413" s="175">
        <v>37610</v>
      </c>
      <c r="B2413" s="176">
        <v>4.97</v>
      </c>
      <c r="C2413" s="176"/>
      <c r="D2413" s="176"/>
      <c r="E2413" s="176"/>
    </row>
    <row r="2414" spans="1:5" x14ac:dyDescent="0.2">
      <c r="A2414" s="175">
        <v>37613</v>
      </c>
      <c r="B2414" s="176">
        <v>4.9800000000000004</v>
      </c>
      <c r="C2414" s="176"/>
      <c r="D2414" s="176"/>
      <c r="E2414" s="176"/>
    </row>
    <row r="2415" spans="1:5" x14ac:dyDescent="0.2">
      <c r="A2415" s="175">
        <v>37614</v>
      </c>
      <c r="B2415" s="176">
        <v>4.93</v>
      </c>
      <c r="C2415" s="176"/>
      <c r="D2415" s="176"/>
      <c r="E2415" s="176"/>
    </row>
    <row r="2416" spans="1:5" x14ac:dyDescent="0.2">
      <c r="A2416" s="175">
        <v>37615</v>
      </c>
      <c r="B2416" s="176" t="e">
        <f>NA()</f>
        <v>#N/A</v>
      </c>
      <c r="C2416" s="176"/>
      <c r="D2416" s="176"/>
      <c r="E2416" s="176"/>
    </row>
    <row r="2417" spans="1:5" x14ac:dyDescent="0.2">
      <c r="A2417" s="175">
        <v>37616</v>
      </c>
      <c r="B2417" s="176">
        <v>4.91</v>
      </c>
      <c r="C2417" s="176"/>
      <c r="D2417" s="176"/>
      <c r="E2417" s="176"/>
    </row>
    <row r="2418" spans="1:5" x14ac:dyDescent="0.2">
      <c r="A2418" s="175">
        <v>37617</v>
      </c>
      <c r="B2418" s="176">
        <v>4.83</v>
      </c>
      <c r="C2418" s="176"/>
      <c r="D2418" s="176"/>
      <c r="E2418" s="176"/>
    </row>
    <row r="2419" spans="1:5" x14ac:dyDescent="0.2">
      <c r="A2419" s="175">
        <v>37620</v>
      </c>
      <c r="B2419" s="176">
        <v>4.82</v>
      </c>
      <c r="C2419" s="176"/>
      <c r="D2419" s="176"/>
      <c r="E2419" s="176"/>
    </row>
    <row r="2420" spans="1:5" x14ac:dyDescent="0.2">
      <c r="A2420" s="175">
        <v>37621</v>
      </c>
      <c r="B2420" s="176">
        <v>4.83</v>
      </c>
      <c r="C2420" s="176"/>
      <c r="D2420" s="176"/>
      <c r="E2420" s="176"/>
    </row>
    <row r="2421" spans="1:5" x14ac:dyDescent="0.2">
      <c r="A2421" s="175">
        <v>37622</v>
      </c>
      <c r="B2421" s="176" t="e">
        <f>NA()</f>
        <v>#N/A</v>
      </c>
      <c r="C2421" s="176"/>
      <c r="D2421" s="176"/>
      <c r="E2421" s="176"/>
    </row>
    <row r="2422" spans="1:5" x14ac:dyDescent="0.2">
      <c r="A2422" s="175">
        <v>37623</v>
      </c>
      <c r="B2422" s="176">
        <v>5.05</v>
      </c>
      <c r="C2422" s="176"/>
      <c r="D2422" s="176"/>
      <c r="E2422" s="176"/>
    </row>
    <row r="2423" spans="1:5" x14ac:dyDescent="0.2">
      <c r="A2423" s="175">
        <v>37624</v>
      </c>
      <c r="B2423" s="176">
        <v>5.03</v>
      </c>
      <c r="C2423" s="176"/>
      <c r="D2423" s="176"/>
      <c r="E2423" s="176"/>
    </row>
    <row r="2424" spans="1:5" x14ac:dyDescent="0.2">
      <c r="A2424" s="175">
        <v>37627</v>
      </c>
      <c r="B2424" s="176">
        <v>5.05</v>
      </c>
      <c r="C2424" s="176"/>
      <c r="D2424" s="176"/>
      <c r="E2424" s="176"/>
    </row>
    <row r="2425" spans="1:5" x14ac:dyDescent="0.2">
      <c r="A2425" s="175">
        <v>37628</v>
      </c>
      <c r="B2425" s="176">
        <v>5.03</v>
      </c>
      <c r="C2425" s="176"/>
      <c r="D2425" s="176"/>
      <c r="E2425" s="176"/>
    </row>
    <row r="2426" spans="1:5" x14ac:dyDescent="0.2">
      <c r="A2426" s="175">
        <v>37629</v>
      </c>
      <c r="B2426" s="176">
        <v>5</v>
      </c>
      <c r="C2426" s="176"/>
      <c r="D2426" s="176"/>
      <c r="E2426" s="176"/>
    </row>
    <row r="2427" spans="1:5" x14ac:dyDescent="0.2">
      <c r="A2427" s="175">
        <v>37630</v>
      </c>
      <c r="B2427" s="176">
        <v>5.17</v>
      </c>
      <c r="C2427" s="176"/>
      <c r="D2427" s="176"/>
      <c r="E2427" s="176"/>
    </row>
    <row r="2428" spans="1:5" x14ac:dyDescent="0.2">
      <c r="A2428" s="175">
        <v>37631</v>
      </c>
      <c r="B2428" s="176">
        <v>5.14</v>
      </c>
      <c r="C2428" s="176"/>
      <c r="D2428" s="176"/>
      <c r="E2428" s="176"/>
    </row>
    <row r="2429" spans="1:5" x14ac:dyDescent="0.2">
      <c r="A2429" s="175">
        <v>37634</v>
      </c>
      <c r="B2429" s="176">
        <v>5.13</v>
      </c>
      <c r="C2429" s="176"/>
      <c r="D2429" s="176"/>
      <c r="E2429" s="176"/>
    </row>
    <row r="2430" spans="1:5" x14ac:dyDescent="0.2">
      <c r="A2430" s="175">
        <v>37635</v>
      </c>
      <c r="B2430" s="176">
        <v>5.09</v>
      </c>
      <c r="C2430" s="176"/>
      <c r="D2430" s="176"/>
      <c r="E2430" s="176"/>
    </row>
    <row r="2431" spans="1:5" x14ac:dyDescent="0.2">
      <c r="A2431" s="175">
        <v>37636</v>
      </c>
      <c r="B2431" s="176">
        <v>5.07</v>
      </c>
      <c r="C2431" s="176"/>
      <c r="D2431" s="176"/>
      <c r="E2431" s="176"/>
    </row>
    <row r="2432" spans="1:5" x14ac:dyDescent="0.2">
      <c r="A2432" s="175">
        <v>37637</v>
      </c>
      <c r="B2432" s="176">
        <v>5.0599999999999996</v>
      </c>
      <c r="C2432" s="176"/>
      <c r="D2432" s="176"/>
      <c r="E2432" s="176"/>
    </row>
    <row r="2433" spans="1:5" x14ac:dyDescent="0.2">
      <c r="A2433" s="175">
        <v>37638</v>
      </c>
      <c r="B2433" s="176">
        <v>5</v>
      </c>
      <c r="C2433" s="176"/>
      <c r="D2433" s="176"/>
      <c r="E2433" s="176"/>
    </row>
    <row r="2434" spans="1:5" x14ac:dyDescent="0.2">
      <c r="A2434" s="175">
        <v>37641</v>
      </c>
      <c r="B2434" s="177" t="e">
        <f>NA()</f>
        <v>#N/A</v>
      </c>
      <c r="C2434" s="177"/>
      <c r="D2434" s="177"/>
      <c r="E2434" s="177"/>
    </row>
    <row r="2435" spans="1:5" x14ac:dyDescent="0.2">
      <c r="A2435" s="175">
        <v>37642</v>
      </c>
      <c r="B2435" s="176">
        <v>4.9800000000000004</v>
      </c>
      <c r="C2435" s="176"/>
      <c r="D2435" s="176"/>
      <c r="E2435" s="176"/>
    </row>
    <row r="2436" spans="1:5" x14ac:dyDescent="0.2">
      <c r="A2436" s="175">
        <v>37643</v>
      </c>
      <c r="B2436" s="176">
        <v>4.9400000000000004</v>
      </c>
      <c r="C2436" s="176"/>
      <c r="D2436" s="176"/>
      <c r="E2436" s="176"/>
    </row>
    <row r="2437" spans="1:5" x14ac:dyDescent="0.2">
      <c r="A2437" s="175">
        <v>37644</v>
      </c>
      <c r="B2437" s="176">
        <v>4.9800000000000004</v>
      </c>
      <c r="C2437" s="176"/>
      <c r="D2437" s="176"/>
      <c r="E2437" s="176"/>
    </row>
    <row r="2438" spans="1:5" x14ac:dyDescent="0.2">
      <c r="A2438" s="175">
        <v>37645</v>
      </c>
      <c r="B2438" s="176">
        <v>4.92</v>
      </c>
      <c r="C2438" s="176"/>
      <c r="D2438" s="176"/>
      <c r="E2438" s="176"/>
    </row>
    <row r="2439" spans="1:5" x14ac:dyDescent="0.2">
      <c r="A2439" s="175">
        <v>37648</v>
      </c>
      <c r="B2439" s="176">
        <v>4.96</v>
      </c>
      <c r="C2439" s="176"/>
      <c r="D2439" s="176"/>
      <c r="E2439" s="176"/>
    </row>
    <row r="2440" spans="1:5" x14ac:dyDescent="0.2">
      <c r="A2440" s="175">
        <v>37649</v>
      </c>
      <c r="B2440" s="176">
        <v>4.96</v>
      </c>
      <c r="C2440" s="176"/>
      <c r="D2440" s="176"/>
      <c r="E2440" s="176"/>
    </row>
    <row r="2441" spans="1:5" x14ac:dyDescent="0.2">
      <c r="A2441" s="175">
        <v>37650</v>
      </c>
      <c r="B2441" s="176">
        <v>5.01</v>
      </c>
      <c r="C2441" s="176"/>
      <c r="D2441" s="176"/>
      <c r="E2441" s="176"/>
    </row>
    <row r="2442" spans="1:5" x14ac:dyDescent="0.2">
      <c r="A2442" s="175">
        <v>37651</v>
      </c>
      <c r="B2442" s="176">
        <v>4.96</v>
      </c>
      <c r="C2442" s="176"/>
      <c r="D2442" s="176"/>
      <c r="E2442" s="176"/>
    </row>
    <row r="2443" spans="1:5" x14ac:dyDescent="0.2">
      <c r="A2443" s="175">
        <v>37652</v>
      </c>
      <c r="B2443" s="176">
        <v>4.93</v>
      </c>
      <c r="C2443" s="176"/>
      <c r="D2443" s="176"/>
      <c r="E2443" s="176"/>
    </row>
    <row r="2444" spans="1:5" x14ac:dyDescent="0.2">
      <c r="A2444" s="175">
        <v>37655</v>
      </c>
      <c r="B2444" s="176">
        <v>4.93</v>
      </c>
      <c r="C2444" s="176"/>
      <c r="D2444" s="176"/>
      <c r="E2444" s="176"/>
    </row>
    <row r="2445" spans="1:5" x14ac:dyDescent="0.2">
      <c r="A2445" s="175">
        <v>37656</v>
      </c>
      <c r="B2445" s="176">
        <v>4.8899999999999997</v>
      </c>
      <c r="C2445" s="176"/>
      <c r="D2445" s="176"/>
      <c r="E2445" s="176"/>
    </row>
    <row r="2446" spans="1:5" x14ac:dyDescent="0.2">
      <c r="A2446" s="175">
        <v>37657</v>
      </c>
      <c r="B2446" s="176">
        <v>4.97</v>
      </c>
      <c r="C2446" s="176"/>
      <c r="D2446" s="176"/>
      <c r="E2446" s="176"/>
    </row>
    <row r="2447" spans="1:5" x14ac:dyDescent="0.2">
      <c r="A2447" s="175">
        <v>37658</v>
      </c>
      <c r="B2447" s="176">
        <v>4.91</v>
      </c>
      <c r="C2447" s="176"/>
      <c r="D2447" s="176"/>
      <c r="E2447" s="176"/>
    </row>
    <row r="2448" spans="1:5" x14ac:dyDescent="0.2">
      <c r="A2448" s="175">
        <v>37659</v>
      </c>
      <c r="B2448" s="176">
        <v>4.88</v>
      </c>
      <c r="C2448" s="176"/>
      <c r="D2448" s="176"/>
      <c r="E2448" s="176"/>
    </row>
    <row r="2449" spans="1:5" x14ac:dyDescent="0.2">
      <c r="A2449" s="175">
        <v>37662</v>
      </c>
      <c r="B2449" s="176">
        <v>4.9400000000000004</v>
      </c>
      <c r="C2449" s="176"/>
      <c r="D2449" s="176"/>
      <c r="E2449" s="176"/>
    </row>
    <row r="2450" spans="1:5" x14ac:dyDescent="0.2">
      <c r="A2450" s="175">
        <v>37663</v>
      </c>
      <c r="B2450" s="176">
        <v>4.93</v>
      </c>
      <c r="C2450" s="176"/>
      <c r="D2450" s="176"/>
      <c r="E2450" s="176"/>
    </row>
    <row r="2451" spans="1:5" x14ac:dyDescent="0.2">
      <c r="A2451" s="175">
        <v>37664</v>
      </c>
      <c r="B2451" s="176">
        <v>4.9000000000000004</v>
      </c>
      <c r="C2451" s="176"/>
      <c r="D2451" s="176"/>
      <c r="E2451" s="176"/>
    </row>
    <row r="2452" spans="1:5" x14ac:dyDescent="0.2">
      <c r="A2452" s="175">
        <v>37665</v>
      </c>
      <c r="B2452" s="176">
        <v>4.8600000000000003</v>
      </c>
      <c r="C2452" s="176"/>
      <c r="D2452" s="176"/>
      <c r="E2452" s="176"/>
    </row>
    <row r="2453" spans="1:5" x14ac:dyDescent="0.2">
      <c r="A2453" s="175">
        <v>37666</v>
      </c>
      <c r="B2453" s="176">
        <v>4.9400000000000004</v>
      </c>
      <c r="C2453" s="176"/>
      <c r="D2453" s="176"/>
      <c r="E2453" s="176"/>
    </row>
    <row r="2454" spans="1:5" x14ac:dyDescent="0.2">
      <c r="A2454" s="175">
        <v>37669</v>
      </c>
      <c r="B2454" s="177" t="e">
        <f>NA()</f>
        <v>#N/A</v>
      </c>
      <c r="C2454" s="177"/>
      <c r="D2454" s="177"/>
      <c r="E2454" s="177"/>
    </row>
    <row r="2455" spans="1:5" x14ac:dyDescent="0.2">
      <c r="A2455" s="175">
        <v>37670</v>
      </c>
      <c r="B2455" s="176">
        <v>4.92</v>
      </c>
      <c r="C2455" s="176"/>
      <c r="D2455" s="176"/>
      <c r="E2455" s="176"/>
    </row>
    <row r="2456" spans="1:5" x14ac:dyDescent="0.2">
      <c r="A2456" s="175">
        <v>37671</v>
      </c>
      <c r="B2456" s="176">
        <v>4.8600000000000003</v>
      </c>
      <c r="C2456" s="176"/>
      <c r="D2456" s="176"/>
      <c r="E2456" s="176"/>
    </row>
    <row r="2457" spans="1:5" x14ac:dyDescent="0.2">
      <c r="A2457" s="175">
        <v>37672</v>
      </c>
      <c r="B2457" s="176">
        <v>4.84</v>
      </c>
      <c r="C2457" s="176"/>
      <c r="D2457" s="176"/>
      <c r="E2457" s="176"/>
    </row>
    <row r="2458" spans="1:5" x14ac:dyDescent="0.2">
      <c r="A2458" s="175">
        <v>37673</v>
      </c>
      <c r="B2458" s="176">
        <v>4.88</v>
      </c>
      <c r="C2458" s="176"/>
      <c r="D2458" s="176"/>
      <c r="E2458" s="176"/>
    </row>
    <row r="2459" spans="1:5" x14ac:dyDescent="0.2">
      <c r="A2459" s="175">
        <v>37676</v>
      </c>
      <c r="B2459" s="176">
        <v>4.8499999999999996</v>
      </c>
      <c r="C2459" s="176"/>
      <c r="D2459" s="176"/>
      <c r="E2459" s="176"/>
    </row>
    <row r="2460" spans="1:5" x14ac:dyDescent="0.2">
      <c r="A2460" s="175">
        <v>37677</v>
      </c>
      <c r="B2460" s="176">
        <v>4.8099999999999996</v>
      </c>
      <c r="C2460" s="176"/>
      <c r="D2460" s="176"/>
      <c r="E2460" s="176"/>
    </row>
    <row r="2461" spans="1:5" x14ac:dyDescent="0.2">
      <c r="A2461" s="175">
        <v>37678</v>
      </c>
      <c r="B2461" s="176">
        <v>4.7699999999999996</v>
      </c>
      <c r="C2461" s="176"/>
      <c r="D2461" s="176"/>
      <c r="E2461" s="176"/>
    </row>
    <row r="2462" spans="1:5" x14ac:dyDescent="0.2">
      <c r="A2462" s="175">
        <v>37679</v>
      </c>
      <c r="B2462" s="176">
        <v>4.75</v>
      </c>
      <c r="C2462" s="176"/>
      <c r="D2462" s="176"/>
      <c r="E2462" s="176"/>
    </row>
    <row r="2463" spans="1:5" x14ac:dyDescent="0.2">
      <c r="A2463" s="175">
        <v>37680</v>
      </c>
      <c r="B2463" s="176">
        <v>4.7</v>
      </c>
      <c r="C2463" s="176"/>
      <c r="D2463" s="176"/>
      <c r="E2463" s="176"/>
    </row>
    <row r="2464" spans="1:5" x14ac:dyDescent="0.2">
      <c r="A2464" s="175">
        <v>37683</v>
      </c>
      <c r="B2464" s="176">
        <v>4.6900000000000004</v>
      </c>
      <c r="C2464" s="176"/>
      <c r="D2464" s="176"/>
      <c r="E2464" s="176"/>
    </row>
    <row r="2465" spans="1:5" x14ac:dyDescent="0.2">
      <c r="A2465" s="175">
        <v>37684</v>
      </c>
      <c r="B2465" s="176">
        <v>4.68</v>
      </c>
      <c r="C2465" s="176"/>
      <c r="D2465" s="176"/>
      <c r="E2465" s="176"/>
    </row>
    <row r="2466" spans="1:5" x14ac:dyDescent="0.2">
      <c r="A2466" s="175">
        <v>37685</v>
      </c>
      <c r="B2466" s="176">
        <v>4.67</v>
      </c>
      <c r="C2466" s="176"/>
      <c r="D2466" s="176"/>
      <c r="E2466" s="176"/>
    </row>
    <row r="2467" spans="1:5" x14ac:dyDescent="0.2">
      <c r="A2467" s="175">
        <v>37686</v>
      </c>
      <c r="B2467" s="177">
        <v>4.7</v>
      </c>
      <c r="C2467" s="177"/>
      <c r="D2467" s="177"/>
      <c r="E2467" s="177"/>
    </row>
    <row r="2468" spans="1:5" x14ac:dyDescent="0.2">
      <c r="A2468" s="175">
        <v>37687</v>
      </c>
      <c r="B2468" s="176">
        <v>4.67</v>
      </c>
      <c r="C2468" s="176"/>
      <c r="D2468" s="176"/>
      <c r="E2468" s="176"/>
    </row>
    <row r="2469" spans="1:5" x14ac:dyDescent="0.2">
      <c r="A2469" s="175">
        <v>37690</v>
      </c>
      <c r="B2469" s="176">
        <v>4.6399999999999997</v>
      </c>
      <c r="C2469" s="176"/>
      <c r="D2469" s="176"/>
      <c r="E2469" s="176"/>
    </row>
    <row r="2470" spans="1:5" x14ac:dyDescent="0.2">
      <c r="A2470" s="175">
        <v>37691</v>
      </c>
      <c r="B2470" s="176">
        <v>4.6399999999999997</v>
      </c>
      <c r="C2470" s="176"/>
      <c r="D2470" s="176"/>
      <c r="E2470" s="176"/>
    </row>
    <row r="2471" spans="1:5" x14ac:dyDescent="0.2">
      <c r="A2471" s="175">
        <v>37692</v>
      </c>
      <c r="B2471" s="176">
        <v>4.62</v>
      </c>
      <c r="C2471" s="176"/>
      <c r="D2471" s="176"/>
      <c r="E2471" s="176"/>
    </row>
    <row r="2472" spans="1:5" x14ac:dyDescent="0.2">
      <c r="A2472" s="175">
        <v>37693</v>
      </c>
      <c r="B2472" s="176">
        <v>4.75</v>
      </c>
      <c r="C2472" s="176"/>
      <c r="D2472" s="176"/>
      <c r="E2472" s="176"/>
    </row>
    <row r="2473" spans="1:5" x14ac:dyDescent="0.2">
      <c r="A2473" s="175">
        <v>37694</v>
      </c>
      <c r="B2473" s="176">
        <v>4.7300000000000004</v>
      </c>
      <c r="C2473" s="176"/>
      <c r="D2473" s="176"/>
      <c r="E2473" s="176"/>
    </row>
    <row r="2474" spans="1:5" x14ac:dyDescent="0.2">
      <c r="A2474" s="175">
        <v>37697</v>
      </c>
      <c r="B2474" s="176">
        <v>4.82</v>
      </c>
      <c r="C2474" s="176"/>
      <c r="D2474" s="176"/>
      <c r="E2474" s="176"/>
    </row>
    <row r="2475" spans="1:5" x14ac:dyDescent="0.2">
      <c r="A2475" s="175">
        <v>37698</v>
      </c>
      <c r="B2475" s="176">
        <v>4.8899999999999997</v>
      </c>
      <c r="C2475" s="176"/>
      <c r="D2475" s="176"/>
      <c r="E2475" s="176"/>
    </row>
    <row r="2476" spans="1:5" x14ac:dyDescent="0.2">
      <c r="A2476" s="175">
        <v>37699</v>
      </c>
      <c r="B2476" s="176">
        <v>4.9400000000000004</v>
      </c>
      <c r="C2476" s="176"/>
      <c r="D2476" s="176"/>
      <c r="E2476" s="176"/>
    </row>
    <row r="2477" spans="1:5" x14ac:dyDescent="0.2">
      <c r="A2477" s="175">
        <v>37700</v>
      </c>
      <c r="B2477" s="176">
        <v>4.99</v>
      </c>
      <c r="C2477" s="176"/>
      <c r="D2477" s="176"/>
      <c r="E2477" s="176"/>
    </row>
    <row r="2478" spans="1:5" x14ac:dyDescent="0.2">
      <c r="A2478" s="175">
        <v>37701</v>
      </c>
      <c r="B2478" s="176">
        <v>5.08</v>
      </c>
      <c r="C2478" s="176"/>
      <c r="D2478" s="176"/>
      <c r="E2478" s="176"/>
    </row>
    <row r="2479" spans="1:5" x14ac:dyDescent="0.2">
      <c r="A2479" s="175">
        <v>37704</v>
      </c>
      <c r="B2479" s="176">
        <v>4.97</v>
      </c>
      <c r="C2479" s="176"/>
      <c r="D2479" s="176"/>
      <c r="E2479" s="176"/>
    </row>
    <row r="2480" spans="1:5" x14ac:dyDescent="0.2">
      <c r="A2480" s="175">
        <v>37705</v>
      </c>
      <c r="B2480" s="176">
        <v>4.97</v>
      </c>
      <c r="C2480" s="176"/>
      <c r="D2480" s="176"/>
      <c r="E2480" s="176"/>
    </row>
    <row r="2481" spans="1:5" x14ac:dyDescent="0.2">
      <c r="A2481" s="175">
        <v>37706</v>
      </c>
      <c r="B2481" s="176">
        <v>4.96</v>
      </c>
      <c r="C2481" s="176"/>
      <c r="D2481" s="176"/>
      <c r="E2481" s="176"/>
    </row>
    <row r="2482" spans="1:5" x14ac:dyDescent="0.2">
      <c r="A2482" s="175">
        <v>37707</v>
      </c>
      <c r="B2482" s="176">
        <v>4.96</v>
      </c>
      <c r="C2482" s="176"/>
      <c r="D2482" s="176"/>
      <c r="E2482" s="176"/>
    </row>
    <row r="2483" spans="1:5" x14ac:dyDescent="0.2">
      <c r="A2483" s="175">
        <v>37708</v>
      </c>
      <c r="B2483" s="176">
        <v>4.93</v>
      </c>
      <c r="C2483" s="176"/>
      <c r="D2483" s="176"/>
      <c r="E2483" s="176"/>
    </row>
    <row r="2484" spans="1:5" x14ac:dyDescent="0.2">
      <c r="A2484" s="175">
        <v>37711</v>
      </c>
      <c r="B2484" s="176">
        <v>4.84</v>
      </c>
      <c r="C2484" s="176"/>
      <c r="D2484" s="176"/>
      <c r="E2484" s="176"/>
    </row>
    <row r="2485" spans="1:5" x14ac:dyDescent="0.2">
      <c r="A2485" s="175">
        <v>37712</v>
      </c>
      <c r="B2485" s="176">
        <v>4.8499999999999996</v>
      </c>
      <c r="C2485" s="176"/>
      <c r="D2485" s="176"/>
      <c r="E2485" s="176"/>
    </row>
    <row r="2486" spans="1:5" x14ac:dyDescent="0.2">
      <c r="A2486" s="175">
        <v>37713</v>
      </c>
      <c r="B2486" s="177">
        <v>4.9400000000000004</v>
      </c>
      <c r="C2486" s="177"/>
      <c r="D2486" s="177"/>
      <c r="E2486" s="177"/>
    </row>
    <row r="2487" spans="1:5" x14ac:dyDescent="0.2">
      <c r="A2487" s="175">
        <v>37714</v>
      </c>
      <c r="B2487" s="176">
        <v>4.95</v>
      </c>
      <c r="C2487" s="176"/>
      <c r="D2487" s="176"/>
      <c r="E2487" s="176"/>
    </row>
    <row r="2488" spans="1:5" x14ac:dyDescent="0.2">
      <c r="A2488" s="175">
        <v>37715</v>
      </c>
      <c r="B2488" s="176">
        <v>4.97</v>
      </c>
      <c r="C2488" s="176"/>
      <c r="D2488" s="176"/>
      <c r="E2488" s="176"/>
    </row>
    <row r="2489" spans="1:5" x14ac:dyDescent="0.2">
      <c r="A2489" s="175">
        <v>37718</v>
      </c>
      <c r="B2489" s="176">
        <v>5.01</v>
      </c>
      <c r="C2489" s="176"/>
      <c r="D2489" s="176"/>
      <c r="E2489" s="176"/>
    </row>
    <row r="2490" spans="1:5" x14ac:dyDescent="0.2">
      <c r="A2490" s="175">
        <v>37719</v>
      </c>
      <c r="B2490" s="176">
        <v>4.93</v>
      </c>
      <c r="C2490" s="176"/>
      <c r="D2490" s="176"/>
      <c r="E2490" s="176"/>
    </row>
    <row r="2491" spans="1:5" x14ac:dyDescent="0.2">
      <c r="A2491" s="175">
        <v>37720</v>
      </c>
      <c r="B2491" s="177">
        <v>4.92</v>
      </c>
      <c r="C2491" s="177"/>
      <c r="D2491" s="177"/>
      <c r="E2491" s="177"/>
    </row>
    <row r="2492" spans="1:5" x14ac:dyDescent="0.2">
      <c r="A2492" s="175">
        <v>37721</v>
      </c>
      <c r="B2492" s="176">
        <v>4.9400000000000004</v>
      </c>
      <c r="C2492" s="176"/>
      <c r="D2492" s="176"/>
      <c r="E2492" s="176"/>
    </row>
    <row r="2493" spans="1:5" x14ac:dyDescent="0.2">
      <c r="A2493" s="175">
        <v>37722</v>
      </c>
      <c r="B2493" s="176">
        <v>4.96</v>
      </c>
      <c r="C2493" s="176"/>
      <c r="D2493" s="176"/>
      <c r="E2493" s="176"/>
    </row>
    <row r="2494" spans="1:5" x14ac:dyDescent="0.2">
      <c r="A2494" s="175">
        <v>37725</v>
      </c>
      <c r="B2494" s="176">
        <v>4.99</v>
      </c>
      <c r="C2494" s="176"/>
      <c r="D2494" s="176"/>
      <c r="E2494" s="176"/>
    </row>
    <row r="2495" spans="1:5" x14ac:dyDescent="0.2">
      <c r="A2495" s="175">
        <v>37726</v>
      </c>
      <c r="B2495" s="176">
        <v>4.93</v>
      </c>
      <c r="C2495" s="176"/>
      <c r="D2495" s="176"/>
      <c r="E2495" s="176"/>
    </row>
    <row r="2496" spans="1:5" x14ac:dyDescent="0.2">
      <c r="A2496" s="175">
        <v>37727</v>
      </c>
      <c r="B2496" s="176">
        <v>4.92</v>
      </c>
      <c r="C2496" s="176"/>
      <c r="D2496" s="176"/>
      <c r="E2496" s="176"/>
    </row>
    <row r="2497" spans="1:5" x14ac:dyDescent="0.2">
      <c r="A2497" s="175">
        <v>37728</v>
      </c>
      <c r="B2497" s="176">
        <v>4.91</v>
      </c>
      <c r="C2497" s="176"/>
      <c r="D2497" s="176"/>
      <c r="E2497" s="176"/>
    </row>
    <row r="2498" spans="1:5" x14ac:dyDescent="0.2">
      <c r="A2498" s="175">
        <v>37729</v>
      </c>
      <c r="B2498" s="176" t="e">
        <f>NA()</f>
        <v>#N/A</v>
      </c>
      <c r="C2498" s="176"/>
      <c r="D2498" s="176"/>
      <c r="E2498" s="176"/>
    </row>
    <row r="2499" spans="1:5" x14ac:dyDescent="0.2">
      <c r="A2499" s="175">
        <v>37732</v>
      </c>
      <c r="B2499" s="176">
        <v>4.92</v>
      </c>
      <c r="C2499" s="176"/>
      <c r="D2499" s="176"/>
      <c r="E2499" s="176"/>
    </row>
    <row r="2500" spans="1:5" x14ac:dyDescent="0.2">
      <c r="A2500" s="175">
        <v>37733</v>
      </c>
      <c r="B2500" s="176">
        <v>4.9400000000000004</v>
      </c>
      <c r="C2500" s="176"/>
      <c r="D2500" s="176"/>
      <c r="E2500" s="176"/>
    </row>
    <row r="2501" spans="1:5" x14ac:dyDescent="0.2">
      <c r="A2501" s="175">
        <v>37734</v>
      </c>
      <c r="B2501" s="176">
        <v>4.92</v>
      </c>
      <c r="C2501" s="176"/>
      <c r="D2501" s="176"/>
      <c r="E2501" s="176"/>
    </row>
    <row r="2502" spans="1:5" x14ac:dyDescent="0.2">
      <c r="A2502" s="175">
        <v>37735</v>
      </c>
      <c r="B2502" s="176">
        <v>4.84</v>
      </c>
      <c r="C2502" s="176"/>
      <c r="D2502" s="176"/>
      <c r="E2502" s="176"/>
    </row>
    <row r="2503" spans="1:5" x14ac:dyDescent="0.2">
      <c r="A2503" s="175">
        <v>37736</v>
      </c>
      <c r="B2503" s="176">
        <v>4.83</v>
      </c>
      <c r="C2503" s="176"/>
      <c r="D2503" s="176"/>
      <c r="E2503" s="176"/>
    </row>
    <row r="2504" spans="1:5" x14ac:dyDescent="0.2">
      <c r="A2504" s="175">
        <v>37739</v>
      </c>
      <c r="B2504" s="177">
        <v>4.83</v>
      </c>
      <c r="C2504" s="177"/>
      <c r="D2504" s="177"/>
      <c r="E2504" s="177"/>
    </row>
    <row r="2505" spans="1:5" x14ac:dyDescent="0.2">
      <c r="A2505" s="175">
        <v>37740</v>
      </c>
      <c r="B2505" s="176">
        <v>4.8600000000000003</v>
      </c>
      <c r="C2505" s="176"/>
      <c r="D2505" s="176"/>
      <c r="E2505" s="176"/>
    </row>
    <row r="2506" spans="1:5" x14ac:dyDescent="0.2">
      <c r="A2506" s="175">
        <v>37741</v>
      </c>
      <c r="B2506" s="176">
        <v>4.79</v>
      </c>
      <c r="C2506" s="176"/>
      <c r="D2506" s="176"/>
      <c r="E2506" s="176"/>
    </row>
    <row r="2507" spans="1:5" x14ac:dyDescent="0.2">
      <c r="A2507" s="175">
        <v>37742</v>
      </c>
      <c r="B2507" s="176">
        <v>4.8</v>
      </c>
      <c r="C2507" s="176"/>
      <c r="D2507" s="176"/>
      <c r="E2507" s="176"/>
    </row>
    <row r="2508" spans="1:5" x14ac:dyDescent="0.2">
      <c r="A2508" s="175">
        <v>37743</v>
      </c>
      <c r="B2508" s="176">
        <v>4.84</v>
      </c>
      <c r="C2508" s="176"/>
      <c r="D2508" s="176"/>
      <c r="E2508" s="176"/>
    </row>
    <row r="2509" spans="1:5" x14ac:dyDescent="0.2">
      <c r="A2509" s="175">
        <v>37746</v>
      </c>
      <c r="B2509" s="176">
        <v>4.8</v>
      </c>
      <c r="C2509" s="176"/>
      <c r="D2509" s="176"/>
      <c r="E2509" s="176"/>
    </row>
    <row r="2510" spans="1:5" x14ac:dyDescent="0.2">
      <c r="A2510" s="175">
        <v>37747</v>
      </c>
      <c r="B2510" s="176">
        <v>4.76</v>
      </c>
      <c r="C2510" s="176"/>
      <c r="D2510" s="176"/>
      <c r="E2510" s="176"/>
    </row>
    <row r="2511" spans="1:5" x14ac:dyDescent="0.2">
      <c r="A2511" s="175">
        <v>37748</v>
      </c>
      <c r="B2511" s="176">
        <v>4.67</v>
      </c>
      <c r="C2511" s="176"/>
      <c r="D2511" s="176"/>
      <c r="E2511" s="176"/>
    </row>
    <row r="2512" spans="1:5" x14ac:dyDescent="0.2">
      <c r="A2512" s="175">
        <v>37749</v>
      </c>
      <c r="B2512" s="176">
        <v>4.6500000000000004</v>
      </c>
      <c r="C2512" s="176"/>
      <c r="D2512" s="176"/>
      <c r="E2512" s="176"/>
    </row>
    <row r="2513" spans="1:5" x14ac:dyDescent="0.2">
      <c r="A2513" s="175">
        <v>37750</v>
      </c>
      <c r="B2513" s="176">
        <v>4.6399999999999997</v>
      </c>
      <c r="C2513" s="176"/>
      <c r="D2513" s="176"/>
      <c r="E2513" s="176"/>
    </row>
    <row r="2514" spans="1:5" x14ac:dyDescent="0.2">
      <c r="A2514" s="175">
        <v>37753</v>
      </c>
      <c r="B2514" s="176">
        <v>4.5999999999999996</v>
      </c>
      <c r="C2514" s="176"/>
      <c r="D2514" s="176"/>
      <c r="E2514" s="176"/>
    </row>
    <row r="2515" spans="1:5" x14ac:dyDescent="0.2">
      <c r="A2515" s="175">
        <v>37754</v>
      </c>
      <c r="B2515" s="176">
        <v>4.58</v>
      </c>
      <c r="C2515" s="176"/>
      <c r="D2515" s="176"/>
      <c r="E2515" s="176"/>
    </row>
    <row r="2516" spans="1:5" x14ac:dyDescent="0.2">
      <c r="A2516" s="175">
        <v>37755</v>
      </c>
      <c r="B2516" s="176">
        <v>4.47</v>
      </c>
      <c r="C2516" s="176"/>
      <c r="D2516" s="176"/>
      <c r="E2516" s="176"/>
    </row>
    <row r="2517" spans="1:5" x14ac:dyDescent="0.2">
      <c r="A2517" s="175">
        <v>37756</v>
      </c>
      <c r="B2517" s="176">
        <v>4.4800000000000004</v>
      </c>
      <c r="C2517" s="176"/>
      <c r="D2517" s="176"/>
      <c r="E2517" s="176"/>
    </row>
    <row r="2518" spans="1:5" x14ac:dyDescent="0.2">
      <c r="A2518" s="175">
        <v>37757</v>
      </c>
      <c r="B2518" s="176">
        <v>4.4400000000000004</v>
      </c>
      <c r="C2518" s="176"/>
      <c r="D2518" s="176"/>
      <c r="E2518" s="176"/>
    </row>
    <row r="2519" spans="1:5" x14ac:dyDescent="0.2">
      <c r="A2519" s="175">
        <v>37760</v>
      </c>
      <c r="B2519" s="176">
        <v>4.4400000000000004</v>
      </c>
      <c r="C2519" s="176"/>
      <c r="D2519" s="176"/>
      <c r="E2519" s="176"/>
    </row>
    <row r="2520" spans="1:5" x14ac:dyDescent="0.2">
      <c r="A2520" s="175">
        <v>37761</v>
      </c>
      <c r="B2520" s="176">
        <v>4.3600000000000003</v>
      </c>
      <c r="C2520" s="176"/>
      <c r="D2520" s="176"/>
      <c r="E2520" s="176"/>
    </row>
    <row r="2521" spans="1:5" x14ac:dyDescent="0.2">
      <c r="A2521" s="175">
        <v>37762</v>
      </c>
      <c r="B2521" s="176">
        <v>4.33</v>
      </c>
      <c r="C2521" s="176"/>
      <c r="D2521" s="176"/>
      <c r="E2521" s="176"/>
    </row>
    <row r="2522" spans="1:5" x14ac:dyDescent="0.2">
      <c r="A2522" s="175">
        <v>37763</v>
      </c>
      <c r="B2522" s="176">
        <v>4.29</v>
      </c>
      <c r="C2522" s="176"/>
      <c r="D2522" s="176"/>
      <c r="E2522" s="176"/>
    </row>
    <row r="2523" spans="1:5" x14ac:dyDescent="0.2">
      <c r="A2523" s="175">
        <v>37764</v>
      </c>
      <c r="B2523" s="176">
        <v>4.28</v>
      </c>
      <c r="C2523" s="176"/>
      <c r="D2523" s="176"/>
      <c r="E2523" s="176"/>
    </row>
    <row r="2524" spans="1:5" x14ac:dyDescent="0.2">
      <c r="A2524" s="175">
        <v>37767</v>
      </c>
      <c r="B2524" s="177" t="e">
        <f>NA()</f>
        <v>#N/A</v>
      </c>
      <c r="C2524" s="177"/>
      <c r="D2524" s="177"/>
      <c r="E2524" s="177"/>
    </row>
    <row r="2525" spans="1:5" x14ac:dyDescent="0.2">
      <c r="A2525" s="175">
        <v>37768</v>
      </c>
      <c r="B2525" s="176">
        <v>4.3899999999999997</v>
      </c>
      <c r="C2525" s="176"/>
      <c r="D2525" s="176"/>
      <c r="E2525" s="176"/>
    </row>
    <row r="2526" spans="1:5" x14ac:dyDescent="0.2">
      <c r="A2526" s="175">
        <v>37769</v>
      </c>
      <c r="B2526" s="176">
        <v>4.42</v>
      </c>
      <c r="C2526" s="176"/>
      <c r="D2526" s="176"/>
      <c r="E2526" s="176"/>
    </row>
    <row r="2527" spans="1:5" x14ac:dyDescent="0.2">
      <c r="A2527" s="175">
        <v>37770</v>
      </c>
      <c r="B2527" s="176">
        <v>4.3499999999999996</v>
      </c>
      <c r="C2527" s="176"/>
      <c r="D2527" s="176"/>
      <c r="E2527" s="176"/>
    </row>
    <row r="2528" spans="1:5" x14ac:dyDescent="0.2">
      <c r="A2528" s="175">
        <v>37771</v>
      </c>
      <c r="B2528" s="176">
        <v>4.3600000000000003</v>
      </c>
      <c r="C2528" s="176"/>
      <c r="D2528" s="176"/>
      <c r="E2528" s="176"/>
    </row>
    <row r="2529" spans="1:5" x14ac:dyDescent="0.2">
      <c r="A2529" s="175">
        <v>37774</v>
      </c>
      <c r="B2529" s="176">
        <v>4.43</v>
      </c>
      <c r="C2529" s="176"/>
      <c r="D2529" s="176"/>
      <c r="E2529" s="176"/>
    </row>
    <row r="2530" spans="1:5" x14ac:dyDescent="0.2">
      <c r="A2530" s="175">
        <v>37775</v>
      </c>
      <c r="B2530" s="176">
        <v>4.3499999999999996</v>
      </c>
      <c r="C2530" s="176"/>
      <c r="D2530" s="176"/>
      <c r="E2530" s="176"/>
    </row>
    <row r="2531" spans="1:5" x14ac:dyDescent="0.2">
      <c r="A2531" s="175">
        <v>37776</v>
      </c>
      <c r="B2531" s="176">
        <v>4.32</v>
      </c>
      <c r="C2531" s="176"/>
      <c r="D2531" s="176"/>
      <c r="E2531" s="176"/>
    </row>
    <row r="2532" spans="1:5" x14ac:dyDescent="0.2">
      <c r="A2532" s="175">
        <v>37777</v>
      </c>
      <c r="B2532" s="176">
        <v>4.37</v>
      </c>
      <c r="C2532" s="176"/>
      <c r="D2532" s="176"/>
      <c r="E2532" s="176"/>
    </row>
    <row r="2533" spans="1:5" x14ac:dyDescent="0.2">
      <c r="A2533" s="175">
        <v>37778</v>
      </c>
      <c r="B2533" s="176">
        <v>4.37</v>
      </c>
      <c r="C2533" s="176"/>
      <c r="D2533" s="176"/>
      <c r="E2533" s="176"/>
    </row>
    <row r="2534" spans="1:5" x14ac:dyDescent="0.2">
      <c r="A2534" s="175">
        <v>37781</v>
      </c>
      <c r="B2534" s="176">
        <v>4.3099999999999996</v>
      </c>
      <c r="C2534" s="176"/>
      <c r="D2534" s="176"/>
      <c r="E2534" s="176"/>
    </row>
    <row r="2535" spans="1:5" x14ac:dyDescent="0.2">
      <c r="A2535" s="175">
        <v>37782</v>
      </c>
      <c r="B2535" s="176">
        <v>4.22</v>
      </c>
      <c r="C2535" s="176"/>
      <c r="D2535" s="176"/>
      <c r="E2535" s="176"/>
    </row>
    <row r="2536" spans="1:5" x14ac:dyDescent="0.2">
      <c r="A2536" s="175">
        <v>37783</v>
      </c>
      <c r="B2536" s="176">
        <v>4.2300000000000004</v>
      </c>
      <c r="C2536" s="176"/>
      <c r="D2536" s="176"/>
      <c r="E2536" s="176"/>
    </row>
    <row r="2537" spans="1:5" x14ac:dyDescent="0.2">
      <c r="A2537" s="175">
        <v>37784</v>
      </c>
      <c r="B2537" s="176">
        <v>4.18</v>
      </c>
      <c r="C2537" s="176"/>
      <c r="D2537" s="176"/>
      <c r="E2537" s="176"/>
    </row>
    <row r="2538" spans="1:5" x14ac:dyDescent="0.2">
      <c r="A2538" s="175">
        <v>37785</v>
      </c>
      <c r="B2538" s="176">
        <v>4.13</v>
      </c>
      <c r="C2538" s="176"/>
      <c r="D2538" s="176"/>
      <c r="E2538" s="176"/>
    </row>
    <row r="2539" spans="1:5" x14ac:dyDescent="0.2">
      <c r="A2539" s="175">
        <v>37788</v>
      </c>
      <c r="B2539" s="176">
        <v>4.18</v>
      </c>
      <c r="C2539" s="176"/>
      <c r="D2539" s="176"/>
      <c r="E2539" s="176"/>
    </row>
    <row r="2540" spans="1:5" x14ac:dyDescent="0.2">
      <c r="A2540" s="175">
        <v>37789</v>
      </c>
      <c r="B2540" s="176">
        <v>4.26</v>
      </c>
      <c r="C2540" s="176"/>
      <c r="D2540" s="176"/>
      <c r="E2540" s="176"/>
    </row>
    <row r="2541" spans="1:5" x14ac:dyDescent="0.2">
      <c r="A2541" s="175">
        <v>37790</v>
      </c>
      <c r="B2541" s="176">
        <v>4.3499999999999996</v>
      </c>
      <c r="C2541" s="176"/>
      <c r="D2541" s="176"/>
      <c r="E2541" s="176"/>
    </row>
    <row r="2542" spans="1:5" x14ac:dyDescent="0.2">
      <c r="A2542" s="175">
        <v>37791</v>
      </c>
      <c r="B2542" s="176">
        <v>4.37</v>
      </c>
      <c r="C2542" s="176"/>
      <c r="D2542" s="176"/>
      <c r="E2542" s="176"/>
    </row>
    <row r="2543" spans="1:5" x14ac:dyDescent="0.2">
      <c r="A2543" s="175">
        <v>37792</v>
      </c>
      <c r="B2543" s="176">
        <v>4.41</v>
      </c>
      <c r="C2543" s="176"/>
      <c r="D2543" s="176"/>
      <c r="E2543" s="176"/>
    </row>
    <row r="2544" spans="1:5" x14ac:dyDescent="0.2">
      <c r="A2544" s="175">
        <v>37795</v>
      </c>
      <c r="B2544" s="176">
        <v>4.3499999999999996</v>
      </c>
      <c r="C2544" s="176"/>
      <c r="D2544" s="176"/>
      <c r="E2544" s="176"/>
    </row>
    <row r="2545" spans="1:5" x14ac:dyDescent="0.2">
      <c r="A2545" s="175">
        <v>37796</v>
      </c>
      <c r="B2545" s="176">
        <v>4.3099999999999996</v>
      </c>
      <c r="C2545" s="176"/>
      <c r="D2545" s="176"/>
      <c r="E2545" s="176"/>
    </row>
    <row r="2546" spans="1:5" x14ac:dyDescent="0.2">
      <c r="A2546" s="175">
        <v>37797</v>
      </c>
      <c r="B2546" s="176">
        <v>4.4000000000000004</v>
      </c>
      <c r="C2546" s="176"/>
      <c r="D2546" s="176"/>
      <c r="E2546" s="176"/>
    </row>
    <row r="2547" spans="1:5" x14ac:dyDescent="0.2">
      <c r="A2547" s="175">
        <v>37798</v>
      </c>
      <c r="B2547" s="176">
        <v>4.5199999999999996</v>
      </c>
      <c r="C2547" s="176"/>
      <c r="D2547" s="176"/>
      <c r="E2547" s="176"/>
    </row>
    <row r="2548" spans="1:5" x14ac:dyDescent="0.2">
      <c r="A2548" s="175">
        <v>37799</v>
      </c>
      <c r="B2548" s="176">
        <v>4.57</v>
      </c>
      <c r="C2548" s="176"/>
      <c r="D2548" s="176"/>
      <c r="E2548" s="176"/>
    </row>
    <row r="2549" spans="1:5" x14ac:dyDescent="0.2">
      <c r="A2549" s="175">
        <v>37802</v>
      </c>
      <c r="B2549" s="176">
        <v>4.5199999999999996</v>
      </c>
      <c r="C2549" s="176"/>
      <c r="D2549" s="176"/>
      <c r="E2549" s="176"/>
    </row>
    <row r="2550" spans="1:5" x14ac:dyDescent="0.2">
      <c r="A2550" s="175">
        <v>37803</v>
      </c>
      <c r="B2550" s="176">
        <v>4.54</v>
      </c>
      <c r="C2550" s="176"/>
      <c r="D2550" s="176"/>
      <c r="E2550" s="176"/>
    </row>
    <row r="2551" spans="1:5" x14ac:dyDescent="0.2">
      <c r="A2551" s="175">
        <v>37804</v>
      </c>
      <c r="B2551" s="176">
        <v>4.54</v>
      </c>
      <c r="C2551" s="176"/>
      <c r="D2551" s="176"/>
      <c r="E2551" s="176"/>
    </row>
    <row r="2552" spans="1:5" x14ac:dyDescent="0.2">
      <c r="A2552" s="175">
        <v>37805</v>
      </c>
      <c r="B2552" s="176">
        <v>4.6399999999999997</v>
      </c>
      <c r="C2552" s="176"/>
      <c r="D2552" s="176"/>
      <c r="E2552" s="176"/>
    </row>
    <row r="2553" spans="1:5" x14ac:dyDescent="0.2">
      <c r="A2553" s="175">
        <v>37806</v>
      </c>
      <c r="B2553" s="176" t="e">
        <f>NA()</f>
        <v>#N/A</v>
      </c>
      <c r="C2553" s="176"/>
      <c r="D2553" s="176"/>
      <c r="E2553" s="176"/>
    </row>
    <row r="2554" spans="1:5" x14ac:dyDescent="0.2">
      <c r="A2554" s="175">
        <v>37809</v>
      </c>
      <c r="B2554" s="176">
        <v>4.6900000000000004</v>
      </c>
      <c r="C2554" s="176"/>
      <c r="D2554" s="176"/>
      <c r="E2554" s="176"/>
    </row>
    <row r="2555" spans="1:5" x14ac:dyDescent="0.2">
      <c r="A2555" s="175">
        <v>37810</v>
      </c>
      <c r="B2555" s="176">
        <v>4.71</v>
      </c>
      <c r="C2555" s="176"/>
      <c r="D2555" s="176"/>
      <c r="E2555" s="176"/>
    </row>
    <row r="2556" spans="1:5" x14ac:dyDescent="0.2">
      <c r="A2556" s="175">
        <v>37811</v>
      </c>
      <c r="B2556" s="176">
        <v>4.6900000000000004</v>
      </c>
      <c r="C2556" s="176"/>
      <c r="D2556" s="176"/>
      <c r="E2556" s="176"/>
    </row>
    <row r="2557" spans="1:5" x14ac:dyDescent="0.2">
      <c r="A2557" s="175">
        <v>37812</v>
      </c>
      <c r="B2557" s="176">
        <v>4.68</v>
      </c>
      <c r="C2557" s="176"/>
      <c r="D2557" s="176"/>
      <c r="E2557" s="176"/>
    </row>
    <row r="2558" spans="1:5" x14ac:dyDescent="0.2">
      <c r="A2558" s="175">
        <v>37813</v>
      </c>
      <c r="B2558" s="176">
        <v>4.6500000000000004</v>
      </c>
      <c r="C2558" s="176"/>
      <c r="D2558" s="176"/>
      <c r="E2558" s="176"/>
    </row>
    <row r="2559" spans="1:5" x14ac:dyDescent="0.2">
      <c r="A2559" s="175">
        <v>37816</v>
      </c>
      <c r="B2559" s="176">
        <v>4.74</v>
      </c>
      <c r="C2559" s="176"/>
      <c r="D2559" s="176"/>
      <c r="E2559" s="176"/>
    </row>
    <row r="2560" spans="1:5" x14ac:dyDescent="0.2">
      <c r="A2560" s="175">
        <v>37817</v>
      </c>
      <c r="B2560" s="176">
        <v>4.91</v>
      </c>
      <c r="C2560" s="176"/>
      <c r="D2560" s="176"/>
      <c r="E2560" s="176"/>
    </row>
    <row r="2561" spans="1:5" x14ac:dyDescent="0.2">
      <c r="A2561" s="175">
        <v>37818</v>
      </c>
      <c r="B2561" s="176">
        <v>4.91</v>
      </c>
      <c r="C2561" s="176"/>
      <c r="D2561" s="176"/>
      <c r="E2561" s="176"/>
    </row>
    <row r="2562" spans="1:5" x14ac:dyDescent="0.2">
      <c r="A2562" s="175">
        <v>37819</v>
      </c>
      <c r="B2562" s="176">
        <v>4.92</v>
      </c>
      <c r="C2562" s="176"/>
      <c r="D2562" s="176"/>
      <c r="E2562" s="176"/>
    </row>
    <row r="2563" spans="1:5" x14ac:dyDescent="0.2">
      <c r="A2563" s="175">
        <v>37820</v>
      </c>
      <c r="B2563" s="176">
        <v>4.93</v>
      </c>
      <c r="C2563" s="176"/>
      <c r="D2563" s="176"/>
      <c r="E2563" s="176"/>
    </row>
    <row r="2564" spans="1:5" x14ac:dyDescent="0.2">
      <c r="A2564" s="175">
        <v>37823</v>
      </c>
      <c r="B2564" s="176">
        <v>5.09</v>
      </c>
      <c r="C2564" s="176"/>
      <c r="D2564" s="176"/>
      <c r="E2564" s="176"/>
    </row>
    <row r="2565" spans="1:5" x14ac:dyDescent="0.2">
      <c r="A2565" s="175">
        <v>37824</v>
      </c>
      <c r="B2565" s="176">
        <v>5.07</v>
      </c>
      <c r="C2565" s="176"/>
      <c r="D2565" s="176"/>
      <c r="E2565" s="176"/>
    </row>
    <row r="2566" spans="1:5" x14ac:dyDescent="0.2">
      <c r="A2566" s="175">
        <v>37825</v>
      </c>
      <c r="B2566" s="176">
        <v>5.04</v>
      </c>
      <c r="C2566" s="176"/>
      <c r="D2566" s="176"/>
      <c r="E2566" s="176"/>
    </row>
    <row r="2567" spans="1:5" x14ac:dyDescent="0.2">
      <c r="A2567" s="175">
        <v>37826</v>
      </c>
      <c r="B2567" s="176">
        <v>5.12</v>
      </c>
      <c r="C2567" s="176"/>
      <c r="D2567" s="176"/>
      <c r="E2567" s="176"/>
    </row>
    <row r="2568" spans="1:5" x14ac:dyDescent="0.2">
      <c r="A2568" s="175">
        <v>37827</v>
      </c>
      <c r="B2568" s="177">
        <v>5.15</v>
      </c>
      <c r="C2568" s="177"/>
      <c r="D2568" s="177"/>
      <c r="E2568" s="177"/>
    </row>
    <row r="2569" spans="1:5" x14ac:dyDescent="0.2">
      <c r="A2569" s="175">
        <v>37830</v>
      </c>
      <c r="B2569" s="176">
        <v>5.23</v>
      </c>
      <c r="C2569" s="176"/>
      <c r="D2569" s="176"/>
      <c r="E2569" s="176"/>
    </row>
    <row r="2570" spans="1:5" x14ac:dyDescent="0.2">
      <c r="A2570" s="175">
        <v>37831</v>
      </c>
      <c r="B2570" s="176">
        <v>5.33</v>
      </c>
      <c r="C2570" s="176"/>
      <c r="D2570" s="176"/>
      <c r="E2570" s="176"/>
    </row>
    <row r="2571" spans="1:5" x14ac:dyDescent="0.2">
      <c r="A2571" s="175">
        <v>37832</v>
      </c>
      <c r="B2571" s="176">
        <v>5.27</v>
      </c>
      <c r="C2571" s="176"/>
      <c r="D2571" s="176"/>
      <c r="E2571" s="176"/>
    </row>
    <row r="2572" spans="1:5" x14ac:dyDescent="0.2">
      <c r="A2572" s="175">
        <v>37833</v>
      </c>
      <c r="B2572" s="176">
        <v>5.43</v>
      </c>
      <c r="C2572" s="176"/>
      <c r="D2572" s="176"/>
      <c r="E2572" s="176"/>
    </row>
    <row r="2573" spans="1:5" x14ac:dyDescent="0.2">
      <c r="A2573" s="175">
        <v>37834</v>
      </c>
      <c r="B2573" s="176">
        <v>5.42</v>
      </c>
      <c r="C2573" s="176"/>
      <c r="D2573" s="176"/>
      <c r="E2573" s="176"/>
    </row>
    <row r="2574" spans="1:5" x14ac:dyDescent="0.2">
      <c r="A2574" s="175">
        <v>37837</v>
      </c>
      <c r="B2574" s="176">
        <v>5.36</v>
      </c>
      <c r="C2574" s="176"/>
      <c r="D2574" s="176"/>
      <c r="E2574" s="176"/>
    </row>
    <row r="2575" spans="1:5" x14ac:dyDescent="0.2">
      <c r="A2575" s="175">
        <v>37838</v>
      </c>
      <c r="B2575" s="176">
        <v>5.48</v>
      </c>
      <c r="C2575" s="176"/>
      <c r="D2575" s="176"/>
      <c r="E2575" s="176"/>
    </row>
    <row r="2576" spans="1:5" x14ac:dyDescent="0.2">
      <c r="A2576" s="175">
        <v>37839</v>
      </c>
      <c r="B2576" s="176">
        <v>5.31</v>
      </c>
      <c r="C2576" s="176"/>
      <c r="D2576" s="176"/>
      <c r="E2576" s="176"/>
    </row>
    <row r="2577" spans="1:5" x14ac:dyDescent="0.2">
      <c r="A2577" s="175">
        <v>37840</v>
      </c>
      <c r="B2577" s="176">
        <v>5.27</v>
      </c>
      <c r="C2577" s="176"/>
      <c r="D2577" s="176"/>
      <c r="E2577" s="176"/>
    </row>
    <row r="2578" spans="1:5" x14ac:dyDescent="0.2">
      <c r="A2578" s="175">
        <v>37841</v>
      </c>
      <c r="B2578" s="176">
        <v>5.29</v>
      </c>
      <c r="C2578" s="176"/>
      <c r="D2578" s="176"/>
      <c r="E2578" s="176"/>
    </row>
    <row r="2579" spans="1:5" x14ac:dyDescent="0.2">
      <c r="A2579" s="175">
        <v>37844</v>
      </c>
      <c r="B2579" s="176">
        <v>5.36</v>
      </c>
      <c r="C2579" s="176"/>
      <c r="D2579" s="176"/>
      <c r="E2579" s="176"/>
    </row>
    <row r="2580" spans="1:5" x14ac:dyDescent="0.2">
      <c r="A2580" s="175">
        <v>37845</v>
      </c>
      <c r="B2580" s="176">
        <v>5.36</v>
      </c>
      <c r="C2580" s="176"/>
      <c r="D2580" s="176"/>
      <c r="E2580" s="176"/>
    </row>
    <row r="2581" spans="1:5" x14ac:dyDescent="0.2">
      <c r="A2581" s="175">
        <v>37846</v>
      </c>
      <c r="B2581" s="176">
        <v>5.55</v>
      </c>
      <c r="C2581" s="176"/>
      <c r="D2581" s="176"/>
      <c r="E2581" s="176"/>
    </row>
    <row r="2582" spans="1:5" x14ac:dyDescent="0.2">
      <c r="A2582" s="175">
        <v>37847</v>
      </c>
      <c r="B2582" s="176">
        <v>5.49</v>
      </c>
      <c r="C2582" s="176"/>
      <c r="D2582" s="176"/>
      <c r="E2582" s="176"/>
    </row>
    <row r="2583" spans="1:5" x14ac:dyDescent="0.2">
      <c r="A2583" s="175">
        <v>37848</v>
      </c>
      <c r="B2583" s="176">
        <v>5.49</v>
      </c>
      <c r="C2583" s="176"/>
      <c r="D2583" s="176"/>
      <c r="E2583" s="176"/>
    </row>
    <row r="2584" spans="1:5" x14ac:dyDescent="0.2">
      <c r="A2584" s="175">
        <v>37851</v>
      </c>
      <c r="B2584" s="176">
        <v>5.45</v>
      </c>
      <c r="C2584" s="176"/>
      <c r="D2584" s="176"/>
      <c r="E2584" s="176"/>
    </row>
    <row r="2585" spans="1:5" x14ac:dyDescent="0.2">
      <c r="A2585" s="175">
        <v>37852</v>
      </c>
      <c r="B2585" s="176">
        <v>5.33</v>
      </c>
      <c r="C2585" s="176"/>
      <c r="D2585" s="176"/>
      <c r="E2585" s="176"/>
    </row>
    <row r="2586" spans="1:5" x14ac:dyDescent="0.2">
      <c r="A2586" s="175">
        <v>37853</v>
      </c>
      <c r="B2586" s="176">
        <v>5.39</v>
      </c>
      <c r="C2586" s="176"/>
      <c r="D2586" s="176"/>
      <c r="E2586" s="176"/>
    </row>
    <row r="2587" spans="1:5" x14ac:dyDescent="0.2">
      <c r="A2587" s="175">
        <v>37854</v>
      </c>
      <c r="B2587" s="176">
        <v>5.43</v>
      </c>
      <c r="C2587" s="176"/>
      <c r="D2587" s="176"/>
      <c r="E2587" s="176"/>
    </row>
    <row r="2588" spans="1:5" x14ac:dyDescent="0.2">
      <c r="A2588" s="175">
        <v>37855</v>
      </c>
      <c r="B2588" s="176">
        <v>5.37</v>
      </c>
      <c r="C2588" s="176"/>
      <c r="D2588" s="176"/>
      <c r="E2588" s="176"/>
    </row>
    <row r="2589" spans="1:5" x14ac:dyDescent="0.2">
      <c r="A2589" s="175">
        <v>37858</v>
      </c>
      <c r="B2589" s="176">
        <v>5.43</v>
      </c>
      <c r="C2589" s="176"/>
      <c r="D2589" s="176"/>
      <c r="E2589" s="176"/>
    </row>
    <row r="2590" spans="1:5" x14ac:dyDescent="0.2">
      <c r="A2590" s="175">
        <v>37859</v>
      </c>
      <c r="B2590" s="176">
        <v>5.39</v>
      </c>
      <c r="C2590" s="176"/>
      <c r="D2590" s="176"/>
      <c r="E2590" s="176"/>
    </row>
    <row r="2591" spans="1:5" x14ac:dyDescent="0.2">
      <c r="A2591" s="175">
        <v>37860</v>
      </c>
      <c r="B2591" s="176">
        <v>5.43</v>
      </c>
      <c r="C2591" s="176"/>
      <c r="D2591" s="176"/>
      <c r="E2591" s="176"/>
    </row>
    <row r="2592" spans="1:5" x14ac:dyDescent="0.2">
      <c r="A2592" s="175">
        <v>37861</v>
      </c>
      <c r="B2592" s="176">
        <v>5.31</v>
      </c>
      <c r="C2592" s="176"/>
      <c r="D2592" s="176"/>
      <c r="E2592" s="176"/>
    </row>
    <row r="2593" spans="1:5" x14ac:dyDescent="0.2">
      <c r="A2593" s="175">
        <v>37862</v>
      </c>
      <c r="B2593" s="176">
        <v>5.33</v>
      </c>
      <c r="C2593" s="176"/>
      <c r="D2593" s="176"/>
      <c r="E2593" s="176"/>
    </row>
    <row r="2594" spans="1:5" x14ac:dyDescent="0.2">
      <c r="A2594" s="175">
        <v>37865</v>
      </c>
      <c r="B2594" s="177" t="e">
        <f>NA()</f>
        <v>#N/A</v>
      </c>
      <c r="C2594" s="177"/>
      <c r="D2594" s="177"/>
      <c r="E2594" s="177"/>
    </row>
    <row r="2595" spans="1:5" x14ac:dyDescent="0.2">
      <c r="A2595" s="175">
        <v>37866</v>
      </c>
      <c r="B2595" s="176">
        <v>5.48</v>
      </c>
      <c r="C2595" s="176"/>
      <c r="D2595" s="176"/>
      <c r="E2595" s="176"/>
    </row>
    <row r="2596" spans="1:5" x14ac:dyDescent="0.2">
      <c r="A2596" s="175">
        <v>37867</v>
      </c>
      <c r="B2596" s="176">
        <v>5.49</v>
      </c>
      <c r="C2596" s="176"/>
      <c r="D2596" s="176"/>
      <c r="E2596" s="176"/>
    </row>
    <row r="2597" spans="1:5" x14ac:dyDescent="0.2">
      <c r="A2597" s="175">
        <v>37868</v>
      </c>
      <c r="B2597" s="176">
        <v>5.43</v>
      </c>
      <c r="C2597" s="176"/>
      <c r="D2597" s="176"/>
      <c r="E2597" s="176"/>
    </row>
    <row r="2598" spans="1:5" x14ac:dyDescent="0.2">
      <c r="A2598" s="175">
        <v>37869</v>
      </c>
      <c r="B2598" s="176">
        <v>5.29</v>
      </c>
      <c r="C2598" s="176"/>
      <c r="D2598" s="176"/>
      <c r="E2598" s="176"/>
    </row>
    <row r="2599" spans="1:5" x14ac:dyDescent="0.2">
      <c r="A2599" s="175">
        <v>37872</v>
      </c>
      <c r="B2599" s="176">
        <v>5.33</v>
      </c>
      <c r="C2599" s="176"/>
      <c r="D2599" s="176"/>
      <c r="E2599" s="176"/>
    </row>
    <row r="2600" spans="1:5" x14ac:dyDescent="0.2">
      <c r="A2600" s="175">
        <v>37873</v>
      </c>
      <c r="B2600" s="176">
        <v>5.31</v>
      </c>
      <c r="C2600" s="176"/>
      <c r="D2600" s="176"/>
      <c r="E2600" s="176"/>
    </row>
    <row r="2601" spans="1:5" x14ac:dyDescent="0.2">
      <c r="A2601" s="175">
        <v>37874</v>
      </c>
      <c r="B2601" s="176">
        <v>5.22</v>
      </c>
      <c r="C2601" s="176"/>
      <c r="D2601" s="176"/>
      <c r="E2601" s="176"/>
    </row>
    <row r="2602" spans="1:5" x14ac:dyDescent="0.2">
      <c r="A2602" s="175">
        <v>37875</v>
      </c>
      <c r="B2602" s="176">
        <v>5.27</v>
      </c>
      <c r="C2602" s="176"/>
      <c r="D2602" s="176"/>
      <c r="E2602" s="176"/>
    </row>
    <row r="2603" spans="1:5" x14ac:dyDescent="0.2">
      <c r="A2603" s="175">
        <v>37876</v>
      </c>
      <c r="B2603" s="176">
        <v>5.22</v>
      </c>
      <c r="C2603" s="176"/>
      <c r="D2603" s="176"/>
      <c r="E2603" s="176"/>
    </row>
    <row r="2604" spans="1:5" x14ac:dyDescent="0.2">
      <c r="A2604" s="175">
        <v>37879</v>
      </c>
      <c r="B2604" s="176">
        <v>5.24</v>
      </c>
      <c r="C2604" s="176"/>
      <c r="D2604" s="176"/>
      <c r="E2604" s="176"/>
    </row>
    <row r="2605" spans="1:5" x14ac:dyDescent="0.2">
      <c r="A2605" s="175">
        <v>37880</v>
      </c>
      <c r="B2605" s="176">
        <v>5.26</v>
      </c>
      <c r="C2605" s="176"/>
      <c r="D2605" s="176"/>
      <c r="E2605" s="176"/>
    </row>
    <row r="2606" spans="1:5" x14ac:dyDescent="0.2">
      <c r="A2606" s="175">
        <v>37881</v>
      </c>
      <c r="B2606" s="176">
        <v>5.15</v>
      </c>
      <c r="C2606" s="176"/>
      <c r="D2606" s="176"/>
      <c r="E2606" s="176"/>
    </row>
    <row r="2607" spans="1:5" x14ac:dyDescent="0.2">
      <c r="A2607" s="175">
        <v>37882</v>
      </c>
      <c r="B2607" s="176">
        <v>5.15</v>
      </c>
      <c r="C2607" s="176"/>
      <c r="D2607" s="176"/>
      <c r="E2607" s="176"/>
    </row>
    <row r="2608" spans="1:5" x14ac:dyDescent="0.2">
      <c r="A2608" s="175">
        <v>37883</v>
      </c>
      <c r="B2608" s="176">
        <v>5.12</v>
      </c>
      <c r="C2608" s="176"/>
      <c r="D2608" s="176"/>
      <c r="E2608" s="176"/>
    </row>
    <row r="2609" spans="1:5" x14ac:dyDescent="0.2">
      <c r="A2609" s="175">
        <v>37886</v>
      </c>
      <c r="B2609" s="176">
        <v>5.2</v>
      </c>
      <c r="C2609" s="176"/>
      <c r="D2609" s="176"/>
      <c r="E2609" s="176"/>
    </row>
    <row r="2610" spans="1:5" x14ac:dyDescent="0.2">
      <c r="A2610" s="175">
        <v>37887</v>
      </c>
      <c r="B2610" s="176">
        <v>5.16</v>
      </c>
      <c r="C2610" s="176"/>
      <c r="D2610" s="176"/>
      <c r="E2610" s="176"/>
    </row>
    <row r="2611" spans="1:5" x14ac:dyDescent="0.2">
      <c r="A2611" s="175">
        <v>37888</v>
      </c>
      <c r="B2611" s="176">
        <v>5.09</v>
      </c>
      <c r="C2611" s="176"/>
      <c r="D2611" s="176"/>
      <c r="E2611" s="176"/>
    </row>
    <row r="2612" spans="1:5" x14ac:dyDescent="0.2">
      <c r="A2612" s="175">
        <v>37889</v>
      </c>
      <c r="B2612" s="176">
        <v>5.04</v>
      </c>
      <c r="C2612" s="176"/>
      <c r="D2612" s="176"/>
      <c r="E2612" s="176"/>
    </row>
    <row r="2613" spans="1:5" x14ac:dyDescent="0.2">
      <c r="A2613" s="175">
        <v>37890</v>
      </c>
      <c r="B2613" s="176">
        <v>4.9800000000000004</v>
      </c>
      <c r="C2613" s="176"/>
      <c r="D2613" s="176"/>
      <c r="E2613" s="176"/>
    </row>
    <row r="2614" spans="1:5" x14ac:dyDescent="0.2">
      <c r="A2614" s="175">
        <v>37893</v>
      </c>
      <c r="B2614" s="176">
        <v>5.03</v>
      </c>
      <c r="C2614" s="176"/>
      <c r="D2614" s="176"/>
      <c r="E2614" s="176"/>
    </row>
    <row r="2615" spans="1:5" x14ac:dyDescent="0.2">
      <c r="A2615" s="175">
        <v>37894</v>
      </c>
      <c r="B2615" s="176">
        <v>4.91</v>
      </c>
      <c r="C2615" s="176"/>
      <c r="D2615" s="176"/>
      <c r="E2615" s="176"/>
    </row>
    <row r="2616" spans="1:5" x14ac:dyDescent="0.2">
      <c r="A2616" s="175">
        <v>37895</v>
      </c>
      <c r="B2616" s="176">
        <v>4.92</v>
      </c>
      <c r="C2616" s="176"/>
      <c r="D2616" s="176"/>
      <c r="E2616" s="176"/>
    </row>
    <row r="2617" spans="1:5" x14ac:dyDescent="0.2">
      <c r="A2617" s="175">
        <v>37896</v>
      </c>
      <c r="B2617" s="176">
        <v>4.97</v>
      </c>
      <c r="C2617" s="176"/>
      <c r="D2617" s="176"/>
      <c r="E2617" s="176"/>
    </row>
    <row r="2618" spans="1:5" x14ac:dyDescent="0.2">
      <c r="A2618" s="175">
        <v>37897</v>
      </c>
      <c r="B2618" s="176">
        <v>5.15</v>
      </c>
      <c r="C2618" s="176"/>
      <c r="D2618" s="176"/>
      <c r="E2618" s="176"/>
    </row>
    <row r="2619" spans="1:5" x14ac:dyDescent="0.2">
      <c r="A2619" s="175">
        <v>37900</v>
      </c>
      <c r="B2619" s="176">
        <v>5.0999999999999996</v>
      </c>
      <c r="C2619" s="176"/>
      <c r="D2619" s="176"/>
      <c r="E2619" s="176"/>
    </row>
    <row r="2620" spans="1:5" x14ac:dyDescent="0.2">
      <c r="A2620" s="175">
        <v>37901</v>
      </c>
      <c r="B2620" s="176">
        <v>5.21</v>
      </c>
      <c r="C2620" s="176"/>
      <c r="D2620" s="176"/>
      <c r="E2620" s="176"/>
    </row>
    <row r="2621" spans="1:5" x14ac:dyDescent="0.2">
      <c r="A2621" s="175">
        <v>37902</v>
      </c>
      <c r="B2621" s="176">
        <v>5.22</v>
      </c>
      <c r="C2621" s="176"/>
      <c r="D2621" s="176"/>
      <c r="E2621" s="176"/>
    </row>
    <row r="2622" spans="1:5" x14ac:dyDescent="0.2">
      <c r="A2622" s="175">
        <v>37903</v>
      </c>
      <c r="B2622" s="176">
        <v>5.27</v>
      </c>
      <c r="C2622" s="176"/>
      <c r="D2622" s="176"/>
      <c r="E2622" s="176"/>
    </row>
    <row r="2623" spans="1:5" x14ac:dyDescent="0.2">
      <c r="A2623" s="175">
        <v>37904</v>
      </c>
      <c r="B2623" s="177">
        <v>5.23</v>
      </c>
      <c r="C2623" s="177"/>
      <c r="D2623" s="177"/>
      <c r="E2623" s="177"/>
    </row>
    <row r="2624" spans="1:5" x14ac:dyDescent="0.2">
      <c r="A2624" s="175">
        <v>37907</v>
      </c>
      <c r="B2624" s="176" t="e">
        <f>NA()</f>
        <v>#N/A</v>
      </c>
      <c r="C2624" s="176"/>
      <c r="D2624" s="176"/>
      <c r="E2624" s="176"/>
    </row>
    <row r="2625" spans="1:5" x14ac:dyDescent="0.2">
      <c r="A2625" s="175">
        <v>37908</v>
      </c>
      <c r="B2625" s="176">
        <v>5.32</v>
      </c>
      <c r="C2625" s="176"/>
      <c r="D2625" s="176"/>
      <c r="E2625" s="176"/>
    </row>
    <row r="2626" spans="1:5" x14ac:dyDescent="0.2">
      <c r="A2626" s="175">
        <v>37909</v>
      </c>
      <c r="B2626" s="176">
        <v>5.36</v>
      </c>
      <c r="C2626" s="176"/>
      <c r="D2626" s="176"/>
      <c r="E2626" s="176"/>
    </row>
    <row r="2627" spans="1:5" x14ac:dyDescent="0.2">
      <c r="A2627" s="175">
        <v>37910</v>
      </c>
      <c r="B2627" s="176">
        <v>5.38</v>
      </c>
      <c r="C2627" s="176"/>
      <c r="D2627" s="176"/>
      <c r="E2627" s="176"/>
    </row>
    <row r="2628" spans="1:5" x14ac:dyDescent="0.2">
      <c r="A2628" s="175">
        <v>37911</v>
      </c>
      <c r="B2628" s="176">
        <v>5.32</v>
      </c>
      <c r="C2628" s="176"/>
      <c r="D2628" s="176"/>
      <c r="E2628" s="176"/>
    </row>
    <row r="2629" spans="1:5" x14ac:dyDescent="0.2">
      <c r="A2629" s="175">
        <v>37914</v>
      </c>
      <c r="B2629" s="176">
        <v>5.3</v>
      </c>
      <c r="C2629" s="176"/>
      <c r="D2629" s="176"/>
      <c r="E2629" s="176"/>
    </row>
    <row r="2630" spans="1:5" x14ac:dyDescent="0.2">
      <c r="A2630" s="175">
        <v>37915</v>
      </c>
      <c r="B2630" s="176">
        <v>5.28</v>
      </c>
      <c r="C2630" s="176"/>
      <c r="D2630" s="176"/>
      <c r="E2630" s="176"/>
    </row>
    <row r="2631" spans="1:5" x14ac:dyDescent="0.2">
      <c r="A2631" s="175">
        <v>37916</v>
      </c>
      <c r="B2631" s="176">
        <v>5.19</v>
      </c>
      <c r="C2631" s="176"/>
      <c r="D2631" s="176"/>
      <c r="E2631" s="176"/>
    </row>
    <row r="2632" spans="1:5" x14ac:dyDescent="0.2">
      <c r="A2632" s="175">
        <v>37917</v>
      </c>
      <c r="B2632" s="176">
        <v>5.25</v>
      </c>
      <c r="C2632" s="176"/>
      <c r="D2632" s="176"/>
      <c r="E2632" s="176"/>
    </row>
    <row r="2633" spans="1:5" x14ac:dyDescent="0.2">
      <c r="A2633" s="175">
        <v>37918</v>
      </c>
      <c r="B2633" s="176">
        <v>5.14</v>
      </c>
      <c r="C2633" s="176"/>
      <c r="D2633" s="176"/>
      <c r="E2633" s="176"/>
    </row>
    <row r="2634" spans="1:5" x14ac:dyDescent="0.2">
      <c r="A2634" s="175">
        <v>37921</v>
      </c>
      <c r="B2634" s="176">
        <v>5.19</v>
      </c>
      <c r="C2634" s="176"/>
      <c r="D2634" s="176"/>
      <c r="E2634" s="176"/>
    </row>
    <row r="2635" spans="1:5" x14ac:dyDescent="0.2">
      <c r="A2635" s="175">
        <v>37922</v>
      </c>
      <c r="B2635" s="176">
        <v>5.14</v>
      </c>
      <c r="C2635" s="176"/>
      <c r="D2635" s="176"/>
      <c r="E2635" s="176"/>
    </row>
    <row r="2636" spans="1:5" x14ac:dyDescent="0.2">
      <c r="A2636" s="175">
        <v>37923</v>
      </c>
      <c r="B2636" s="176">
        <v>5.21</v>
      </c>
      <c r="C2636" s="176"/>
      <c r="D2636" s="176"/>
      <c r="E2636" s="176"/>
    </row>
    <row r="2637" spans="1:5" x14ac:dyDescent="0.2">
      <c r="A2637" s="175">
        <v>37924</v>
      </c>
      <c r="B2637" s="176">
        <v>5.25</v>
      </c>
      <c r="C2637" s="176"/>
      <c r="D2637" s="176"/>
      <c r="E2637" s="176"/>
    </row>
    <row r="2638" spans="1:5" x14ac:dyDescent="0.2">
      <c r="A2638" s="175">
        <v>37925</v>
      </c>
      <c r="B2638" s="176">
        <v>5.2</v>
      </c>
      <c r="C2638" s="176"/>
      <c r="D2638" s="176"/>
      <c r="E2638" s="176"/>
    </row>
    <row r="2639" spans="1:5" x14ac:dyDescent="0.2">
      <c r="A2639" s="175">
        <v>37928</v>
      </c>
      <c r="B2639" s="176">
        <v>5.25</v>
      </c>
      <c r="C2639" s="176"/>
      <c r="D2639" s="176"/>
      <c r="E2639" s="176"/>
    </row>
    <row r="2640" spans="1:5" x14ac:dyDescent="0.2">
      <c r="A2640" s="175">
        <v>37929</v>
      </c>
      <c r="B2640" s="176">
        <v>5.19</v>
      </c>
      <c r="C2640" s="176"/>
      <c r="D2640" s="176"/>
      <c r="E2640" s="176"/>
    </row>
    <row r="2641" spans="1:5" x14ac:dyDescent="0.2">
      <c r="A2641" s="175">
        <v>37930</v>
      </c>
      <c r="B2641" s="176">
        <v>5.24</v>
      </c>
      <c r="C2641" s="176"/>
      <c r="D2641" s="176"/>
      <c r="E2641" s="176"/>
    </row>
    <row r="2642" spans="1:5" x14ac:dyDescent="0.2">
      <c r="A2642" s="175">
        <v>37931</v>
      </c>
      <c r="B2642" s="176">
        <v>5.32</v>
      </c>
      <c r="C2642" s="176"/>
      <c r="D2642" s="176"/>
      <c r="E2642" s="176"/>
    </row>
    <row r="2643" spans="1:5" x14ac:dyDescent="0.2">
      <c r="A2643" s="175">
        <v>37932</v>
      </c>
      <c r="B2643" s="176">
        <v>5.33</v>
      </c>
      <c r="C2643" s="176"/>
      <c r="D2643" s="176"/>
      <c r="E2643" s="176"/>
    </row>
    <row r="2644" spans="1:5" x14ac:dyDescent="0.2">
      <c r="A2644" s="175">
        <v>37935</v>
      </c>
      <c r="B2644" s="176">
        <v>5.34</v>
      </c>
      <c r="C2644" s="176"/>
      <c r="D2644" s="176"/>
      <c r="E2644" s="176"/>
    </row>
    <row r="2645" spans="1:5" x14ac:dyDescent="0.2">
      <c r="A2645" s="175">
        <v>37936</v>
      </c>
      <c r="B2645" s="176" t="e">
        <f>NA()</f>
        <v>#N/A</v>
      </c>
      <c r="C2645" s="176"/>
      <c r="D2645" s="176"/>
      <c r="E2645" s="176"/>
    </row>
    <row r="2646" spans="1:5" x14ac:dyDescent="0.2">
      <c r="A2646" s="175">
        <v>37937</v>
      </c>
      <c r="B2646" s="176">
        <v>5.29</v>
      </c>
      <c r="C2646" s="176"/>
      <c r="D2646" s="176"/>
      <c r="E2646" s="176"/>
    </row>
    <row r="2647" spans="1:5" x14ac:dyDescent="0.2">
      <c r="A2647" s="175">
        <v>37938</v>
      </c>
      <c r="B2647" s="176">
        <v>5.16</v>
      </c>
      <c r="C2647" s="176"/>
      <c r="D2647" s="176"/>
      <c r="E2647" s="176"/>
    </row>
    <row r="2648" spans="1:5" x14ac:dyDescent="0.2">
      <c r="A2648" s="175">
        <v>37939</v>
      </c>
      <c r="B2648" s="176">
        <v>5.0999999999999996</v>
      </c>
      <c r="C2648" s="176"/>
      <c r="D2648" s="176"/>
      <c r="E2648" s="176"/>
    </row>
    <row r="2649" spans="1:5" x14ac:dyDescent="0.2">
      <c r="A2649" s="175">
        <v>37942</v>
      </c>
      <c r="B2649" s="176">
        <v>5.07</v>
      </c>
      <c r="C2649" s="176"/>
      <c r="D2649" s="176"/>
      <c r="E2649" s="176"/>
    </row>
    <row r="2650" spans="1:5" x14ac:dyDescent="0.2">
      <c r="A2650" s="175">
        <v>37943</v>
      </c>
      <c r="B2650" s="176">
        <v>5.05</v>
      </c>
      <c r="C2650" s="176"/>
      <c r="D2650" s="176"/>
      <c r="E2650" s="176"/>
    </row>
    <row r="2651" spans="1:5" x14ac:dyDescent="0.2">
      <c r="A2651" s="175">
        <v>37944</v>
      </c>
      <c r="B2651" s="176">
        <v>5.12</v>
      </c>
      <c r="C2651" s="176"/>
      <c r="D2651" s="176"/>
      <c r="E2651" s="176"/>
    </row>
    <row r="2652" spans="1:5" x14ac:dyDescent="0.2">
      <c r="A2652" s="175">
        <v>37945</v>
      </c>
      <c r="B2652" s="176">
        <v>5.0599999999999996</v>
      </c>
      <c r="C2652" s="176"/>
      <c r="D2652" s="176"/>
      <c r="E2652" s="176"/>
    </row>
    <row r="2653" spans="1:5" x14ac:dyDescent="0.2">
      <c r="A2653" s="175">
        <v>37946</v>
      </c>
      <c r="B2653" s="176">
        <v>5.05</v>
      </c>
      <c r="C2653" s="176"/>
      <c r="D2653" s="176"/>
      <c r="E2653" s="176"/>
    </row>
    <row r="2654" spans="1:5" x14ac:dyDescent="0.2">
      <c r="A2654" s="175">
        <v>37949</v>
      </c>
      <c r="B2654" s="176">
        <v>5.1100000000000003</v>
      </c>
      <c r="C2654" s="176"/>
      <c r="D2654" s="176"/>
      <c r="E2654" s="176"/>
    </row>
    <row r="2655" spans="1:5" x14ac:dyDescent="0.2">
      <c r="A2655" s="175">
        <v>37950</v>
      </c>
      <c r="B2655" s="176">
        <v>5.07</v>
      </c>
      <c r="C2655" s="176"/>
      <c r="D2655" s="176"/>
      <c r="E2655" s="176"/>
    </row>
    <row r="2656" spans="1:5" x14ac:dyDescent="0.2">
      <c r="A2656" s="175">
        <v>37951</v>
      </c>
      <c r="B2656" s="176">
        <v>5.12</v>
      </c>
      <c r="C2656" s="176"/>
      <c r="D2656" s="176"/>
      <c r="E2656" s="176"/>
    </row>
    <row r="2657" spans="1:5" x14ac:dyDescent="0.2">
      <c r="A2657" s="175">
        <v>37952</v>
      </c>
      <c r="B2657" s="176" t="e">
        <f>NA()</f>
        <v>#N/A</v>
      </c>
      <c r="C2657" s="176"/>
      <c r="D2657" s="176"/>
      <c r="E2657" s="176"/>
    </row>
    <row r="2658" spans="1:5" x14ac:dyDescent="0.2">
      <c r="A2658" s="175">
        <v>37953</v>
      </c>
      <c r="B2658" s="176">
        <v>5.2</v>
      </c>
      <c r="C2658" s="176"/>
      <c r="D2658" s="176"/>
      <c r="E2658" s="176"/>
    </row>
    <row r="2659" spans="1:5" x14ac:dyDescent="0.2">
      <c r="A2659" s="175">
        <v>37956</v>
      </c>
      <c r="B2659" s="176">
        <v>5.23</v>
      </c>
      <c r="C2659" s="176"/>
      <c r="D2659" s="176"/>
      <c r="E2659" s="176"/>
    </row>
    <row r="2660" spans="1:5" x14ac:dyDescent="0.2">
      <c r="A2660" s="175">
        <v>37957</v>
      </c>
      <c r="B2660" s="176">
        <v>5.22</v>
      </c>
      <c r="C2660" s="176"/>
      <c r="D2660" s="176"/>
      <c r="E2660" s="176"/>
    </row>
    <row r="2661" spans="1:5" x14ac:dyDescent="0.2">
      <c r="A2661" s="175">
        <v>37958</v>
      </c>
      <c r="B2661" s="176">
        <v>5.25</v>
      </c>
      <c r="C2661" s="176"/>
      <c r="D2661" s="176"/>
      <c r="E2661" s="176"/>
    </row>
    <row r="2662" spans="1:5" x14ac:dyDescent="0.2">
      <c r="A2662" s="175">
        <v>37959</v>
      </c>
      <c r="B2662" s="176">
        <v>5.22</v>
      </c>
      <c r="C2662" s="176"/>
      <c r="D2662" s="176"/>
      <c r="E2662" s="176"/>
    </row>
    <row r="2663" spans="1:5" x14ac:dyDescent="0.2">
      <c r="A2663" s="175">
        <v>37960</v>
      </c>
      <c r="B2663" s="176">
        <v>5.09</v>
      </c>
      <c r="C2663" s="176"/>
      <c r="D2663" s="176"/>
      <c r="E2663" s="176"/>
    </row>
    <row r="2664" spans="1:5" x14ac:dyDescent="0.2">
      <c r="A2664" s="175">
        <v>37963</v>
      </c>
      <c r="B2664" s="177">
        <v>5.15</v>
      </c>
      <c r="C2664" s="177"/>
      <c r="D2664" s="177"/>
      <c r="E2664" s="177"/>
    </row>
    <row r="2665" spans="1:5" x14ac:dyDescent="0.2">
      <c r="A2665" s="175">
        <v>37964</v>
      </c>
      <c r="B2665" s="176">
        <v>5.18</v>
      </c>
      <c r="C2665" s="176"/>
      <c r="D2665" s="176"/>
      <c r="E2665" s="176"/>
    </row>
    <row r="2666" spans="1:5" x14ac:dyDescent="0.2">
      <c r="A2666" s="175">
        <v>37965</v>
      </c>
      <c r="B2666" s="176">
        <v>5.16</v>
      </c>
      <c r="C2666" s="176"/>
      <c r="D2666" s="176"/>
      <c r="E2666" s="176"/>
    </row>
    <row r="2667" spans="1:5" x14ac:dyDescent="0.2">
      <c r="A2667" s="175">
        <v>37966</v>
      </c>
      <c r="B2667" s="176">
        <v>5.14</v>
      </c>
      <c r="C2667" s="176"/>
      <c r="D2667" s="176"/>
      <c r="E2667" s="176"/>
    </row>
    <row r="2668" spans="1:5" x14ac:dyDescent="0.2">
      <c r="A2668" s="175">
        <v>37967</v>
      </c>
      <c r="B2668" s="176">
        <v>5.12</v>
      </c>
      <c r="C2668" s="176"/>
      <c r="D2668" s="176"/>
      <c r="E2668" s="176"/>
    </row>
    <row r="2669" spans="1:5" x14ac:dyDescent="0.2">
      <c r="A2669" s="175">
        <v>37970</v>
      </c>
      <c r="B2669" s="176">
        <v>5.13</v>
      </c>
      <c r="C2669" s="176"/>
      <c r="D2669" s="176"/>
      <c r="E2669" s="176"/>
    </row>
    <row r="2670" spans="1:5" x14ac:dyDescent="0.2">
      <c r="A2670" s="175">
        <v>37971</v>
      </c>
      <c r="B2670" s="176">
        <v>5.0999999999999996</v>
      </c>
      <c r="C2670" s="176"/>
      <c r="D2670" s="176"/>
      <c r="E2670" s="176"/>
    </row>
    <row r="2671" spans="1:5" x14ac:dyDescent="0.2">
      <c r="A2671" s="175">
        <v>37972</v>
      </c>
      <c r="B2671" s="176">
        <v>5.05</v>
      </c>
      <c r="C2671" s="176"/>
      <c r="D2671" s="176"/>
      <c r="E2671" s="176"/>
    </row>
    <row r="2672" spans="1:5" x14ac:dyDescent="0.2">
      <c r="A2672" s="175">
        <v>37973</v>
      </c>
      <c r="B2672" s="176">
        <v>4.99</v>
      </c>
      <c r="C2672" s="176"/>
      <c r="D2672" s="176"/>
      <c r="E2672" s="176"/>
    </row>
    <row r="2673" spans="1:5" x14ac:dyDescent="0.2">
      <c r="A2673" s="175">
        <v>37974</v>
      </c>
      <c r="B2673" s="176">
        <v>4.99</v>
      </c>
      <c r="C2673" s="176"/>
      <c r="D2673" s="176"/>
      <c r="E2673" s="176"/>
    </row>
    <row r="2674" spans="1:5" x14ac:dyDescent="0.2">
      <c r="A2674" s="175">
        <v>37977</v>
      </c>
      <c r="B2674" s="176">
        <v>5.0199999999999996</v>
      </c>
      <c r="C2674" s="176"/>
      <c r="D2674" s="176"/>
      <c r="E2674" s="176"/>
    </row>
    <row r="2675" spans="1:5" x14ac:dyDescent="0.2">
      <c r="A2675" s="175">
        <v>37978</v>
      </c>
      <c r="B2675" s="176">
        <v>5.09</v>
      </c>
      <c r="C2675" s="176"/>
      <c r="D2675" s="176"/>
      <c r="E2675" s="176"/>
    </row>
    <row r="2676" spans="1:5" x14ac:dyDescent="0.2">
      <c r="A2676" s="175">
        <v>37979</v>
      </c>
      <c r="B2676" s="176">
        <v>5.0199999999999996</v>
      </c>
      <c r="C2676" s="176"/>
      <c r="D2676" s="176"/>
      <c r="E2676" s="176"/>
    </row>
    <row r="2677" spans="1:5" x14ac:dyDescent="0.2">
      <c r="A2677" s="175">
        <v>37980</v>
      </c>
      <c r="B2677" s="176" t="e">
        <f>NA()</f>
        <v>#N/A</v>
      </c>
      <c r="C2677" s="176"/>
      <c r="D2677" s="176"/>
      <c r="E2677" s="176"/>
    </row>
    <row r="2678" spans="1:5" x14ac:dyDescent="0.2">
      <c r="A2678" s="175">
        <v>37981</v>
      </c>
      <c r="B2678" s="176">
        <v>4.99</v>
      </c>
      <c r="C2678" s="176"/>
      <c r="D2678" s="176"/>
      <c r="E2678" s="176"/>
    </row>
    <row r="2679" spans="1:5" x14ac:dyDescent="0.2">
      <c r="A2679" s="175">
        <v>37984</v>
      </c>
      <c r="B2679" s="176">
        <v>5.07</v>
      </c>
      <c r="C2679" s="176"/>
      <c r="D2679" s="176"/>
      <c r="E2679" s="176"/>
    </row>
    <row r="2680" spans="1:5" x14ac:dyDescent="0.2">
      <c r="A2680" s="175">
        <v>37985</v>
      </c>
      <c r="B2680" s="176">
        <v>5.12</v>
      </c>
      <c r="C2680" s="176"/>
      <c r="D2680" s="176"/>
      <c r="E2680" s="176"/>
    </row>
    <row r="2681" spans="1:5" x14ac:dyDescent="0.2">
      <c r="A2681" s="175">
        <v>37986</v>
      </c>
      <c r="B2681" s="176">
        <v>5.0999999999999996</v>
      </c>
      <c r="C2681" s="176"/>
      <c r="D2681" s="176"/>
      <c r="E2681" s="176"/>
    </row>
    <row r="2682" spans="1:5" x14ac:dyDescent="0.2">
      <c r="A2682" s="175">
        <v>37987</v>
      </c>
      <c r="B2682" s="176" t="e">
        <f>NA()</f>
        <v>#N/A</v>
      </c>
      <c r="C2682" s="176"/>
      <c r="D2682" s="176"/>
      <c r="E2682" s="176"/>
    </row>
    <row r="2683" spans="1:5" x14ac:dyDescent="0.2">
      <c r="A2683" s="175">
        <v>37988</v>
      </c>
      <c r="B2683" s="176">
        <v>5.21</v>
      </c>
      <c r="C2683" s="176"/>
      <c r="D2683" s="176"/>
      <c r="E2683" s="176"/>
    </row>
    <row r="2684" spans="1:5" x14ac:dyDescent="0.2">
      <c r="A2684" s="175">
        <v>37991</v>
      </c>
      <c r="B2684" s="176">
        <v>5.23</v>
      </c>
      <c r="C2684" s="176"/>
      <c r="D2684" s="176"/>
      <c r="E2684" s="176"/>
    </row>
    <row r="2685" spans="1:5" x14ac:dyDescent="0.2">
      <c r="A2685" s="175">
        <v>37992</v>
      </c>
      <c r="B2685" s="176">
        <v>5.13</v>
      </c>
      <c r="C2685" s="176"/>
      <c r="D2685" s="176"/>
      <c r="E2685" s="176"/>
    </row>
    <row r="2686" spans="1:5" x14ac:dyDescent="0.2">
      <c r="A2686" s="175">
        <v>37993</v>
      </c>
      <c r="B2686" s="176">
        <v>5.1100000000000003</v>
      </c>
      <c r="C2686" s="176"/>
      <c r="D2686" s="176"/>
      <c r="E2686" s="176"/>
    </row>
    <row r="2687" spans="1:5" x14ac:dyDescent="0.2">
      <c r="A2687" s="175">
        <v>37994</v>
      </c>
      <c r="B2687" s="176">
        <v>5.12</v>
      </c>
      <c r="C2687" s="176"/>
      <c r="D2687" s="176"/>
      <c r="E2687" s="176"/>
    </row>
    <row r="2688" spans="1:5" x14ac:dyDescent="0.2">
      <c r="A2688" s="175">
        <v>37995</v>
      </c>
      <c r="B2688" s="176">
        <v>4.9800000000000004</v>
      </c>
      <c r="C2688" s="176"/>
      <c r="D2688" s="176"/>
      <c r="E2688" s="176"/>
    </row>
    <row r="2689" spans="1:5" x14ac:dyDescent="0.2">
      <c r="A2689" s="175">
        <v>37998</v>
      </c>
      <c r="B2689" s="176">
        <v>4.99</v>
      </c>
      <c r="C2689" s="176"/>
      <c r="D2689" s="176"/>
      <c r="E2689" s="176"/>
    </row>
    <row r="2690" spans="1:5" x14ac:dyDescent="0.2">
      <c r="A2690" s="175">
        <v>37999</v>
      </c>
      <c r="B2690" s="176">
        <v>4.95</v>
      </c>
      <c r="C2690" s="176"/>
      <c r="D2690" s="176"/>
      <c r="E2690" s="176"/>
    </row>
    <row r="2691" spans="1:5" x14ac:dyDescent="0.2">
      <c r="A2691" s="175">
        <v>38000</v>
      </c>
      <c r="B2691" s="176">
        <v>4.9000000000000004</v>
      </c>
      <c r="C2691" s="176"/>
      <c r="D2691" s="176"/>
      <c r="E2691" s="176"/>
    </row>
    <row r="2692" spans="1:5" x14ac:dyDescent="0.2">
      <c r="A2692" s="175">
        <v>38001</v>
      </c>
      <c r="B2692" s="176">
        <v>4.87</v>
      </c>
      <c r="C2692" s="176"/>
      <c r="D2692" s="176"/>
      <c r="E2692" s="176"/>
    </row>
    <row r="2693" spans="1:5" x14ac:dyDescent="0.2">
      <c r="A2693" s="175">
        <v>38002</v>
      </c>
      <c r="B2693" s="176">
        <v>4.9000000000000004</v>
      </c>
      <c r="C2693" s="176"/>
      <c r="D2693" s="176"/>
      <c r="E2693" s="176"/>
    </row>
    <row r="2694" spans="1:5" x14ac:dyDescent="0.2">
      <c r="A2694" s="175">
        <v>38005</v>
      </c>
      <c r="B2694" s="177" t="e">
        <f>NA()</f>
        <v>#N/A</v>
      </c>
      <c r="C2694" s="177"/>
      <c r="D2694" s="177"/>
      <c r="E2694" s="177"/>
    </row>
    <row r="2695" spans="1:5" x14ac:dyDescent="0.2">
      <c r="A2695" s="175">
        <v>38006</v>
      </c>
      <c r="B2695" s="176">
        <v>4.93</v>
      </c>
      <c r="C2695" s="176"/>
      <c r="D2695" s="176"/>
      <c r="E2695" s="176"/>
    </row>
    <row r="2696" spans="1:5" x14ac:dyDescent="0.2">
      <c r="A2696" s="175">
        <v>38007</v>
      </c>
      <c r="B2696" s="176">
        <v>4.92</v>
      </c>
      <c r="C2696" s="176"/>
      <c r="D2696" s="176"/>
      <c r="E2696" s="176"/>
    </row>
    <row r="2697" spans="1:5" x14ac:dyDescent="0.2">
      <c r="A2697" s="175">
        <v>38008</v>
      </c>
      <c r="B2697" s="176">
        <v>4.8600000000000003</v>
      </c>
      <c r="C2697" s="176"/>
      <c r="D2697" s="176"/>
      <c r="E2697" s="176"/>
    </row>
    <row r="2698" spans="1:5" x14ac:dyDescent="0.2">
      <c r="A2698" s="175">
        <v>38009</v>
      </c>
      <c r="B2698" s="176">
        <v>4.95</v>
      </c>
      <c r="C2698" s="176"/>
      <c r="D2698" s="176"/>
      <c r="E2698" s="176"/>
    </row>
    <row r="2699" spans="1:5" x14ac:dyDescent="0.2">
      <c r="A2699" s="175">
        <v>38012</v>
      </c>
      <c r="B2699" s="176">
        <v>5.01</v>
      </c>
      <c r="C2699" s="176"/>
      <c r="D2699" s="176"/>
      <c r="E2699" s="176"/>
    </row>
    <row r="2700" spans="1:5" x14ac:dyDescent="0.2">
      <c r="A2700" s="175">
        <v>38013</v>
      </c>
      <c r="B2700" s="176">
        <v>4.96</v>
      </c>
      <c r="C2700" s="176"/>
      <c r="D2700" s="176"/>
      <c r="E2700" s="176"/>
    </row>
    <row r="2701" spans="1:5" x14ac:dyDescent="0.2">
      <c r="A2701" s="175">
        <v>38014</v>
      </c>
      <c r="B2701" s="176">
        <v>5.0599999999999996</v>
      </c>
      <c r="C2701" s="176"/>
      <c r="D2701" s="176"/>
      <c r="E2701" s="176"/>
    </row>
    <row r="2702" spans="1:5" x14ac:dyDescent="0.2">
      <c r="A2702" s="175">
        <v>38015</v>
      </c>
      <c r="B2702" s="176">
        <v>5.05</v>
      </c>
      <c r="C2702" s="176"/>
      <c r="D2702" s="176"/>
      <c r="E2702" s="176"/>
    </row>
    <row r="2703" spans="1:5" x14ac:dyDescent="0.2">
      <c r="A2703" s="175">
        <v>38016</v>
      </c>
      <c r="B2703" s="176">
        <v>5</v>
      </c>
      <c r="C2703" s="176"/>
      <c r="D2703" s="176"/>
      <c r="E2703" s="176"/>
    </row>
    <row r="2704" spans="1:5" x14ac:dyDescent="0.2">
      <c r="A2704" s="175">
        <v>38019</v>
      </c>
      <c r="B2704" s="176">
        <v>5.0199999999999996</v>
      </c>
      <c r="C2704" s="176"/>
      <c r="D2704" s="176"/>
      <c r="E2704" s="176"/>
    </row>
    <row r="2705" spans="1:5" x14ac:dyDescent="0.2">
      <c r="A2705" s="175">
        <v>38020</v>
      </c>
      <c r="B2705" s="176">
        <v>4.9800000000000004</v>
      </c>
      <c r="C2705" s="176"/>
      <c r="D2705" s="176"/>
      <c r="E2705" s="176"/>
    </row>
    <row r="2706" spans="1:5" x14ac:dyDescent="0.2">
      <c r="A2706" s="175">
        <v>38021</v>
      </c>
      <c r="B2706" s="176">
        <v>5</v>
      </c>
      <c r="C2706" s="176"/>
      <c r="D2706" s="176"/>
      <c r="E2706" s="176"/>
    </row>
    <row r="2707" spans="1:5" x14ac:dyDescent="0.2">
      <c r="A2707" s="175">
        <v>38022</v>
      </c>
      <c r="B2707" s="176">
        <v>5.0199999999999996</v>
      </c>
      <c r="C2707" s="176"/>
      <c r="D2707" s="176"/>
      <c r="E2707" s="176"/>
    </row>
    <row r="2708" spans="1:5" x14ac:dyDescent="0.2">
      <c r="A2708" s="175">
        <v>38023</v>
      </c>
      <c r="B2708" s="176">
        <v>4.95</v>
      </c>
      <c r="C2708" s="176"/>
      <c r="D2708" s="176"/>
      <c r="E2708" s="176"/>
    </row>
    <row r="2709" spans="1:5" x14ac:dyDescent="0.2">
      <c r="A2709" s="175">
        <v>38026</v>
      </c>
      <c r="B2709" s="176">
        <v>4.93</v>
      </c>
      <c r="C2709" s="176"/>
      <c r="D2709" s="176"/>
      <c r="E2709" s="176"/>
    </row>
    <row r="2710" spans="1:5" x14ac:dyDescent="0.2">
      <c r="A2710" s="175">
        <v>38027</v>
      </c>
      <c r="B2710" s="176">
        <v>4.97</v>
      </c>
      <c r="C2710" s="176"/>
      <c r="D2710" s="176"/>
      <c r="E2710" s="176"/>
    </row>
    <row r="2711" spans="1:5" x14ac:dyDescent="0.2">
      <c r="A2711" s="175">
        <v>38028</v>
      </c>
      <c r="B2711" s="176">
        <v>4.9000000000000004</v>
      </c>
      <c r="C2711" s="176"/>
      <c r="D2711" s="176"/>
      <c r="E2711" s="176"/>
    </row>
    <row r="2712" spans="1:5" x14ac:dyDescent="0.2">
      <c r="A2712" s="175">
        <v>38029</v>
      </c>
      <c r="B2712" s="176">
        <v>4.9400000000000004</v>
      </c>
      <c r="C2712" s="176"/>
      <c r="D2712" s="176"/>
      <c r="E2712" s="176"/>
    </row>
    <row r="2713" spans="1:5" x14ac:dyDescent="0.2">
      <c r="A2713" s="175">
        <v>38030</v>
      </c>
      <c r="B2713" s="176">
        <v>4.92</v>
      </c>
      <c r="C2713" s="176"/>
      <c r="D2713" s="176"/>
      <c r="E2713" s="176"/>
    </row>
    <row r="2714" spans="1:5" x14ac:dyDescent="0.2">
      <c r="A2714" s="175">
        <v>38033</v>
      </c>
      <c r="B2714" s="176" t="e">
        <f>NA()</f>
        <v>#N/A</v>
      </c>
      <c r="C2714" s="176"/>
      <c r="D2714" s="176"/>
      <c r="E2714" s="176"/>
    </row>
    <row r="2715" spans="1:5" x14ac:dyDescent="0.2">
      <c r="A2715" s="175">
        <v>38034</v>
      </c>
      <c r="B2715" s="177">
        <v>4.91</v>
      </c>
      <c r="C2715" s="177"/>
      <c r="D2715" s="177"/>
      <c r="E2715" s="177"/>
    </row>
    <row r="2716" spans="1:5" x14ac:dyDescent="0.2">
      <c r="A2716" s="175">
        <v>38035</v>
      </c>
      <c r="B2716" s="176">
        <v>4.91</v>
      </c>
      <c r="C2716" s="176"/>
      <c r="D2716" s="176"/>
      <c r="E2716" s="176"/>
    </row>
    <row r="2717" spans="1:5" x14ac:dyDescent="0.2">
      <c r="A2717" s="175">
        <v>38036</v>
      </c>
      <c r="B2717" s="176">
        <v>4.91</v>
      </c>
      <c r="C2717" s="176"/>
      <c r="D2717" s="176"/>
      <c r="E2717" s="176"/>
    </row>
    <row r="2718" spans="1:5" x14ac:dyDescent="0.2">
      <c r="A2718" s="175">
        <v>38037</v>
      </c>
      <c r="B2718" s="176">
        <v>4.96</v>
      </c>
      <c r="C2718" s="176"/>
      <c r="D2718" s="176"/>
      <c r="E2718" s="176"/>
    </row>
    <row r="2719" spans="1:5" x14ac:dyDescent="0.2">
      <c r="A2719" s="175">
        <v>38040</v>
      </c>
      <c r="B2719" s="176">
        <v>4.92</v>
      </c>
      <c r="C2719" s="176"/>
      <c r="D2719" s="176"/>
      <c r="E2719" s="176"/>
    </row>
    <row r="2720" spans="1:5" x14ac:dyDescent="0.2">
      <c r="A2720" s="175">
        <v>38041</v>
      </c>
      <c r="B2720" s="176">
        <v>4.9000000000000004</v>
      </c>
      <c r="C2720" s="176"/>
      <c r="D2720" s="176"/>
      <c r="E2720" s="176"/>
    </row>
    <row r="2721" spans="1:5" x14ac:dyDescent="0.2">
      <c r="A2721" s="175">
        <v>38042</v>
      </c>
      <c r="B2721" s="176">
        <v>4.8899999999999997</v>
      </c>
      <c r="C2721" s="176"/>
      <c r="D2721" s="176"/>
      <c r="E2721" s="176"/>
    </row>
    <row r="2722" spans="1:5" x14ac:dyDescent="0.2">
      <c r="A2722" s="175">
        <v>38043</v>
      </c>
      <c r="B2722" s="176">
        <v>4.92</v>
      </c>
      <c r="C2722" s="176"/>
      <c r="D2722" s="176"/>
      <c r="E2722" s="176"/>
    </row>
    <row r="2723" spans="1:5" x14ac:dyDescent="0.2">
      <c r="A2723" s="175">
        <v>38044</v>
      </c>
      <c r="B2723" s="176">
        <v>4.8499999999999996</v>
      </c>
      <c r="C2723" s="176"/>
      <c r="D2723" s="176"/>
      <c r="E2723" s="176"/>
    </row>
    <row r="2724" spans="1:5" x14ac:dyDescent="0.2">
      <c r="A2724" s="175">
        <v>38047</v>
      </c>
      <c r="B2724" s="176">
        <v>4.8600000000000003</v>
      </c>
      <c r="C2724" s="176"/>
      <c r="D2724" s="176"/>
      <c r="E2724" s="176"/>
    </row>
    <row r="2725" spans="1:5" x14ac:dyDescent="0.2">
      <c r="A2725" s="175">
        <v>38048</v>
      </c>
      <c r="B2725" s="176">
        <v>4.9000000000000004</v>
      </c>
      <c r="C2725" s="176"/>
      <c r="D2725" s="176"/>
      <c r="E2725" s="176"/>
    </row>
    <row r="2726" spans="1:5" x14ac:dyDescent="0.2">
      <c r="A2726" s="175">
        <v>38049</v>
      </c>
      <c r="B2726" s="176">
        <v>4.92</v>
      </c>
      <c r="C2726" s="176"/>
      <c r="D2726" s="176"/>
      <c r="E2726" s="176"/>
    </row>
    <row r="2727" spans="1:5" x14ac:dyDescent="0.2">
      <c r="A2727" s="175">
        <v>38050</v>
      </c>
      <c r="B2727" s="177">
        <v>4.8899999999999997</v>
      </c>
      <c r="C2727" s="177"/>
      <c r="D2727" s="177"/>
      <c r="E2727" s="177"/>
    </row>
    <row r="2728" spans="1:5" x14ac:dyDescent="0.2">
      <c r="A2728" s="175">
        <v>38051</v>
      </c>
      <c r="B2728" s="176">
        <v>4.7300000000000004</v>
      </c>
      <c r="C2728" s="176"/>
      <c r="D2728" s="176"/>
      <c r="E2728" s="176"/>
    </row>
    <row r="2729" spans="1:5" x14ac:dyDescent="0.2">
      <c r="A2729" s="175">
        <v>38054</v>
      </c>
      <c r="B2729" s="176">
        <v>4.6900000000000004</v>
      </c>
      <c r="C2729" s="176"/>
      <c r="D2729" s="176"/>
      <c r="E2729" s="176"/>
    </row>
    <row r="2730" spans="1:5" x14ac:dyDescent="0.2">
      <c r="A2730" s="175">
        <v>38055</v>
      </c>
      <c r="B2730" s="176">
        <v>4.6399999999999997</v>
      </c>
      <c r="C2730" s="176"/>
      <c r="D2730" s="176"/>
      <c r="E2730" s="176"/>
    </row>
    <row r="2731" spans="1:5" x14ac:dyDescent="0.2">
      <c r="A2731" s="175">
        <v>38056</v>
      </c>
      <c r="B2731" s="176">
        <v>4.6500000000000004</v>
      </c>
      <c r="C2731" s="176"/>
      <c r="D2731" s="176"/>
      <c r="E2731" s="176"/>
    </row>
    <row r="2732" spans="1:5" x14ac:dyDescent="0.2">
      <c r="A2732" s="175">
        <v>38057</v>
      </c>
      <c r="B2732" s="176">
        <v>4.66</v>
      </c>
      <c r="C2732" s="176"/>
      <c r="D2732" s="176"/>
      <c r="E2732" s="176"/>
    </row>
    <row r="2733" spans="1:5" x14ac:dyDescent="0.2">
      <c r="A2733" s="175">
        <v>38058</v>
      </c>
      <c r="B2733" s="176">
        <v>4.68</v>
      </c>
      <c r="C2733" s="176"/>
      <c r="D2733" s="176"/>
      <c r="E2733" s="176"/>
    </row>
    <row r="2734" spans="1:5" x14ac:dyDescent="0.2">
      <c r="A2734" s="175">
        <v>38061</v>
      </c>
      <c r="B2734" s="176">
        <v>4.67</v>
      </c>
      <c r="C2734" s="176"/>
      <c r="D2734" s="176"/>
      <c r="E2734" s="176"/>
    </row>
    <row r="2735" spans="1:5" x14ac:dyDescent="0.2">
      <c r="A2735" s="175">
        <v>38062</v>
      </c>
      <c r="B2735" s="176">
        <v>4.6100000000000003</v>
      </c>
      <c r="C2735" s="176"/>
      <c r="D2735" s="176"/>
      <c r="E2735" s="176"/>
    </row>
    <row r="2736" spans="1:5" x14ac:dyDescent="0.2">
      <c r="A2736" s="175">
        <v>38063</v>
      </c>
      <c r="B2736" s="176">
        <v>4.62</v>
      </c>
      <c r="C2736" s="176"/>
      <c r="D2736" s="176"/>
      <c r="E2736" s="176"/>
    </row>
    <row r="2737" spans="1:5" x14ac:dyDescent="0.2">
      <c r="A2737" s="175">
        <v>38064</v>
      </c>
      <c r="B2737" s="176">
        <v>4.66</v>
      </c>
      <c r="C2737" s="176"/>
      <c r="D2737" s="176"/>
      <c r="E2737" s="176"/>
    </row>
    <row r="2738" spans="1:5" x14ac:dyDescent="0.2">
      <c r="A2738" s="175">
        <v>38065</v>
      </c>
      <c r="B2738" s="176">
        <v>4.68</v>
      </c>
      <c r="C2738" s="176"/>
      <c r="D2738" s="176"/>
      <c r="E2738" s="176"/>
    </row>
    <row r="2739" spans="1:5" x14ac:dyDescent="0.2">
      <c r="A2739" s="175">
        <v>38068</v>
      </c>
      <c r="B2739" s="176">
        <v>4.63</v>
      </c>
      <c r="C2739" s="176"/>
      <c r="D2739" s="176"/>
      <c r="E2739" s="176"/>
    </row>
    <row r="2740" spans="1:5" x14ac:dyDescent="0.2">
      <c r="A2740" s="175">
        <v>38069</v>
      </c>
      <c r="B2740" s="176">
        <v>4.62</v>
      </c>
      <c r="C2740" s="176"/>
      <c r="D2740" s="176"/>
      <c r="E2740" s="176"/>
    </row>
    <row r="2741" spans="1:5" x14ac:dyDescent="0.2">
      <c r="A2741" s="175">
        <v>38070</v>
      </c>
      <c r="B2741" s="176">
        <v>4.62</v>
      </c>
      <c r="C2741" s="176"/>
      <c r="D2741" s="176"/>
      <c r="E2741" s="176"/>
    </row>
    <row r="2742" spans="1:5" x14ac:dyDescent="0.2">
      <c r="A2742" s="175">
        <v>38071</v>
      </c>
      <c r="B2742" s="176">
        <v>4.6500000000000004</v>
      </c>
      <c r="C2742" s="176"/>
      <c r="D2742" s="176"/>
      <c r="E2742" s="176"/>
    </row>
    <row r="2743" spans="1:5" x14ac:dyDescent="0.2">
      <c r="A2743" s="175">
        <v>38072</v>
      </c>
      <c r="B2743" s="176">
        <v>4.75</v>
      </c>
      <c r="C2743" s="176"/>
      <c r="D2743" s="176"/>
      <c r="E2743" s="176"/>
    </row>
    <row r="2744" spans="1:5" x14ac:dyDescent="0.2">
      <c r="A2744" s="175">
        <v>38075</v>
      </c>
      <c r="B2744" s="176">
        <v>4.8</v>
      </c>
      <c r="C2744" s="176"/>
      <c r="D2744" s="176"/>
      <c r="E2744" s="176"/>
    </row>
    <row r="2745" spans="1:5" x14ac:dyDescent="0.2">
      <c r="A2745" s="175">
        <v>38076</v>
      </c>
      <c r="B2745" s="176">
        <v>4.8</v>
      </c>
      <c r="C2745" s="176"/>
      <c r="D2745" s="176"/>
      <c r="E2745" s="176"/>
    </row>
    <row r="2746" spans="1:5" x14ac:dyDescent="0.2">
      <c r="A2746" s="175">
        <v>38077</v>
      </c>
      <c r="B2746" s="176">
        <v>4.7699999999999996</v>
      </c>
      <c r="C2746" s="176"/>
      <c r="D2746" s="176"/>
      <c r="E2746" s="176"/>
    </row>
    <row r="2747" spans="1:5" x14ac:dyDescent="0.2">
      <c r="A2747" s="175">
        <v>38078</v>
      </c>
      <c r="B2747" s="177">
        <v>4.7699999999999996</v>
      </c>
      <c r="C2747" s="177"/>
      <c r="D2747" s="177"/>
      <c r="E2747" s="177"/>
    </row>
    <row r="2748" spans="1:5" x14ac:dyDescent="0.2">
      <c r="A2748" s="175">
        <v>38079</v>
      </c>
      <c r="B2748" s="176">
        <v>4.97</v>
      </c>
      <c r="C2748" s="176"/>
      <c r="D2748" s="176"/>
      <c r="E2748" s="176"/>
    </row>
    <row r="2749" spans="1:5" x14ac:dyDescent="0.2">
      <c r="A2749" s="175">
        <v>38082</v>
      </c>
      <c r="B2749" s="176">
        <v>5.05</v>
      </c>
      <c r="C2749" s="176"/>
      <c r="D2749" s="176"/>
      <c r="E2749" s="176"/>
    </row>
    <row r="2750" spans="1:5" x14ac:dyDescent="0.2">
      <c r="A2750" s="175">
        <v>38083</v>
      </c>
      <c r="B2750" s="176">
        <v>5.01</v>
      </c>
      <c r="C2750" s="176"/>
      <c r="D2750" s="176"/>
      <c r="E2750" s="176"/>
    </row>
    <row r="2751" spans="1:5" x14ac:dyDescent="0.2">
      <c r="A2751" s="175">
        <v>38084</v>
      </c>
      <c r="B2751" s="176">
        <v>5.0199999999999996</v>
      </c>
      <c r="C2751" s="176"/>
      <c r="D2751" s="176"/>
      <c r="E2751" s="176"/>
    </row>
    <row r="2752" spans="1:5" x14ac:dyDescent="0.2">
      <c r="A2752" s="175">
        <v>38085</v>
      </c>
      <c r="B2752" s="177">
        <v>5.04</v>
      </c>
      <c r="C2752" s="177"/>
      <c r="D2752" s="177"/>
      <c r="E2752" s="177"/>
    </row>
    <row r="2753" spans="1:5" x14ac:dyDescent="0.2">
      <c r="A2753" s="175">
        <v>38086</v>
      </c>
      <c r="B2753" s="176" t="e">
        <f>NA()</f>
        <v>#N/A</v>
      </c>
      <c r="C2753" s="176"/>
      <c r="D2753" s="176"/>
      <c r="E2753" s="176"/>
    </row>
    <row r="2754" spans="1:5" x14ac:dyDescent="0.2">
      <c r="A2754" s="175">
        <v>38089</v>
      </c>
      <c r="B2754" s="176">
        <v>5.08</v>
      </c>
      <c r="C2754" s="176"/>
      <c r="D2754" s="176"/>
      <c r="E2754" s="176"/>
    </row>
    <row r="2755" spans="1:5" x14ac:dyDescent="0.2">
      <c r="A2755" s="175">
        <v>38090</v>
      </c>
      <c r="B2755" s="176">
        <v>5.17</v>
      </c>
      <c r="C2755" s="176"/>
      <c r="D2755" s="176"/>
      <c r="E2755" s="176"/>
    </row>
    <row r="2756" spans="1:5" x14ac:dyDescent="0.2">
      <c r="A2756" s="175">
        <v>38091</v>
      </c>
      <c r="B2756" s="176">
        <v>5.21</v>
      </c>
      <c r="C2756" s="176"/>
      <c r="D2756" s="176"/>
      <c r="E2756" s="176"/>
    </row>
    <row r="2757" spans="1:5" x14ac:dyDescent="0.2">
      <c r="A2757" s="175">
        <v>38092</v>
      </c>
      <c r="B2757" s="176">
        <v>5.22</v>
      </c>
      <c r="C2757" s="176"/>
      <c r="D2757" s="176"/>
      <c r="E2757" s="176"/>
    </row>
    <row r="2758" spans="1:5" x14ac:dyDescent="0.2">
      <c r="A2758" s="175">
        <v>38093</v>
      </c>
      <c r="B2758" s="176">
        <v>5.2</v>
      </c>
      <c r="C2758" s="176"/>
      <c r="D2758" s="176"/>
      <c r="E2758" s="176"/>
    </row>
    <row r="2759" spans="1:5" x14ac:dyDescent="0.2">
      <c r="A2759" s="175">
        <v>38096</v>
      </c>
      <c r="B2759" s="176">
        <v>5.22</v>
      </c>
      <c r="C2759" s="176"/>
      <c r="D2759" s="176"/>
      <c r="E2759" s="176"/>
    </row>
    <row r="2760" spans="1:5" x14ac:dyDescent="0.2">
      <c r="A2760" s="175">
        <v>38097</v>
      </c>
      <c r="B2760" s="176">
        <v>5.24</v>
      </c>
      <c r="C2760" s="176"/>
      <c r="D2760" s="176"/>
      <c r="E2760" s="176"/>
    </row>
    <row r="2761" spans="1:5" x14ac:dyDescent="0.2">
      <c r="A2761" s="175">
        <v>38098</v>
      </c>
      <c r="B2761" s="176">
        <v>5.25</v>
      </c>
      <c r="C2761" s="176"/>
      <c r="D2761" s="176"/>
      <c r="E2761" s="176"/>
    </row>
    <row r="2762" spans="1:5" x14ac:dyDescent="0.2">
      <c r="A2762" s="175">
        <v>38099</v>
      </c>
      <c r="B2762" s="176">
        <v>5.2</v>
      </c>
      <c r="C2762" s="176"/>
      <c r="D2762" s="176"/>
      <c r="E2762" s="176"/>
    </row>
    <row r="2763" spans="1:5" x14ac:dyDescent="0.2">
      <c r="A2763" s="175">
        <v>38100</v>
      </c>
      <c r="B2763" s="176">
        <v>5.27</v>
      </c>
      <c r="C2763" s="176"/>
      <c r="D2763" s="176"/>
      <c r="E2763" s="176"/>
    </row>
    <row r="2764" spans="1:5" x14ac:dyDescent="0.2">
      <c r="A2764" s="175">
        <v>38103</v>
      </c>
      <c r="B2764" s="177">
        <v>5.25</v>
      </c>
      <c r="C2764" s="177"/>
      <c r="D2764" s="177"/>
      <c r="E2764" s="177"/>
    </row>
    <row r="2765" spans="1:5" x14ac:dyDescent="0.2">
      <c r="A2765" s="175">
        <v>38104</v>
      </c>
      <c r="B2765" s="176">
        <v>5.22</v>
      </c>
      <c r="C2765" s="176"/>
      <c r="D2765" s="176"/>
      <c r="E2765" s="176"/>
    </row>
    <row r="2766" spans="1:5" x14ac:dyDescent="0.2">
      <c r="A2766" s="175">
        <v>38105</v>
      </c>
      <c r="B2766" s="176">
        <v>5.28</v>
      </c>
      <c r="C2766" s="176"/>
      <c r="D2766" s="176"/>
      <c r="E2766" s="176"/>
    </row>
    <row r="2767" spans="1:5" x14ac:dyDescent="0.2">
      <c r="A2767" s="175">
        <v>38106</v>
      </c>
      <c r="B2767" s="176">
        <v>5.33</v>
      </c>
      <c r="C2767" s="176"/>
      <c r="D2767" s="176"/>
      <c r="E2767" s="176"/>
    </row>
    <row r="2768" spans="1:5" x14ac:dyDescent="0.2">
      <c r="A2768" s="175">
        <v>38107</v>
      </c>
      <c r="B2768" s="176">
        <v>5.31</v>
      </c>
      <c r="C2768" s="176"/>
      <c r="D2768" s="176"/>
      <c r="E2768" s="176"/>
    </row>
    <row r="2769" spans="1:5" x14ac:dyDescent="0.2">
      <c r="A2769" s="175">
        <v>38110</v>
      </c>
      <c r="B2769" s="176">
        <v>5.3</v>
      </c>
      <c r="C2769" s="176"/>
      <c r="D2769" s="176"/>
      <c r="E2769" s="176"/>
    </row>
    <row r="2770" spans="1:5" x14ac:dyDescent="0.2">
      <c r="A2770" s="175">
        <v>38111</v>
      </c>
      <c r="B2770" s="176">
        <v>5.34</v>
      </c>
      <c r="C2770" s="176"/>
      <c r="D2770" s="176"/>
      <c r="E2770" s="176"/>
    </row>
    <row r="2771" spans="1:5" x14ac:dyDescent="0.2">
      <c r="A2771" s="175">
        <v>38112</v>
      </c>
      <c r="B2771" s="176">
        <v>5.38</v>
      </c>
      <c r="C2771" s="176"/>
      <c r="D2771" s="176"/>
      <c r="E2771" s="176"/>
    </row>
    <row r="2772" spans="1:5" x14ac:dyDescent="0.2">
      <c r="A2772" s="175">
        <v>38113</v>
      </c>
      <c r="B2772" s="176">
        <v>5.41</v>
      </c>
      <c r="C2772" s="176"/>
      <c r="D2772" s="176"/>
      <c r="E2772" s="176"/>
    </row>
    <row r="2773" spans="1:5" x14ac:dyDescent="0.2">
      <c r="A2773" s="175">
        <v>38114</v>
      </c>
      <c r="B2773" s="176">
        <v>5.53</v>
      </c>
      <c r="C2773" s="176"/>
      <c r="D2773" s="176"/>
      <c r="E2773" s="176"/>
    </row>
    <row r="2774" spans="1:5" x14ac:dyDescent="0.2">
      <c r="A2774" s="175">
        <v>38117</v>
      </c>
      <c r="B2774" s="176">
        <v>5.54</v>
      </c>
      <c r="C2774" s="176"/>
      <c r="D2774" s="176"/>
      <c r="E2774" s="176"/>
    </row>
    <row r="2775" spans="1:5" x14ac:dyDescent="0.2">
      <c r="A2775" s="175">
        <v>38118</v>
      </c>
      <c r="B2775" s="176">
        <v>5.53</v>
      </c>
      <c r="C2775" s="176"/>
      <c r="D2775" s="176"/>
      <c r="E2775" s="176"/>
    </row>
    <row r="2776" spans="1:5" x14ac:dyDescent="0.2">
      <c r="A2776" s="175">
        <v>38119</v>
      </c>
      <c r="B2776" s="176">
        <v>5.57</v>
      </c>
      <c r="C2776" s="176"/>
      <c r="D2776" s="176"/>
      <c r="E2776" s="176"/>
    </row>
    <row r="2777" spans="1:5" x14ac:dyDescent="0.2">
      <c r="A2777" s="175">
        <v>38120</v>
      </c>
      <c r="B2777" s="176">
        <v>5.61</v>
      </c>
      <c r="C2777" s="176"/>
      <c r="D2777" s="176"/>
      <c r="E2777" s="176"/>
    </row>
    <row r="2778" spans="1:5" x14ac:dyDescent="0.2">
      <c r="A2778" s="175">
        <v>38121</v>
      </c>
      <c r="B2778" s="176">
        <v>5.54</v>
      </c>
      <c r="C2778" s="176"/>
      <c r="D2778" s="176"/>
      <c r="E2778" s="176"/>
    </row>
    <row r="2779" spans="1:5" x14ac:dyDescent="0.2">
      <c r="A2779" s="175">
        <v>38124</v>
      </c>
      <c r="B2779" s="176">
        <v>5.47</v>
      </c>
      <c r="C2779" s="176"/>
      <c r="D2779" s="176"/>
      <c r="E2779" s="176"/>
    </row>
    <row r="2780" spans="1:5" x14ac:dyDescent="0.2">
      <c r="A2780" s="175">
        <v>38125</v>
      </c>
      <c r="B2780" s="176">
        <v>5.48</v>
      </c>
      <c r="C2780" s="176"/>
      <c r="D2780" s="176"/>
      <c r="E2780" s="176"/>
    </row>
    <row r="2781" spans="1:5" x14ac:dyDescent="0.2">
      <c r="A2781" s="175">
        <v>38126</v>
      </c>
      <c r="B2781" s="176">
        <v>5.54</v>
      </c>
      <c r="C2781" s="176"/>
      <c r="D2781" s="176"/>
      <c r="E2781" s="176"/>
    </row>
    <row r="2782" spans="1:5" x14ac:dyDescent="0.2">
      <c r="A2782" s="175">
        <v>38127</v>
      </c>
      <c r="B2782" s="176">
        <v>5.47</v>
      </c>
      <c r="C2782" s="176"/>
      <c r="D2782" s="176"/>
      <c r="E2782" s="176"/>
    </row>
    <row r="2783" spans="1:5" x14ac:dyDescent="0.2">
      <c r="A2783" s="175">
        <v>38128</v>
      </c>
      <c r="B2783" s="176">
        <v>5.5</v>
      </c>
      <c r="C2783" s="176"/>
      <c r="D2783" s="176"/>
      <c r="E2783" s="176"/>
    </row>
    <row r="2784" spans="1:5" x14ac:dyDescent="0.2">
      <c r="A2784" s="175">
        <v>38131</v>
      </c>
      <c r="B2784" s="177">
        <v>5.48</v>
      </c>
      <c r="C2784" s="177"/>
      <c r="D2784" s="177"/>
      <c r="E2784" s="177"/>
    </row>
    <row r="2785" spans="1:5" x14ac:dyDescent="0.2">
      <c r="A2785" s="175">
        <v>38132</v>
      </c>
      <c r="B2785" s="176">
        <v>5.45</v>
      </c>
      <c r="C2785" s="176"/>
      <c r="D2785" s="176"/>
      <c r="E2785" s="176"/>
    </row>
    <row r="2786" spans="1:5" x14ac:dyDescent="0.2">
      <c r="A2786" s="175">
        <v>38133</v>
      </c>
      <c r="B2786" s="176">
        <v>5.41</v>
      </c>
      <c r="C2786" s="176"/>
      <c r="D2786" s="176"/>
      <c r="E2786" s="176"/>
    </row>
    <row r="2787" spans="1:5" x14ac:dyDescent="0.2">
      <c r="A2787" s="175">
        <v>38134</v>
      </c>
      <c r="B2787" s="176">
        <v>5.34</v>
      </c>
      <c r="C2787" s="176"/>
      <c r="D2787" s="176"/>
      <c r="E2787" s="176"/>
    </row>
    <row r="2788" spans="1:5" x14ac:dyDescent="0.2">
      <c r="A2788" s="175">
        <v>38135</v>
      </c>
      <c r="B2788" s="176">
        <v>5.39</v>
      </c>
      <c r="C2788" s="176"/>
      <c r="D2788" s="176"/>
      <c r="E2788" s="176"/>
    </row>
    <row r="2789" spans="1:5" x14ac:dyDescent="0.2">
      <c r="A2789" s="175">
        <v>38138</v>
      </c>
      <c r="B2789" s="176" t="e">
        <f>NA()</f>
        <v>#N/A</v>
      </c>
      <c r="C2789" s="176"/>
      <c r="D2789" s="176"/>
      <c r="E2789" s="176"/>
    </row>
    <row r="2790" spans="1:5" x14ac:dyDescent="0.2">
      <c r="A2790" s="175">
        <v>38139</v>
      </c>
      <c r="B2790" s="176">
        <v>5.45</v>
      </c>
      <c r="C2790" s="176"/>
      <c r="D2790" s="176"/>
      <c r="E2790" s="176"/>
    </row>
    <row r="2791" spans="1:5" x14ac:dyDescent="0.2">
      <c r="A2791" s="175">
        <v>38140</v>
      </c>
      <c r="B2791" s="176">
        <v>5.47</v>
      </c>
      <c r="C2791" s="176"/>
      <c r="D2791" s="176"/>
      <c r="E2791" s="176"/>
    </row>
    <row r="2792" spans="1:5" x14ac:dyDescent="0.2">
      <c r="A2792" s="175">
        <v>38141</v>
      </c>
      <c r="B2792" s="176">
        <v>5.46</v>
      </c>
      <c r="C2792" s="176"/>
      <c r="D2792" s="176"/>
      <c r="E2792" s="176"/>
    </row>
    <row r="2793" spans="1:5" x14ac:dyDescent="0.2">
      <c r="A2793" s="175">
        <v>38142</v>
      </c>
      <c r="B2793" s="176">
        <v>5.51</v>
      </c>
      <c r="C2793" s="176"/>
      <c r="D2793" s="176"/>
      <c r="E2793" s="176"/>
    </row>
    <row r="2794" spans="1:5" x14ac:dyDescent="0.2">
      <c r="A2794" s="175">
        <v>38145</v>
      </c>
      <c r="B2794" s="176">
        <v>5.51</v>
      </c>
      <c r="C2794" s="176"/>
      <c r="D2794" s="176"/>
      <c r="E2794" s="176"/>
    </row>
    <row r="2795" spans="1:5" x14ac:dyDescent="0.2">
      <c r="A2795" s="175">
        <v>38146</v>
      </c>
      <c r="B2795" s="176">
        <v>5.5</v>
      </c>
      <c r="C2795" s="176"/>
      <c r="D2795" s="176"/>
      <c r="E2795" s="176"/>
    </row>
    <row r="2796" spans="1:5" x14ac:dyDescent="0.2">
      <c r="A2796" s="175">
        <v>38147</v>
      </c>
      <c r="B2796" s="176">
        <v>5.54</v>
      </c>
      <c r="C2796" s="176"/>
      <c r="D2796" s="176"/>
      <c r="E2796" s="176"/>
    </row>
    <row r="2797" spans="1:5" x14ac:dyDescent="0.2">
      <c r="A2797" s="175">
        <v>38148</v>
      </c>
      <c r="B2797" s="176">
        <v>5.52</v>
      </c>
      <c r="C2797" s="176"/>
      <c r="D2797" s="176"/>
      <c r="E2797" s="176"/>
    </row>
    <row r="2798" spans="1:5" x14ac:dyDescent="0.2">
      <c r="A2798" s="175">
        <v>38149</v>
      </c>
      <c r="B2798" s="176" t="e">
        <f>NA()</f>
        <v>#N/A</v>
      </c>
      <c r="C2798" s="176"/>
      <c r="D2798" s="176"/>
      <c r="E2798" s="176"/>
    </row>
    <row r="2799" spans="1:5" x14ac:dyDescent="0.2">
      <c r="A2799" s="175">
        <v>38152</v>
      </c>
      <c r="B2799" s="176">
        <v>5.59</v>
      </c>
      <c r="C2799" s="176"/>
      <c r="D2799" s="176"/>
      <c r="E2799" s="176"/>
    </row>
    <row r="2800" spans="1:5" x14ac:dyDescent="0.2">
      <c r="A2800" s="175">
        <v>38153</v>
      </c>
      <c r="B2800" s="176">
        <v>5.41</v>
      </c>
      <c r="C2800" s="176"/>
      <c r="D2800" s="176"/>
      <c r="E2800" s="176"/>
    </row>
    <row r="2801" spans="1:5" x14ac:dyDescent="0.2">
      <c r="A2801" s="175">
        <v>38154</v>
      </c>
      <c r="B2801" s="176">
        <v>5.46</v>
      </c>
      <c r="C2801" s="176"/>
      <c r="D2801" s="176"/>
      <c r="E2801" s="176"/>
    </row>
    <row r="2802" spans="1:5" x14ac:dyDescent="0.2">
      <c r="A2802" s="175">
        <v>38155</v>
      </c>
      <c r="B2802" s="176">
        <v>5.42</v>
      </c>
      <c r="C2802" s="176"/>
      <c r="D2802" s="176"/>
      <c r="E2802" s="176"/>
    </row>
    <row r="2803" spans="1:5" x14ac:dyDescent="0.2">
      <c r="A2803" s="175">
        <v>38156</v>
      </c>
      <c r="B2803" s="176">
        <v>5.43</v>
      </c>
      <c r="C2803" s="176"/>
      <c r="D2803" s="176"/>
      <c r="E2803" s="176"/>
    </row>
    <row r="2804" spans="1:5" x14ac:dyDescent="0.2">
      <c r="A2804" s="175">
        <v>38159</v>
      </c>
      <c r="B2804" s="176">
        <v>5.42</v>
      </c>
      <c r="C2804" s="176"/>
      <c r="D2804" s="176"/>
      <c r="E2804" s="176"/>
    </row>
    <row r="2805" spans="1:5" x14ac:dyDescent="0.2">
      <c r="A2805" s="175">
        <v>38160</v>
      </c>
      <c r="B2805" s="176">
        <v>5.43</v>
      </c>
      <c r="C2805" s="176"/>
      <c r="D2805" s="176"/>
      <c r="E2805" s="176"/>
    </row>
    <row r="2806" spans="1:5" x14ac:dyDescent="0.2">
      <c r="A2806" s="175">
        <v>38161</v>
      </c>
      <c r="B2806" s="176">
        <v>5.41</v>
      </c>
      <c r="C2806" s="176"/>
      <c r="D2806" s="176"/>
      <c r="E2806" s="176"/>
    </row>
    <row r="2807" spans="1:5" x14ac:dyDescent="0.2">
      <c r="A2807" s="175">
        <v>38162</v>
      </c>
      <c r="B2807" s="176">
        <v>5.36</v>
      </c>
      <c r="C2807" s="176"/>
      <c r="D2807" s="176"/>
      <c r="E2807" s="176"/>
    </row>
    <row r="2808" spans="1:5" x14ac:dyDescent="0.2">
      <c r="A2808" s="175">
        <v>38163</v>
      </c>
      <c r="B2808" s="176">
        <v>5.37</v>
      </c>
      <c r="C2808" s="176"/>
      <c r="D2808" s="176"/>
      <c r="E2808" s="176"/>
    </row>
    <row r="2809" spans="1:5" x14ac:dyDescent="0.2">
      <c r="A2809" s="175">
        <v>38166</v>
      </c>
      <c r="B2809" s="176">
        <v>5.46</v>
      </c>
      <c r="C2809" s="176"/>
      <c r="D2809" s="176"/>
      <c r="E2809" s="176"/>
    </row>
    <row r="2810" spans="1:5" x14ac:dyDescent="0.2">
      <c r="A2810" s="175">
        <v>38167</v>
      </c>
      <c r="B2810" s="176">
        <v>5.41</v>
      </c>
      <c r="C2810" s="176"/>
      <c r="D2810" s="176"/>
      <c r="E2810" s="176"/>
    </row>
    <row r="2811" spans="1:5" x14ac:dyDescent="0.2">
      <c r="A2811" s="175">
        <v>38168</v>
      </c>
      <c r="B2811" s="176">
        <v>5.33</v>
      </c>
      <c r="C2811" s="176"/>
      <c r="D2811" s="176"/>
      <c r="E2811" s="176"/>
    </row>
    <row r="2812" spans="1:5" x14ac:dyDescent="0.2">
      <c r="A2812" s="175">
        <v>38169</v>
      </c>
      <c r="B2812" s="176">
        <v>5.31</v>
      </c>
      <c r="C2812" s="176"/>
      <c r="D2812" s="176"/>
      <c r="E2812" s="176"/>
    </row>
    <row r="2813" spans="1:5" x14ac:dyDescent="0.2">
      <c r="A2813" s="175">
        <v>38170</v>
      </c>
      <c r="B2813" s="176">
        <v>5.22</v>
      </c>
      <c r="C2813" s="176"/>
      <c r="D2813" s="176"/>
      <c r="E2813" s="176"/>
    </row>
    <row r="2814" spans="1:5" x14ac:dyDescent="0.2">
      <c r="A2814" s="175">
        <v>38173</v>
      </c>
      <c r="B2814" s="176" t="e">
        <f>NA()</f>
        <v>#N/A</v>
      </c>
      <c r="C2814" s="176"/>
      <c r="D2814" s="176"/>
      <c r="E2814" s="176"/>
    </row>
    <row r="2815" spans="1:5" x14ac:dyDescent="0.2">
      <c r="A2815" s="175">
        <v>38174</v>
      </c>
      <c r="B2815" s="176">
        <v>5.24</v>
      </c>
      <c r="C2815" s="176"/>
      <c r="D2815" s="176"/>
      <c r="E2815" s="176"/>
    </row>
    <row r="2816" spans="1:5" x14ac:dyDescent="0.2">
      <c r="A2816" s="175">
        <v>38175</v>
      </c>
      <c r="B2816" s="176">
        <v>5.24</v>
      </c>
      <c r="C2816" s="176"/>
      <c r="D2816" s="176"/>
      <c r="E2816" s="176"/>
    </row>
    <row r="2817" spans="1:5" x14ac:dyDescent="0.2">
      <c r="A2817" s="175">
        <v>38176</v>
      </c>
      <c r="B2817" s="176">
        <v>5.24</v>
      </c>
      <c r="C2817" s="176"/>
      <c r="D2817" s="176"/>
      <c r="E2817" s="176"/>
    </row>
    <row r="2818" spans="1:5" x14ac:dyDescent="0.2">
      <c r="A2818" s="175">
        <v>38177</v>
      </c>
      <c r="B2818" s="176">
        <v>5.23</v>
      </c>
      <c r="C2818" s="176"/>
      <c r="D2818" s="176"/>
      <c r="E2818" s="176"/>
    </row>
    <row r="2819" spans="1:5" x14ac:dyDescent="0.2">
      <c r="A2819" s="175">
        <v>38180</v>
      </c>
      <c r="B2819" s="176">
        <v>5.22</v>
      </c>
      <c r="C2819" s="176"/>
      <c r="D2819" s="176"/>
      <c r="E2819" s="176"/>
    </row>
    <row r="2820" spans="1:5" x14ac:dyDescent="0.2">
      <c r="A2820" s="175">
        <v>38181</v>
      </c>
      <c r="B2820" s="176">
        <v>5.25</v>
      </c>
      <c r="C2820" s="176"/>
      <c r="D2820" s="176"/>
      <c r="E2820" s="176"/>
    </row>
    <row r="2821" spans="1:5" x14ac:dyDescent="0.2">
      <c r="A2821" s="175">
        <v>38182</v>
      </c>
      <c r="B2821" s="176">
        <v>5.24</v>
      </c>
      <c r="C2821" s="176"/>
      <c r="D2821" s="176"/>
      <c r="E2821" s="176"/>
    </row>
    <row r="2822" spans="1:5" x14ac:dyDescent="0.2">
      <c r="A2822" s="175">
        <v>38183</v>
      </c>
      <c r="B2822" s="176">
        <v>5.24</v>
      </c>
      <c r="C2822" s="176"/>
      <c r="D2822" s="176"/>
      <c r="E2822" s="176"/>
    </row>
    <row r="2823" spans="1:5" x14ac:dyDescent="0.2">
      <c r="A2823" s="175">
        <v>38184</v>
      </c>
      <c r="B2823" s="176">
        <v>5.14</v>
      </c>
      <c r="C2823" s="176"/>
      <c r="D2823" s="176"/>
      <c r="E2823" s="176"/>
    </row>
    <row r="2824" spans="1:5" x14ac:dyDescent="0.2">
      <c r="A2824" s="175">
        <v>38187</v>
      </c>
      <c r="B2824" s="176">
        <v>5.14</v>
      </c>
      <c r="C2824" s="176"/>
      <c r="D2824" s="176"/>
      <c r="E2824" s="176"/>
    </row>
    <row r="2825" spans="1:5" x14ac:dyDescent="0.2">
      <c r="A2825" s="175">
        <v>38188</v>
      </c>
      <c r="B2825" s="176">
        <v>5.21</v>
      </c>
      <c r="C2825" s="176"/>
      <c r="D2825" s="176"/>
      <c r="E2825" s="176"/>
    </row>
    <row r="2826" spans="1:5" x14ac:dyDescent="0.2">
      <c r="A2826" s="175">
        <v>38189</v>
      </c>
      <c r="B2826" s="176">
        <v>5.24</v>
      </c>
      <c r="C2826" s="176"/>
      <c r="D2826" s="176"/>
      <c r="E2826" s="176"/>
    </row>
    <row r="2827" spans="1:5" x14ac:dyDescent="0.2">
      <c r="A2827" s="175">
        <v>38190</v>
      </c>
      <c r="B2827" s="176">
        <v>5.22</v>
      </c>
      <c r="C2827" s="176"/>
      <c r="D2827" s="176"/>
      <c r="E2827" s="176"/>
    </row>
    <row r="2828" spans="1:5" x14ac:dyDescent="0.2">
      <c r="A2828" s="175">
        <v>38191</v>
      </c>
      <c r="B2828" s="176">
        <v>5.2</v>
      </c>
      <c r="C2828" s="176"/>
      <c r="D2828" s="176"/>
      <c r="E2828" s="176"/>
    </row>
    <row r="2829" spans="1:5" x14ac:dyDescent="0.2">
      <c r="A2829" s="175">
        <v>38194</v>
      </c>
      <c r="B2829" s="176">
        <v>5.23</v>
      </c>
      <c r="C2829" s="176"/>
      <c r="D2829" s="176"/>
      <c r="E2829" s="176"/>
    </row>
    <row r="2830" spans="1:5" x14ac:dyDescent="0.2">
      <c r="A2830" s="175">
        <v>38195</v>
      </c>
      <c r="B2830" s="176">
        <v>5.35</v>
      </c>
      <c r="C2830" s="176"/>
      <c r="D2830" s="176"/>
      <c r="E2830" s="176"/>
    </row>
    <row r="2831" spans="1:5" x14ac:dyDescent="0.2">
      <c r="A2831" s="175">
        <v>38196</v>
      </c>
      <c r="B2831" s="176">
        <v>5.35</v>
      </c>
      <c r="C2831" s="176"/>
      <c r="D2831" s="176"/>
      <c r="E2831" s="176"/>
    </row>
    <row r="2832" spans="1:5" x14ac:dyDescent="0.2">
      <c r="A2832" s="175">
        <v>38197</v>
      </c>
      <c r="B2832" s="176">
        <v>5.34</v>
      </c>
      <c r="C2832" s="176"/>
      <c r="D2832" s="176"/>
      <c r="E2832" s="176"/>
    </row>
    <row r="2833" spans="1:5" x14ac:dyDescent="0.2">
      <c r="A2833" s="175">
        <v>38198</v>
      </c>
      <c r="B2833" s="176">
        <v>5.24</v>
      </c>
      <c r="C2833" s="176"/>
      <c r="D2833" s="176"/>
      <c r="E2833" s="176"/>
    </row>
    <row r="2834" spans="1:5" x14ac:dyDescent="0.2">
      <c r="A2834" s="175">
        <v>38201</v>
      </c>
      <c r="B2834" s="176">
        <v>5.22</v>
      </c>
      <c r="C2834" s="176"/>
      <c r="D2834" s="176"/>
      <c r="E2834" s="176"/>
    </row>
    <row r="2835" spans="1:5" x14ac:dyDescent="0.2">
      <c r="A2835" s="175">
        <v>38202</v>
      </c>
      <c r="B2835" s="176">
        <v>5.2</v>
      </c>
      <c r="C2835" s="176"/>
      <c r="D2835" s="176"/>
      <c r="E2835" s="176"/>
    </row>
    <row r="2836" spans="1:5" x14ac:dyDescent="0.2">
      <c r="A2836" s="175">
        <v>38203</v>
      </c>
      <c r="B2836" s="176">
        <v>5.2</v>
      </c>
      <c r="C2836" s="176"/>
      <c r="D2836" s="176"/>
      <c r="E2836" s="176"/>
    </row>
    <row r="2837" spans="1:5" x14ac:dyDescent="0.2">
      <c r="A2837" s="175">
        <v>38204</v>
      </c>
      <c r="B2837" s="176">
        <v>5.18</v>
      </c>
      <c r="C2837" s="176"/>
      <c r="D2837" s="176"/>
      <c r="E2837" s="176"/>
    </row>
    <row r="2838" spans="1:5" x14ac:dyDescent="0.2">
      <c r="A2838" s="175">
        <v>38205</v>
      </c>
      <c r="B2838" s="176">
        <v>5.04</v>
      </c>
      <c r="C2838" s="176"/>
      <c r="D2838" s="176"/>
      <c r="E2838" s="176"/>
    </row>
    <row r="2839" spans="1:5" x14ac:dyDescent="0.2">
      <c r="A2839" s="175">
        <v>38208</v>
      </c>
      <c r="B2839" s="176">
        <v>5.0599999999999996</v>
      </c>
      <c r="C2839" s="176"/>
      <c r="D2839" s="176"/>
      <c r="E2839" s="176"/>
    </row>
    <row r="2840" spans="1:5" x14ac:dyDescent="0.2">
      <c r="A2840" s="175">
        <v>38209</v>
      </c>
      <c r="B2840" s="176">
        <v>5.08</v>
      </c>
      <c r="C2840" s="176"/>
      <c r="D2840" s="176"/>
      <c r="E2840" s="176"/>
    </row>
    <row r="2841" spans="1:5" x14ac:dyDescent="0.2">
      <c r="A2841" s="175">
        <v>38210</v>
      </c>
      <c r="B2841" s="176">
        <v>5.07</v>
      </c>
      <c r="C2841" s="176"/>
      <c r="D2841" s="176"/>
      <c r="E2841" s="176"/>
    </row>
    <row r="2842" spans="1:5" x14ac:dyDescent="0.2">
      <c r="A2842" s="175">
        <v>38211</v>
      </c>
      <c r="B2842" s="176">
        <v>5.05</v>
      </c>
      <c r="C2842" s="176"/>
      <c r="D2842" s="176"/>
      <c r="E2842" s="176"/>
    </row>
    <row r="2843" spans="1:5" x14ac:dyDescent="0.2">
      <c r="A2843" s="175">
        <v>38212</v>
      </c>
      <c r="B2843" s="176">
        <v>5.0199999999999996</v>
      </c>
      <c r="C2843" s="176"/>
      <c r="D2843" s="176"/>
      <c r="E2843" s="176"/>
    </row>
    <row r="2844" spans="1:5" x14ac:dyDescent="0.2">
      <c r="A2844" s="175">
        <v>38215</v>
      </c>
      <c r="B2844" s="176">
        <v>5.0599999999999996</v>
      </c>
      <c r="C2844" s="176"/>
      <c r="D2844" s="176"/>
      <c r="E2844" s="176"/>
    </row>
    <row r="2845" spans="1:5" x14ac:dyDescent="0.2">
      <c r="A2845" s="175">
        <v>38216</v>
      </c>
      <c r="B2845" s="176">
        <v>5.0199999999999996</v>
      </c>
      <c r="C2845" s="176"/>
      <c r="D2845" s="176"/>
      <c r="E2845" s="176"/>
    </row>
    <row r="2846" spans="1:5" x14ac:dyDescent="0.2">
      <c r="A2846" s="175">
        <v>38217</v>
      </c>
      <c r="B2846" s="176">
        <v>5.04</v>
      </c>
      <c r="C2846" s="176"/>
      <c r="D2846" s="176"/>
      <c r="E2846" s="176"/>
    </row>
    <row r="2847" spans="1:5" x14ac:dyDescent="0.2">
      <c r="A2847" s="175">
        <v>38218</v>
      </c>
      <c r="B2847" s="176">
        <v>5.03</v>
      </c>
      <c r="C2847" s="176"/>
      <c r="D2847" s="176"/>
      <c r="E2847" s="176"/>
    </row>
    <row r="2848" spans="1:5" x14ac:dyDescent="0.2">
      <c r="A2848" s="175">
        <v>38219</v>
      </c>
      <c r="B2848" s="176">
        <v>5.03</v>
      </c>
      <c r="C2848" s="176"/>
      <c r="D2848" s="176"/>
      <c r="E2848" s="176"/>
    </row>
    <row r="2849" spans="1:5" x14ac:dyDescent="0.2">
      <c r="A2849" s="175">
        <v>38222</v>
      </c>
      <c r="B2849" s="176">
        <v>5.08</v>
      </c>
      <c r="C2849" s="176"/>
      <c r="D2849" s="176"/>
      <c r="E2849" s="176"/>
    </row>
    <row r="2850" spans="1:5" x14ac:dyDescent="0.2">
      <c r="A2850" s="175">
        <v>38223</v>
      </c>
      <c r="B2850" s="176">
        <v>5.08</v>
      </c>
      <c r="C2850" s="176"/>
      <c r="D2850" s="176"/>
      <c r="E2850" s="176"/>
    </row>
    <row r="2851" spans="1:5" x14ac:dyDescent="0.2">
      <c r="A2851" s="175">
        <v>38224</v>
      </c>
      <c r="B2851" s="176">
        <v>5.0599999999999996</v>
      </c>
      <c r="C2851" s="176"/>
      <c r="D2851" s="176"/>
      <c r="E2851" s="176"/>
    </row>
    <row r="2852" spans="1:5" x14ac:dyDescent="0.2">
      <c r="A2852" s="175">
        <v>38225</v>
      </c>
      <c r="B2852" s="176">
        <v>5.03</v>
      </c>
      <c r="C2852" s="176"/>
      <c r="D2852" s="176"/>
      <c r="E2852" s="176"/>
    </row>
    <row r="2853" spans="1:5" x14ac:dyDescent="0.2">
      <c r="A2853" s="175">
        <v>38226</v>
      </c>
      <c r="B2853" s="176">
        <v>5.0199999999999996</v>
      </c>
      <c r="C2853" s="176"/>
      <c r="D2853" s="176"/>
      <c r="E2853" s="176"/>
    </row>
    <row r="2854" spans="1:5" x14ac:dyDescent="0.2">
      <c r="A2854" s="175">
        <v>38229</v>
      </c>
      <c r="B2854" s="177">
        <v>4.99</v>
      </c>
      <c r="C2854" s="177"/>
      <c r="D2854" s="177"/>
      <c r="E2854" s="177"/>
    </row>
    <row r="2855" spans="1:5" x14ac:dyDescent="0.2">
      <c r="A2855" s="175">
        <v>38230</v>
      </c>
      <c r="B2855" s="176">
        <v>4.93</v>
      </c>
      <c r="C2855" s="176"/>
      <c r="D2855" s="176"/>
      <c r="E2855" s="176"/>
    </row>
    <row r="2856" spans="1:5" x14ac:dyDescent="0.2">
      <c r="A2856" s="175">
        <v>38231</v>
      </c>
      <c r="B2856" s="176">
        <v>4.93</v>
      </c>
      <c r="C2856" s="176"/>
      <c r="D2856" s="176"/>
      <c r="E2856" s="176"/>
    </row>
    <row r="2857" spans="1:5" x14ac:dyDescent="0.2">
      <c r="A2857" s="175">
        <v>38232</v>
      </c>
      <c r="B2857" s="176">
        <v>4.99</v>
      </c>
      <c r="C2857" s="176"/>
      <c r="D2857" s="176"/>
      <c r="E2857" s="176"/>
    </row>
    <row r="2858" spans="1:5" x14ac:dyDescent="0.2">
      <c r="A2858" s="175">
        <v>38233</v>
      </c>
      <c r="B2858" s="176">
        <v>5.07</v>
      </c>
      <c r="C2858" s="176"/>
      <c r="D2858" s="176"/>
      <c r="E2858" s="176"/>
    </row>
    <row r="2859" spans="1:5" x14ac:dyDescent="0.2">
      <c r="A2859" s="175">
        <v>38236</v>
      </c>
      <c r="B2859" s="176" t="e">
        <f>NA()</f>
        <v>#N/A</v>
      </c>
      <c r="C2859" s="176"/>
      <c r="D2859" s="176"/>
      <c r="E2859" s="176"/>
    </row>
    <row r="2860" spans="1:5" x14ac:dyDescent="0.2">
      <c r="A2860" s="175">
        <v>38237</v>
      </c>
      <c r="B2860" s="176">
        <v>5.03</v>
      </c>
      <c r="C2860" s="176"/>
      <c r="D2860" s="176"/>
      <c r="E2860" s="176"/>
    </row>
    <row r="2861" spans="1:5" x14ac:dyDescent="0.2">
      <c r="A2861" s="175">
        <v>38238</v>
      </c>
      <c r="B2861" s="176">
        <v>4.96</v>
      </c>
      <c r="C2861" s="176"/>
      <c r="D2861" s="176"/>
      <c r="E2861" s="176"/>
    </row>
    <row r="2862" spans="1:5" x14ac:dyDescent="0.2">
      <c r="A2862" s="175">
        <v>38239</v>
      </c>
      <c r="B2862" s="176">
        <v>4.99</v>
      </c>
      <c r="C2862" s="176"/>
      <c r="D2862" s="176"/>
      <c r="E2862" s="176"/>
    </row>
    <row r="2863" spans="1:5" x14ac:dyDescent="0.2">
      <c r="A2863" s="175">
        <v>38240</v>
      </c>
      <c r="B2863" s="176">
        <v>4.97</v>
      </c>
      <c r="C2863" s="176"/>
      <c r="D2863" s="176"/>
      <c r="E2863" s="176"/>
    </row>
    <row r="2864" spans="1:5" x14ac:dyDescent="0.2">
      <c r="A2864" s="175">
        <v>38243</v>
      </c>
      <c r="B2864" s="176">
        <v>4.9400000000000004</v>
      </c>
      <c r="C2864" s="176"/>
      <c r="D2864" s="176"/>
      <c r="E2864" s="176"/>
    </row>
    <row r="2865" spans="1:5" x14ac:dyDescent="0.2">
      <c r="A2865" s="175">
        <v>38244</v>
      </c>
      <c r="B2865" s="176">
        <v>4.93</v>
      </c>
      <c r="C2865" s="176"/>
      <c r="D2865" s="176"/>
      <c r="E2865" s="176"/>
    </row>
    <row r="2866" spans="1:5" x14ac:dyDescent="0.2">
      <c r="A2866" s="175">
        <v>38245</v>
      </c>
      <c r="B2866" s="176">
        <v>4.96</v>
      </c>
      <c r="C2866" s="176"/>
      <c r="D2866" s="176"/>
      <c r="E2866" s="176"/>
    </row>
    <row r="2867" spans="1:5" x14ac:dyDescent="0.2">
      <c r="A2867" s="175">
        <v>38246</v>
      </c>
      <c r="B2867" s="176">
        <v>4.8600000000000003</v>
      </c>
      <c r="C2867" s="176"/>
      <c r="D2867" s="176"/>
      <c r="E2867" s="176"/>
    </row>
    <row r="2868" spans="1:5" x14ac:dyDescent="0.2">
      <c r="A2868" s="175">
        <v>38247</v>
      </c>
      <c r="B2868" s="176">
        <v>4.91</v>
      </c>
      <c r="C2868" s="176"/>
      <c r="D2868" s="176"/>
      <c r="E2868" s="176"/>
    </row>
    <row r="2869" spans="1:5" x14ac:dyDescent="0.2">
      <c r="A2869" s="175">
        <v>38250</v>
      </c>
      <c r="B2869" s="176">
        <v>4.8499999999999996</v>
      </c>
      <c r="C2869" s="176"/>
      <c r="D2869" s="176"/>
      <c r="E2869" s="176"/>
    </row>
    <row r="2870" spans="1:5" x14ac:dyDescent="0.2">
      <c r="A2870" s="175">
        <v>38251</v>
      </c>
      <c r="B2870" s="176">
        <v>4.82</v>
      </c>
      <c r="C2870" s="176"/>
      <c r="D2870" s="176"/>
      <c r="E2870" s="176"/>
    </row>
    <row r="2871" spans="1:5" x14ac:dyDescent="0.2">
      <c r="A2871" s="175">
        <v>38252</v>
      </c>
      <c r="B2871" s="176">
        <v>4.75</v>
      </c>
      <c r="C2871" s="176"/>
      <c r="D2871" s="176"/>
      <c r="E2871" s="176"/>
    </row>
    <row r="2872" spans="1:5" x14ac:dyDescent="0.2">
      <c r="A2872" s="175">
        <v>38253</v>
      </c>
      <c r="B2872" s="176">
        <v>4.78</v>
      </c>
      <c r="C2872" s="176"/>
      <c r="D2872" s="176"/>
      <c r="E2872" s="176"/>
    </row>
    <row r="2873" spans="1:5" x14ac:dyDescent="0.2">
      <c r="A2873" s="175">
        <v>38254</v>
      </c>
      <c r="B2873" s="176">
        <v>4.78</v>
      </c>
      <c r="C2873" s="176"/>
      <c r="D2873" s="176"/>
      <c r="E2873" s="176"/>
    </row>
    <row r="2874" spans="1:5" x14ac:dyDescent="0.2">
      <c r="A2874" s="175">
        <v>38257</v>
      </c>
      <c r="B2874" s="176">
        <v>4.75</v>
      </c>
      <c r="C2874" s="176"/>
      <c r="D2874" s="176"/>
      <c r="E2874" s="176"/>
    </row>
    <row r="2875" spans="1:5" x14ac:dyDescent="0.2">
      <c r="A2875" s="175">
        <v>38258</v>
      </c>
      <c r="B2875" s="176">
        <v>4.78</v>
      </c>
      <c r="C2875" s="176"/>
      <c r="D2875" s="176"/>
      <c r="E2875" s="176"/>
    </row>
    <row r="2876" spans="1:5" x14ac:dyDescent="0.2">
      <c r="A2876" s="175">
        <v>38259</v>
      </c>
      <c r="B2876" s="176">
        <v>4.8499999999999996</v>
      </c>
      <c r="C2876" s="176"/>
      <c r="D2876" s="176"/>
      <c r="E2876" s="176"/>
    </row>
    <row r="2877" spans="1:5" x14ac:dyDescent="0.2">
      <c r="A2877" s="175">
        <v>38260</v>
      </c>
      <c r="B2877" s="176">
        <v>4.8899999999999997</v>
      </c>
      <c r="C2877" s="176"/>
      <c r="D2877" s="176"/>
      <c r="E2877" s="176"/>
    </row>
    <row r="2878" spans="1:5" x14ac:dyDescent="0.2">
      <c r="A2878" s="175">
        <v>38261</v>
      </c>
      <c r="B2878" s="176">
        <v>4.95</v>
      </c>
      <c r="C2878" s="176"/>
      <c r="D2878" s="176"/>
      <c r="E2878" s="176"/>
    </row>
    <row r="2879" spans="1:5" x14ac:dyDescent="0.2">
      <c r="A2879" s="175">
        <v>38264</v>
      </c>
      <c r="B2879" s="176">
        <v>4.93</v>
      </c>
      <c r="C2879" s="176"/>
      <c r="D2879" s="176"/>
      <c r="E2879" s="176"/>
    </row>
    <row r="2880" spans="1:5" x14ac:dyDescent="0.2">
      <c r="A2880" s="175">
        <v>38265</v>
      </c>
      <c r="B2880" s="176">
        <v>4.93</v>
      </c>
      <c r="C2880" s="176"/>
      <c r="D2880" s="176"/>
      <c r="E2880" s="176"/>
    </row>
    <row r="2881" spans="1:5" x14ac:dyDescent="0.2">
      <c r="A2881" s="175">
        <v>38266</v>
      </c>
      <c r="B2881" s="176">
        <v>4.97</v>
      </c>
      <c r="C2881" s="176"/>
      <c r="D2881" s="176"/>
      <c r="E2881" s="176"/>
    </row>
    <row r="2882" spans="1:5" x14ac:dyDescent="0.2">
      <c r="A2882" s="175">
        <v>38267</v>
      </c>
      <c r="B2882" s="176">
        <v>5</v>
      </c>
      <c r="C2882" s="176"/>
      <c r="D2882" s="176"/>
      <c r="E2882" s="176"/>
    </row>
    <row r="2883" spans="1:5" x14ac:dyDescent="0.2">
      <c r="A2883" s="175">
        <v>38268</v>
      </c>
      <c r="B2883" s="177">
        <v>4.91</v>
      </c>
      <c r="C2883" s="177"/>
      <c r="D2883" s="177"/>
      <c r="E2883" s="177"/>
    </row>
    <row r="2884" spans="1:5" x14ac:dyDescent="0.2">
      <c r="A2884" s="175">
        <v>38271</v>
      </c>
      <c r="B2884" s="176" t="e">
        <f>NA()</f>
        <v>#N/A</v>
      </c>
      <c r="C2884" s="176"/>
      <c r="D2884" s="176"/>
      <c r="E2884" s="176"/>
    </row>
    <row r="2885" spans="1:5" x14ac:dyDescent="0.2">
      <c r="A2885" s="175">
        <v>38272</v>
      </c>
      <c r="B2885" s="176">
        <v>4.88</v>
      </c>
      <c r="C2885" s="176"/>
      <c r="D2885" s="176"/>
      <c r="E2885" s="176"/>
    </row>
    <row r="2886" spans="1:5" x14ac:dyDescent="0.2">
      <c r="A2886" s="175">
        <v>38273</v>
      </c>
      <c r="B2886" s="176">
        <v>4.8600000000000003</v>
      </c>
      <c r="C2886" s="176"/>
      <c r="D2886" s="176"/>
      <c r="E2886" s="176"/>
    </row>
    <row r="2887" spans="1:5" x14ac:dyDescent="0.2">
      <c r="A2887" s="175">
        <v>38274</v>
      </c>
      <c r="B2887" s="176">
        <v>4.8099999999999996</v>
      </c>
      <c r="C2887" s="176"/>
      <c r="D2887" s="176"/>
      <c r="E2887" s="176"/>
    </row>
    <row r="2888" spans="1:5" x14ac:dyDescent="0.2">
      <c r="A2888" s="175">
        <v>38275</v>
      </c>
      <c r="B2888" s="176">
        <v>4.84</v>
      </c>
      <c r="C2888" s="176"/>
      <c r="D2888" s="176"/>
      <c r="E2888" s="176"/>
    </row>
    <row r="2889" spans="1:5" x14ac:dyDescent="0.2">
      <c r="A2889" s="175">
        <v>38278</v>
      </c>
      <c r="B2889" s="176">
        <v>4.84</v>
      </c>
      <c r="C2889" s="176"/>
      <c r="D2889" s="176"/>
      <c r="E2889" s="176"/>
    </row>
    <row r="2890" spans="1:5" x14ac:dyDescent="0.2">
      <c r="A2890" s="175">
        <v>38279</v>
      </c>
      <c r="B2890" s="176">
        <v>4.83</v>
      </c>
      <c r="C2890" s="176"/>
      <c r="D2890" s="176"/>
      <c r="E2890" s="176"/>
    </row>
    <row r="2891" spans="1:5" x14ac:dyDescent="0.2">
      <c r="A2891" s="175">
        <v>38280</v>
      </c>
      <c r="B2891" s="176">
        <v>4.7699999999999996</v>
      </c>
      <c r="C2891" s="176"/>
      <c r="D2891" s="176"/>
      <c r="E2891" s="176"/>
    </row>
    <row r="2892" spans="1:5" x14ac:dyDescent="0.2">
      <c r="A2892" s="175">
        <v>38281</v>
      </c>
      <c r="B2892" s="176">
        <v>4.76</v>
      </c>
      <c r="C2892" s="176"/>
      <c r="D2892" s="176"/>
      <c r="E2892" s="176"/>
    </row>
    <row r="2893" spans="1:5" x14ac:dyDescent="0.2">
      <c r="A2893" s="175">
        <v>38282</v>
      </c>
      <c r="B2893" s="176">
        <v>4.75</v>
      </c>
      <c r="C2893" s="176"/>
      <c r="D2893" s="176"/>
      <c r="E2893" s="176"/>
    </row>
    <row r="2894" spans="1:5" x14ac:dyDescent="0.2">
      <c r="A2894" s="175">
        <v>38285</v>
      </c>
      <c r="B2894" s="176">
        <v>4.74</v>
      </c>
      <c r="C2894" s="176"/>
      <c r="D2894" s="176"/>
      <c r="E2894" s="176"/>
    </row>
    <row r="2895" spans="1:5" x14ac:dyDescent="0.2">
      <c r="A2895" s="175">
        <v>38286</v>
      </c>
      <c r="B2895" s="176">
        <v>4.75</v>
      </c>
      <c r="C2895" s="176"/>
      <c r="D2895" s="176"/>
      <c r="E2895" s="176"/>
    </row>
    <row r="2896" spans="1:5" x14ac:dyDescent="0.2">
      <c r="A2896" s="175">
        <v>38287</v>
      </c>
      <c r="B2896" s="176">
        <v>4.8499999999999996</v>
      </c>
      <c r="C2896" s="176"/>
      <c r="D2896" s="176"/>
      <c r="E2896" s="176"/>
    </row>
    <row r="2897" spans="1:5" x14ac:dyDescent="0.2">
      <c r="A2897" s="175">
        <v>38288</v>
      </c>
      <c r="B2897" s="176">
        <v>4.83</v>
      </c>
      <c r="C2897" s="176"/>
      <c r="D2897" s="176"/>
      <c r="E2897" s="176"/>
    </row>
    <row r="2898" spans="1:5" x14ac:dyDescent="0.2">
      <c r="A2898" s="175">
        <v>38289</v>
      </c>
      <c r="B2898" s="176">
        <v>4.79</v>
      </c>
      <c r="C2898" s="176"/>
      <c r="D2898" s="176"/>
      <c r="E2898" s="176"/>
    </row>
    <row r="2899" spans="1:5" x14ac:dyDescent="0.2">
      <c r="A2899" s="175">
        <v>38292</v>
      </c>
      <c r="B2899" s="176">
        <v>4.84</v>
      </c>
      <c r="C2899" s="176"/>
      <c r="D2899" s="176"/>
      <c r="E2899" s="176"/>
    </row>
    <row r="2900" spans="1:5" x14ac:dyDescent="0.2">
      <c r="A2900" s="175">
        <v>38293</v>
      </c>
      <c r="B2900" s="176">
        <v>4.84</v>
      </c>
      <c r="C2900" s="176"/>
      <c r="D2900" s="176"/>
      <c r="E2900" s="176"/>
    </row>
    <row r="2901" spans="1:5" x14ac:dyDescent="0.2">
      <c r="A2901" s="175">
        <v>38294</v>
      </c>
      <c r="B2901" s="176">
        <v>4.83</v>
      </c>
      <c r="C2901" s="176"/>
      <c r="D2901" s="176"/>
      <c r="E2901" s="176"/>
    </row>
    <row r="2902" spans="1:5" x14ac:dyDescent="0.2">
      <c r="A2902" s="175">
        <v>38295</v>
      </c>
      <c r="B2902" s="176">
        <v>4.82</v>
      </c>
      <c r="C2902" s="176"/>
      <c r="D2902" s="176"/>
      <c r="E2902" s="176"/>
    </row>
    <row r="2903" spans="1:5" x14ac:dyDescent="0.2">
      <c r="A2903" s="175">
        <v>38296</v>
      </c>
      <c r="B2903" s="176">
        <v>4.92</v>
      </c>
      <c r="C2903" s="176"/>
      <c r="D2903" s="176"/>
      <c r="E2903" s="176"/>
    </row>
    <row r="2904" spans="1:5" x14ac:dyDescent="0.2">
      <c r="A2904" s="175">
        <v>38299</v>
      </c>
      <c r="B2904" s="176">
        <v>4.95</v>
      </c>
      <c r="C2904" s="176"/>
      <c r="D2904" s="176"/>
      <c r="E2904" s="176"/>
    </row>
    <row r="2905" spans="1:5" x14ac:dyDescent="0.2">
      <c r="A2905" s="175">
        <v>38300</v>
      </c>
      <c r="B2905" s="176">
        <v>4.95</v>
      </c>
      <c r="C2905" s="176"/>
      <c r="D2905" s="176"/>
      <c r="E2905" s="176"/>
    </row>
    <row r="2906" spans="1:5" x14ac:dyDescent="0.2">
      <c r="A2906" s="175">
        <v>38301</v>
      </c>
      <c r="B2906" s="176">
        <v>4.97</v>
      </c>
      <c r="C2906" s="176"/>
      <c r="D2906" s="176"/>
      <c r="E2906" s="176"/>
    </row>
    <row r="2907" spans="1:5" x14ac:dyDescent="0.2">
      <c r="A2907" s="175">
        <v>38302</v>
      </c>
      <c r="B2907" s="176" t="e">
        <f>NA()</f>
        <v>#N/A</v>
      </c>
      <c r="C2907" s="176"/>
      <c r="D2907" s="176"/>
      <c r="E2907" s="176"/>
    </row>
    <row r="2908" spans="1:5" x14ac:dyDescent="0.2">
      <c r="A2908" s="175">
        <v>38303</v>
      </c>
      <c r="B2908" s="176">
        <v>4.91</v>
      </c>
      <c r="C2908" s="176"/>
      <c r="D2908" s="176"/>
      <c r="E2908" s="176"/>
    </row>
    <row r="2909" spans="1:5" x14ac:dyDescent="0.2">
      <c r="A2909" s="175">
        <v>38306</v>
      </c>
      <c r="B2909" s="176">
        <v>4.91</v>
      </c>
      <c r="C2909" s="176"/>
      <c r="D2909" s="176"/>
      <c r="E2909" s="176"/>
    </row>
    <row r="2910" spans="1:5" x14ac:dyDescent="0.2">
      <c r="A2910" s="175">
        <v>38307</v>
      </c>
      <c r="B2910" s="176">
        <v>4.92</v>
      </c>
      <c r="C2910" s="176"/>
      <c r="D2910" s="176"/>
      <c r="E2910" s="176"/>
    </row>
    <row r="2911" spans="1:5" x14ac:dyDescent="0.2">
      <c r="A2911" s="175">
        <v>38308</v>
      </c>
      <c r="B2911" s="176">
        <v>4.8499999999999996</v>
      </c>
      <c r="C2911" s="176"/>
      <c r="D2911" s="176"/>
      <c r="E2911" s="176"/>
    </row>
    <row r="2912" spans="1:5" x14ac:dyDescent="0.2">
      <c r="A2912" s="175">
        <v>38309</v>
      </c>
      <c r="B2912" s="176">
        <v>4.82</v>
      </c>
      <c r="C2912" s="176"/>
      <c r="D2912" s="176"/>
      <c r="E2912" s="176"/>
    </row>
    <row r="2913" spans="1:5" x14ac:dyDescent="0.2">
      <c r="A2913" s="175">
        <v>38310</v>
      </c>
      <c r="B2913" s="176">
        <v>4.8899999999999997</v>
      </c>
      <c r="C2913" s="176"/>
      <c r="D2913" s="176"/>
      <c r="E2913" s="176"/>
    </row>
    <row r="2914" spans="1:5" x14ac:dyDescent="0.2">
      <c r="A2914" s="175">
        <v>38313</v>
      </c>
      <c r="B2914" s="176">
        <v>4.8499999999999996</v>
      </c>
      <c r="C2914" s="176"/>
      <c r="D2914" s="176"/>
      <c r="E2914" s="176"/>
    </row>
    <row r="2915" spans="1:5" x14ac:dyDescent="0.2">
      <c r="A2915" s="175">
        <v>38314</v>
      </c>
      <c r="B2915" s="176">
        <v>4.8499999999999996</v>
      </c>
      <c r="C2915" s="176"/>
      <c r="D2915" s="176"/>
      <c r="E2915" s="176"/>
    </row>
    <row r="2916" spans="1:5" x14ac:dyDescent="0.2">
      <c r="A2916" s="175">
        <v>38315</v>
      </c>
      <c r="B2916" s="176">
        <v>4.8499999999999996</v>
      </c>
      <c r="C2916" s="176"/>
      <c r="D2916" s="176"/>
      <c r="E2916" s="176"/>
    </row>
    <row r="2917" spans="1:5" x14ac:dyDescent="0.2">
      <c r="A2917" s="175">
        <v>38316</v>
      </c>
      <c r="B2917" s="176" t="e">
        <f>NA()</f>
        <v>#N/A</v>
      </c>
      <c r="C2917" s="176"/>
      <c r="D2917" s="176"/>
      <c r="E2917" s="176"/>
    </row>
    <row r="2918" spans="1:5" x14ac:dyDescent="0.2">
      <c r="A2918" s="175">
        <v>38317</v>
      </c>
      <c r="B2918" s="176">
        <v>4.9000000000000004</v>
      </c>
      <c r="C2918" s="176"/>
      <c r="D2918" s="176"/>
      <c r="E2918" s="176"/>
    </row>
    <row r="2919" spans="1:5" x14ac:dyDescent="0.2">
      <c r="A2919" s="175">
        <v>38320</v>
      </c>
      <c r="B2919" s="176">
        <v>4.99</v>
      </c>
      <c r="C2919" s="176"/>
      <c r="D2919" s="176"/>
      <c r="E2919" s="176"/>
    </row>
    <row r="2920" spans="1:5" x14ac:dyDescent="0.2">
      <c r="A2920" s="175">
        <v>38321</v>
      </c>
      <c r="B2920" s="176">
        <v>5.03</v>
      </c>
      <c r="C2920" s="176"/>
      <c r="D2920" s="176"/>
      <c r="E2920" s="176"/>
    </row>
    <row r="2921" spans="1:5" x14ac:dyDescent="0.2">
      <c r="A2921" s="175">
        <v>38322</v>
      </c>
      <c r="B2921" s="176">
        <v>5.04</v>
      </c>
      <c r="C2921" s="176"/>
      <c r="D2921" s="176"/>
      <c r="E2921" s="176"/>
    </row>
    <row r="2922" spans="1:5" x14ac:dyDescent="0.2">
      <c r="A2922" s="175">
        <v>38323</v>
      </c>
      <c r="B2922" s="176">
        <v>5.07</v>
      </c>
      <c r="C2922" s="176"/>
      <c r="D2922" s="176"/>
      <c r="E2922" s="176"/>
    </row>
    <row r="2923" spans="1:5" x14ac:dyDescent="0.2">
      <c r="A2923" s="175">
        <v>38324</v>
      </c>
      <c r="B2923" s="176">
        <v>4.95</v>
      </c>
      <c r="C2923" s="176"/>
      <c r="D2923" s="176"/>
      <c r="E2923" s="176"/>
    </row>
    <row r="2924" spans="1:5" x14ac:dyDescent="0.2">
      <c r="A2924" s="175">
        <v>38327</v>
      </c>
      <c r="B2924" s="176">
        <v>4.92</v>
      </c>
      <c r="C2924" s="176"/>
      <c r="D2924" s="176"/>
      <c r="E2924" s="176"/>
    </row>
    <row r="2925" spans="1:5" x14ac:dyDescent="0.2">
      <c r="A2925" s="175">
        <v>38328</v>
      </c>
      <c r="B2925" s="176">
        <v>4.91</v>
      </c>
      <c r="C2925" s="176"/>
      <c r="D2925" s="176"/>
      <c r="E2925" s="176"/>
    </row>
    <row r="2926" spans="1:5" x14ac:dyDescent="0.2">
      <c r="A2926" s="175">
        <v>38329</v>
      </c>
      <c r="B2926" s="176">
        <v>4.8</v>
      </c>
      <c r="C2926" s="176"/>
      <c r="D2926" s="176"/>
      <c r="E2926" s="176"/>
    </row>
    <row r="2927" spans="1:5" x14ac:dyDescent="0.2">
      <c r="A2927" s="175">
        <v>38330</v>
      </c>
      <c r="B2927" s="176">
        <v>4.84</v>
      </c>
      <c r="C2927" s="176"/>
      <c r="D2927" s="176"/>
      <c r="E2927" s="176"/>
    </row>
    <row r="2928" spans="1:5" x14ac:dyDescent="0.2">
      <c r="A2928" s="175">
        <v>38331</v>
      </c>
      <c r="B2928" s="176">
        <v>4.83</v>
      </c>
      <c r="C2928" s="176"/>
      <c r="D2928" s="176"/>
      <c r="E2928" s="176"/>
    </row>
    <row r="2929" spans="1:5" x14ac:dyDescent="0.2">
      <c r="A2929" s="175">
        <v>38334</v>
      </c>
      <c r="B2929" s="177">
        <v>4.8099999999999996</v>
      </c>
      <c r="C2929" s="177"/>
      <c r="D2929" s="177"/>
      <c r="E2929" s="177"/>
    </row>
    <row r="2930" spans="1:5" x14ac:dyDescent="0.2">
      <c r="A2930" s="175">
        <v>38335</v>
      </c>
      <c r="B2930" s="176">
        <v>4.79</v>
      </c>
      <c r="C2930" s="176"/>
      <c r="D2930" s="176"/>
      <c r="E2930" s="176"/>
    </row>
    <row r="2931" spans="1:5" x14ac:dyDescent="0.2">
      <c r="A2931" s="175">
        <v>38336</v>
      </c>
      <c r="B2931" s="176">
        <v>4.72</v>
      </c>
      <c r="C2931" s="176"/>
      <c r="D2931" s="176"/>
      <c r="E2931" s="176"/>
    </row>
    <row r="2932" spans="1:5" x14ac:dyDescent="0.2">
      <c r="A2932" s="175">
        <v>38337</v>
      </c>
      <c r="B2932" s="176">
        <v>4.84</v>
      </c>
      <c r="C2932" s="176"/>
      <c r="D2932" s="176"/>
      <c r="E2932" s="176"/>
    </row>
    <row r="2933" spans="1:5" x14ac:dyDescent="0.2">
      <c r="A2933" s="175">
        <v>38338</v>
      </c>
      <c r="B2933" s="176">
        <v>4.8499999999999996</v>
      </c>
      <c r="C2933" s="176"/>
      <c r="D2933" s="176"/>
      <c r="E2933" s="176"/>
    </row>
    <row r="2934" spans="1:5" x14ac:dyDescent="0.2">
      <c r="A2934" s="175">
        <v>38341</v>
      </c>
      <c r="B2934" s="176">
        <v>4.84</v>
      </c>
      <c r="C2934" s="176"/>
      <c r="D2934" s="176"/>
      <c r="E2934" s="176"/>
    </row>
    <row r="2935" spans="1:5" x14ac:dyDescent="0.2">
      <c r="A2935" s="175">
        <v>38342</v>
      </c>
      <c r="B2935" s="176">
        <v>4.82</v>
      </c>
      <c r="C2935" s="176"/>
      <c r="D2935" s="176"/>
      <c r="E2935" s="176"/>
    </row>
    <row r="2936" spans="1:5" x14ac:dyDescent="0.2">
      <c r="A2936" s="175">
        <v>38343</v>
      </c>
      <c r="B2936" s="176">
        <v>4.8499999999999996</v>
      </c>
      <c r="C2936" s="176"/>
      <c r="D2936" s="176"/>
      <c r="E2936" s="176"/>
    </row>
    <row r="2937" spans="1:5" x14ac:dyDescent="0.2">
      <c r="A2937" s="175">
        <v>38344</v>
      </c>
      <c r="B2937" s="176">
        <v>4.8600000000000003</v>
      </c>
      <c r="C2937" s="176"/>
      <c r="D2937" s="176"/>
      <c r="E2937" s="176"/>
    </row>
    <row r="2938" spans="1:5" x14ac:dyDescent="0.2">
      <c r="A2938" s="175">
        <v>38345</v>
      </c>
      <c r="B2938" s="176" t="e">
        <f>NA()</f>
        <v>#N/A</v>
      </c>
      <c r="C2938" s="176"/>
      <c r="D2938" s="176"/>
      <c r="E2938" s="176"/>
    </row>
    <row r="2939" spans="1:5" x14ac:dyDescent="0.2">
      <c r="A2939" s="175">
        <v>38348</v>
      </c>
      <c r="B2939" s="176">
        <v>4.95</v>
      </c>
      <c r="C2939" s="176"/>
      <c r="D2939" s="176"/>
      <c r="E2939" s="176"/>
    </row>
    <row r="2940" spans="1:5" x14ac:dyDescent="0.2">
      <c r="A2940" s="175">
        <v>38349</v>
      </c>
      <c r="B2940" s="176">
        <v>4.9400000000000004</v>
      </c>
      <c r="C2940" s="176"/>
      <c r="D2940" s="176"/>
      <c r="E2940" s="176"/>
    </row>
    <row r="2941" spans="1:5" x14ac:dyDescent="0.2">
      <c r="A2941" s="175">
        <v>38350</v>
      </c>
      <c r="B2941" s="176">
        <v>4.96</v>
      </c>
      <c r="C2941" s="176"/>
      <c r="D2941" s="176"/>
      <c r="E2941" s="176"/>
    </row>
    <row r="2942" spans="1:5" x14ac:dyDescent="0.2">
      <c r="A2942" s="175">
        <v>38351</v>
      </c>
      <c r="B2942" s="176">
        <v>4.92</v>
      </c>
      <c r="C2942" s="176"/>
      <c r="D2942" s="176"/>
      <c r="E2942" s="176"/>
    </row>
    <row r="2943" spans="1:5" x14ac:dyDescent="0.2">
      <c r="A2943" s="175">
        <v>38352</v>
      </c>
      <c r="B2943" s="176">
        <v>4.8499999999999996</v>
      </c>
      <c r="C2943" s="176"/>
      <c r="D2943" s="176"/>
      <c r="E2943" s="176"/>
    </row>
    <row r="2944" spans="1:5" x14ac:dyDescent="0.2">
      <c r="A2944" s="175">
        <v>38355</v>
      </c>
      <c r="B2944" s="176">
        <v>4.84</v>
      </c>
      <c r="C2944" s="176"/>
      <c r="D2944" s="176"/>
      <c r="E2944" s="176"/>
    </row>
    <row r="2945" spans="1:5" x14ac:dyDescent="0.2">
      <c r="A2945" s="175">
        <v>38356</v>
      </c>
      <c r="B2945" s="176">
        <v>4.91</v>
      </c>
      <c r="C2945" s="176"/>
      <c r="D2945" s="176"/>
      <c r="E2945" s="176"/>
    </row>
    <row r="2946" spans="1:5" x14ac:dyDescent="0.2">
      <c r="A2946" s="175">
        <v>38357</v>
      </c>
      <c r="B2946" s="176">
        <v>4.88</v>
      </c>
      <c r="C2946" s="176"/>
      <c r="D2946" s="176"/>
      <c r="E2946" s="176"/>
    </row>
    <row r="2947" spans="1:5" x14ac:dyDescent="0.2">
      <c r="A2947" s="175">
        <v>38358</v>
      </c>
      <c r="B2947" s="176">
        <v>4.88</v>
      </c>
      <c r="C2947" s="176"/>
      <c r="D2947" s="176"/>
      <c r="E2947" s="176"/>
    </row>
    <row r="2948" spans="1:5" x14ac:dyDescent="0.2">
      <c r="A2948" s="175">
        <v>38359</v>
      </c>
      <c r="B2948" s="176">
        <v>4.88</v>
      </c>
      <c r="C2948" s="176"/>
      <c r="D2948" s="176"/>
      <c r="E2948" s="176"/>
    </row>
    <row r="2949" spans="1:5" x14ac:dyDescent="0.2">
      <c r="A2949" s="175">
        <v>38362</v>
      </c>
      <c r="B2949" s="176">
        <v>4.8600000000000003</v>
      </c>
      <c r="C2949" s="176"/>
      <c r="D2949" s="176"/>
      <c r="E2949" s="176"/>
    </row>
    <row r="2950" spans="1:5" x14ac:dyDescent="0.2">
      <c r="A2950" s="175">
        <v>38363</v>
      </c>
      <c r="B2950" s="176">
        <v>4.83</v>
      </c>
      <c r="C2950" s="176"/>
      <c r="D2950" s="176"/>
      <c r="E2950" s="176"/>
    </row>
    <row r="2951" spans="1:5" x14ac:dyDescent="0.2">
      <c r="A2951" s="175">
        <v>38364</v>
      </c>
      <c r="B2951" s="176">
        <v>4.8099999999999996</v>
      </c>
      <c r="C2951" s="176"/>
      <c r="D2951" s="176"/>
      <c r="E2951" s="176"/>
    </row>
    <row r="2952" spans="1:5" x14ac:dyDescent="0.2">
      <c r="A2952" s="175">
        <v>38365</v>
      </c>
      <c r="B2952" s="176">
        <v>4.75</v>
      </c>
      <c r="C2952" s="176"/>
      <c r="D2952" s="176"/>
      <c r="E2952" s="176"/>
    </row>
    <row r="2953" spans="1:5" x14ac:dyDescent="0.2">
      <c r="A2953" s="175">
        <v>38366</v>
      </c>
      <c r="B2953" s="176">
        <v>4.76</v>
      </c>
      <c r="C2953" s="176"/>
      <c r="D2953" s="176"/>
      <c r="E2953" s="176"/>
    </row>
    <row r="2954" spans="1:5" x14ac:dyDescent="0.2">
      <c r="A2954" s="175">
        <v>38369</v>
      </c>
      <c r="B2954" s="177" t="e">
        <f>NA()</f>
        <v>#N/A</v>
      </c>
      <c r="C2954" s="177"/>
      <c r="D2954" s="177"/>
      <c r="E2954" s="177"/>
    </row>
    <row r="2955" spans="1:5" x14ac:dyDescent="0.2">
      <c r="A2955" s="175">
        <v>38370</v>
      </c>
      <c r="B2955" s="176">
        <v>4.7300000000000004</v>
      </c>
      <c r="C2955" s="176"/>
      <c r="D2955" s="176"/>
      <c r="E2955" s="176"/>
    </row>
    <row r="2956" spans="1:5" x14ac:dyDescent="0.2">
      <c r="A2956" s="175">
        <v>38371</v>
      </c>
      <c r="B2956" s="176">
        <v>4.71</v>
      </c>
      <c r="C2956" s="176"/>
      <c r="D2956" s="176"/>
      <c r="E2956" s="176"/>
    </row>
    <row r="2957" spans="1:5" x14ac:dyDescent="0.2">
      <c r="A2957" s="175">
        <v>38372</v>
      </c>
      <c r="B2957" s="176">
        <v>4.7</v>
      </c>
      <c r="C2957" s="176"/>
      <c r="D2957" s="176"/>
      <c r="E2957" s="176"/>
    </row>
    <row r="2958" spans="1:5" x14ac:dyDescent="0.2">
      <c r="A2958" s="175">
        <v>38373</v>
      </c>
      <c r="B2958" s="176">
        <v>4.6900000000000004</v>
      </c>
      <c r="C2958" s="176"/>
      <c r="D2958" s="176"/>
      <c r="E2958" s="176"/>
    </row>
    <row r="2959" spans="1:5" x14ac:dyDescent="0.2">
      <c r="A2959" s="175">
        <v>38376</v>
      </c>
      <c r="B2959" s="176">
        <v>4.6500000000000004</v>
      </c>
      <c r="C2959" s="176"/>
      <c r="D2959" s="176"/>
      <c r="E2959" s="176"/>
    </row>
    <row r="2960" spans="1:5" x14ac:dyDescent="0.2">
      <c r="A2960" s="175">
        <v>38377</v>
      </c>
      <c r="B2960" s="176">
        <v>4.72</v>
      </c>
      <c r="C2960" s="176"/>
      <c r="D2960" s="176"/>
      <c r="E2960" s="176"/>
    </row>
    <row r="2961" spans="1:5" x14ac:dyDescent="0.2">
      <c r="A2961" s="175">
        <v>38378</v>
      </c>
      <c r="B2961" s="176">
        <v>4.72</v>
      </c>
      <c r="C2961" s="176"/>
      <c r="D2961" s="176"/>
      <c r="E2961" s="176"/>
    </row>
    <row r="2962" spans="1:5" x14ac:dyDescent="0.2">
      <c r="A2962" s="175">
        <v>38379</v>
      </c>
      <c r="B2962" s="176">
        <v>4.7300000000000004</v>
      </c>
      <c r="C2962" s="176"/>
      <c r="D2962" s="176"/>
      <c r="E2962" s="176"/>
    </row>
    <row r="2963" spans="1:5" x14ac:dyDescent="0.2">
      <c r="A2963" s="175">
        <v>38380</v>
      </c>
      <c r="B2963" s="176">
        <v>4.66</v>
      </c>
      <c r="C2963" s="176"/>
      <c r="D2963" s="176"/>
      <c r="E2963" s="176"/>
    </row>
    <row r="2964" spans="1:5" x14ac:dyDescent="0.2">
      <c r="A2964" s="175">
        <v>38383</v>
      </c>
      <c r="B2964" s="176">
        <v>4.6399999999999997</v>
      </c>
      <c r="C2964" s="176"/>
      <c r="D2964" s="176"/>
      <c r="E2964" s="176"/>
    </row>
    <row r="2965" spans="1:5" x14ac:dyDescent="0.2">
      <c r="A2965" s="175">
        <v>38384</v>
      </c>
      <c r="B2965" s="176">
        <v>4.6500000000000004</v>
      </c>
      <c r="C2965" s="176"/>
      <c r="D2965" s="176"/>
      <c r="E2965" s="176"/>
    </row>
    <row r="2966" spans="1:5" x14ac:dyDescent="0.2">
      <c r="A2966" s="175">
        <v>38385</v>
      </c>
      <c r="B2966" s="176">
        <v>4.63</v>
      </c>
      <c r="C2966" s="176"/>
      <c r="D2966" s="176"/>
      <c r="E2966" s="176"/>
    </row>
    <row r="2967" spans="1:5" x14ac:dyDescent="0.2">
      <c r="A2967" s="175">
        <v>38386</v>
      </c>
      <c r="B2967" s="176">
        <v>4.6399999999999997</v>
      </c>
      <c r="C2967" s="176"/>
      <c r="D2967" s="176"/>
      <c r="E2967" s="176"/>
    </row>
    <row r="2968" spans="1:5" x14ac:dyDescent="0.2">
      <c r="A2968" s="175">
        <v>38387</v>
      </c>
      <c r="B2968" s="176">
        <v>4.54</v>
      </c>
      <c r="C2968" s="176"/>
      <c r="D2968" s="176"/>
      <c r="E2968" s="176"/>
    </row>
    <row r="2969" spans="1:5" x14ac:dyDescent="0.2">
      <c r="A2969" s="175">
        <v>38390</v>
      </c>
      <c r="B2969" s="176">
        <v>4.49</v>
      </c>
      <c r="C2969" s="176"/>
      <c r="D2969" s="176"/>
      <c r="E2969" s="176"/>
    </row>
    <row r="2970" spans="1:5" x14ac:dyDescent="0.2">
      <c r="A2970" s="175">
        <v>38391</v>
      </c>
      <c r="B2970" s="176">
        <v>4.46</v>
      </c>
      <c r="C2970" s="176"/>
      <c r="D2970" s="176"/>
      <c r="E2970" s="176"/>
    </row>
    <row r="2971" spans="1:5" x14ac:dyDescent="0.2">
      <c r="A2971" s="175">
        <v>38392</v>
      </c>
      <c r="B2971" s="176">
        <v>4.43</v>
      </c>
      <c r="C2971" s="176"/>
      <c r="D2971" s="176"/>
      <c r="E2971" s="176"/>
    </row>
    <row r="2972" spans="1:5" x14ac:dyDescent="0.2">
      <c r="A2972" s="175">
        <v>38393</v>
      </c>
      <c r="B2972" s="176">
        <v>4.5199999999999996</v>
      </c>
      <c r="C2972" s="176"/>
      <c r="D2972" s="176"/>
      <c r="E2972" s="176"/>
    </row>
    <row r="2973" spans="1:5" x14ac:dyDescent="0.2">
      <c r="A2973" s="175">
        <v>38394</v>
      </c>
      <c r="B2973" s="176">
        <v>4.55</v>
      </c>
      <c r="C2973" s="176"/>
      <c r="D2973" s="176"/>
      <c r="E2973" s="176"/>
    </row>
    <row r="2974" spans="1:5" x14ac:dyDescent="0.2">
      <c r="A2974" s="175">
        <v>38397</v>
      </c>
      <c r="B2974" s="176">
        <v>4.51</v>
      </c>
      <c r="C2974" s="176"/>
      <c r="D2974" s="176"/>
      <c r="E2974" s="176"/>
    </row>
    <row r="2975" spans="1:5" x14ac:dyDescent="0.2">
      <c r="A2975" s="175">
        <v>38398</v>
      </c>
      <c r="B2975" s="176">
        <v>4.55</v>
      </c>
      <c r="C2975" s="176"/>
      <c r="D2975" s="176"/>
      <c r="E2975" s="176"/>
    </row>
    <row r="2976" spans="1:5" x14ac:dyDescent="0.2">
      <c r="A2976" s="175">
        <v>38399</v>
      </c>
      <c r="B2976" s="177">
        <v>4.5999999999999996</v>
      </c>
      <c r="C2976" s="177"/>
      <c r="D2976" s="177"/>
      <c r="E2976" s="177"/>
    </row>
    <row r="2977" spans="1:5" x14ac:dyDescent="0.2">
      <c r="A2977" s="175">
        <v>38400</v>
      </c>
      <c r="B2977" s="176">
        <v>4.6500000000000004</v>
      </c>
      <c r="C2977" s="176"/>
      <c r="D2977" s="176"/>
      <c r="E2977" s="176"/>
    </row>
    <row r="2978" spans="1:5" x14ac:dyDescent="0.2">
      <c r="A2978" s="175">
        <v>38401</v>
      </c>
      <c r="B2978" s="176">
        <v>4.72</v>
      </c>
      <c r="C2978" s="176"/>
      <c r="D2978" s="176"/>
      <c r="E2978" s="176"/>
    </row>
    <row r="2979" spans="1:5" x14ac:dyDescent="0.2">
      <c r="A2979" s="175">
        <v>38404</v>
      </c>
      <c r="B2979" s="176" t="e">
        <f>NA()</f>
        <v>#N/A</v>
      </c>
      <c r="C2979" s="176"/>
      <c r="D2979" s="176"/>
      <c r="E2979" s="176"/>
    </row>
    <row r="2980" spans="1:5" x14ac:dyDescent="0.2">
      <c r="A2980" s="175">
        <v>38405</v>
      </c>
      <c r="B2980" s="176">
        <v>4.75</v>
      </c>
      <c r="C2980" s="176"/>
      <c r="D2980" s="176"/>
      <c r="E2980" s="176"/>
    </row>
    <row r="2981" spans="1:5" x14ac:dyDescent="0.2">
      <c r="A2981" s="175">
        <v>38406</v>
      </c>
      <c r="B2981" s="176">
        <v>4.7300000000000004</v>
      </c>
      <c r="C2981" s="176"/>
      <c r="D2981" s="176"/>
      <c r="E2981" s="176"/>
    </row>
    <row r="2982" spans="1:5" x14ac:dyDescent="0.2">
      <c r="A2982" s="175">
        <v>38407</v>
      </c>
      <c r="B2982" s="176">
        <v>4.74</v>
      </c>
      <c r="C2982" s="176"/>
      <c r="D2982" s="176"/>
      <c r="E2982" s="176"/>
    </row>
    <row r="2983" spans="1:5" x14ac:dyDescent="0.2">
      <c r="A2983" s="175">
        <v>38408</v>
      </c>
      <c r="B2983" s="176">
        <v>4.72</v>
      </c>
      <c r="C2983" s="176"/>
      <c r="D2983" s="176"/>
      <c r="E2983" s="176"/>
    </row>
    <row r="2984" spans="1:5" x14ac:dyDescent="0.2">
      <c r="A2984" s="175">
        <v>38411</v>
      </c>
      <c r="B2984" s="176">
        <v>4.79</v>
      </c>
      <c r="C2984" s="176"/>
      <c r="D2984" s="176"/>
      <c r="E2984" s="176"/>
    </row>
    <row r="2985" spans="1:5" x14ac:dyDescent="0.2">
      <c r="A2985" s="175">
        <v>38412</v>
      </c>
      <c r="B2985" s="176">
        <v>4.8</v>
      </c>
      <c r="C2985" s="176"/>
      <c r="D2985" s="176"/>
      <c r="E2985" s="176"/>
    </row>
    <row r="2986" spans="1:5" x14ac:dyDescent="0.2">
      <c r="A2986" s="175">
        <v>38413</v>
      </c>
      <c r="B2986" s="176">
        <v>4.82</v>
      </c>
      <c r="C2986" s="176"/>
      <c r="D2986" s="176"/>
      <c r="E2986" s="176"/>
    </row>
    <row r="2987" spans="1:5" x14ac:dyDescent="0.2">
      <c r="A2987" s="175">
        <v>38414</v>
      </c>
      <c r="B2987" s="177">
        <v>4.82</v>
      </c>
      <c r="C2987" s="177"/>
      <c r="D2987" s="177"/>
      <c r="E2987" s="177"/>
    </row>
    <row r="2988" spans="1:5" x14ac:dyDescent="0.2">
      <c r="A2988" s="175">
        <v>38415</v>
      </c>
      <c r="B2988" s="176">
        <v>4.7300000000000004</v>
      </c>
      <c r="C2988" s="176"/>
      <c r="D2988" s="176"/>
      <c r="E2988" s="176"/>
    </row>
    <row r="2989" spans="1:5" x14ac:dyDescent="0.2">
      <c r="A2989" s="175">
        <v>38418</v>
      </c>
      <c r="B2989" s="176">
        <v>4.7</v>
      </c>
      <c r="C2989" s="176"/>
      <c r="D2989" s="176"/>
      <c r="E2989" s="176"/>
    </row>
    <row r="2990" spans="1:5" x14ac:dyDescent="0.2">
      <c r="A2990" s="175">
        <v>38419</v>
      </c>
      <c r="B2990" s="176">
        <v>4.78</v>
      </c>
      <c r="C2990" s="176"/>
      <c r="D2990" s="176"/>
      <c r="E2990" s="176"/>
    </row>
    <row r="2991" spans="1:5" x14ac:dyDescent="0.2">
      <c r="A2991" s="175">
        <v>38420</v>
      </c>
      <c r="B2991" s="176">
        <v>4.92</v>
      </c>
      <c r="C2991" s="176"/>
      <c r="D2991" s="176"/>
      <c r="E2991" s="176"/>
    </row>
    <row r="2992" spans="1:5" x14ac:dyDescent="0.2">
      <c r="A2992" s="175">
        <v>38421</v>
      </c>
      <c r="B2992" s="176">
        <v>4.8499999999999996</v>
      </c>
      <c r="C2992" s="176"/>
      <c r="D2992" s="176"/>
      <c r="E2992" s="176"/>
    </row>
    <row r="2993" spans="1:5" x14ac:dyDescent="0.2">
      <c r="A2993" s="175">
        <v>38422</v>
      </c>
      <c r="B2993" s="176">
        <v>4.93</v>
      </c>
      <c r="C2993" s="176"/>
      <c r="D2993" s="176"/>
      <c r="E2993" s="176"/>
    </row>
    <row r="2994" spans="1:5" x14ac:dyDescent="0.2">
      <c r="A2994" s="175">
        <v>38425</v>
      </c>
      <c r="B2994" s="176">
        <v>4.9000000000000004</v>
      </c>
      <c r="C2994" s="176"/>
      <c r="D2994" s="176"/>
      <c r="E2994" s="176"/>
    </row>
    <row r="2995" spans="1:5" x14ac:dyDescent="0.2">
      <c r="A2995" s="175">
        <v>38426</v>
      </c>
      <c r="B2995" s="176">
        <v>4.93</v>
      </c>
      <c r="C2995" s="176"/>
      <c r="D2995" s="176"/>
      <c r="E2995" s="176"/>
    </row>
    <row r="2996" spans="1:5" x14ac:dyDescent="0.2">
      <c r="A2996" s="175">
        <v>38427</v>
      </c>
      <c r="B2996" s="176">
        <v>4.91</v>
      </c>
      <c r="C2996" s="176"/>
      <c r="D2996" s="176"/>
      <c r="E2996" s="176"/>
    </row>
    <row r="2997" spans="1:5" x14ac:dyDescent="0.2">
      <c r="A2997" s="175">
        <v>38428</v>
      </c>
      <c r="B2997" s="176">
        <v>4.87</v>
      </c>
      <c r="C2997" s="176"/>
      <c r="D2997" s="176"/>
      <c r="E2997" s="176"/>
    </row>
    <row r="2998" spans="1:5" x14ac:dyDescent="0.2">
      <c r="A2998" s="175">
        <v>38429</v>
      </c>
      <c r="B2998" s="176">
        <v>4.92</v>
      </c>
      <c r="C2998" s="176"/>
      <c r="D2998" s="176"/>
      <c r="E2998" s="176"/>
    </row>
    <row r="2999" spans="1:5" x14ac:dyDescent="0.2">
      <c r="A2999" s="175">
        <v>38432</v>
      </c>
      <c r="B2999" s="176">
        <v>4.9400000000000004</v>
      </c>
      <c r="C2999" s="176"/>
      <c r="D2999" s="176"/>
      <c r="E2999" s="176"/>
    </row>
    <row r="3000" spans="1:5" x14ac:dyDescent="0.2">
      <c r="A3000" s="175">
        <v>38433</v>
      </c>
      <c r="B3000" s="176">
        <v>5.01</v>
      </c>
      <c r="C3000" s="176"/>
      <c r="D3000" s="176"/>
      <c r="E3000" s="176"/>
    </row>
    <row r="3001" spans="1:5" x14ac:dyDescent="0.2">
      <c r="A3001" s="175">
        <v>38434</v>
      </c>
      <c r="B3001" s="176">
        <v>4.99</v>
      </c>
      <c r="C3001" s="176"/>
      <c r="D3001" s="176"/>
      <c r="E3001" s="176"/>
    </row>
    <row r="3002" spans="1:5" x14ac:dyDescent="0.2">
      <c r="A3002" s="175">
        <v>38435</v>
      </c>
      <c r="B3002" s="176">
        <v>4.97</v>
      </c>
      <c r="C3002" s="176"/>
      <c r="D3002" s="176"/>
      <c r="E3002" s="176"/>
    </row>
    <row r="3003" spans="1:5" x14ac:dyDescent="0.2">
      <c r="A3003" s="175">
        <v>38436</v>
      </c>
      <c r="B3003" s="176" t="e">
        <f>NA()</f>
        <v>#N/A</v>
      </c>
      <c r="C3003" s="176"/>
      <c r="D3003" s="176"/>
      <c r="E3003" s="176"/>
    </row>
    <row r="3004" spans="1:5" x14ac:dyDescent="0.2">
      <c r="A3004" s="175">
        <v>38439</v>
      </c>
      <c r="B3004" s="176">
        <v>5.01</v>
      </c>
      <c r="C3004" s="176"/>
      <c r="D3004" s="176"/>
      <c r="E3004" s="176"/>
    </row>
    <row r="3005" spans="1:5" x14ac:dyDescent="0.2">
      <c r="A3005" s="175">
        <v>38440</v>
      </c>
      <c r="B3005" s="176">
        <v>4.9800000000000004</v>
      </c>
      <c r="C3005" s="176"/>
      <c r="D3005" s="176"/>
      <c r="E3005" s="176"/>
    </row>
    <row r="3006" spans="1:5" x14ac:dyDescent="0.2">
      <c r="A3006" s="175">
        <v>38441</v>
      </c>
      <c r="B3006" s="176">
        <v>4.93</v>
      </c>
      <c r="C3006" s="176"/>
      <c r="D3006" s="176"/>
      <c r="E3006" s="176"/>
    </row>
    <row r="3007" spans="1:5" x14ac:dyDescent="0.2">
      <c r="A3007" s="175">
        <v>38442</v>
      </c>
      <c r="B3007" s="176">
        <v>4.88</v>
      </c>
      <c r="C3007" s="176"/>
      <c r="D3007" s="176"/>
      <c r="E3007" s="176"/>
    </row>
    <row r="3008" spans="1:5" x14ac:dyDescent="0.2">
      <c r="A3008" s="175">
        <v>38443</v>
      </c>
      <c r="B3008" s="177">
        <v>4.8499999999999996</v>
      </c>
      <c r="C3008" s="177"/>
      <c r="D3008" s="177"/>
      <c r="E3008" s="177"/>
    </row>
    <row r="3009" spans="1:5" x14ac:dyDescent="0.2">
      <c r="A3009" s="175">
        <v>38446</v>
      </c>
      <c r="B3009" s="176">
        <v>4.84</v>
      </c>
      <c r="C3009" s="176"/>
      <c r="D3009" s="176"/>
      <c r="E3009" s="176"/>
    </row>
    <row r="3010" spans="1:5" x14ac:dyDescent="0.2">
      <c r="A3010" s="175">
        <v>38447</v>
      </c>
      <c r="B3010" s="176">
        <v>4.87</v>
      </c>
      <c r="C3010" s="176"/>
      <c r="D3010" s="176"/>
      <c r="E3010" s="176"/>
    </row>
    <row r="3011" spans="1:5" x14ac:dyDescent="0.2">
      <c r="A3011" s="175">
        <v>38448</v>
      </c>
      <c r="B3011" s="176">
        <v>4.8499999999999996</v>
      </c>
      <c r="C3011" s="176"/>
      <c r="D3011" s="176"/>
      <c r="E3011" s="176"/>
    </row>
    <row r="3012" spans="1:5" x14ac:dyDescent="0.2">
      <c r="A3012" s="175">
        <v>38449</v>
      </c>
      <c r="B3012" s="176">
        <v>4.9000000000000004</v>
      </c>
      <c r="C3012" s="176"/>
      <c r="D3012" s="176"/>
      <c r="E3012" s="176"/>
    </row>
    <row r="3013" spans="1:5" x14ac:dyDescent="0.2">
      <c r="A3013" s="175">
        <v>38450</v>
      </c>
      <c r="B3013" s="177">
        <v>4.88</v>
      </c>
      <c r="C3013" s="177"/>
      <c r="D3013" s="177"/>
      <c r="E3013" s="177"/>
    </row>
    <row r="3014" spans="1:5" x14ac:dyDescent="0.2">
      <c r="A3014" s="175">
        <v>38453</v>
      </c>
      <c r="B3014" s="176">
        <v>4.84</v>
      </c>
      <c r="C3014" s="176"/>
      <c r="D3014" s="176"/>
      <c r="E3014" s="176"/>
    </row>
    <row r="3015" spans="1:5" x14ac:dyDescent="0.2">
      <c r="A3015" s="175">
        <v>38454</v>
      </c>
      <c r="B3015" s="176">
        <v>4.78</v>
      </c>
      <c r="C3015" s="176"/>
      <c r="D3015" s="176"/>
      <c r="E3015" s="176"/>
    </row>
    <row r="3016" spans="1:5" x14ac:dyDescent="0.2">
      <c r="A3016" s="175">
        <v>38455</v>
      </c>
      <c r="B3016" s="176">
        <v>4.8</v>
      </c>
      <c r="C3016" s="176"/>
      <c r="D3016" s="176"/>
      <c r="E3016" s="176"/>
    </row>
    <row r="3017" spans="1:5" x14ac:dyDescent="0.2">
      <c r="A3017" s="175">
        <v>38456</v>
      </c>
      <c r="B3017" s="176">
        <v>4.8</v>
      </c>
      <c r="C3017" s="176"/>
      <c r="D3017" s="176"/>
      <c r="E3017" s="176"/>
    </row>
    <row r="3018" spans="1:5" x14ac:dyDescent="0.2">
      <c r="A3018" s="175">
        <v>38457</v>
      </c>
      <c r="B3018" s="176">
        <v>4.7300000000000004</v>
      </c>
      <c r="C3018" s="176"/>
      <c r="D3018" s="176"/>
      <c r="E3018" s="176"/>
    </row>
    <row r="3019" spans="1:5" x14ac:dyDescent="0.2">
      <c r="A3019" s="175">
        <v>38460</v>
      </c>
      <c r="B3019" s="176">
        <v>4.7</v>
      </c>
      <c r="C3019" s="176"/>
      <c r="D3019" s="176"/>
      <c r="E3019" s="176"/>
    </row>
    <row r="3020" spans="1:5" x14ac:dyDescent="0.2">
      <c r="A3020" s="175">
        <v>38461</v>
      </c>
      <c r="B3020" s="176">
        <v>4.6399999999999997</v>
      </c>
      <c r="C3020" s="176"/>
      <c r="D3020" s="176"/>
      <c r="E3020" s="176"/>
    </row>
    <row r="3021" spans="1:5" x14ac:dyDescent="0.2">
      <c r="A3021" s="175">
        <v>38462</v>
      </c>
      <c r="B3021" s="176">
        <v>4.66</v>
      </c>
      <c r="C3021" s="176"/>
      <c r="D3021" s="176"/>
      <c r="E3021" s="176"/>
    </row>
    <row r="3022" spans="1:5" x14ac:dyDescent="0.2">
      <c r="A3022" s="175">
        <v>38463</v>
      </c>
      <c r="B3022" s="176">
        <v>4.7300000000000004</v>
      </c>
      <c r="C3022" s="176"/>
      <c r="D3022" s="176"/>
      <c r="E3022" s="176"/>
    </row>
    <row r="3023" spans="1:5" x14ac:dyDescent="0.2">
      <c r="A3023" s="175">
        <v>38464</v>
      </c>
      <c r="B3023" s="176">
        <v>4.68</v>
      </c>
      <c r="C3023" s="176"/>
      <c r="D3023" s="176"/>
      <c r="E3023" s="176"/>
    </row>
    <row r="3024" spans="1:5" x14ac:dyDescent="0.2">
      <c r="A3024" s="175">
        <v>38467</v>
      </c>
      <c r="B3024" s="177">
        <v>4.6500000000000004</v>
      </c>
      <c r="C3024" s="177"/>
      <c r="D3024" s="177"/>
      <c r="E3024" s="177"/>
    </row>
    <row r="3025" spans="1:5" x14ac:dyDescent="0.2">
      <c r="A3025" s="175">
        <v>38468</v>
      </c>
      <c r="B3025" s="176">
        <v>4.67</v>
      </c>
      <c r="C3025" s="176"/>
      <c r="D3025" s="176"/>
      <c r="E3025" s="176"/>
    </row>
    <row r="3026" spans="1:5" x14ac:dyDescent="0.2">
      <c r="A3026" s="175">
        <v>38469</v>
      </c>
      <c r="B3026" s="176">
        <v>4.6500000000000004</v>
      </c>
      <c r="C3026" s="176"/>
      <c r="D3026" s="176"/>
      <c r="E3026" s="176"/>
    </row>
    <row r="3027" spans="1:5" x14ac:dyDescent="0.2">
      <c r="A3027" s="175">
        <v>38470</v>
      </c>
      <c r="B3027" s="176">
        <v>4.5999999999999996</v>
      </c>
      <c r="C3027" s="176"/>
      <c r="D3027" s="176"/>
      <c r="E3027" s="176"/>
    </row>
    <row r="3028" spans="1:5" x14ac:dyDescent="0.2">
      <c r="A3028" s="175">
        <v>38471</v>
      </c>
      <c r="B3028" s="176">
        <v>4.6100000000000003</v>
      </c>
      <c r="C3028" s="176"/>
      <c r="D3028" s="176"/>
      <c r="E3028" s="176"/>
    </row>
    <row r="3029" spans="1:5" x14ac:dyDescent="0.2">
      <c r="A3029" s="175">
        <v>38474</v>
      </c>
      <c r="B3029" s="176">
        <v>4.6100000000000003</v>
      </c>
      <c r="C3029" s="176"/>
      <c r="D3029" s="176"/>
      <c r="E3029" s="176"/>
    </row>
    <row r="3030" spans="1:5" x14ac:dyDescent="0.2">
      <c r="A3030" s="175">
        <v>38475</v>
      </c>
      <c r="B3030" s="176">
        <v>4.5999999999999996</v>
      </c>
      <c r="C3030" s="176"/>
      <c r="D3030" s="176"/>
      <c r="E3030" s="176"/>
    </row>
    <row r="3031" spans="1:5" x14ac:dyDescent="0.2">
      <c r="A3031" s="175">
        <v>38476</v>
      </c>
      <c r="B3031" s="176">
        <v>4.6399999999999997</v>
      </c>
      <c r="C3031" s="176"/>
      <c r="D3031" s="176"/>
      <c r="E3031" s="176"/>
    </row>
    <row r="3032" spans="1:5" x14ac:dyDescent="0.2">
      <c r="A3032" s="175">
        <v>38477</v>
      </c>
      <c r="B3032" s="176">
        <v>4.6399999999999997</v>
      </c>
      <c r="C3032" s="176"/>
      <c r="D3032" s="176"/>
      <c r="E3032" s="176"/>
    </row>
    <row r="3033" spans="1:5" x14ac:dyDescent="0.2">
      <c r="A3033" s="175">
        <v>38478</v>
      </c>
      <c r="B3033" s="176">
        <v>4.6900000000000004</v>
      </c>
      <c r="C3033" s="176"/>
      <c r="D3033" s="176"/>
      <c r="E3033" s="176"/>
    </row>
    <row r="3034" spans="1:5" x14ac:dyDescent="0.2">
      <c r="A3034" s="175">
        <v>38481</v>
      </c>
      <c r="B3034" s="176">
        <v>4.6900000000000004</v>
      </c>
      <c r="C3034" s="176"/>
      <c r="D3034" s="176"/>
      <c r="E3034" s="176"/>
    </row>
    <row r="3035" spans="1:5" x14ac:dyDescent="0.2">
      <c r="A3035" s="175">
        <v>38482</v>
      </c>
      <c r="B3035" s="176">
        <v>4.6500000000000004</v>
      </c>
      <c r="C3035" s="176"/>
      <c r="D3035" s="176"/>
      <c r="E3035" s="176"/>
    </row>
    <row r="3036" spans="1:5" x14ac:dyDescent="0.2">
      <c r="A3036" s="175">
        <v>38483</v>
      </c>
      <c r="B3036" s="176">
        <v>4.6100000000000003</v>
      </c>
      <c r="C3036" s="176"/>
      <c r="D3036" s="176"/>
      <c r="E3036" s="176"/>
    </row>
    <row r="3037" spans="1:5" x14ac:dyDescent="0.2">
      <c r="A3037" s="175">
        <v>38484</v>
      </c>
      <c r="B3037" s="176">
        <v>4.59</v>
      </c>
      <c r="C3037" s="176"/>
      <c r="D3037" s="176"/>
      <c r="E3037" s="176"/>
    </row>
    <row r="3038" spans="1:5" x14ac:dyDescent="0.2">
      <c r="A3038" s="175">
        <v>38485</v>
      </c>
      <c r="B3038" s="176">
        <v>4.5599999999999996</v>
      </c>
      <c r="C3038" s="176"/>
      <c r="D3038" s="176"/>
      <c r="E3038" s="176"/>
    </row>
    <row r="3039" spans="1:5" x14ac:dyDescent="0.2">
      <c r="A3039" s="175">
        <v>38488</v>
      </c>
      <c r="B3039" s="176">
        <v>4.5599999999999996</v>
      </c>
      <c r="C3039" s="176"/>
      <c r="D3039" s="176"/>
      <c r="E3039" s="176"/>
    </row>
    <row r="3040" spans="1:5" x14ac:dyDescent="0.2">
      <c r="A3040" s="175">
        <v>38489</v>
      </c>
      <c r="B3040" s="176">
        <v>4.54</v>
      </c>
      <c r="C3040" s="176"/>
      <c r="D3040" s="176"/>
      <c r="E3040" s="176"/>
    </row>
    <row r="3041" spans="1:5" x14ac:dyDescent="0.2">
      <c r="A3041" s="175">
        <v>38490</v>
      </c>
      <c r="B3041" s="176">
        <v>4.49</v>
      </c>
      <c r="C3041" s="176"/>
      <c r="D3041" s="176"/>
      <c r="E3041" s="176"/>
    </row>
    <row r="3042" spans="1:5" x14ac:dyDescent="0.2">
      <c r="A3042" s="175">
        <v>38491</v>
      </c>
      <c r="B3042" s="176">
        <v>4.5199999999999996</v>
      </c>
      <c r="C3042" s="176"/>
      <c r="D3042" s="176"/>
      <c r="E3042" s="176"/>
    </row>
    <row r="3043" spans="1:5" x14ac:dyDescent="0.2">
      <c r="A3043" s="175">
        <v>38492</v>
      </c>
      <c r="B3043" s="176">
        <v>4.5199999999999996</v>
      </c>
      <c r="C3043" s="176"/>
      <c r="D3043" s="176"/>
      <c r="E3043" s="176"/>
    </row>
    <row r="3044" spans="1:5" x14ac:dyDescent="0.2">
      <c r="A3044" s="175">
        <v>38495</v>
      </c>
      <c r="B3044" s="177">
        <v>4.46</v>
      </c>
      <c r="C3044" s="177"/>
      <c r="D3044" s="177"/>
      <c r="E3044" s="177"/>
    </row>
    <row r="3045" spans="1:5" x14ac:dyDescent="0.2">
      <c r="A3045" s="175">
        <v>38496</v>
      </c>
      <c r="B3045" s="176">
        <v>4.43</v>
      </c>
      <c r="C3045" s="176"/>
      <c r="D3045" s="176"/>
      <c r="E3045" s="176"/>
    </row>
    <row r="3046" spans="1:5" x14ac:dyDescent="0.2">
      <c r="A3046" s="175">
        <v>38497</v>
      </c>
      <c r="B3046" s="176">
        <v>4.4800000000000004</v>
      </c>
      <c r="C3046" s="176"/>
      <c r="D3046" s="176"/>
      <c r="E3046" s="176"/>
    </row>
    <row r="3047" spans="1:5" x14ac:dyDescent="0.2">
      <c r="A3047" s="175">
        <v>38498</v>
      </c>
      <c r="B3047" s="176">
        <v>4.49</v>
      </c>
      <c r="C3047" s="176"/>
      <c r="D3047" s="176"/>
      <c r="E3047" s="176"/>
    </row>
    <row r="3048" spans="1:5" x14ac:dyDescent="0.2">
      <c r="A3048" s="175">
        <v>38499</v>
      </c>
      <c r="B3048" s="176">
        <v>4.49</v>
      </c>
      <c r="C3048" s="176"/>
      <c r="D3048" s="176"/>
      <c r="E3048" s="176"/>
    </row>
    <row r="3049" spans="1:5" x14ac:dyDescent="0.2">
      <c r="A3049" s="175">
        <v>38502</v>
      </c>
      <c r="B3049" s="176" t="e">
        <f>NA()</f>
        <v>#N/A</v>
      </c>
      <c r="C3049" s="176"/>
      <c r="D3049" s="176"/>
      <c r="E3049" s="176"/>
    </row>
    <row r="3050" spans="1:5" x14ac:dyDescent="0.2">
      <c r="A3050" s="175">
        <v>38503</v>
      </c>
      <c r="B3050" s="176">
        <v>4.4000000000000004</v>
      </c>
      <c r="C3050" s="176"/>
      <c r="D3050" s="176"/>
      <c r="E3050" s="176"/>
    </row>
    <row r="3051" spans="1:5" x14ac:dyDescent="0.2">
      <c r="A3051" s="175">
        <v>38504</v>
      </c>
      <c r="B3051" s="176">
        <v>4.3099999999999996</v>
      </c>
      <c r="C3051" s="176"/>
      <c r="D3051" s="176"/>
      <c r="E3051" s="176"/>
    </row>
    <row r="3052" spans="1:5" x14ac:dyDescent="0.2">
      <c r="A3052" s="175">
        <v>38505</v>
      </c>
      <c r="B3052" s="176">
        <v>4.28</v>
      </c>
      <c r="C3052" s="176"/>
      <c r="D3052" s="176"/>
      <c r="E3052" s="176"/>
    </row>
    <row r="3053" spans="1:5" x14ac:dyDescent="0.2">
      <c r="A3053" s="175">
        <v>38506</v>
      </c>
      <c r="B3053" s="176">
        <v>4.34</v>
      </c>
      <c r="C3053" s="176"/>
      <c r="D3053" s="176"/>
      <c r="E3053" s="176"/>
    </row>
    <row r="3054" spans="1:5" x14ac:dyDescent="0.2">
      <c r="A3054" s="175">
        <v>38509</v>
      </c>
      <c r="B3054" s="176">
        <v>4.3099999999999996</v>
      </c>
      <c r="C3054" s="176"/>
      <c r="D3054" s="176"/>
      <c r="E3054" s="176"/>
    </row>
    <row r="3055" spans="1:5" x14ac:dyDescent="0.2">
      <c r="A3055" s="175">
        <v>38510</v>
      </c>
      <c r="B3055" s="176">
        <v>4.26</v>
      </c>
      <c r="C3055" s="176"/>
      <c r="D3055" s="176"/>
      <c r="E3055" s="176"/>
    </row>
    <row r="3056" spans="1:5" x14ac:dyDescent="0.2">
      <c r="A3056" s="175">
        <v>38511</v>
      </c>
      <c r="B3056" s="176">
        <v>4.29</v>
      </c>
      <c r="C3056" s="176"/>
      <c r="D3056" s="176"/>
      <c r="E3056" s="176"/>
    </row>
    <row r="3057" spans="1:5" x14ac:dyDescent="0.2">
      <c r="A3057" s="175">
        <v>38512</v>
      </c>
      <c r="B3057" s="176">
        <v>4.3099999999999996</v>
      </c>
      <c r="C3057" s="176"/>
      <c r="D3057" s="176"/>
      <c r="E3057" s="176"/>
    </row>
    <row r="3058" spans="1:5" x14ac:dyDescent="0.2">
      <c r="A3058" s="175">
        <v>38513</v>
      </c>
      <c r="B3058" s="176">
        <v>4.3899999999999997</v>
      </c>
      <c r="C3058" s="176"/>
      <c r="D3058" s="176"/>
      <c r="E3058" s="176"/>
    </row>
    <row r="3059" spans="1:5" x14ac:dyDescent="0.2">
      <c r="A3059" s="175">
        <v>38516</v>
      </c>
      <c r="B3059" s="176">
        <v>4.4400000000000004</v>
      </c>
      <c r="C3059" s="176"/>
      <c r="D3059" s="176"/>
      <c r="E3059" s="176"/>
    </row>
    <row r="3060" spans="1:5" x14ac:dyDescent="0.2">
      <c r="A3060" s="175">
        <v>38517</v>
      </c>
      <c r="B3060" s="176">
        <v>4.49</v>
      </c>
      <c r="C3060" s="176"/>
      <c r="D3060" s="176"/>
      <c r="E3060" s="176"/>
    </row>
    <row r="3061" spans="1:5" x14ac:dyDescent="0.2">
      <c r="A3061" s="175">
        <v>38518</v>
      </c>
      <c r="B3061" s="176">
        <v>4.49</v>
      </c>
      <c r="C3061" s="176"/>
      <c r="D3061" s="176"/>
      <c r="E3061" s="176"/>
    </row>
    <row r="3062" spans="1:5" x14ac:dyDescent="0.2">
      <c r="A3062" s="175">
        <v>38519</v>
      </c>
      <c r="B3062" s="176">
        <v>4.45</v>
      </c>
      <c r="C3062" s="176"/>
      <c r="D3062" s="176"/>
      <c r="E3062" s="176"/>
    </row>
    <row r="3063" spans="1:5" x14ac:dyDescent="0.2">
      <c r="A3063" s="175">
        <v>38520</v>
      </c>
      <c r="B3063" s="176">
        <v>4.4400000000000004</v>
      </c>
      <c r="C3063" s="176"/>
      <c r="D3063" s="176"/>
      <c r="E3063" s="176"/>
    </row>
    <row r="3064" spans="1:5" x14ac:dyDescent="0.2">
      <c r="A3064" s="175">
        <v>38523</v>
      </c>
      <c r="B3064" s="176">
        <v>4.46</v>
      </c>
      <c r="C3064" s="176"/>
      <c r="D3064" s="176"/>
      <c r="E3064" s="176"/>
    </row>
    <row r="3065" spans="1:5" x14ac:dyDescent="0.2">
      <c r="A3065" s="175">
        <v>38524</v>
      </c>
      <c r="B3065" s="176">
        <v>4.4000000000000004</v>
      </c>
      <c r="C3065" s="176"/>
      <c r="D3065" s="176"/>
      <c r="E3065" s="176"/>
    </row>
    <row r="3066" spans="1:5" x14ac:dyDescent="0.2">
      <c r="A3066" s="175">
        <v>38525</v>
      </c>
      <c r="B3066" s="176">
        <v>4.3099999999999996</v>
      </c>
      <c r="C3066" s="176"/>
      <c r="D3066" s="176"/>
      <c r="E3066" s="176"/>
    </row>
    <row r="3067" spans="1:5" x14ac:dyDescent="0.2">
      <c r="A3067" s="175">
        <v>38526</v>
      </c>
      <c r="B3067" s="176">
        <v>4.32</v>
      </c>
      <c r="C3067" s="176"/>
      <c r="D3067" s="176"/>
      <c r="E3067" s="176"/>
    </row>
    <row r="3068" spans="1:5" x14ac:dyDescent="0.2">
      <c r="A3068" s="175">
        <v>38527</v>
      </c>
      <c r="B3068" s="176">
        <v>4.28</v>
      </c>
      <c r="C3068" s="176"/>
      <c r="D3068" s="176"/>
      <c r="E3068" s="176"/>
    </row>
    <row r="3069" spans="1:5" x14ac:dyDescent="0.2">
      <c r="A3069" s="175">
        <v>38530</v>
      </c>
      <c r="B3069" s="176">
        <v>4.25</v>
      </c>
      <c r="C3069" s="176"/>
      <c r="D3069" s="176"/>
      <c r="E3069" s="176"/>
    </row>
    <row r="3070" spans="1:5" x14ac:dyDescent="0.2">
      <c r="A3070" s="175">
        <v>38531</v>
      </c>
      <c r="B3070" s="176">
        <v>4.3</v>
      </c>
      <c r="C3070" s="176"/>
      <c r="D3070" s="176"/>
      <c r="E3070" s="176"/>
    </row>
    <row r="3071" spans="1:5" x14ac:dyDescent="0.2">
      <c r="A3071" s="175">
        <v>38532</v>
      </c>
      <c r="B3071" s="176">
        <v>4.33</v>
      </c>
      <c r="C3071" s="176"/>
      <c r="D3071" s="176"/>
      <c r="E3071" s="176"/>
    </row>
    <row r="3072" spans="1:5" x14ac:dyDescent="0.2">
      <c r="A3072" s="175">
        <v>38533</v>
      </c>
      <c r="B3072" s="176">
        <v>4.28</v>
      </c>
      <c r="C3072" s="176"/>
      <c r="D3072" s="176"/>
      <c r="E3072" s="176"/>
    </row>
    <row r="3073" spans="1:5" x14ac:dyDescent="0.2">
      <c r="A3073" s="175">
        <v>38534</v>
      </c>
      <c r="B3073" s="177">
        <v>4.37</v>
      </c>
      <c r="C3073" s="177"/>
      <c r="D3073" s="177"/>
      <c r="E3073" s="177"/>
    </row>
    <row r="3074" spans="1:5" x14ac:dyDescent="0.2">
      <c r="A3074" s="175">
        <v>38537</v>
      </c>
      <c r="B3074" s="176" t="e">
        <f>NA()</f>
        <v>#N/A</v>
      </c>
      <c r="C3074" s="176"/>
      <c r="D3074" s="176"/>
      <c r="E3074" s="176"/>
    </row>
    <row r="3075" spans="1:5" x14ac:dyDescent="0.2">
      <c r="A3075" s="175">
        <v>38538</v>
      </c>
      <c r="B3075" s="176">
        <v>4.43</v>
      </c>
      <c r="C3075" s="176"/>
      <c r="D3075" s="176"/>
      <c r="E3075" s="176"/>
    </row>
    <row r="3076" spans="1:5" x14ac:dyDescent="0.2">
      <c r="A3076" s="175">
        <v>38539</v>
      </c>
      <c r="B3076" s="176">
        <v>4.4000000000000004</v>
      </c>
      <c r="C3076" s="176"/>
      <c r="D3076" s="176"/>
      <c r="E3076" s="176"/>
    </row>
    <row r="3077" spans="1:5" x14ac:dyDescent="0.2">
      <c r="A3077" s="175">
        <v>38540</v>
      </c>
      <c r="B3077" s="176">
        <v>4.37</v>
      </c>
      <c r="C3077" s="176"/>
      <c r="D3077" s="176"/>
      <c r="E3077" s="176"/>
    </row>
    <row r="3078" spans="1:5" x14ac:dyDescent="0.2">
      <c r="A3078" s="175">
        <v>38541</v>
      </c>
      <c r="B3078" s="176">
        <v>4.42</v>
      </c>
      <c r="C3078" s="176"/>
      <c r="D3078" s="176"/>
      <c r="E3078" s="176"/>
    </row>
    <row r="3079" spans="1:5" x14ac:dyDescent="0.2">
      <c r="A3079" s="175">
        <v>38544</v>
      </c>
      <c r="B3079" s="176">
        <v>4.42</v>
      </c>
      <c r="C3079" s="176"/>
      <c r="D3079" s="176"/>
      <c r="E3079" s="176"/>
    </row>
    <row r="3080" spans="1:5" x14ac:dyDescent="0.2">
      <c r="A3080" s="175">
        <v>38545</v>
      </c>
      <c r="B3080" s="176">
        <v>4.46</v>
      </c>
      <c r="C3080" s="176"/>
      <c r="D3080" s="176"/>
      <c r="E3080" s="176"/>
    </row>
    <row r="3081" spans="1:5" x14ac:dyDescent="0.2">
      <c r="A3081" s="175">
        <v>38546</v>
      </c>
      <c r="B3081" s="176">
        <v>4.47</v>
      </c>
      <c r="C3081" s="176"/>
      <c r="D3081" s="176"/>
      <c r="E3081" s="176"/>
    </row>
    <row r="3082" spans="1:5" x14ac:dyDescent="0.2">
      <c r="A3082" s="175">
        <v>38547</v>
      </c>
      <c r="B3082" s="176">
        <v>4.49</v>
      </c>
      <c r="C3082" s="176"/>
      <c r="D3082" s="176"/>
      <c r="E3082" s="176"/>
    </row>
    <row r="3083" spans="1:5" x14ac:dyDescent="0.2">
      <c r="A3083" s="175">
        <v>38548</v>
      </c>
      <c r="B3083" s="176">
        <v>4.47</v>
      </c>
      <c r="C3083" s="176"/>
      <c r="D3083" s="176"/>
      <c r="E3083" s="176"/>
    </row>
    <row r="3084" spans="1:5" x14ac:dyDescent="0.2">
      <c r="A3084" s="175">
        <v>38551</v>
      </c>
      <c r="B3084" s="176">
        <v>4.53</v>
      </c>
      <c r="C3084" s="176"/>
      <c r="D3084" s="176"/>
      <c r="E3084" s="176"/>
    </row>
    <row r="3085" spans="1:5" x14ac:dyDescent="0.2">
      <c r="A3085" s="175">
        <v>38552</v>
      </c>
      <c r="B3085" s="176">
        <v>4.5</v>
      </c>
      <c r="C3085" s="176"/>
      <c r="D3085" s="176"/>
      <c r="E3085" s="176"/>
    </row>
    <row r="3086" spans="1:5" x14ac:dyDescent="0.2">
      <c r="A3086" s="175">
        <v>38553</v>
      </c>
      <c r="B3086" s="176">
        <v>4.47</v>
      </c>
      <c r="C3086" s="176"/>
      <c r="D3086" s="176"/>
      <c r="E3086" s="176"/>
    </row>
    <row r="3087" spans="1:5" x14ac:dyDescent="0.2">
      <c r="A3087" s="175">
        <v>38554</v>
      </c>
      <c r="B3087" s="176">
        <v>4.58</v>
      </c>
      <c r="C3087" s="176"/>
      <c r="D3087" s="176"/>
      <c r="E3087" s="176"/>
    </row>
    <row r="3088" spans="1:5" x14ac:dyDescent="0.2">
      <c r="A3088" s="175">
        <v>38555</v>
      </c>
      <c r="B3088" s="176">
        <v>4.5199999999999996</v>
      </c>
      <c r="C3088" s="176"/>
      <c r="D3088" s="176"/>
      <c r="E3088" s="176"/>
    </row>
    <row r="3089" spans="1:5" x14ac:dyDescent="0.2">
      <c r="A3089" s="175">
        <v>38558</v>
      </c>
      <c r="B3089" s="176">
        <v>4.53</v>
      </c>
      <c r="C3089" s="176"/>
      <c r="D3089" s="176"/>
      <c r="E3089" s="176"/>
    </row>
    <row r="3090" spans="1:5" x14ac:dyDescent="0.2">
      <c r="A3090" s="175">
        <v>38559</v>
      </c>
      <c r="B3090" s="176">
        <v>4.53</v>
      </c>
      <c r="C3090" s="176"/>
      <c r="D3090" s="176"/>
      <c r="E3090" s="176"/>
    </row>
    <row r="3091" spans="1:5" x14ac:dyDescent="0.2">
      <c r="A3091" s="175">
        <v>38560</v>
      </c>
      <c r="B3091" s="176">
        <v>4.55</v>
      </c>
      <c r="C3091" s="176"/>
      <c r="D3091" s="176"/>
      <c r="E3091" s="176"/>
    </row>
    <row r="3092" spans="1:5" x14ac:dyDescent="0.2">
      <c r="A3092" s="175">
        <v>38561</v>
      </c>
      <c r="B3092" s="176">
        <v>4.4800000000000004</v>
      </c>
      <c r="C3092" s="176"/>
      <c r="D3092" s="176"/>
      <c r="E3092" s="176"/>
    </row>
    <row r="3093" spans="1:5" x14ac:dyDescent="0.2">
      <c r="A3093" s="175">
        <v>38562</v>
      </c>
      <c r="B3093" s="176">
        <v>4.5599999999999996</v>
      </c>
      <c r="C3093" s="176"/>
      <c r="D3093" s="176"/>
      <c r="E3093" s="176"/>
    </row>
    <row r="3094" spans="1:5" x14ac:dyDescent="0.2">
      <c r="A3094" s="175">
        <v>38565</v>
      </c>
      <c r="B3094" s="176">
        <v>4.59</v>
      </c>
      <c r="C3094" s="176"/>
      <c r="D3094" s="176"/>
      <c r="E3094" s="176"/>
    </row>
    <row r="3095" spans="1:5" x14ac:dyDescent="0.2">
      <c r="A3095" s="175">
        <v>38566</v>
      </c>
      <c r="B3095" s="176">
        <v>4.62</v>
      </c>
      <c r="C3095" s="176"/>
      <c r="D3095" s="176"/>
      <c r="E3095" s="176"/>
    </row>
    <row r="3096" spans="1:5" x14ac:dyDescent="0.2">
      <c r="A3096" s="175">
        <v>38567</v>
      </c>
      <c r="B3096" s="176">
        <v>4.58</v>
      </c>
      <c r="C3096" s="176"/>
      <c r="D3096" s="176"/>
      <c r="E3096" s="176"/>
    </row>
    <row r="3097" spans="1:5" x14ac:dyDescent="0.2">
      <c r="A3097" s="175">
        <v>38568</v>
      </c>
      <c r="B3097" s="176">
        <v>4.5999999999999996</v>
      </c>
      <c r="C3097" s="176"/>
      <c r="D3097" s="176"/>
      <c r="E3097" s="176"/>
    </row>
    <row r="3098" spans="1:5" x14ac:dyDescent="0.2">
      <c r="A3098" s="175">
        <v>38569</v>
      </c>
      <c r="B3098" s="176">
        <v>4.66</v>
      </c>
      <c r="C3098" s="176"/>
      <c r="D3098" s="176"/>
      <c r="E3098" s="176"/>
    </row>
    <row r="3099" spans="1:5" x14ac:dyDescent="0.2">
      <c r="A3099" s="175">
        <v>38572</v>
      </c>
      <c r="B3099" s="176">
        <v>4.68</v>
      </c>
      <c r="C3099" s="176"/>
      <c r="D3099" s="176"/>
      <c r="E3099" s="176"/>
    </row>
    <row r="3100" spans="1:5" x14ac:dyDescent="0.2">
      <c r="A3100" s="175">
        <v>38573</v>
      </c>
      <c r="B3100" s="176">
        <v>4.66</v>
      </c>
      <c r="C3100" s="176"/>
      <c r="D3100" s="176"/>
      <c r="E3100" s="176"/>
    </row>
    <row r="3101" spans="1:5" x14ac:dyDescent="0.2">
      <c r="A3101" s="175">
        <v>38574</v>
      </c>
      <c r="B3101" s="176">
        <v>4.6500000000000004</v>
      </c>
      <c r="C3101" s="176"/>
      <c r="D3101" s="176"/>
      <c r="E3101" s="176"/>
    </row>
    <row r="3102" spans="1:5" x14ac:dyDescent="0.2">
      <c r="A3102" s="175">
        <v>38575</v>
      </c>
      <c r="B3102" s="176">
        <v>4.5999999999999996</v>
      </c>
      <c r="C3102" s="176"/>
      <c r="D3102" s="176"/>
      <c r="E3102" s="176"/>
    </row>
    <row r="3103" spans="1:5" x14ac:dyDescent="0.2">
      <c r="A3103" s="175">
        <v>38576</v>
      </c>
      <c r="B3103" s="176">
        <v>4.5199999999999996</v>
      </c>
      <c r="C3103" s="176"/>
      <c r="D3103" s="176"/>
      <c r="E3103" s="176"/>
    </row>
    <row r="3104" spans="1:5" x14ac:dyDescent="0.2">
      <c r="A3104" s="175">
        <v>38579</v>
      </c>
      <c r="B3104" s="176">
        <v>4.53</v>
      </c>
      <c r="C3104" s="176"/>
      <c r="D3104" s="176"/>
      <c r="E3104" s="176"/>
    </row>
    <row r="3105" spans="1:5" x14ac:dyDescent="0.2">
      <c r="A3105" s="175">
        <v>38580</v>
      </c>
      <c r="B3105" s="176">
        <v>4.49</v>
      </c>
      <c r="C3105" s="176"/>
      <c r="D3105" s="176"/>
      <c r="E3105" s="176"/>
    </row>
    <row r="3106" spans="1:5" x14ac:dyDescent="0.2">
      <c r="A3106" s="175">
        <v>38581</v>
      </c>
      <c r="B3106" s="176">
        <v>4.53</v>
      </c>
      <c r="C3106" s="176"/>
      <c r="D3106" s="176"/>
      <c r="E3106" s="176"/>
    </row>
    <row r="3107" spans="1:5" x14ac:dyDescent="0.2">
      <c r="A3107" s="175">
        <v>38582</v>
      </c>
      <c r="B3107" s="176">
        <v>4.4800000000000004</v>
      </c>
      <c r="C3107" s="176"/>
      <c r="D3107" s="176"/>
      <c r="E3107" s="176"/>
    </row>
    <row r="3108" spans="1:5" x14ac:dyDescent="0.2">
      <c r="A3108" s="175">
        <v>38583</v>
      </c>
      <c r="B3108" s="176">
        <v>4.47</v>
      </c>
      <c r="C3108" s="176"/>
      <c r="D3108" s="176"/>
      <c r="E3108" s="176"/>
    </row>
    <row r="3109" spans="1:5" x14ac:dyDescent="0.2">
      <c r="A3109" s="175">
        <v>38586</v>
      </c>
      <c r="B3109" s="176">
        <v>4.4800000000000004</v>
      </c>
      <c r="C3109" s="176"/>
      <c r="D3109" s="176"/>
      <c r="E3109" s="176"/>
    </row>
    <row r="3110" spans="1:5" x14ac:dyDescent="0.2">
      <c r="A3110" s="175">
        <v>38587</v>
      </c>
      <c r="B3110" s="176">
        <v>4.46</v>
      </c>
      <c r="C3110" s="176"/>
      <c r="D3110" s="176"/>
      <c r="E3110" s="176"/>
    </row>
    <row r="3111" spans="1:5" x14ac:dyDescent="0.2">
      <c r="A3111" s="175">
        <v>38588</v>
      </c>
      <c r="B3111" s="176">
        <v>4.46</v>
      </c>
      <c r="C3111" s="176"/>
      <c r="D3111" s="176"/>
      <c r="E3111" s="176"/>
    </row>
    <row r="3112" spans="1:5" x14ac:dyDescent="0.2">
      <c r="A3112" s="175">
        <v>38589</v>
      </c>
      <c r="B3112" s="176">
        <v>4.45</v>
      </c>
      <c r="C3112" s="176"/>
      <c r="D3112" s="176"/>
      <c r="E3112" s="176"/>
    </row>
    <row r="3113" spans="1:5" x14ac:dyDescent="0.2">
      <c r="A3113" s="175">
        <v>38590</v>
      </c>
      <c r="B3113" s="176">
        <v>4.46</v>
      </c>
      <c r="C3113" s="176"/>
      <c r="D3113" s="176"/>
      <c r="E3113" s="176"/>
    </row>
    <row r="3114" spans="1:5" x14ac:dyDescent="0.2">
      <c r="A3114" s="175">
        <v>38593</v>
      </c>
      <c r="B3114" s="176">
        <v>4.45</v>
      </c>
      <c r="C3114" s="176"/>
      <c r="D3114" s="176"/>
      <c r="E3114" s="176"/>
    </row>
    <row r="3115" spans="1:5" x14ac:dyDescent="0.2">
      <c r="A3115" s="175">
        <v>38594</v>
      </c>
      <c r="B3115" s="176">
        <v>4.43</v>
      </c>
      <c r="C3115" s="176"/>
      <c r="D3115" s="176"/>
      <c r="E3115" s="176"/>
    </row>
    <row r="3116" spans="1:5" x14ac:dyDescent="0.2">
      <c r="A3116" s="175">
        <v>38595</v>
      </c>
      <c r="B3116" s="176">
        <v>4.3</v>
      </c>
      <c r="C3116" s="176"/>
      <c r="D3116" s="176"/>
      <c r="E3116" s="176"/>
    </row>
    <row r="3117" spans="1:5" x14ac:dyDescent="0.2">
      <c r="A3117" s="175">
        <v>38596</v>
      </c>
      <c r="B3117" s="176">
        <v>4.3099999999999996</v>
      </c>
      <c r="C3117" s="176"/>
      <c r="D3117" s="176"/>
      <c r="E3117" s="176"/>
    </row>
    <row r="3118" spans="1:5" x14ac:dyDescent="0.2">
      <c r="A3118" s="175">
        <v>38597</v>
      </c>
      <c r="B3118" s="176">
        <v>4.33</v>
      </c>
      <c r="C3118" s="176"/>
      <c r="D3118" s="176"/>
      <c r="E3118" s="176"/>
    </row>
    <row r="3119" spans="1:5" x14ac:dyDescent="0.2">
      <c r="A3119" s="175">
        <v>38600</v>
      </c>
      <c r="B3119" s="177" t="e">
        <f>NA()</f>
        <v>#N/A</v>
      </c>
      <c r="C3119" s="177"/>
      <c r="D3119" s="177"/>
      <c r="E3119" s="177"/>
    </row>
    <row r="3120" spans="1:5" x14ac:dyDescent="0.2">
      <c r="A3120" s="175">
        <v>38601</v>
      </c>
      <c r="B3120" s="176">
        <v>4.3899999999999997</v>
      </c>
      <c r="C3120" s="176"/>
      <c r="D3120" s="176"/>
      <c r="E3120" s="176"/>
    </row>
    <row r="3121" spans="1:5" x14ac:dyDescent="0.2">
      <c r="A3121" s="175">
        <v>38602</v>
      </c>
      <c r="B3121" s="176">
        <v>4.46</v>
      </c>
      <c r="C3121" s="176"/>
      <c r="D3121" s="176"/>
      <c r="E3121" s="176"/>
    </row>
    <row r="3122" spans="1:5" x14ac:dyDescent="0.2">
      <c r="A3122" s="175">
        <v>38603</v>
      </c>
      <c r="B3122" s="176">
        <v>4.45</v>
      </c>
      <c r="C3122" s="176"/>
      <c r="D3122" s="176"/>
      <c r="E3122" s="176"/>
    </row>
    <row r="3123" spans="1:5" x14ac:dyDescent="0.2">
      <c r="A3123" s="175">
        <v>38604</v>
      </c>
      <c r="B3123" s="176">
        <v>4.45</v>
      </c>
      <c r="C3123" s="176"/>
      <c r="D3123" s="176"/>
      <c r="E3123" s="176"/>
    </row>
    <row r="3124" spans="1:5" x14ac:dyDescent="0.2">
      <c r="A3124" s="175">
        <v>38607</v>
      </c>
      <c r="B3124" s="176">
        <v>4.5</v>
      </c>
      <c r="C3124" s="176"/>
      <c r="D3124" s="176"/>
      <c r="E3124" s="176"/>
    </row>
    <row r="3125" spans="1:5" x14ac:dyDescent="0.2">
      <c r="A3125" s="175">
        <v>38608</v>
      </c>
      <c r="B3125" s="176">
        <v>4.47</v>
      </c>
      <c r="C3125" s="176"/>
      <c r="D3125" s="176"/>
      <c r="E3125" s="176"/>
    </row>
    <row r="3126" spans="1:5" x14ac:dyDescent="0.2">
      <c r="A3126" s="175">
        <v>38609</v>
      </c>
      <c r="B3126" s="176">
        <v>4.5</v>
      </c>
      <c r="C3126" s="176"/>
      <c r="D3126" s="176"/>
      <c r="E3126" s="176"/>
    </row>
    <row r="3127" spans="1:5" x14ac:dyDescent="0.2">
      <c r="A3127" s="175">
        <v>38610</v>
      </c>
      <c r="B3127" s="176">
        <v>4.5599999999999996</v>
      </c>
      <c r="C3127" s="176"/>
      <c r="D3127" s="176"/>
      <c r="E3127" s="176"/>
    </row>
    <row r="3128" spans="1:5" x14ac:dyDescent="0.2">
      <c r="A3128" s="175">
        <v>38611</v>
      </c>
      <c r="B3128" s="176">
        <v>4.6100000000000003</v>
      </c>
      <c r="C3128" s="176"/>
      <c r="D3128" s="176"/>
      <c r="E3128" s="176"/>
    </row>
    <row r="3129" spans="1:5" x14ac:dyDescent="0.2">
      <c r="A3129" s="175">
        <v>38614</v>
      </c>
      <c r="B3129" s="176">
        <v>4.5999999999999996</v>
      </c>
      <c r="C3129" s="176"/>
      <c r="D3129" s="176"/>
      <c r="E3129" s="176"/>
    </row>
    <row r="3130" spans="1:5" x14ac:dyDescent="0.2">
      <c r="A3130" s="175">
        <v>38615</v>
      </c>
      <c r="B3130" s="176">
        <v>4.59</v>
      </c>
      <c r="C3130" s="176"/>
      <c r="D3130" s="176"/>
      <c r="E3130" s="176"/>
    </row>
    <row r="3131" spans="1:5" x14ac:dyDescent="0.2">
      <c r="A3131" s="175">
        <v>38616</v>
      </c>
      <c r="B3131" s="176">
        <v>4.5199999999999996</v>
      </c>
      <c r="C3131" s="176"/>
      <c r="D3131" s="176"/>
      <c r="E3131" s="176"/>
    </row>
    <row r="3132" spans="1:5" x14ac:dyDescent="0.2">
      <c r="A3132" s="175">
        <v>38617</v>
      </c>
      <c r="B3132" s="176">
        <v>4.5199999999999996</v>
      </c>
      <c r="C3132" s="176"/>
      <c r="D3132" s="176"/>
      <c r="E3132" s="176"/>
    </row>
    <row r="3133" spans="1:5" x14ac:dyDescent="0.2">
      <c r="A3133" s="175">
        <v>38618</v>
      </c>
      <c r="B3133" s="176">
        <v>4.57</v>
      </c>
      <c r="C3133" s="176"/>
      <c r="D3133" s="176"/>
      <c r="E3133" s="176"/>
    </row>
    <row r="3134" spans="1:5" x14ac:dyDescent="0.2">
      <c r="A3134" s="175">
        <v>38621</v>
      </c>
      <c r="B3134" s="176">
        <v>4.5999999999999996</v>
      </c>
      <c r="C3134" s="176"/>
      <c r="D3134" s="176"/>
      <c r="E3134" s="176"/>
    </row>
    <row r="3135" spans="1:5" x14ac:dyDescent="0.2">
      <c r="A3135" s="175">
        <v>38622</v>
      </c>
      <c r="B3135" s="176">
        <v>4.5999999999999996</v>
      </c>
      <c r="C3135" s="176"/>
      <c r="D3135" s="176"/>
      <c r="E3135" s="176"/>
    </row>
    <row r="3136" spans="1:5" x14ac:dyDescent="0.2">
      <c r="A3136" s="175">
        <v>38623</v>
      </c>
      <c r="B3136" s="176">
        <v>4.55</v>
      </c>
      <c r="C3136" s="176"/>
      <c r="D3136" s="176"/>
      <c r="E3136" s="176"/>
    </row>
    <row r="3137" spans="1:5" x14ac:dyDescent="0.2">
      <c r="A3137" s="175">
        <v>38624</v>
      </c>
      <c r="B3137" s="176">
        <v>4.59</v>
      </c>
      <c r="C3137" s="176"/>
      <c r="D3137" s="176"/>
      <c r="E3137" s="176"/>
    </row>
    <row r="3138" spans="1:5" x14ac:dyDescent="0.2">
      <c r="A3138" s="175">
        <v>38625</v>
      </c>
      <c r="B3138" s="176">
        <v>4.62</v>
      </c>
      <c r="C3138" s="176"/>
      <c r="D3138" s="176"/>
      <c r="E3138" s="176"/>
    </row>
    <row r="3139" spans="1:5" x14ac:dyDescent="0.2">
      <c r="A3139" s="175">
        <v>38628</v>
      </c>
      <c r="B3139" s="176">
        <v>4.67</v>
      </c>
      <c r="C3139" s="176"/>
      <c r="D3139" s="176"/>
      <c r="E3139" s="176"/>
    </row>
    <row r="3140" spans="1:5" x14ac:dyDescent="0.2">
      <c r="A3140" s="175">
        <v>38629</v>
      </c>
      <c r="B3140" s="176">
        <v>4.66</v>
      </c>
      <c r="C3140" s="176"/>
      <c r="D3140" s="176"/>
      <c r="E3140" s="176"/>
    </row>
    <row r="3141" spans="1:5" x14ac:dyDescent="0.2">
      <c r="A3141" s="175">
        <v>38630</v>
      </c>
      <c r="B3141" s="176">
        <v>4.63</v>
      </c>
      <c r="C3141" s="176"/>
      <c r="D3141" s="176"/>
      <c r="E3141" s="176"/>
    </row>
    <row r="3142" spans="1:5" x14ac:dyDescent="0.2">
      <c r="A3142" s="175">
        <v>38631</v>
      </c>
      <c r="B3142" s="176">
        <v>4.6399999999999997</v>
      </c>
      <c r="C3142" s="176"/>
      <c r="D3142" s="176"/>
      <c r="E3142" s="176"/>
    </row>
    <row r="3143" spans="1:5" x14ac:dyDescent="0.2">
      <c r="A3143" s="175">
        <v>38632</v>
      </c>
      <c r="B3143" s="176">
        <v>4.62</v>
      </c>
      <c r="C3143" s="176"/>
      <c r="D3143" s="176"/>
      <c r="E3143" s="176"/>
    </row>
    <row r="3144" spans="1:5" x14ac:dyDescent="0.2">
      <c r="A3144" s="175">
        <v>38635</v>
      </c>
      <c r="B3144" s="177" t="e">
        <f>NA()</f>
        <v>#N/A</v>
      </c>
      <c r="C3144" s="177"/>
      <c r="D3144" s="177"/>
      <c r="E3144" s="177"/>
    </row>
    <row r="3145" spans="1:5" x14ac:dyDescent="0.2">
      <c r="A3145" s="175">
        <v>38636</v>
      </c>
      <c r="B3145" s="176">
        <v>4.6500000000000004</v>
      </c>
      <c r="C3145" s="176"/>
      <c r="D3145" s="176"/>
      <c r="E3145" s="176"/>
    </row>
    <row r="3146" spans="1:5" x14ac:dyDescent="0.2">
      <c r="A3146" s="175">
        <v>38637</v>
      </c>
      <c r="B3146" s="176">
        <v>4.71</v>
      </c>
      <c r="C3146" s="176"/>
      <c r="D3146" s="176"/>
      <c r="E3146" s="176"/>
    </row>
    <row r="3147" spans="1:5" x14ac:dyDescent="0.2">
      <c r="A3147" s="175">
        <v>38638</v>
      </c>
      <c r="B3147" s="176">
        <v>4.7699999999999996</v>
      </c>
      <c r="C3147" s="176"/>
      <c r="D3147" s="176"/>
      <c r="E3147" s="176"/>
    </row>
    <row r="3148" spans="1:5" x14ac:dyDescent="0.2">
      <c r="A3148" s="175">
        <v>38639</v>
      </c>
      <c r="B3148" s="176">
        <v>4.76</v>
      </c>
      <c r="C3148" s="176"/>
      <c r="D3148" s="176"/>
      <c r="E3148" s="176"/>
    </row>
    <row r="3149" spans="1:5" x14ac:dyDescent="0.2">
      <c r="A3149" s="175">
        <v>38642</v>
      </c>
      <c r="B3149" s="176">
        <v>4.7699999999999996</v>
      </c>
      <c r="C3149" s="176"/>
      <c r="D3149" s="176"/>
      <c r="E3149" s="176"/>
    </row>
    <row r="3150" spans="1:5" x14ac:dyDescent="0.2">
      <c r="A3150" s="175">
        <v>38643</v>
      </c>
      <c r="B3150" s="176">
        <v>4.78</v>
      </c>
      <c r="C3150" s="176"/>
      <c r="D3150" s="176"/>
      <c r="E3150" s="176"/>
    </row>
    <row r="3151" spans="1:5" x14ac:dyDescent="0.2">
      <c r="A3151" s="175">
        <v>38644</v>
      </c>
      <c r="B3151" s="176">
        <v>4.76</v>
      </c>
      <c r="C3151" s="176"/>
      <c r="D3151" s="176"/>
      <c r="E3151" s="176"/>
    </row>
    <row r="3152" spans="1:5" x14ac:dyDescent="0.2">
      <c r="A3152" s="175">
        <v>38645</v>
      </c>
      <c r="B3152" s="176">
        <v>4.75</v>
      </c>
      <c r="C3152" s="176"/>
      <c r="D3152" s="176"/>
      <c r="E3152" s="176"/>
    </row>
    <row r="3153" spans="1:5" x14ac:dyDescent="0.2">
      <c r="A3153" s="175">
        <v>38646</v>
      </c>
      <c r="B3153" s="176">
        <v>4.68</v>
      </c>
      <c r="C3153" s="176"/>
      <c r="D3153" s="176"/>
      <c r="E3153" s="176"/>
    </row>
    <row r="3154" spans="1:5" x14ac:dyDescent="0.2">
      <c r="A3154" s="175">
        <v>38649</v>
      </c>
      <c r="B3154" s="176">
        <v>4.74</v>
      </c>
      <c r="C3154" s="176"/>
      <c r="D3154" s="176"/>
      <c r="E3154" s="176"/>
    </row>
    <row r="3155" spans="1:5" x14ac:dyDescent="0.2">
      <c r="A3155" s="175">
        <v>38650</v>
      </c>
      <c r="B3155" s="176">
        <v>4.8</v>
      </c>
      <c r="C3155" s="176"/>
      <c r="D3155" s="176"/>
      <c r="E3155" s="176"/>
    </row>
    <row r="3156" spans="1:5" x14ac:dyDescent="0.2">
      <c r="A3156" s="175">
        <v>38651</v>
      </c>
      <c r="B3156" s="176">
        <v>4.87</v>
      </c>
      <c r="C3156" s="176"/>
      <c r="D3156" s="176"/>
      <c r="E3156" s="176"/>
    </row>
    <row r="3157" spans="1:5" x14ac:dyDescent="0.2">
      <c r="A3157" s="175">
        <v>38652</v>
      </c>
      <c r="B3157" s="176">
        <v>4.84</v>
      </c>
      <c r="C3157" s="176"/>
      <c r="D3157" s="176"/>
      <c r="E3157" s="176"/>
    </row>
    <row r="3158" spans="1:5" x14ac:dyDescent="0.2">
      <c r="A3158" s="175">
        <v>38653</v>
      </c>
      <c r="B3158" s="176">
        <v>4.84</v>
      </c>
      <c r="C3158" s="176"/>
      <c r="D3158" s="176"/>
      <c r="E3158" s="176"/>
    </row>
    <row r="3159" spans="1:5" x14ac:dyDescent="0.2">
      <c r="A3159" s="175">
        <v>38656</v>
      </c>
      <c r="B3159" s="176">
        <v>4.84</v>
      </c>
      <c r="C3159" s="176"/>
      <c r="D3159" s="176"/>
      <c r="E3159" s="176"/>
    </row>
    <row r="3160" spans="1:5" x14ac:dyDescent="0.2">
      <c r="A3160" s="175">
        <v>38657</v>
      </c>
      <c r="B3160" s="176">
        <v>4.8499999999999996</v>
      </c>
      <c r="C3160" s="176"/>
      <c r="D3160" s="176"/>
      <c r="E3160" s="176"/>
    </row>
    <row r="3161" spans="1:5" x14ac:dyDescent="0.2">
      <c r="A3161" s="175">
        <v>38658</v>
      </c>
      <c r="B3161" s="176">
        <v>4.88</v>
      </c>
      <c r="C3161" s="176"/>
      <c r="D3161" s="176"/>
      <c r="E3161" s="176"/>
    </row>
    <row r="3162" spans="1:5" x14ac:dyDescent="0.2">
      <c r="A3162" s="175">
        <v>38659</v>
      </c>
      <c r="B3162" s="176">
        <v>4.9400000000000004</v>
      </c>
      <c r="C3162" s="176"/>
      <c r="D3162" s="176"/>
      <c r="E3162" s="176"/>
    </row>
    <row r="3163" spans="1:5" x14ac:dyDescent="0.2">
      <c r="A3163" s="175">
        <v>38660</v>
      </c>
      <c r="B3163" s="176">
        <v>4.95</v>
      </c>
      <c r="C3163" s="176"/>
      <c r="D3163" s="176"/>
      <c r="E3163" s="176"/>
    </row>
    <row r="3164" spans="1:5" x14ac:dyDescent="0.2">
      <c r="A3164" s="175">
        <v>38663</v>
      </c>
      <c r="B3164" s="176">
        <v>4.93</v>
      </c>
      <c r="C3164" s="176"/>
      <c r="D3164" s="176"/>
      <c r="E3164" s="176"/>
    </row>
    <row r="3165" spans="1:5" x14ac:dyDescent="0.2">
      <c r="A3165" s="175">
        <v>38664</v>
      </c>
      <c r="B3165" s="176">
        <v>4.8600000000000003</v>
      </c>
      <c r="C3165" s="176"/>
      <c r="D3165" s="176"/>
      <c r="E3165" s="176"/>
    </row>
    <row r="3166" spans="1:5" x14ac:dyDescent="0.2">
      <c r="A3166" s="175">
        <v>38665</v>
      </c>
      <c r="B3166" s="176">
        <v>4.93</v>
      </c>
      <c r="C3166" s="176"/>
      <c r="D3166" s="176"/>
      <c r="E3166" s="176"/>
    </row>
    <row r="3167" spans="1:5" x14ac:dyDescent="0.2">
      <c r="A3167" s="175">
        <v>38666</v>
      </c>
      <c r="B3167" s="176">
        <v>4.8499999999999996</v>
      </c>
      <c r="C3167" s="176"/>
      <c r="D3167" s="176"/>
      <c r="E3167" s="176"/>
    </row>
    <row r="3168" spans="1:5" x14ac:dyDescent="0.2">
      <c r="A3168" s="175">
        <v>38667</v>
      </c>
      <c r="B3168" s="176" t="e">
        <f>NA()</f>
        <v>#N/A</v>
      </c>
      <c r="C3168" s="176"/>
      <c r="D3168" s="176"/>
      <c r="E3168" s="176"/>
    </row>
    <row r="3169" spans="1:5" x14ac:dyDescent="0.2">
      <c r="A3169" s="175">
        <v>38670</v>
      </c>
      <c r="B3169" s="176">
        <v>4.9000000000000004</v>
      </c>
      <c r="C3169" s="176"/>
      <c r="D3169" s="176"/>
      <c r="E3169" s="176"/>
    </row>
    <row r="3170" spans="1:5" x14ac:dyDescent="0.2">
      <c r="A3170" s="175">
        <v>38671</v>
      </c>
      <c r="B3170" s="176">
        <v>4.83</v>
      </c>
      <c r="C3170" s="176"/>
      <c r="D3170" s="176"/>
      <c r="E3170" s="176"/>
    </row>
    <row r="3171" spans="1:5" x14ac:dyDescent="0.2">
      <c r="A3171" s="175">
        <v>38672</v>
      </c>
      <c r="B3171" s="176">
        <v>4.7699999999999996</v>
      </c>
      <c r="C3171" s="176"/>
      <c r="D3171" s="176"/>
      <c r="E3171" s="176"/>
    </row>
    <row r="3172" spans="1:5" x14ac:dyDescent="0.2">
      <c r="A3172" s="175">
        <v>38673</v>
      </c>
      <c r="B3172" s="176">
        <v>4.75</v>
      </c>
      <c r="C3172" s="176"/>
      <c r="D3172" s="176"/>
      <c r="E3172" s="176"/>
    </row>
    <row r="3173" spans="1:5" x14ac:dyDescent="0.2">
      <c r="A3173" s="175">
        <v>38674</v>
      </c>
      <c r="B3173" s="176">
        <v>4.79</v>
      </c>
      <c r="C3173" s="176"/>
      <c r="D3173" s="176"/>
      <c r="E3173" s="176"/>
    </row>
    <row r="3174" spans="1:5" x14ac:dyDescent="0.2">
      <c r="A3174" s="175">
        <v>38677</v>
      </c>
      <c r="B3174" s="176">
        <v>4.76</v>
      </c>
      <c r="C3174" s="176"/>
      <c r="D3174" s="176"/>
      <c r="E3174" s="176"/>
    </row>
    <row r="3175" spans="1:5" x14ac:dyDescent="0.2">
      <c r="A3175" s="175">
        <v>38678</v>
      </c>
      <c r="B3175" s="176">
        <v>4.76</v>
      </c>
      <c r="C3175" s="176"/>
      <c r="D3175" s="176"/>
      <c r="E3175" s="176"/>
    </row>
    <row r="3176" spans="1:5" x14ac:dyDescent="0.2">
      <c r="A3176" s="175">
        <v>38679</v>
      </c>
      <c r="B3176" s="176">
        <v>4.8</v>
      </c>
      <c r="C3176" s="176"/>
      <c r="D3176" s="176"/>
      <c r="E3176" s="176"/>
    </row>
    <row r="3177" spans="1:5" x14ac:dyDescent="0.2">
      <c r="A3177" s="175">
        <v>38680</v>
      </c>
      <c r="B3177" s="176" t="e">
        <f>NA()</f>
        <v>#N/A</v>
      </c>
      <c r="C3177" s="176"/>
      <c r="D3177" s="176"/>
      <c r="E3177" s="176"/>
    </row>
    <row r="3178" spans="1:5" x14ac:dyDescent="0.2">
      <c r="A3178" s="175">
        <v>38681</v>
      </c>
      <c r="B3178" s="176">
        <v>4.76</v>
      </c>
      <c r="C3178" s="176"/>
      <c r="D3178" s="176"/>
      <c r="E3178" s="176"/>
    </row>
    <row r="3179" spans="1:5" x14ac:dyDescent="0.2">
      <c r="A3179" s="175">
        <v>38684</v>
      </c>
      <c r="B3179" s="176">
        <v>4.71</v>
      </c>
      <c r="C3179" s="176"/>
      <c r="D3179" s="176"/>
      <c r="E3179" s="176"/>
    </row>
    <row r="3180" spans="1:5" x14ac:dyDescent="0.2">
      <c r="A3180" s="175">
        <v>38685</v>
      </c>
      <c r="B3180" s="176">
        <v>4.78</v>
      </c>
      <c r="C3180" s="176"/>
      <c r="D3180" s="176"/>
      <c r="E3180" s="176"/>
    </row>
    <row r="3181" spans="1:5" x14ac:dyDescent="0.2">
      <c r="A3181" s="175">
        <v>38686</v>
      </c>
      <c r="B3181" s="176">
        <v>4.8099999999999996</v>
      </c>
      <c r="C3181" s="176"/>
      <c r="D3181" s="176"/>
      <c r="E3181" s="176"/>
    </row>
    <row r="3182" spans="1:5" x14ac:dyDescent="0.2">
      <c r="A3182" s="175">
        <v>38687</v>
      </c>
      <c r="B3182" s="176">
        <v>4.83</v>
      </c>
      <c r="C3182" s="176"/>
      <c r="D3182" s="176"/>
      <c r="E3182" s="176"/>
    </row>
    <row r="3183" spans="1:5" x14ac:dyDescent="0.2">
      <c r="A3183" s="175">
        <v>38688</v>
      </c>
      <c r="B3183" s="176">
        <v>4.8099999999999996</v>
      </c>
      <c r="C3183" s="176"/>
      <c r="D3183" s="176"/>
      <c r="E3183" s="176"/>
    </row>
    <row r="3184" spans="1:5" x14ac:dyDescent="0.2">
      <c r="A3184" s="175">
        <v>38691</v>
      </c>
      <c r="B3184" s="176">
        <v>4.8499999999999996</v>
      </c>
      <c r="C3184" s="176"/>
      <c r="D3184" s="176"/>
      <c r="E3184" s="176"/>
    </row>
    <row r="3185" spans="1:5" x14ac:dyDescent="0.2">
      <c r="A3185" s="175">
        <v>38692</v>
      </c>
      <c r="B3185" s="176">
        <v>4.79</v>
      </c>
      <c r="C3185" s="176"/>
      <c r="D3185" s="176"/>
      <c r="E3185" s="176"/>
    </row>
    <row r="3186" spans="1:5" x14ac:dyDescent="0.2">
      <c r="A3186" s="175">
        <v>38693</v>
      </c>
      <c r="B3186" s="176">
        <v>4.8</v>
      </c>
      <c r="C3186" s="176"/>
      <c r="D3186" s="176"/>
      <c r="E3186" s="176"/>
    </row>
    <row r="3187" spans="1:5" x14ac:dyDescent="0.2">
      <c r="A3187" s="175">
        <v>38694</v>
      </c>
      <c r="B3187" s="176">
        <v>4.75</v>
      </c>
      <c r="C3187" s="176"/>
      <c r="D3187" s="176"/>
      <c r="E3187" s="176"/>
    </row>
    <row r="3188" spans="1:5" x14ac:dyDescent="0.2">
      <c r="A3188" s="175">
        <v>38695</v>
      </c>
      <c r="B3188" s="176">
        <v>4.83</v>
      </c>
      <c r="C3188" s="176"/>
      <c r="D3188" s="176"/>
      <c r="E3188" s="176"/>
    </row>
    <row r="3189" spans="1:5" x14ac:dyDescent="0.2">
      <c r="A3189" s="175">
        <v>38698</v>
      </c>
      <c r="B3189" s="177">
        <v>4.82</v>
      </c>
      <c r="C3189" s="177"/>
      <c r="D3189" s="177"/>
      <c r="E3189" s="177"/>
    </row>
    <row r="3190" spans="1:5" x14ac:dyDescent="0.2">
      <c r="A3190" s="175">
        <v>38699</v>
      </c>
      <c r="B3190" s="176">
        <v>4.8099999999999996</v>
      </c>
      <c r="C3190" s="176"/>
      <c r="D3190" s="176"/>
      <c r="E3190" s="176"/>
    </row>
    <row r="3191" spans="1:5" x14ac:dyDescent="0.2">
      <c r="A3191" s="175">
        <v>38700</v>
      </c>
      <c r="B3191" s="176">
        <v>4.7300000000000004</v>
      </c>
      <c r="C3191" s="176"/>
      <c r="D3191" s="176"/>
      <c r="E3191" s="176"/>
    </row>
    <row r="3192" spans="1:5" x14ac:dyDescent="0.2">
      <c r="A3192" s="175">
        <v>38701</v>
      </c>
      <c r="B3192" s="176">
        <v>4.75</v>
      </c>
      <c r="C3192" s="176"/>
      <c r="D3192" s="176"/>
      <c r="E3192" s="176"/>
    </row>
    <row r="3193" spans="1:5" x14ac:dyDescent="0.2">
      <c r="A3193" s="175">
        <v>38702</v>
      </c>
      <c r="B3193" s="176">
        <v>4.72</v>
      </c>
      <c r="C3193" s="176"/>
      <c r="D3193" s="176"/>
      <c r="E3193" s="176"/>
    </row>
    <row r="3194" spans="1:5" x14ac:dyDescent="0.2">
      <c r="A3194" s="175">
        <v>38705</v>
      </c>
      <c r="B3194" s="176">
        <v>4.72</v>
      </c>
      <c r="C3194" s="176"/>
      <c r="D3194" s="176"/>
      <c r="E3194" s="176"/>
    </row>
    <row r="3195" spans="1:5" x14ac:dyDescent="0.2">
      <c r="A3195" s="175">
        <v>38706</v>
      </c>
      <c r="B3195" s="176">
        <v>4.74</v>
      </c>
      <c r="C3195" s="176"/>
      <c r="D3195" s="176"/>
      <c r="E3195" s="176"/>
    </row>
    <row r="3196" spans="1:5" x14ac:dyDescent="0.2">
      <c r="A3196" s="175">
        <v>38707</v>
      </c>
      <c r="B3196" s="176">
        <v>4.75</v>
      </c>
      <c r="C3196" s="176"/>
      <c r="D3196" s="176"/>
      <c r="E3196" s="176"/>
    </row>
    <row r="3197" spans="1:5" x14ac:dyDescent="0.2">
      <c r="A3197" s="175">
        <v>38708</v>
      </c>
      <c r="B3197" s="176">
        <v>4.6900000000000004</v>
      </c>
      <c r="C3197" s="176"/>
      <c r="D3197" s="176"/>
      <c r="E3197" s="176"/>
    </row>
    <row r="3198" spans="1:5" x14ac:dyDescent="0.2">
      <c r="A3198" s="175">
        <v>38709</v>
      </c>
      <c r="B3198" s="176">
        <v>4.63</v>
      </c>
      <c r="C3198" s="176"/>
      <c r="D3198" s="176"/>
      <c r="E3198" s="176"/>
    </row>
    <row r="3199" spans="1:5" x14ac:dyDescent="0.2">
      <c r="A3199" s="175">
        <v>38712</v>
      </c>
      <c r="B3199" s="176" t="e">
        <f>NA()</f>
        <v>#N/A</v>
      </c>
      <c r="C3199" s="176"/>
      <c r="D3199" s="176"/>
      <c r="E3199" s="176"/>
    </row>
    <row r="3200" spans="1:5" x14ac:dyDescent="0.2">
      <c r="A3200" s="175">
        <v>38713</v>
      </c>
      <c r="B3200" s="176">
        <v>4.58</v>
      </c>
      <c r="C3200" s="176"/>
      <c r="D3200" s="176"/>
      <c r="E3200" s="176"/>
    </row>
    <row r="3201" spans="1:5" x14ac:dyDescent="0.2">
      <c r="A3201" s="175">
        <v>38714</v>
      </c>
      <c r="B3201" s="176">
        <v>4.62</v>
      </c>
      <c r="C3201" s="176"/>
      <c r="D3201" s="176"/>
      <c r="E3201" s="176"/>
    </row>
    <row r="3202" spans="1:5" x14ac:dyDescent="0.2">
      <c r="A3202" s="175">
        <v>38715</v>
      </c>
      <c r="B3202" s="176">
        <v>4.5999999999999996</v>
      </c>
      <c r="C3202" s="176"/>
      <c r="D3202" s="176"/>
      <c r="E3202" s="176"/>
    </row>
    <row r="3203" spans="1:5" x14ac:dyDescent="0.2">
      <c r="A3203" s="175">
        <v>38716</v>
      </c>
      <c r="B3203" s="176">
        <v>4.6100000000000003</v>
      </c>
      <c r="C3203" s="176"/>
      <c r="D3203" s="176"/>
      <c r="E3203" s="176"/>
    </row>
    <row r="3204" spans="1:5" x14ac:dyDescent="0.2">
      <c r="A3204" s="175">
        <v>38719</v>
      </c>
      <c r="B3204" s="176" t="e">
        <f>NA()</f>
        <v>#N/A</v>
      </c>
      <c r="C3204" s="176"/>
      <c r="D3204" s="176"/>
      <c r="E3204" s="176"/>
    </row>
    <row r="3205" spans="1:5" x14ac:dyDescent="0.2">
      <c r="A3205" s="175">
        <v>38720</v>
      </c>
      <c r="B3205" s="176">
        <v>4.62</v>
      </c>
      <c r="C3205" s="176"/>
      <c r="D3205" s="176"/>
      <c r="E3205" s="176"/>
    </row>
    <row r="3206" spans="1:5" x14ac:dyDescent="0.2">
      <c r="A3206" s="175">
        <v>38721</v>
      </c>
      <c r="B3206" s="176">
        <v>4.5999999999999996</v>
      </c>
      <c r="C3206" s="176"/>
      <c r="D3206" s="176"/>
      <c r="E3206" s="176"/>
    </row>
    <row r="3207" spans="1:5" x14ac:dyDescent="0.2">
      <c r="A3207" s="175">
        <v>38722</v>
      </c>
      <c r="B3207" s="176">
        <v>4.6100000000000003</v>
      </c>
      <c r="C3207" s="176"/>
      <c r="D3207" s="176"/>
      <c r="E3207" s="176"/>
    </row>
    <row r="3208" spans="1:5" x14ac:dyDescent="0.2">
      <c r="A3208" s="175">
        <v>38723</v>
      </c>
      <c r="B3208" s="176">
        <v>4.63</v>
      </c>
      <c r="C3208" s="176"/>
      <c r="D3208" s="176"/>
      <c r="E3208" s="176"/>
    </row>
    <row r="3209" spans="1:5" x14ac:dyDescent="0.2">
      <c r="A3209" s="175">
        <v>38726</v>
      </c>
      <c r="B3209" s="176">
        <v>4.63</v>
      </c>
      <c r="C3209" s="176"/>
      <c r="D3209" s="176"/>
      <c r="E3209" s="176"/>
    </row>
    <row r="3210" spans="1:5" x14ac:dyDescent="0.2">
      <c r="A3210" s="175">
        <v>38727</v>
      </c>
      <c r="B3210" s="176">
        <v>4.68</v>
      </c>
      <c r="C3210" s="176"/>
      <c r="D3210" s="176"/>
      <c r="E3210" s="176"/>
    </row>
    <row r="3211" spans="1:5" x14ac:dyDescent="0.2">
      <c r="A3211" s="175">
        <v>38728</v>
      </c>
      <c r="B3211" s="176">
        <v>4.7</v>
      </c>
      <c r="C3211" s="176"/>
      <c r="D3211" s="176"/>
      <c r="E3211" s="176"/>
    </row>
    <row r="3212" spans="1:5" x14ac:dyDescent="0.2">
      <c r="A3212" s="175">
        <v>38729</v>
      </c>
      <c r="B3212" s="176">
        <v>4.66</v>
      </c>
      <c r="C3212" s="176"/>
      <c r="D3212" s="176"/>
      <c r="E3212" s="176"/>
    </row>
    <row r="3213" spans="1:5" x14ac:dyDescent="0.2">
      <c r="A3213" s="175">
        <v>38730</v>
      </c>
      <c r="B3213" s="176">
        <v>4.59</v>
      </c>
      <c r="C3213" s="176"/>
      <c r="D3213" s="176"/>
      <c r="E3213" s="176"/>
    </row>
    <row r="3214" spans="1:5" x14ac:dyDescent="0.2">
      <c r="A3214" s="175">
        <v>38733</v>
      </c>
      <c r="B3214" s="177" t="e">
        <f>NA()</f>
        <v>#N/A</v>
      </c>
      <c r="C3214" s="177"/>
      <c r="D3214" s="177"/>
      <c r="E3214" s="177"/>
    </row>
    <row r="3215" spans="1:5" x14ac:dyDescent="0.2">
      <c r="A3215" s="175">
        <v>38734</v>
      </c>
      <c r="B3215" s="176">
        <v>4.57</v>
      </c>
      <c r="C3215" s="176"/>
      <c r="D3215" s="176"/>
      <c r="E3215" s="176"/>
    </row>
    <row r="3216" spans="1:5" x14ac:dyDescent="0.2">
      <c r="A3216" s="175">
        <v>38735</v>
      </c>
      <c r="B3216" s="176">
        <v>4.58</v>
      </c>
      <c r="C3216" s="176"/>
      <c r="D3216" s="176"/>
      <c r="E3216" s="176"/>
    </row>
    <row r="3217" spans="1:5" x14ac:dyDescent="0.2">
      <c r="A3217" s="175">
        <v>38736</v>
      </c>
      <c r="B3217" s="176">
        <v>4.6100000000000003</v>
      </c>
      <c r="C3217" s="176"/>
      <c r="D3217" s="176"/>
      <c r="E3217" s="176"/>
    </row>
    <row r="3218" spans="1:5" x14ac:dyDescent="0.2">
      <c r="A3218" s="175">
        <v>38737</v>
      </c>
      <c r="B3218" s="176">
        <v>4.59</v>
      </c>
      <c r="C3218" s="176"/>
      <c r="D3218" s="176"/>
      <c r="E3218" s="176"/>
    </row>
    <row r="3219" spans="1:5" x14ac:dyDescent="0.2">
      <c r="A3219" s="175">
        <v>38740</v>
      </c>
      <c r="B3219" s="176">
        <v>4.59</v>
      </c>
      <c r="C3219" s="176"/>
      <c r="D3219" s="176"/>
      <c r="E3219" s="176"/>
    </row>
    <row r="3220" spans="1:5" x14ac:dyDescent="0.2">
      <c r="A3220" s="175">
        <v>38741</v>
      </c>
      <c r="B3220" s="176">
        <v>4.63</v>
      </c>
      <c r="C3220" s="176"/>
      <c r="D3220" s="176"/>
      <c r="E3220" s="176"/>
    </row>
    <row r="3221" spans="1:5" x14ac:dyDescent="0.2">
      <c r="A3221" s="175">
        <v>38742</v>
      </c>
      <c r="B3221" s="176">
        <v>4.72</v>
      </c>
      <c r="C3221" s="176"/>
      <c r="D3221" s="176"/>
      <c r="E3221" s="176"/>
    </row>
    <row r="3222" spans="1:5" x14ac:dyDescent="0.2">
      <c r="A3222" s="175">
        <v>38743</v>
      </c>
      <c r="B3222" s="176">
        <v>4.76</v>
      </c>
      <c r="C3222" s="176"/>
      <c r="D3222" s="176"/>
      <c r="E3222" s="176"/>
    </row>
    <row r="3223" spans="1:5" x14ac:dyDescent="0.2">
      <c r="A3223" s="175">
        <v>38744</v>
      </c>
      <c r="B3223" s="176">
        <v>4.75</v>
      </c>
      <c r="C3223" s="176"/>
      <c r="D3223" s="176"/>
      <c r="E3223" s="176"/>
    </row>
    <row r="3224" spans="1:5" x14ac:dyDescent="0.2">
      <c r="A3224" s="175">
        <v>38747</v>
      </c>
      <c r="B3224" s="176">
        <v>4.7699999999999996</v>
      </c>
      <c r="C3224" s="176"/>
      <c r="D3224" s="176"/>
      <c r="E3224" s="176"/>
    </row>
    <row r="3225" spans="1:5" x14ac:dyDescent="0.2">
      <c r="A3225" s="175">
        <v>38748</v>
      </c>
      <c r="B3225" s="176">
        <v>4.74</v>
      </c>
      <c r="C3225" s="176"/>
      <c r="D3225" s="176"/>
      <c r="E3225" s="176"/>
    </row>
    <row r="3226" spans="1:5" x14ac:dyDescent="0.2">
      <c r="A3226" s="175">
        <v>38749</v>
      </c>
      <c r="B3226" s="176">
        <v>4.7699999999999996</v>
      </c>
      <c r="C3226" s="176"/>
      <c r="D3226" s="176"/>
      <c r="E3226" s="176"/>
    </row>
    <row r="3227" spans="1:5" x14ac:dyDescent="0.2">
      <c r="A3227" s="175">
        <v>38750</v>
      </c>
      <c r="B3227" s="176">
        <v>4.76</v>
      </c>
      <c r="C3227" s="176"/>
      <c r="D3227" s="176"/>
      <c r="E3227" s="176"/>
    </row>
    <row r="3228" spans="1:5" x14ac:dyDescent="0.2">
      <c r="A3228" s="175">
        <v>38751</v>
      </c>
      <c r="B3228" s="176">
        <v>4.7</v>
      </c>
      <c r="C3228" s="176"/>
      <c r="D3228" s="176"/>
      <c r="E3228" s="176"/>
    </row>
    <row r="3229" spans="1:5" x14ac:dyDescent="0.2">
      <c r="A3229" s="175">
        <v>38754</v>
      </c>
      <c r="B3229" s="176">
        <v>4.6900000000000004</v>
      </c>
      <c r="C3229" s="176"/>
      <c r="D3229" s="176"/>
      <c r="E3229" s="176"/>
    </row>
    <row r="3230" spans="1:5" x14ac:dyDescent="0.2">
      <c r="A3230" s="175">
        <v>38755</v>
      </c>
      <c r="B3230" s="176">
        <v>4.7300000000000004</v>
      </c>
      <c r="C3230" s="176"/>
      <c r="D3230" s="176"/>
      <c r="E3230" s="176"/>
    </row>
    <row r="3231" spans="1:5" x14ac:dyDescent="0.2">
      <c r="A3231" s="175">
        <v>38756</v>
      </c>
      <c r="B3231" s="176">
        <v>4.75</v>
      </c>
      <c r="C3231" s="176"/>
      <c r="D3231" s="176"/>
      <c r="E3231" s="176"/>
    </row>
    <row r="3232" spans="1:5" x14ac:dyDescent="0.2">
      <c r="A3232" s="175">
        <v>38757</v>
      </c>
      <c r="B3232" s="176">
        <v>4.72</v>
      </c>
      <c r="C3232" s="176"/>
      <c r="D3232" s="176"/>
      <c r="E3232" s="176"/>
    </row>
    <row r="3233" spans="1:5" x14ac:dyDescent="0.2">
      <c r="A3233" s="175">
        <v>38758</v>
      </c>
      <c r="B3233" s="176">
        <v>4.76</v>
      </c>
      <c r="C3233" s="176"/>
      <c r="D3233" s="176"/>
      <c r="E3233" s="176"/>
    </row>
    <row r="3234" spans="1:5" x14ac:dyDescent="0.2">
      <c r="A3234" s="175">
        <v>38761</v>
      </c>
      <c r="B3234" s="176">
        <v>4.76</v>
      </c>
      <c r="C3234" s="176"/>
      <c r="D3234" s="176"/>
      <c r="E3234" s="176"/>
    </row>
    <row r="3235" spans="1:5" x14ac:dyDescent="0.2">
      <c r="A3235" s="175">
        <v>38762</v>
      </c>
      <c r="B3235" s="176">
        <v>4.8</v>
      </c>
      <c r="C3235" s="176"/>
      <c r="D3235" s="176"/>
      <c r="E3235" s="176"/>
    </row>
    <row r="3236" spans="1:5" x14ac:dyDescent="0.2">
      <c r="A3236" s="175">
        <v>38763</v>
      </c>
      <c r="B3236" s="176">
        <v>4.78</v>
      </c>
      <c r="C3236" s="176"/>
      <c r="D3236" s="176"/>
      <c r="E3236" s="176"/>
    </row>
    <row r="3237" spans="1:5" x14ac:dyDescent="0.2">
      <c r="A3237" s="175">
        <v>38764</v>
      </c>
      <c r="B3237" s="176">
        <v>4.7699999999999996</v>
      </c>
      <c r="C3237" s="176"/>
      <c r="D3237" s="176"/>
      <c r="E3237" s="176"/>
    </row>
    <row r="3238" spans="1:5" x14ac:dyDescent="0.2">
      <c r="A3238" s="175">
        <v>38765</v>
      </c>
      <c r="B3238" s="177">
        <v>4.71</v>
      </c>
      <c r="C3238" s="177"/>
      <c r="D3238" s="177"/>
      <c r="E3238" s="177"/>
    </row>
    <row r="3239" spans="1:5" x14ac:dyDescent="0.2">
      <c r="A3239" s="175">
        <v>38768</v>
      </c>
      <c r="B3239" s="176" t="e">
        <f>NA()</f>
        <v>#N/A</v>
      </c>
      <c r="C3239" s="176"/>
      <c r="D3239" s="176"/>
      <c r="E3239" s="176"/>
    </row>
    <row r="3240" spans="1:5" x14ac:dyDescent="0.2">
      <c r="A3240" s="175">
        <v>38769</v>
      </c>
      <c r="B3240" s="176">
        <v>4.72</v>
      </c>
      <c r="C3240" s="176"/>
      <c r="D3240" s="176"/>
      <c r="E3240" s="176"/>
    </row>
    <row r="3241" spans="1:5" x14ac:dyDescent="0.2">
      <c r="A3241" s="175">
        <v>38770</v>
      </c>
      <c r="B3241" s="176">
        <v>4.68</v>
      </c>
      <c r="C3241" s="176"/>
      <c r="D3241" s="176"/>
      <c r="E3241" s="176"/>
    </row>
    <row r="3242" spans="1:5" x14ac:dyDescent="0.2">
      <c r="A3242" s="175">
        <v>38771</v>
      </c>
      <c r="B3242" s="176">
        <v>4.7</v>
      </c>
      <c r="C3242" s="176"/>
      <c r="D3242" s="176"/>
      <c r="E3242" s="176"/>
    </row>
    <row r="3243" spans="1:5" x14ac:dyDescent="0.2">
      <c r="A3243" s="175">
        <v>38772</v>
      </c>
      <c r="B3243" s="176">
        <v>4.71</v>
      </c>
      <c r="C3243" s="176"/>
      <c r="D3243" s="176"/>
      <c r="E3243" s="176"/>
    </row>
    <row r="3244" spans="1:5" x14ac:dyDescent="0.2">
      <c r="A3244" s="175">
        <v>38775</v>
      </c>
      <c r="B3244" s="176">
        <v>4.74</v>
      </c>
      <c r="C3244" s="176"/>
      <c r="D3244" s="176"/>
      <c r="E3244" s="176"/>
    </row>
    <row r="3245" spans="1:5" x14ac:dyDescent="0.2">
      <c r="A3245" s="175">
        <v>38776</v>
      </c>
      <c r="B3245" s="176">
        <v>4.7</v>
      </c>
      <c r="C3245" s="176"/>
      <c r="D3245" s="176"/>
      <c r="E3245" s="176"/>
    </row>
    <row r="3246" spans="1:5" x14ac:dyDescent="0.2">
      <c r="A3246" s="175">
        <v>38777</v>
      </c>
      <c r="B3246" s="176">
        <v>4.74</v>
      </c>
      <c r="C3246" s="176"/>
      <c r="D3246" s="176"/>
      <c r="E3246" s="176"/>
    </row>
    <row r="3247" spans="1:5" x14ac:dyDescent="0.2">
      <c r="A3247" s="175">
        <v>38778</v>
      </c>
      <c r="B3247" s="177">
        <v>4.8</v>
      </c>
      <c r="C3247" s="177"/>
      <c r="D3247" s="177"/>
      <c r="E3247" s="177"/>
    </row>
    <row r="3248" spans="1:5" x14ac:dyDescent="0.2">
      <c r="A3248" s="175">
        <v>38779</v>
      </c>
      <c r="B3248" s="176">
        <v>4.84</v>
      </c>
      <c r="C3248" s="176"/>
      <c r="D3248" s="176"/>
      <c r="E3248" s="176"/>
    </row>
    <row r="3249" spans="1:5" x14ac:dyDescent="0.2">
      <c r="A3249" s="175">
        <v>38782</v>
      </c>
      <c r="B3249" s="176">
        <v>4.91</v>
      </c>
      <c r="C3249" s="176"/>
      <c r="D3249" s="176"/>
      <c r="E3249" s="176"/>
    </row>
    <row r="3250" spans="1:5" x14ac:dyDescent="0.2">
      <c r="A3250" s="175">
        <v>38783</v>
      </c>
      <c r="B3250" s="176">
        <v>4.91</v>
      </c>
      <c r="C3250" s="176"/>
      <c r="D3250" s="176"/>
      <c r="E3250" s="176"/>
    </row>
    <row r="3251" spans="1:5" x14ac:dyDescent="0.2">
      <c r="A3251" s="175">
        <v>38784</v>
      </c>
      <c r="B3251" s="176">
        <v>4.91</v>
      </c>
      <c r="C3251" s="176"/>
      <c r="D3251" s="176"/>
      <c r="E3251" s="176"/>
    </row>
    <row r="3252" spans="1:5" x14ac:dyDescent="0.2">
      <c r="A3252" s="175">
        <v>38785</v>
      </c>
      <c r="B3252" s="176">
        <v>4.91</v>
      </c>
      <c r="C3252" s="176"/>
      <c r="D3252" s="176"/>
      <c r="E3252" s="176"/>
    </row>
    <row r="3253" spans="1:5" x14ac:dyDescent="0.2">
      <c r="A3253" s="175">
        <v>38786</v>
      </c>
      <c r="B3253" s="176">
        <v>4.93</v>
      </c>
      <c r="C3253" s="176"/>
      <c r="D3253" s="176"/>
      <c r="E3253" s="176"/>
    </row>
    <row r="3254" spans="1:5" x14ac:dyDescent="0.2">
      <c r="A3254" s="175">
        <v>38789</v>
      </c>
      <c r="B3254" s="176">
        <v>4.95</v>
      </c>
      <c r="C3254" s="176"/>
      <c r="D3254" s="176"/>
      <c r="E3254" s="176"/>
    </row>
    <row r="3255" spans="1:5" x14ac:dyDescent="0.2">
      <c r="A3255" s="175">
        <v>38790</v>
      </c>
      <c r="B3255" s="176">
        <v>4.8899999999999997</v>
      </c>
      <c r="C3255" s="176"/>
      <c r="D3255" s="176"/>
      <c r="E3255" s="176"/>
    </row>
    <row r="3256" spans="1:5" x14ac:dyDescent="0.2">
      <c r="A3256" s="175">
        <v>38791</v>
      </c>
      <c r="B3256" s="176">
        <v>4.93</v>
      </c>
      <c r="C3256" s="176"/>
      <c r="D3256" s="176"/>
      <c r="E3256" s="176"/>
    </row>
    <row r="3257" spans="1:5" x14ac:dyDescent="0.2">
      <c r="A3257" s="175">
        <v>38792</v>
      </c>
      <c r="B3257" s="176">
        <v>4.8600000000000003</v>
      </c>
      <c r="C3257" s="176"/>
      <c r="D3257" s="176"/>
      <c r="E3257" s="176"/>
    </row>
    <row r="3258" spans="1:5" x14ac:dyDescent="0.2">
      <c r="A3258" s="175">
        <v>38793</v>
      </c>
      <c r="B3258" s="176">
        <v>4.8899999999999997</v>
      </c>
      <c r="C3258" s="176"/>
      <c r="D3258" s="176"/>
      <c r="E3258" s="176"/>
    </row>
    <row r="3259" spans="1:5" x14ac:dyDescent="0.2">
      <c r="A3259" s="175">
        <v>38796</v>
      </c>
      <c r="B3259" s="176">
        <v>4.87</v>
      </c>
      <c r="C3259" s="176"/>
      <c r="D3259" s="176"/>
      <c r="E3259" s="176"/>
    </row>
    <row r="3260" spans="1:5" x14ac:dyDescent="0.2">
      <c r="A3260" s="175">
        <v>38797</v>
      </c>
      <c r="B3260" s="176">
        <v>4.91</v>
      </c>
      <c r="C3260" s="176"/>
      <c r="D3260" s="176"/>
      <c r="E3260" s="176"/>
    </row>
    <row r="3261" spans="1:5" x14ac:dyDescent="0.2">
      <c r="A3261" s="175">
        <v>38798</v>
      </c>
      <c r="B3261" s="176">
        <v>4.91</v>
      </c>
      <c r="C3261" s="176"/>
      <c r="D3261" s="176"/>
      <c r="E3261" s="176"/>
    </row>
    <row r="3262" spans="1:5" x14ac:dyDescent="0.2">
      <c r="A3262" s="175">
        <v>38799</v>
      </c>
      <c r="B3262" s="176">
        <v>4.93</v>
      </c>
      <c r="C3262" s="176"/>
      <c r="D3262" s="176"/>
      <c r="E3262" s="176"/>
    </row>
    <row r="3263" spans="1:5" x14ac:dyDescent="0.2">
      <c r="A3263" s="175">
        <v>38800</v>
      </c>
      <c r="B3263" s="176">
        <v>4.87</v>
      </c>
      <c r="C3263" s="176"/>
      <c r="D3263" s="176"/>
      <c r="E3263" s="176"/>
    </row>
    <row r="3264" spans="1:5" x14ac:dyDescent="0.2">
      <c r="A3264" s="175">
        <v>38803</v>
      </c>
      <c r="B3264" s="176">
        <v>4.91</v>
      </c>
      <c r="C3264" s="176"/>
      <c r="D3264" s="176"/>
      <c r="E3264" s="176"/>
    </row>
    <row r="3265" spans="1:5" x14ac:dyDescent="0.2">
      <c r="A3265" s="175">
        <v>38804</v>
      </c>
      <c r="B3265" s="176">
        <v>4.9800000000000004</v>
      </c>
      <c r="C3265" s="176"/>
      <c r="D3265" s="176"/>
      <c r="E3265" s="176"/>
    </row>
    <row r="3266" spans="1:5" x14ac:dyDescent="0.2">
      <c r="A3266" s="175">
        <v>38805</v>
      </c>
      <c r="B3266" s="176">
        <v>5.0199999999999996</v>
      </c>
      <c r="C3266" s="176"/>
      <c r="D3266" s="176"/>
      <c r="E3266" s="176"/>
    </row>
    <row r="3267" spans="1:5" x14ac:dyDescent="0.2">
      <c r="A3267" s="175">
        <v>38806</v>
      </c>
      <c r="B3267" s="176">
        <v>5.07</v>
      </c>
      <c r="C3267" s="176"/>
      <c r="D3267" s="176"/>
      <c r="E3267" s="176"/>
    </row>
    <row r="3268" spans="1:5" x14ac:dyDescent="0.2">
      <c r="A3268" s="175">
        <v>38807</v>
      </c>
      <c r="B3268" s="176">
        <v>5.07</v>
      </c>
      <c r="C3268" s="176"/>
      <c r="D3268" s="176"/>
      <c r="E3268" s="176"/>
    </row>
    <row r="3269" spans="1:5" x14ac:dyDescent="0.2">
      <c r="A3269" s="175">
        <v>38810</v>
      </c>
      <c r="B3269" s="177">
        <v>5.08</v>
      </c>
      <c r="C3269" s="177"/>
      <c r="D3269" s="177"/>
      <c r="E3269" s="177"/>
    </row>
    <row r="3270" spans="1:5" x14ac:dyDescent="0.2">
      <c r="A3270" s="175">
        <v>38811</v>
      </c>
      <c r="B3270" s="176">
        <v>5.09</v>
      </c>
      <c r="C3270" s="176"/>
      <c r="D3270" s="176"/>
      <c r="E3270" s="176"/>
    </row>
    <row r="3271" spans="1:5" x14ac:dyDescent="0.2">
      <c r="A3271" s="175">
        <v>38812</v>
      </c>
      <c r="B3271" s="176">
        <v>5.07</v>
      </c>
      <c r="C3271" s="176"/>
      <c r="D3271" s="176"/>
      <c r="E3271" s="176"/>
    </row>
    <row r="3272" spans="1:5" x14ac:dyDescent="0.2">
      <c r="A3272" s="175">
        <v>38813</v>
      </c>
      <c r="B3272" s="176">
        <v>5.13</v>
      </c>
      <c r="C3272" s="176"/>
      <c r="D3272" s="176"/>
      <c r="E3272" s="176"/>
    </row>
    <row r="3273" spans="1:5" x14ac:dyDescent="0.2">
      <c r="A3273" s="175">
        <v>38814</v>
      </c>
      <c r="B3273" s="176">
        <v>5.2</v>
      </c>
      <c r="C3273" s="176"/>
      <c r="D3273" s="176"/>
      <c r="E3273" s="176"/>
    </row>
    <row r="3274" spans="1:5" x14ac:dyDescent="0.2">
      <c r="A3274" s="175">
        <v>38817</v>
      </c>
      <c r="B3274" s="177">
        <v>5.21</v>
      </c>
      <c r="C3274" s="177"/>
      <c r="D3274" s="177"/>
      <c r="E3274" s="177"/>
    </row>
    <row r="3275" spans="1:5" x14ac:dyDescent="0.2">
      <c r="A3275" s="175">
        <v>38818</v>
      </c>
      <c r="B3275" s="176">
        <v>5.17</v>
      </c>
      <c r="C3275" s="176"/>
      <c r="D3275" s="176"/>
      <c r="E3275" s="176"/>
    </row>
    <row r="3276" spans="1:5" x14ac:dyDescent="0.2">
      <c r="A3276" s="175">
        <v>38819</v>
      </c>
      <c r="B3276" s="176">
        <v>5.22</v>
      </c>
      <c r="C3276" s="176"/>
      <c r="D3276" s="176"/>
      <c r="E3276" s="176"/>
    </row>
    <row r="3277" spans="1:5" x14ac:dyDescent="0.2">
      <c r="A3277" s="175">
        <v>38820</v>
      </c>
      <c r="B3277" s="176">
        <v>5.28</v>
      </c>
      <c r="C3277" s="176"/>
      <c r="D3277" s="176"/>
      <c r="E3277" s="176"/>
    </row>
    <row r="3278" spans="1:5" x14ac:dyDescent="0.2">
      <c r="A3278" s="175">
        <v>38821</v>
      </c>
      <c r="B3278" s="176" t="e">
        <f>NA()</f>
        <v>#N/A</v>
      </c>
      <c r="C3278" s="176"/>
      <c r="D3278" s="176"/>
      <c r="E3278" s="176"/>
    </row>
    <row r="3279" spans="1:5" x14ac:dyDescent="0.2">
      <c r="A3279" s="175">
        <v>38824</v>
      </c>
      <c r="B3279" s="176">
        <v>5.25</v>
      </c>
      <c r="C3279" s="176"/>
      <c r="D3279" s="176"/>
      <c r="E3279" s="176"/>
    </row>
    <row r="3280" spans="1:5" x14ac:dyDescent="0.2">
      <c r="A3280" s="175">
        <v>38825</v>
      </c>
      <c r="B3280" s="176">
        <v>5.23</v>
      </c>
      <c r="C3280" s="176"/>
      <c r="D3280" s="176"/>
      <c r="E3280" s="176"/>
    </row>
    <row r="3281" spans="1:5" x14ac:dyDescent="0.2">
      <c r="A3281" s="175">
        <v>38826</v>
      </c>
      <c r="B3281" s="176">
        <v>5.29</v>
      </c>
      <c r="C3281" s="176"/>
      <c r="D3281" s="176"/>
      <c r="E3281" s="176"/>
    </row>
    <row r="3282" spans="1:5" x14ac:dyDescent="0.2">
      <c r="A3282" s="175">
        <v>38827</v>
      </c>
      <c r="B3282" s="176">
        <v>5.29</v>
      </c>
      <c r="C3282" s="176"/>
      <c r="D3282" s="176"/>
      <c r="E3282" s="176"/>
    </row>
    <row r="3283" spans="1:5" x14ac:dyDescent="0.2">
      <c r="A3283" s="175">
        <v>38828</v>
      </c>
      <c r="B3283" s="176">
        <v>5.25</v>
      </c>
      <c r="C3283" s="176"/>
      <c r="D3283" s="176"/>
      <c r="E3283" s="176"/>
    </row>
    <row r="3284" spans="1:5" x14ac:dyDescent="0.2">
      <c r="A3284" s="175">
        <v>38831</v>
      </c>
      <c r="B3284" s="177">
        <v>5.22</v>
      </c>
      <c r="C3284" s="177"/>
      <c r="D3284" s="177"/>
      <c r="E3284" s="177"/>
    </row>
    <row r="3285" spans="1:5" x14ac:dyDescent="0.2">
      <c r="A3285" s="175">
        <v>38832</v>
      </c>
      <c r="B3285" s="176">
        <v>5.31</v>
      </c>
      <c r="C3285" s="176"/>
      <c r="D3285" s="176"/>
      <c r="E3285" s="176"/>
    </row>
    <row r="3286" spans="1:5" x14ac:dyDescent="0.2">
      <c r="A3286" s="175">
        <v>38833</v>
      </c>
      <c r="B3286" s="176">
        <v>5.34</v>
      </c>
      <c r="C3286" s="176"/>
      <c r="D3286" s="176"/>
      <c r="E3286" s="176"/>
    </row>
    <row r="3287" spans="1:5" x14ac:dyDescent="0.2">
      <c r="A3287" s="175">
        <v>38834</v>
      </c>
      <c r="B3287" s="176">
        <v>5.32</v>
      </c>
      <c r="C3287" s="176"/>
      <c r="D3287" s="176"/>
      <c r="E3287" s="176"/>
    </row>
    <row r="3288" spans="1:5" x14ac:dyDescent="0.2">
      <c r="A3288" s="175">
        <v>38835</v>
      </c>
      <c r="B3288" s="176">
        <v>5.31</v>
      </c>
      <c r="C3288" s="176"/>
      <c r="D3288" s="176"/>
      <c r="E3288" s="176"/>
    </row>
    <row r="3289" spans="1:5" x14ac:dyDescent="0.2">
      <c r="A3289" s="175">
        <v>38838</v>
      </c>
      <c r="B3289" s="176">
        <v>5.38</v>
      </c>
      <c r="C3289" s="176"/>
      <c r="D3289" s="176"/>
      <c r="E3289" s="176"/>
    </row>
    <row r="3290" spans="1:5" x14ac:dyDescent="0.2">
      <c r="A3290" s="175">
        <v>38839</v>
      </c>
      <c r="B3290" s="176">
        <v>5.35</v>
      </c>
      <c r="C3290" s="176"/>
      <c r="D3290" s="176"/>
      <c r="E3290" s="176"/>
    </row>
    <row r="3291" spans="1:5" x14ac:dyDescent="0.2">
      <c r="A3291" s="175">
        <v>38840</v>
      </c>
      <c r="B3291" s="176">
        <v>5.38</v>
      </c>
      <c r="C3291" s="176"/>
      <c r="D3291" s="176"/>
      <c r="E3291" s="176"/>
    </row>
    <row r="3292" spans="1:5" x14ac:dyDescent="0.2">
      <c r="A3292" s="175">
        <v>38841</v>
      </c>
      <c r="B3292" s="176">
        <v>5.38</v>
      </c>
      <c r="C3292" s="176"/>
      <c r="D3292" s="176"/>
      <c r="E3292" s="176"/>
    </row>
    <row r="3293" spans="1:5" x14ac:dyDescent="0.2">
      <c r="A3293" s="175">
        <v>38842</v>
      </c>
      <c r="B3293" s="176">
        <v>5.35</v>
      </c>
      <c r="C3293" s="176"/>
      <c r="D3293" s="176"/>
      <c r="E3293" s="176"/>
    </row>
    <row r="3294" spans="1:5" x14ac:dyDescent="0.2">
      <c r="A3294" s="175">
        <v>38845</v>
      </c>
      <c r="B3294" s="176">
        <v>5.34</v>
      </c>
      <c r="C3294" s="176"/>
      <c r="D3294" s="176"/>
      <c r="E3294" s="176"/>
    </row>
    <row r="3295" spans="1:5" x14ac:dyDescent="0.2">
      <c r="A3295" s="175">
        <v>38846</v>
      </c>
      <c r="B3295" s="176">
        <v>5.35</v>
      </c>
      <c r="C3295" s="176"/>
      <c r="D3295" s="176"/>
      <c r="E3295" s="176"/>
    </row>
    <row r="3296" spans="1:5" x14ac:dyDescent="0.2">
      <c r="A3296" s="175">
        <v>38847</v>
      </c>
      <c r="B3296" s="176">
        <v>5.34</v>
      </c>
      <c r="C3296" s="176"/>
      <c r="D3296" s="176"/>
      <c r="E3296" s="176"/>
    </row>
    <row r="3297" spans="1:5" x14ac:dyDescent="0.2">
      <c r="A3297" s="175">
        <v>38848</v>
      </c>
      <c r="B3297" s="176">
        <v>5.38</v>
      </c>
      <c r="C3297" s="176"/>
      <c r="D3297" s="176"/>
      <c r="E3297" s="176"/>
    </row>
    <row r="3298" spans="1:5" x14ac:dyDescent="0.2">
      <c r="A3298" s="175">
        <v>38849</v>
      </c>
      <c r="B3298" s="176">
        <v>5.44</v>
      </c>
      <c r="C3298" s="176"/>
      <c r="D3298" s="176"/>
      <c r="E3298" s="176"/>
    </row>
    <row r="3299" spans="1:5" x14ac:dyDescent="0.2">
      <c r="A3299" s="175">
        <v>38852</v>
      </c>
      <c r="B3299" s="176">
        <v>5.41</v>
      </c>
      <c r="C3299" s="176"/>
      <c r="D3299" s="176"/>
      <c r="E3299" s="176"/>
    </row>
    <row r="3300" spans="1:5" x14ac:dyDescent="0.2">
      <c r="A3300" s="175">
        <v>38853</v>
      </c>
      <c r="B3300" s="176">
        <v>5.36</v>
      </c>
      <c r="C3300" s="176"/>
      <c r="D3300" s="176"/>
      <c r="E3300" s="176"/>
    </row>
    <row r="3301" spans="1:5" x14ac:dyDescent="0.2">
      <c r="A3301" s="175">
        <v>38854</v>
      </c>
      <c r="B3301" s="176">
        <v>5.42</v>
      </c>
      <c r="C3301" s="176"/>
      <c r="D3301" s="176"/>
      <c r="E3301" s="176"/>
    </row>
    <row r="3302" spans="1:5" x14ac:dyDescent="0.2">
      <c r="A3302" s="175">
        <v>38855</v>
      </c>
      <c r="B3302" s="176">
        <v>5.32</v>
      </c>
      <c r="C3302" s="176"/>
      <c r="D3302" s="176"/>
      <c r="E3302" s="176"/>
    </row>
    <row r="3303" spans="1:5" x14ac:dyDescent="0.2">
      <c r="A3303" s="175">
        <v>38856</v>
      </c>
      <c r="B3303" s="176">
        <v>5.28</v>
      </c>
      <c r="C3303" s="176"/>
      <c r="D3303" s="176"/>
      <c r="E3303" s="176"/>
    </row>
    <row r="3304" spans="1:5" x14ac:dyDescent="0.2">
      <c r="A3304" s="175">
        <v>38859</v>
      </c>
      <c r="B3304" s="176">
        <v>5.28</v>
      </c>
      <c r="C3304" s="176"/>
      <c r="D3304" s="176"/>
      <c r="E3304" s="176"/>
    </row>
    <row r="3305" spans="1:5" x14ac:dyDescent="0.2">
      <c r="A3305" s="175">
        <v>38860</v>
      </c>
      <c r="B3305" s="176">
        <v>5.3</v>
      </c>
      <c r="C3305" s="176"/>
      <c r="D3305" s="176"/>
      <c r="E3305" s="176"/>
    </row>
    <row r="3306" spans="1:5" x14ac:dyDescent="0.2">
      <c r="A3306" s="175">
        <v>38861</v>
      </c>
      <c r="B3306" s="176">
        <v>5.27</v>
      </c>
      <c r="C3306" s="176"/>
      <c r="D3306" s="176"/>
      <c r="E3306" s="176"/>
    </row>
    <row r="3307" spans="1:5" x14ac:dyDescent="0.2">
      <c r="A3307" s="175">
        <v>38862</v>
      </c>
      <c r="B3307" s="176">
        <v>5.31</v>
      </c>
      <c r="C3307" s="176"/>
      <c r="D3307" s="176"/>
      <c r="E3307" s="176"/>
    </row>
    <row r="3308" spans="1:5" x14ac:dyDescent="0.2">
      <c r="A3308" s="175">
        <v>38863</v>
      </c>
      <c r="B3308" s="176">
        <v>5.3</v>
      </c>
      <c r="C3308" s="176"/>
      <c r="D3308" s="176"/>
      <c r="E3308" s="176"/>
    </row>
    <row r="3309" spans="1:5" x14ac:dyDescent="0.2">
      <c r="A3309" s="175">
        <v>38866</v>
      </c>
      <c r="B3309" s="177" t="e">
        <f>NA()</f>
        <v>#N/A</v>
      </c>
      <c r="C3309" s="177"/>
      <c r="D3309" s="177"/>
      <c r="E3309" s="177"/>
    </row>
    <row r="3310" spans="1:5" x14ac:dyDescent="0.2">
      <c r="A3310" s="175">
        <v>38867</v>
      </c>
      <c r="B3310" s="176">
        <v>5.33</v>
      </c>
      <c r="C3310" s="176"/>
      <c r="D3310" s="176"/>
      <c r="E3310" s="176"/>
    </row>
    <row r="3311" spans="1:5" x14ac:dyDescent="0.2">
      <c r="A3311" s="175">
        <v>38868</v>
      </c>
      <c r="B3311" s="176">
        <v>5.35</v>
      </c>
      <c r="C3311" s="176"/>
      <c r="D3311" s="176"/>
      <c r="E3311" s="176"/>
    </row>
    <row r="3312" spans="1:5" x14ac:dyDescent="0.2">
      <c r="A3312" s="175">
        <v>38869</v>
      </c>
      <c r="B3312" s="176">
        <v>5.34</v>
      </c>
      <c r="C3312" s="176"/>
      <c r="D3312" s="176"/>
      <c r="E3312" s="176"/>
    </row>
    <row r="3313" spans="1:5" x14ac:dyDescent="0.2">
      <c r="A3313" s="175">
        <v>38870</v>
      </c>
      <c r="B3313" s="176">
        <v>5.24</v>
      </c>
      <c r="C3313" s="176"/>
      <c r="D3313" s="176"/>
      <c r="E3313" s="176"/>
    </row>
    <row r="3314" spans="1:5" x14ac:dyDescent="0.2">
      <c r="A3314" s="175">
        <v>38873</v>
      </c>
      <c r="B3314" s="176">
        <v>5.24</v>
      </c>
      <c r="C3314" s="176"/>
      <c r="D3314" s="176"/>
      <c r="E3314" s="176"/>
    </row>
    <row r="3315" spans="1:5" x14ac:dyDescent="0.2">
      <c r="A3315" s="175">
        <v>38874</v>
      </c>
      <c r="B3315" s="176">
        <v>5.22</v>
      </c>
      <c r="C3315" s="176"/>
      <c r="D3315" s="176"/>
      <c r="E3315" s="176"/>
    </row>
    <row r="3316" spans="1:5" x14ac:dyDescent="0.2">
      <c r="A3316" s="175">
        <v>38875</v>
      </c>
      <c r="B3316" s="176">
        <v>5.23</v>
      </c>
      <c r="C3316" s="176"/>
      <c r="D3316" s="176"/>
      <c r="E3316" s="176"/>
    </row>
    <row r="3317" spans="1:5" x14ac:dyDescent="0.2">
      <c r="A3317" s="175">
        <v>38876</v>
      </c>
      <c r="B3317" s="176">
        <v>5.2</v>
      </c>
      <c r="C3317" s="176"/>
      <c r="D3317" s="176"/>
      <c r="E3317" s="176"/>
    </row>
    <row r="3318" spans="1:5" x14ac:dyDescent="0.2">
      <c r="A3318" s="175">
        <v>38877</v>
      </c>
      <c r="B3318" s="176">
        <v>5.17</v>
      </c>
      <c r="C3318" s="176"/>
      <c r="D3318" s="176"/>
      <c r="E3318" s="176"/>
    </row>
    <row r="3319" spans="1:5" x14ac:dyDescent="0.2">
      <c r="A3319" s="175">
        <v>38880</v>
      </c>
      <c r="B3319" s="176">
        <v>5.17</v>
      </c>
      <c r="C3319" s="176"/>
      <c r="D3319" s="176"/>
      <c r="E3319" s="176"/>
    </row>
    <row r="3320" spans="1:5" x14ac:dyDescent="0.2">
      <c r="A3320" s="175">
        <v>38881</v>
      </c>
      <c r="B3320" s="176">
        <v>5.15</v>
      </c>
      <c r="C3320" s="176"/>
      <c r="D3320" s="176"/>
      <c r="E3320" s="176"/>
    </row>
    <row r="3321" spans="1:5" x14ac:dyDescent="0.2">
      <c r="A3321" s="175">
        <v>38882</v>
      </c>
      <c r="B3321" s="176">
        <v>5.23</v>
      </c>
      <c r="C3321" s="176"/>
      <c r="D3321" s="176"/>
      <c r="E3321" s="176"/>
    </row>
    <row r="3322" spans="1:5" x14ac:dyDescent="0.2">
      <c r="A3322" s="175">
        <v>38883</v>
      </c>
      <c r="B3322" s="176">
        <v>5.27</v>
      </c>
      <c r="C3322" s="176"/>
      <c r="D3322" s="176"/>
      <c r="E3322" s="176"/>
    </row>
    <row r="3323" spans="1:5" x14ac:dyDescent="0.2">
      <c r="A3323" s="175">
        <v>38884</v>
      </c>
      <c r="B3323" s="176">
        <v>5.31</v>
      </c>
      <c r="C3323" s="176"/>
      <c r="D3323" s="176"/>
      <c r="E3323" s="176"/>
    </row>
    <row r="3324" spans="1:5" x14ac:dyDescent="0.2">
      <c r="A3324" s="175">
        <v>38887</v>
      </c>
      <c r="B3324" s="176">
        <v>5.32</v>
      </c>
      <c r="C3324" s="176"/>
      <c r="D3324" s="176"/>
      <c r="E3324" s="176"/>
    </row>
    <row r="3325" spans="1:5" x14ac:dyDescent="0.2">
      <c r="A3325" s="175">
        <v>38888</v>
      </c>
      <c r="B3325" s="176">
        <v>5.33</v>
      </c>
      <c r="C3325" s="176"/>
      <c r="D3325" s="176"/>
      <c r="E3325" s="176"/>
    </row>
    <row r="3326" spans="1:5" x14ac:dyDescent="0.2">
      <c r="A3326" s="175">
        <v>38889</v>
      </c>
      <c r="B3326" s="176">
        <v>5.32</v>
      </c>
      <c r="C3326" s="176"/>
      <c r="D3326" s="176"/>
      <c r="E3326" s="176"/>
    </row>
    <row r="3327" spans="1:5" x14ac:dyDescent="0.2">
      <c r="A3327" s="175">
        <v>38890</v>
      </c>
      <c r="B3327" s="176">
        <v>5.37</v>
      </c>
      <c r="C3327" s="176"/>
      <c r="D3327" s="176"/>
      <c r="E3327" s="176"/>
    </row>
    <row r="3328" spans="1:5" x14ac:dyDescent="0.2">
      <c r="A3328" s="175">
        <v>38891</v>
      </c>
      <c r="B3328" s="176">
        <v>5.4</v>
      </c>
      <c r="C3328" s="176"/>
      <c r="D3328" s="176"/>
      <c r="E3328" s="176"/>
    </row>
    <row r="3329" spans="1:5" x14ac:dyDescent="0.2">
      <c r="A3329" s="175">
        <v>38894</v>
      </c>
      <c r="B3329" s="176">
        <v>5.42</v>
      </c>
      <c r="C3329" s="176"/>
      <c r="D3329" s="176"/>
      <c r="E3329" s="176"/>
    </row>
    <row r="3330" spans="1:5" x14ac:dyDescent="0.2">
      <c r="A3330" s="175">
        <v>38895</v>
      </c>
      <c r="B3330" s="176">
        <v>5.38</v>
      </c>
      <c r="C3330" s="176"/>
      <c r="D3330" s="176"/>
      <c r="E3330" s="176"/>
    </row>
    <row r="3331" spans="1:5" x14ac:dyDescent="0.2">
      <c r="A3331" s="175">
        <v>38896</v>
      </c>
      <c r="B3331" s="176">
        <v>5.42</v>
      </c>
      <c r="C3331" s="176"/>
      <c r="D3331" s="176"/>
      <c r="E3331" s="176"/>
    </row>
    <row r="3332" spans="1:5" x14ac:dyDescent="0.2">
      <c r="A3332" s="175">
        <v>38897</v>
      </c>
      <c r="B3332" s="176">
        <v>5.39</v>
      </c>
      <c r="C3332" s="176"/>
      <c r="D3332" s="176"/>
      <c r="E3332" s="176"/>
    </row>
    <row r="3333" spans="1:5" x14ac:dyDescent="0.2">
      <c r="A3333" s="175">
        <v>38898</v>
      </c>
      <c r="B3333" s="176">
        <v>5.31</v>
      </c>
      <c r="C3333" s="176"/>
      <c r="D3333" s="176"/>
      <c r="E3333" s="176"/>
    </row>
    <row r="3334" spans="1:5" x14ac:dyDescent="0.2">
      <c r="A3334" s="175">
        <v>38901</v>
      </c>
      <c r="B3334" s="176">
        <v>5.33</v>
      </c>
      <c r="C3334" s="176"/>
      <c r="D3334" s="176"/>
      <c r="E3334" s="176"/>
    </row>
    <row r="3335" spans="1:5" x14ac:dyDescent="0.2">
      <c r="A3335" s="175">
        <v>38902</v>
      </c>
      <c r="B3335" s="176" t="e">
        <f>NA()</f>
        <v>#N/A</v>
      </c>
      <c r="C3335" s="176"/>
      <c r="D3335" s="176"/>
      <c r="E3335" s="176"/>
    </row>
    <row r="3336" spans="1:5" x14ac:dyDescent="0.2">
      <c r="A3336" s="175">
        <v>38903</v>
      </c>
      <c r="B3336" s="176">
        <v>5.39</v>
      </c>
      <c r="C3336" s="176"/>
      <c r="D3336" s="176"/>
      <c r="E3336" s="176"/>
    </row>
    <row r="3337" spans="1:5" x14ac:dyDescent="0.2">
      <c r="A3337" s="175">
        <v>38904</v>
      </c>
      <c r="B3337" s="176">
        <v>5.35</v>
      </c>
      <c r="C3337" s="176"/>
      <c r="D3337" s="176"/>
      <c r="E3337" s="176"/>
    </row>
    <row r="3338" spans="1:5" x14ac:dyDescent="0.2">
      <c r="A3338" s="175">
        <v>38905</v>
      </c>
      <c r="B3338" s="176">
        <v>5.29</v>
      </c>
      <c r="C3338" s="176"/>
      <c r="D3338" s="176"/>
      <c r="E3338" s="176"/>
    </row>
    <row r="3339" spans="1:5" x14ac:dyDescent="0.2">
      <c r="A3339" s="175">
        <v>38908</v>
      </c>
      <c r="B3339" s="176">
        <v>5.29</v>
      </c>
      <c r="C3339" s="176"/>
      <c r="D3339" s="176"/>
      <c r="E3339" s="176"/>
    </row>
    <row r="3340" spans="1:5" x14ac:dyDescent="0.2">
      <c r="A3340" s="175">
        <v>38909</v>
      </c>
      <c r="B3340" s="176">
        <v>5.26</v>
      </c>
      <c r="C3340" s="176"/>
      <c r="D3340" s="176"/>
      <c r="E3340" s="176"/>
    </row>
    <row r="3341" spans="1:5" x14ac:dyDescent="0.2">
      <c r="A3341" s="175">
        <v>38910</v>
      </c>
      <c r="B3341" s="176">
        <v>5.26</v>
      </c>
      <c r="C3341" s="176"/>
      <c r="D3341" s="176"/>
      <c r="E3341" s="176"/>
    </row>
    <row r="3342" spans="1:5" x14ac:dyDescent="0.2">
      <c r="A3342" s="175">
        <v>38911</v>
      </c>
      <c r="B3342" s="176">
        <v>5.23</v>
      </c>
      <c r="C3342" s="176"/>
      <c r="D3342" s="176"/>
      <c r="E3342" s="176"/>
    </row>
    <row r="3343" spans="1:5" x14ac:dyDescent="0.2">
      <c r="A3343" s="175">
        <v>38912</v>
      </c>
      <c r="B3343" s="176">
        <v>5.23</v>
      </c>
      <c r="C3343" s="176"/>
      <c r="D3343" s="176"/>
      <c r="E3343" s="176"/>
    </row>
    <row r="3344" spans="1:5" x14ac:dyDescent="0.2">
      <c r="A3344" s="175">
        <v>38915</v>
      </c>
      <c r="B3344" s="176">
        <v>5.23</v>
      </c>
      <c r="C3344" s="176"/>
      <c r="D3344" s="176"/>
      <c r="E3344" s="176"/>
    </row>
    <row r="3345" spans="1:5" x14ac:dyDescent="0.2">
      <c r="A3345" s="175">
        <v>38916</v>
      </c>
      <c r="B3345" s="176">
        <v>5.29</v>
      </c>
      <c r="C3345" s="176"/>
      <c r="D3345" s="176"/>
      <c r="E3345" s="176"/>
    </row>
    <row r="3346" spans="1:5" x14ac:dyDescent="0.2">
      <c r="A3346" s="175">
        <v>38917</v>
      </c>
      <c r="B3346" s="176">
        <v>5.22</v>
      </c>
      <c r="C3346" s="176"/>
      <c r="D3346" s="176"/>
      <c r="E3346" s="176"/>
    </row>
    <row r="3347" spans="1:5" x14ac:dyDescent="0.2">
      <c r="A3347" s="175">
        <v>38918</v>
      </c>
      <c r="B3347" s="176">
        <v>5.2</v>
      </c>
      <c r="C3347" s="176"/>
      <c r="D3347" s="176"/>
      <c r="E3347" s="176"/>
    </row>
    <row r="3348" spans="1:5" x14ac:dyDescent="0.2">
      <c r="A3348" s="175">
        <v>38919</v>
      </c>
      <c r="B3348" s="177">
        <v>5.21</v>
      </c>
      <c r="C3348" s="177"/>
      <c r="D3348" s="177"/>
      <c r="E3348" s="177"/>
    </row>
    <row r="3349" spans="1:5" x14ac:dyDescent="0.2">
      <c r="A3349" s="175">
        <v>38922</v>
      </c>
      <c r="B3349" s="176">
        <v>5.22</v>
      </c>
      <c r="C3349" s="176"/>
      <c r="D3349" s="176"/>
      <c r="E3349" s="176"/>
    </row>
    <row r="3350" spans="1:5" x14ac:dyDescent="0.2">
      <c r="A3350" s="175">
        <v>38923</v>
      </c>
      <c r="B3350" s="176">
        <v>5.24</v>
      </c>
      <c r="C3350" s="176"/>
      <c r="D3350" s="176"/>
      <c r="E3350" s="176"/>
    </row>
    <row r="3351" spans="1:5" x14ac:dyDescent="0.2">
      <c r="A3351" s="175">
        <v>38924</v>
      </c>
      <c r="B3351" s="176">
        <v>5.22</v>
      </c>
      <c r="C3351" s="176"/>
      <c r="D3351" s="176"/>
      <c r="E3351" s="176"/>
    </row>
    <row r="3352" spans="1:5" x14ac:dyDescent="0.2">
      <c r="A3352" s="175">
        <v>38925</v>
      </c>
      <c r="B3352" s="176">
        <v>5.22</v>
      </c>
      <c r="C3352" s="176"/>
      <c r="D3352" s="176"/>
      <c r="E3352" s="176"/>
    </row>
    <row r="3353" spans="1:5" x14ac:dyDescent="0.2">
      <c r="A3353" s="175">
        <v>38926</v>
      </c>
      <c r="B3353" s="176">
        <v>5.17</v>
      </c>
      <c r="C3353" s="176"/>
      <c r="D3353" s="176"/>
      <c r="E3353" s="176"/>
    </row>
    <row r="3354" spans="1:5" x14ac:dyDescent="0.2">
      <c r="A3354" s="175">
        <v>38929</v>
      </c>
      <c r="B3354" s="176">
        <v>5.17</v>
      </c>
      <c r="C3354" s="176"/>
      <c r="D3354" s="176"/>
      <c r="E3354" s="176"/>
    </row>
    <row r="3355" spans="1:5" x14ac:dyDescent="0.2">
      <c r="A3355" s="175">
        <v>38930</v>
      </c>
      <c r="B3355" s="176">
        <v>5.17</v>
      </c>
      <c r="C3355" s="176"/>
      <c r="D3355" s="176"/>
      <c r="E3355" s="176"/>
    </row>
    <row r="3356" spans="1:5" x14ac:dyDescent="0.2">
      <c r="A3356" s="175">
        <v>38931</v>
      </c>
      <c r="B3356" s="176">
        <v>5.14</v>
      </c>
      <c r="C3356" s="176"/>
      <c r="D3356" s="176"/>
      <c r="E3356" s="176"/>
    </row>
    <row r="3357" spans="1:5" x14ac:dyDescent="0.2">
      <c r="A3357" s="175">
        <v>38932</v>
      </c>
      <c r="B3357" s="176">
        <v>5.13</v>
      </c>
      <c r="C3357" s="176"/>
      <c r="D3357" s="176"/>
      <c r="E3357" s="176"/>
    </row>
    <row r="3358" spans="1:5" x14ac:dyDescent="0.2">
      <c r="A3358" s="175">
        <v>38933</v>
      </c>
      <c r="B3358" s="176">
        <v>5.09</v>
      </c>
      <c r="C3358" s="176"/>
      <c r="D3358" s="176"/>
      <c r="E3358" s="176"/>
    </row>
    <row r="3359" spans="1:5" x14ac:dyDescent="0.2">
      <c r="A3359" s="175">
        <v>38936</v>
      </c>
      <c r="B3359" s="176">
        <v>5.09</v>
      </c>
      <c r="C3359" s="176"/>
      <c r="D3359" s="176"/>
      <c r="E3359" s="176"/>
    </row>
    <row r="3360" spans="1:5" x14ac:dyDescent="0.2">
      <c r="A3360" s="175">
        <v>38937</v>
      </c>
      <c r="B3360" s="176">
        <v>5.1100000000000003</v>
      </c>
      <c r="C3360" s="176"/>
      <c r="D3360" s="176"/>
      <c r="E3360" s="176"/>
    </row>
    <row r="3361" spans="1:5" x14ac:dyDescent="0.2">
      <c r="A3361" s="175">
        <v>38938</v>
      </c>
      <c r="B3361" s="176">
        <v>5.13</v>
      </c>
      <c r="C3361" s="176"/>
      <c r="D3361" s="176"/>
      <c r="E3361" s="176"/>
    </row>
    <row r="3362" spans="1:5" x14ac:dyDescent="0.2">
      <c r="A3362" s="175">
        <v>38939</v>
      </c>
      <c r="B3362" s="176">
        <v>5.15</v>
      </c>
      <c r="C3362" s="176"/>
      <c r="D3362" s="176"/>
      <c r="E3362" s="176"/>
    </row>
    <row r="3363" spans="1:5" x14ac:dyDescent="0.2">
      <c r="A3363" s="175">
        <v>38940</v>
      </c>
      <c r="B3363" s="176">
        <v>5.18</v>
      </c>
      <c r="C3363" s="176"/>
      <c r="D3363" s="176"/>
      <c r="E3363" s="176"/>
    </row>
    <row r="3364" spans="1:5" x14ac:dyDescent="0.2">
      <c r="A3364" s="175">
        <v>38943</v>
      </c>
      <c r="B3364" s="176">
        <v>5.21</v>
      </c>
      <c r="C3364" s="176"/>
      <c r="D3364" s="176"/>
      <c r="E3364" s="176"/>
    </row>
    <row r="3365" spans="1:5" x14ac:dyDescent="0.2">
      <c r="A3365" s="175">
        <v>38944</v>
      </c>
      <c r="B3365" s="176">
        <v>5.13</v>
      </c>
      <c r="C3365" s="176"/>
      <c r="D3365" s="176"/>
      <c r="E3365" s="176"/>
    </row>
    <row r="3366" spans="1:5" x14ac:dyDescent="0.2">
      <c r="A3366" s="175">
        <v>38945</v>
      </c>
      <c r="B3366" s="176">
        <v>5.08</v>
      </c>
      <c r="C3366" s="176"/>
      <c r="D3366" s="176"/>
      <c r="E3366" s="176"/>
    </row>
    <row r="3367" spans="1:5" x14ac:dyDescent="0.2">
      <c r="A3367" s="175">
        <v>38946</v>
      </c>
      <c r="B3367" s="176">
        <v>5.08</v>
      </c>
      <c r="C3367" s="176"/>
      <c r="D3367" s="176"/>
      <c r="E3367" s="176"/>
    </row>
    <row r="3368" spans="1:5" x14ac:dyDescent="0.2">
      <c r="A3368" s="175">
        <v>38947</v>
      </c>
      <c r="B3368" s="176">
        <v>5.05</v>
      </c>
      <c r="C3368" s="176"/>
      <c r="D3368" s="176"/>
      <c r="E3368" s="176"/>
    </row>
    <row r="3369" spans="1:5" x14ac:dyDescent="0.2">
      <c r="A3369" s="175">
        <v>38950</v>
      </c>
      <c r="B3369" s="176">
        <v>5.04</v>
      </c>
      <c r="C3369" s="176"/>
      <c r="D3369" s="176"/>
      <c r="E3369" s="176"/>
    </row>
    <row r="3370" spans="1:5" x14ac:dyDescent="0.2">
      <c r="A3370" s="175">
        <v>38951</v>
      </c>
      <c r="B3370" s="176">
        <v>5.03</v>
      </c>
      <c r="C3370" s="176"/>
      <c r="D3370" s="176"/>
      <c r="E3370" s="176"/>
    </row>
    <row r="3371" spans="1:5" x14ac:dyDescent="0.2">
      <c r="A3371" s="175">
        <v>38952</v>
      </c>
      <c r="B3371" s="176">
        <v>5.03</v>
      </c>
      <c r="C3371" s="176"/>
      <c r="D3371" s="176"/>
      <c r="E3371" s="176"/>
    </row>
    <row r="3372" spans="1:5" x14ac:dyDescent="0.2">
      <c r="A3372" s="175">
        <v>38953</v>
      </c>
      <c r="B3372" s="176">
        <v>5.0199999999999996</v>
      </c>
      <c r="C3372" s="176"/>
      <c r="D3372" s="176"/>
      <c r="E3372" s="176"/>
    </row>
    <row r="3373" spans="1:5" x14ac:dyDescent="0.2">
      <c r="A3373" s="175">
        <v>38954</v>
      </c>
      <c r="B3373" s="176">
        <v>5.01</v>
      </c>
      <c r="C3373" s="176"/>
      <c r="D3373" s="176"/>
      <c r="E3373" s="176"/>
    </row>
    <row r="3374" spans="1:5" x14ac:dyDescent="0.2">
      <c r="A3374" s="175">
        <v>38957</v>
      </c>
      <c r="B3374" s="176">
        <v>5.01</v>
      </c>
      <c r="C3374" s="176"/>
      <c r="D3374" s="176"/>
      <c r="E3374" s="176"/>
    </row>
    <row r="3375" spans="1:5" x14ac:dyDescent="0.2">
      <c r="A3375" s="175">
        <v>38958</v>
      </c>
      <c r="B3375" s="176">
        <v>5</v>
      </c>
      <c r="C3375" s="176"/>
      <c r="D3375" s="176"/>
      <c r="E3375" s="176"/>
    </row>
    <row r="3376" spans="1:5" x14ac:dyDescent="0.2">
      <c r="A3376" s="175">
        <v>38959</v>
      </c>
      <c r="B3376" s="176">
        <v>4.9800000000000004</v>
      </c>
      <c r="C3376" s="176"/>
      <c r="D3376" s="176"/>
      <c r="E3376" s="176"/>
    </row>
    <row r="3377" spans="1:5" x14ac:dyDescent="0.2">
      <c r="A3377" s="175">
        <v>38960</v>
      </c>
      <c r="B3377" s="176">
        <v>4.95</v>
      </c>
      <c r="C3377" s="176"/>
      <c r="D3377" s="176"/>
      <c r="E3377" s="176"/>
    </row>
    <row r="3378" spans="1:5" x14ac:dyDescent="0.2">
      <c r="A3378" s="175">
        <v>38961</v>
      </c>
      <c r="B3378" s="176">
        <v>4.95</v>
      </c>
      <c r="C3378" s="176"/>
      <c r="D3378" s="176"/>
      <c r="E3378" s="176"/>
    </row>
    <row r="3379" spans="1:5" x14ac:dyDescent="0.2">
      <c r="A3379" s="175">
        <v>38964</v>
      </c>
      <c r="B3379" s="177" t="e">
        <f>NA()</f>
        <v>#N/A</v>
      </c>
      <c r="C3379" s="177"/>
      <c r="D3379" s="177"/>
      <c r="E3379" s="177"/>
    </row>
    <row r="3380" spans="1:5" x14ac:dyDescent="0.2">
      <c r="A3380" s="175">
        <v>38965</v>
      </c>
      <c r="B3380" s="176">
        <v>5.01</v>
      </c>
      <c r="C3380" s="176"/>
      <c r="D3380" s="176"/>
      <c r="E3380" s="176"/>
    </row>
    <row r="3381" spans="1:5" x14ac:dyDescent="0.2">
      <c r="A3381" s="175">
        <v>38966</v>
      </c>
      <c r="B3381" s="176">
        <v>5.0199999999999996</v>
      </c>
      <c r="C3381" s="176"/>
      <c r="D3381" s="176"/>
      <c r="E3381" s="176"/>
    </row>
    <row r="3382" spans="1:5" x14ac:dyDescent="0.2">
      <c r="A3382" s="175">
        <v>38967</v>
      </c>
      <c r="B3382" s="176">
        <v>5.01</v>
      </c>
      <c r="C3382" s="176"/>
      <c r="D3382" s="176"/>
      <c r="E3382" s="176"/>
    </row>
    <row r="3383" spans="1:5" x14ac:dyDescent="0.2">
      <c r="A3383" s="175">
        <v>38968</v>
      </c>
      <c r="B3383" s="176">
        <v>4.99</v>
      </c>
      <c r="C3383" s="176"/>
      <c r="D3383" s="176"/>
      <c r="E3383" s="176"/>
    </row>
    <row r="3384" spans="1:5" x14ac:dyDescent="0.2">
      <c r="A3384" s="175">
        <v>38971</v>
      </c>
      <c r="B3384" s="176">
        <v>5.0199999999999996</v>
      </c>
      <c r="C3384" s="176"/>
      <c r="D3384" s="176"/>
      <c r="E3384" s="176"/>
    </row>
    <row r="3385" spans="1:5" x14ac:dyDescent="0.2">
      <c r="A3385" s="175">
        <v>38972</v>
      </c>
      <c r="B3385" s="176">
        <v>4.9800000000000004</v>
      </c>
      <c r="C3385" s="176"/>
      <c r="D3385" s="176"/>
      <c r="E3385" s="176"/>
    </row>
    <row r="3386" spans="1:5" x14ac:dyDescent="0.2">
      <c r="A3386" s="175">
        <v>38973</v>
      </c>
      <c r="B3386" s="176">
        <v>4.97</v>
      </c>
      <c r="C3386" s="176"/>
      <c r="D3386" s="176"/>
      <c r="E3386" s="176"/>
    </row>
    <row r="3387" spans="1:5" x14ac:dyDescent="0.2">
      <c r="A3387" s="175">
        <v>38974</v>
      </c>
      <c r="B3387" s="176">
        <v>4.99</v>
      </c>
      <c r="C3387" s="176"/>
      <c r="D3387" s="176"/>
      <c r="E3387" s="176"/>
    </row>
    <row r="3388" spans="1:5" x14ac:dyDescent="0.2">
      <c r="A3388" s="175">
        <v>38975</v>
      </c>
      <c r="B3388" s="176">
        <v>5</v>
      </c>
      <c r="C3388" s="176"/>
      <c r="D3388" s="176"/>
      <c r="E3388" s="176"/>
    </row>
    <row r="3389" spans="1:5" x14ac:dyDescent="0.2">
      <c r="A3389" s="175">
        <v>38978</v>
      </c>
      <c r="B3389" s="176">
        <v>5.01</v>
      </c>
      <c r="C3389" s="176"/>
      <c r="D3389" s="176"/>
      <c r="E3389" s="176"/>
    </row>
    <row r="3390" spans="1:5" x14ac:dyDescent="0.2">
      <c r="A3390" s="175">
        <v>38979</v>
      </c>
      <c r="B3390" s="176">
        <v>4.9400000000000004</v>
      </c>
      <c r="C3390" s="176"/>
      <c r="D3390" s="176"/>
      <c r="E3390" s="176"/>
    </row>
    <row r="3391" spans="1:5" x14ac:dyDescent="0.2">
      <c r="A3391" s="175">
        <v>38980</v>
      </c>
      <c r="B3391" s="176">
        <v>4.93</v>
      </c>
      <c r="C3391" s="176"/>
      <c r="D3391" s="176"/>
      <c r="E3391" s="176"/>
    </row>
    <row r="3392" spans="1:5" x14ac:dyDescent="0.2">
      <c r="A3392" s="175">
        <v>38981</v>
      </c>
      <c r="B3392" s="176">
        <v>4.8600000000000003</v>
      </c>
      <c r="C3392" s="176"/>
      <c r="D3392" s="176"/>
      <c r="E3392" s="176"/>
    </row>
    <row r="3393" spans="1:5" x14ac:dyDescent="0.2">
      <c r="A3393" s="175">
        <v>38982</v>
      </c>
      <c r="B3393" s="176">
        <v>4.82</v>
      </c>
      <c r="C3393" s="176"/>
      <c r="D3393" s="176"/>
      <c r="E3393" s="176"/>
    </row>
    <row r="3394" spans="1:5" x14ac:dyDescent="0.2">
      <c r="A3394" s="175">
        <v>38985</v>
      </c>
      <c r="B3394" s="176">
        <v>4.7699999999999996</v>
      </c>
      <c r="C3394" s="176"/>
      <c r="D3394" s="176"/>
      <c r="E3394" s="176"/>
    </row>
    <row r="3395" spans="1:5" x14ac:dyDescent="0.2">
      <c r="A3395" s="175">
        <v>38986</v>
      </c>
      <c r="B3395" s="176">
        <v>4.79</v>
      </c>
      <c r="C3395" s="176"/>
      <c r="D3395" s="176"/>
      <c r="E3395" s="176"/>
    </row>
    <row r="3396" spans="1:5" x14ac:dyDescent="0.2">
      <c r="A3396" s="175">
        <v>38987</v>
      </c>
      <c r="B3396" s="176">
        <v>4.8099999999999996</v>
      </c>
      <c r="C3396" s="176"/>
      <c r="D3396" s="176"/>
      <c r="E3396" s="176"/>
    </row>
    <row r="3397" spans="1:5" x14ac:dyDescent="0.2">
      <c r="A3397" s="175">
        <v>38988</v>
      </c>
      <c r="B3397" s="176">
        <v>4.84</v>
      </c>
      <c r="C3397" s="176"/>
      <c r="D3397" s="176"/>
      <c r="E3397" s="176"/>
    </row>
    <row r="3398" spans="1:5" x14ac:dyDescent="0.2">
      <c r="A3398" s="175">
        <v>38989</v>
      </c>
      <c r="B3398" s="176">
        <v>4.84</v>
      </c>
      <c r="C3398" s="176"/>
      <c r="D3398" s="176"/>
      <c r="E3398" s="176"/>
    </row>
    <row r="3399" spans="1:5" x14ac:dyDescent="0.2">
      <c r="A3399" s="175">
        <v>38992</v>
      </c>
      <c r="B3399" s="176">
        <v>4.83</v>
      </c>
      <c r="C3399" s="176"/>
      <c r="D3399" s="176"/>
      <c r="E3399" s="176"/>
    </row>
    <row r="3400" spans="1:5" x14ac:dyDescent="0.2">
      <c r="A3400" s="175">
        <v>38993</v>
      </c>
      <c r="B3400" s="176">
        <v>4.83</v>
      </c>
      <c r="C3400" s="176"/>
      <c r="D3400" s="176"/>
      <c r="E3400" s="176"/>
    </row>
    <row r="3401" spans="1:5" x14ac:dyDescent="0.2">
      <c r="A3401" s="175">
        <v>38994</v>
      </c>
      <c r="B3401" s="176">
        <v>4.79</v>
      </c>
      <c r="C3401" s="176"/>
      <c r="D3401" s="176"/>
      <c r="E3401" s="176"/>
    </row>
    <row r="3402" spans="1:5" x14ac:dyDescent="0.2">
      <c r="A3402" s="175">
        <v>38995</v>
      </c>
      <c r="B3402" s="176">
        <v>4.84</v>
      </c>
      <c r="C3402" s="176"/>
      <c r="D3402" s="176"/>
      <c r="E3402" s="176"/>
    </row>
    <row r="3403" spans="1:5" x14ac:dyDescent="0.2">
      <c r="A3403" s="175">
        <v>38996</v>
      </c>
      <c r="B3403" s="176">
        <v>4.92</v>
      </c>
      <c r="C3403" s="176"/>
      <c r="D3403" s="176"/>
      <c r="E3403" s="176"/>
    </row>
    <row r="3404" spans="1:5" x14ac:dyDescent="0.2">
      <c r="A3404" s="175">
        <v>38999</v>
      </c>
      <c r="B3404" s="176" t="e">
        <f>NA()</f>
        <v>#N/A</v>
      </c>
      <c r="C3404" s="176"/>
      <c r="D3404" s="176"/>
      <c r="E3404" s="176"/>
    </row>
    <row r="3405" spans="1:5" x14ac:dyDescent="0.2">
      <c r="A3405" s="175">
        <v>39000</v>
      </c>
      <c r="B3405" s="177">
        <v>4.96</v>
      </c>
      <c r="C3405" s="177"/>
      <c r="D3405" s="177"/>
      <c r="E3405" s="177"/>
    </row>
    <row r="3406" spans="1:5" x14ac:dyDescent="0.2">
      <c r="A3406" s="175">
        <v>39001</v>
      </c>
      <c r="B3406" s="176">
        <v>4.99</v>
      </c>
      <c r="C3406" s="176"/>
      <c r="D3406" s="176"/>
      <c r="E3406" s="176"/>
    </row>
    <row r="3407" spans="1:5" x14ac:dyDescent="0.2">
      <c r="A3407" s="175">
        <v>39002</v>
      </c>
      <c r="B3407" s="176">
        <v>4.99</v>
      </c>
      <c r="C3407" s="176"/>
      <c r="D3407" s="176"/>
      <c r="E3407" s="176"/>
    </row>
    <row r="3408" spans="1:5" x14ac:dyDescent="0.2">
      <c r="A3408" s="175">
        <v>39003</v>
      </c>
      <c r="B3408" s="176">
        <v>5.0199999999999996</v>
      </c>
      <c r="C3408" s="176"/>
      <c r="D3408" s="176"/>
      <c r="E3408" s="176"/>
    </row>
    <row r="3409" spans="1:5" x14ac:dyDescent="0.2">
      <c r="A3409" s="175">
        <v>39006</v>
      </c>
      <c r="B3409" s="176">
        <v>5</v>
      </c>
      <c r="C3409" s="176"/>
      <c r="D3409" s="176"/>
      <c r="E3409" s="176"/>
    </row>
    <row r="3410" spans="1:5" x14ac:dyDescent="0.2">
      <c r="A3410" s="175">
        <v>39007</v>
      </c>
      <c r="B3410" s="176">
        <v>4.99</v>
      </c>
      <c r="C3410" s="176"/>
      <c r="D3410" s="176"/>
      <c r="E3410" s="176"/>
    </row>
    <row r="3411" spans="1:5" x14ac:dyDescent="0.2">
      <c r="A3411" s="175">
        <v>39008</v>
      </c>
      <c r="B3411" s="176">
        <v>4.97</v>
      </c>
      <c r="C3411" s="176"/>
      <c r="D3411" s="176"/>
      <c r="E3411" s="176"/>
    </row>
    <row r="3412" spans="1:5" x14ac:dyDescent="0.2">
      <c r="A3412" s="175">
        <v>39009</v>
      </c>
      <c r="B3412" s="176">
        <v>4.99</v>
      </c>
      <c r="C3412" s="176"/>
      <c r="D3412" s="176"/>
      <c r="E3412" s="176"/>
    </row>
    <row r="3413" spans="1:5" x14ac:dyDescent="0.2">
      <c r="A3413" s="175">
        <v>39010</v>
      </c>
      <c r="B3413" s="176">
        <v>4.99</v>
      </c>
      <c r="C3413" s="176"/>
      <c r="D3413" s="176"/>
      <c r="E3413" s="176"/>
    </row>
    <row r="3414" spans="1:5" x14ac:dyDescent="0.2">
      <c r="A3414" s="175">
        <v>39013</v>
      </c>
      <c r="B3414" s="176">
        <v>5.03</v>
      </c>
      <c r="C3414" s="176"/>
      <c r="D3414" s="176"/>
      <c r="E3414" s="176"/>
    </row>
    <row r="3415" spans="1:5" x14ac:dyDescent="0.2">
      <c r="A3415" s="175">
        <v>39014</v>
      </c>
      <c r="B3415" s="176">
        <v>5.03</v>
      </c>
      <c r="C3415" s="176"/>
      <c r="D3415" s="176"/>
      <c r="E3415" s="176"/>
    </row>
    <row r="3416" spans="1:5" x14ac:dyDescent="0.2">
      <c r="A3416" s="175">
        <v>39015</v>
      </c>
      <c r="B3416" s="176">
        <v>4.9800000000000004</v>
      </c>
      <c r="C3416" s="176"/>
      <c r="D3416" s="176"/>
      <c r="E3416" s="176"/>
    </row>
    <row r="3417" spans="1:5" x14ac:dyDescent="0.2">
      <c r="A3417" s="175">
        <v>39016</v>
      </c>
      <c r="B3417" s="176">
        <v>4.93</v>
      </c>
      <c r="C3417" s="176"/>
      <c r="D3417" s="176"/>
      <c r="E3417" s="176"/>
    </row>
    <row r="3418" spans="1:5" x14ac:dyDescent="0.2">
      <c r="A3418" s="175">
        <v>39017</v>
      </c>
      <c r="B3418" s="176">
        <v>4.88</v>
      </c>
      <c r="C3418" s="176"/>
      <c r="D3418" s="176"/>
      <c r="E3418" s="176"/>
    </row>
    <row r="3419" spans="1:5" x14ac:dyDescent="0.2">
      <c r="A3419" s="175">
        <v>39020</v>
      </c>
      <c r="B3419" s="176">
        <v>4.88</v>
      </c>
      <c r="C3419" s="176"/>
      <c r="D3419" s="176"/>
      <c r="E3419" s="176"/>
    </row>
    <row r="3420" spans="1:5" x14ac:dyDescent="0.2">
      <c r="A3420" s="175">
        <v>39021</v>
      </c>
      <c r="B3420" s="176">
        <v>4.8099999999999996</v>
      </c>
      <c r="C3420" s="176"/>
      <c r="D3420" s="176"/>
      <c r="E3420" s="176"/>
    </row>
    <row r="3421" spans="1:5" x14ac:dyDescent="0.2">
      <c r="A3421" s="175">
        <v>39022</v>
      </c>
      <c r="B3421" s="176">
        <v>4.7699999999999996</v>
      </c>
      <c r="C3421" s="176"/>
      <c r="D3421" s="176"/>
      <c r="E3421" s="176"/>
    </row>
    <row r="3422" spans="1:5" x14ac:dyDescent="0.2">
      <c r="A3422" s="175">
        <v>39023</v>
      </c>
      <c r="B3422" s="176">
        <v>4.8</v>
      </c>
      <c r="C3422" s="176"/>
      <c r="D3422" s="176"/>
      <c r="E3422" s="176"/>
    </row>
    <row r="3423" spans="1:5" x14ac:dyDescent="0.2">
      <c r="A3423" s="175">
        <v>39024</v>
      </c>
      <c r="B3423" s="176">
        <v>4.9000000000000004</v>
      </c>
      <c r="C3423" s="176"/>
      <c r="D3423" s="176"/>
      <c r="E3423" s="176"/>
    </row>
    <row r="3424" spans="1:5" x14ac:dyDescent="0.2">
      <c r="A3424" s="175">
        <v>39027</v>
      </c>
      <c r="B3424" s="176">
        <v>4.8899999999999997</v>
      </c>
      <c r="C3424" s="176"/>
      <c r="D3424" s="176"/>
      <c r="E3424" s="176"/>
    </row>
    <row r="3425" spans="1:5" x14ac:dyDescent="0.2">
      <c r="A3425" s="175">
        <v>39028</v>
      </c>
      <c r="B3425" s="176">
        <v>4.8499999999999996</v>
      </c>
      <c r="C3425" s="176"/>
      <c r="D3425" s="176"/>
      <c r="E3425" s="176"/>
    </row>
    <row r="3426" spans="1:5" x14ac:dyDescent="0.2">
      <c r="A3426" s="175">
        <v>39029</v>
      </c>
      <c r="B3426" s="176">
        <v>4.82</v>
      </c>
      <c r="C3426" s="176"/>
      <c r="D3426" s="176"/>
      <c r="E3426" s="176"/>
    </row>
    <row r="3427" spans="1:5" x14ac:dyDescent="0.2">
      <c r="A3427" s="175">
        <v>39030</v>
      </c>
      <c r="B3427" s="176">
        <v>4.82</v>
      </c>
      <c r="C3427" s="176"/>
      <c r="D3427" s="176"/>
      <c r="E3427" s="176"/>
    </row>
    <row r="3428" spans="1:5" x14ac:dyDescent="0.2">
      <c r="A3428" s="175">
        <v>39031</v>
      </c>
      <c r="B3428" s="176">
        <v>4.78</v>
      </c>
      <c r="C3428" s="176"/>
      <c r="D3428" s="176"/>
      <c r="E3428" s="176"/>
    </row>
    <row r="3429" spans="1:5" x14ac:dyDescent="0.2">
      <c r="A3429" s="175">
        <v>39034</v>
      </c>
      <c r="B3429" s="176">
        <v>4.8</v>
      </c>
      <c r="C3429" s="176"/>
      <c r="D3429" s="176"/>
      <c r="E3429" s="176"/>
    </row>
    <row r="3430" spans="1:5" x14ac:dyDescent="0.2">
      <c r="A3430" s="175">
        <v>39035</v>
      </c>
      <c r="B3430" s="176">
        <v>4.76</v>
      </c>
      <c r="C3430" s="176"/>
      <c r="D3430" s="176"/>
      <c r="E3430" s="176"/>
    </row>
    <row r="3431" spans="1:5" x14ac:dyDescent="0.2">
      <c r="A3431" s="175">
        <v>39036</v>
      </c>
      <c r="B3431" s="176">
        <v>4.8</v>
      </c>
      <c r="C3431" s="176"/>
      <c r="D3431" s="176"/>
      <c r="E3431" s="176"/>
    </row>
    <row r="3432" spans="1:5" x14ac:dyDescent="0.2">
      <c r="A3432" s="175">
        <v>39037</v>
      </c>
      <c r="B3432" s="176">
        <v>4.84</v>
      </c>
      <c r="C3432" s="176"/>
      <c r="D3432" s="176"/>
      <c r="E3432" s="176"/>
    </row>
    <row r="3433" spans="1:5" x14ac:dyDescent="0.2">
      <c r="A3433" s="175">
        <v>39038</v>
      </c>
      <c r="B3433" s="176">
        <v>4.79</v>
      </c>
      <c r="C3433" s="176"/>
      <c r="D3433" s="176"/>
      <c r="E3433" s="176"/>
    </row>
    <row r="3434" spans="1:5" x14ac:dyDescent="0.2">
      <c r="A3434" s="175">
        <v>39041</v>
      </c>
      <c r="B3434" s="176">
        <v>4.78</v>
      </c>
      <c r="C3434" s="176"/>
      <c r="D3434" s="176"/>
      <c r="E3434" s="176"/>
    </row>
    <row r="3435" spans="1:5" x14ac:dyDescent="0.2">
      <c r="A3435" s="175">
        <v>39042</v>
      </c>
      <c r="B3435" s="176">
        <v>4.76</v>
      </c>
      <c r="C3435" s="176"/>
      <c r="D3435" s="176"/>
      <c r="E3435" s="176"/>
    </row>
    <row r="3436" spans="1:5" x14ac:dyDescent="0.2">
      <c r="A3436" s="175">
        <v>39043</v>
      </c>
      <c r="B3436" s="176">
        <v>4.76</v>
      </c>
      <c r="C3436" s="176"/>
      <c r="D3436" s="176"/>
      <c r="E3436" s="176"/>
    </row>
    <row r="3437" spans="1:5" x14ac:dyDescent="0.2">
      <c r="A3437" s="175">
        <v>39044</v>
      </c>
      <c r="B3437" s="176" t="e">
        <f>NA()</f>
        <v>#N/A</v>
      </c>
      <c r="C3437" s="176"/>
      <c r="D3437" s="176"/>
      <c r="E3437" s="176"/>
    </row>
    <row r="3438" spans="1:5" x14ac:dyDescent="0.2">
      <c r="A3438" s="175">
        <v>39045</v>
      </c>
      <c r="B3438" s="176">
        <v>4.74</v>
      </c>
      <c r="C3438" s="176"/>
      <c r="D3438" s="176"/>
      <c r="E3438" s="176"/>
    </row>
    <row r="3439" spans="1:5" x14ac:dyDescent="0.2">
      <c r="A3439" s="175">
        <v>39048</v>
      </c>
      <c r="B3439" s="176">
        <v>4.7300000000000004</v>
      </c>
      <c r="C3439" s="176"/>
      <c r="D3439" s="176"/>
      <c r="E3439" s="176"/>
    </row>
    <row r="3440" spans="1:5" x14ac:dyDescent="0.2">
      <c r="A3440" s="175">
        <v>39049</v>
      </c>
      <c r="B3440" s="176">
        <v>4.7</v>
      </c>
      <c r="C3440" s="176"/>
      <c r="D3440" s="176"/>
      <c r="E3440" s="176"/>
    </row>
    <row r="3441" spans="1:5" x14ac:dyDescent="0.2">
      <c r="A3441" s="175">
        <v>39050</v>
      </c>
      <c r="B3441" s="176">
        <v>4.72</v>
      </c>
      <c r="C3441" s="176"/>
      <c r="D3441" s="176"/>
      <c r="E3441" s="176"/>
    </row>
    <row r="3442" spans="1:5" x14ac:dyDescent="0.2">
      <c r="A3442" s="175">
        <v>39051</v>
      </c>
      <c r="B3442" s="176">
        <v>4.66</v>
      </c>
      <c r="C3442" s="176"/>
      <c r="D3442" s="176"/>
      <c r="E3442" s="176"/>
    </row>
    <row r="3443" spans="1:5" x14ac:dyDescent="0.2">
      <c r="A3443" s="175">
        <v>39052</v>
      </c>
      <c r="B3443" s="176">
        <v>4.6399999999999997</v>
      </c>
      <c r="C3443" s="176"/>
      <c r="D3443" s="176"/>
      <c r="E3443" s="176"/>
    </row>
    <row r="3444" spans="1:5" x14ac:dyDescent="0.2">
      <c r="A3444" s="175">
        <v>39055</v>
      </c>
      <c r="B3444" s="176">
        <v>4.6500000000000004</v>
      </c>
      <c r="C3444" s="176"/>
      <c r="D3444" s="176"/>
      <c r="E3444" s="176"/>
    </row>
    <row r="3445" spans="1:5" x14ac:dyDescent="0.2">
      <c r="A3445" s="175">
        <v>39056</v>
      </c>
      <c r="B3445" s="176">
        <v>4.67</v>
      </c>
      <c r="C3445" s="176"/>
      <c r="D3445" s="176"/>
      <c r="E3445" s="176"/>
    </row>
    <row r="3446" spans="1:5" x14ac:dyDescent="0.2">
      <c r="A3446" s="175">
        <v>39057</v>
      </c>
      <c r="B3446" s="176">
        <v>4.6900000000000004</v>
      </c>
      <c r="C3446" s="176"/>
      <c r="D3446" s="176"/>
      <c r="E3446" s="176"/>
    </row>
    <row r="3447" spans="1:5" x14ac:dyDescent="0.2">
      <c r="A3447" s="175">
        <v>39058</v>
      </c>
      <c r="B3447" s="176">
        <v>4.7</v>
      </c>
      <c r="C3447" s="176"/>
      <c r="D3447" s="176"/>
      <c r="E3447" s="176"/>
    </row>
    <row r="3448" spans="1:5" x14ac:dyDescent="0.2">
      <c r="A3448" s="175">
        <v>39059</v>
      </c>
      <c r="B3448" s="176">
        <v>4.76</v>
      </c>
      <c r="C3448" s="176"/>
      <c r="D3448" s="176"/>
      <c r="E3448" s="176"/>
    </row>
    <row r="3449" spans="1:5" x14ac:dyDescent="0.2">
      <c r="A3449" s="175">
        <v>39062</v>
      </c>
      <c r="B3449" s="177">
        <v>4.7300000000000004</v>
      </c>
      <c r="C3449" s="177"/>
      <c r="D3449" s="177"/>
      <c r="E3449" s="177"/>
    </row>
    <row r="3450" spans="1:5" x14ac:dyDescent="0.2">
      <c r="A3450" s="175">
        <v>39063</v>
      </c>
      <c r="B3450" s="176">
        <v>4.7</v>
      </c>
      <c r="C3450" s="176"/>
      <c r="D3450" s="176"/>
      <c r="E3450" s="176"/>
    </row>
    <row r="3451" spans="1:5" x14ac:dyDescent="0.2">
      <c r="A3451" s="175">
        <v>39064</v>
      </c>
      <c r="B3451" s="176">
        <v>4.78</v>
      </c>
      <c r="C3451" s="176"/>
      <c r="D3451" s="176"/>
      <c r="E3451" s="176"/>
    </row>
    <row r="3452" spans="1:5" x14ac:dyDescent="0.2">
      <c r="A3452" s="175">
        <v>39065</v>
      </c>
      <c r="B3452" s="176">
        <v>4.8099999999999996</v>
      </c>
      <c r="C3452" s="176"/>
      <c r="D3452" s="176"/>
      <c r="E3452" s="176"/>
    </row>
    <row r="3453" spans="1:5" x14ac:dyDescent="0.2">
      <c r="A3453" s="175">
        <v>39066</v>
      </c>
      <c r="B3453" s="176">
        <v>4.8099999999999996</v>
      </c>
      <c r="C3453" s="176"/>
      <c r="D3453" s="176"/>
      <c r="E3453" s="176"/>
    </row>
    <row r="3454" spans="1:5" x14ac:dyDescent="0.2">
      <c r="A3454" s="175">
        <v>39069</v>
      </c>
      <c r="B3454" s="176">
        <v>4.8099999999999996</v>
      </c>
      <c r="C3454" s="176"/>
      <c r="D3454" s="176"/>
      <c r="E3454" s="176"/>
    </row>
    <row r="3455" spans="1:5" x14ac:dyDescent="0.2">
      <c r="A3455" s="175">
        <v>39070</v>
      </c>
      <c r="B3455" s="176">
        <v>4.82</v>
      </c>
      <c r="C3455" s="176"/>
      <c r="D3455" s="176"/>
      <c r="E3455" s="176"/>
    </row>
    <row r="3456" spans="1:5" x14ac:dyDescent="0.2">
      <c r="A3456" s="175">
        <v>39071</v>
      </c>
      <c r="B3456" s="176">
        <v>4.82</v>
      </c>
      <c r="C3456" s="176"/>
      <c r="D3456" s="176"/>
      <c r="E3456" s="176"/>
    </row>
    <row r="3457" spans="1:5" x14ac:dyDescent="0.2">
      <c r="A3457" s="175">
        <v>39072</v>
      </c>
      <c r="B3457" s="176">
        <v>4.78</v>
      </c>
      <c r="C3457" s="176"/>
      <c r="D3457" s="176"/>
      <c r="E3457" s="176"/>
    </row>
    <row r="3458" spans="1:5" x14ac:dyDescent="0.2">
      <c r="A3458" s="175">
        <v>39073</v>
      </c>
      <c r="B3458" s="176">
        <v>4.8499999999999996</v>
      </c>
      <c r="C3458" s="176"/>
      <c r="D3458" s="176"/>
      <c r="E3458" s="176"/>
    </row>
    <row r="3459" spans="1:5" x14ac:dyDescent="0.2">
      <c r="A3459" s="175">
        <v>39076</v>
      </c>
      <c r="B3459" s="176" t="e">
        <f>NA()</f>
        <v>#N/A</v>
      </c>
      <c r="C3459" s="176"/>
      <c r="D3459" s="176"/>
      <c r="E3459" s="176"/>
    </row>
    <row r="3460" spans="1:5" x14ac:dyDescent="0.2">
      <c r="A3460" s="175">
        <v>39077</v>
      </c>
      <c r="B3460" s="176">
        <v>4.82</v>
      </c>
      <c r="C3460" s="176"/>
      <c r="D3460" s="176"/>
      <c r="E3460" s="176"/>
    </row>
    <row r="3461" spans="1:5" x14ac:dyDescent="0.2">
      <c r="A3461" s="175">
        <v>39078</v>
      </c>
      <c r="B3461" s="176">
        <v>4.87</v>
      </c>
      <c r="C3461" s="176"/>
      <c r="D3461" s="176"/>
      <c r="E3461" s="176"/>
    </row>
    <row r="3462" spans="1:5" x14ac:dyDescent="0.2">
      <c r="A3462" s="175">
        <v>39079</v>
      </c>
      <c r="B3462" s="176">
        <v>4.9000000000000004</v>
      </c>
      <c r="C3462" s="176"/>
      <c r="D3462" s="176"/>
      <c r="E3462" s="176"/>
    </row>
    <row r="3463" spans="1:5" x14ac:dyDescent="0.2">
      <c r="A3463" s="175">
        <v>39080</v>
      </c>
      <c r="B3463" s="176">
        <v>4.91</v>
      </c>
      <c r="C3463" s="176"/>
      <c r="D3463" s="176"/>
      <c r="E3463" s="176"/>
    </row>
    <row r="3464" spans="1:5" x14ac:dyDescent="0.2">
      <c r="A3464" s="175">
        <v>39083</v>
      </c>
      <c r="B3464" s="176" t="e">
        <f>NA()</f>
        <v>#N/A</v>
      </c>
      <c r="C3464" s="176"/>
      <c r="D3464" s="176"/>
      <c r="E3464" s="176"/>
    </row>
    <row r="3465" spans="1:5" x14ac:dyDescent="0.2">
      <c r="A3465" s="175">
        <v>39084</v>
      </c>
      <c r="B3465" s="176">
        <v>4.87</v>
      </c>
      <c r="C3465" s="176"/>
      <c r="D3465" s="176"/>
      <c r="E3465" s="176"/>
    </row>
    <row r="3466" spans="1:5" x14ac:dyDescent="0.2">
      <c r="A3466" s="175">
        <v>39085</v>
      </c>
      <c r="B3466" s="176">
        <v>4.8499999999999996</v>
      </c>
      <c r="C3466" s="176"/>
      <c r="D3466" s="176"/>
      <c r="E3466" s="176"/>
    </row>
    <row r="3467" spans="1:5" x14ac:dyDescent="0.2">
      <c r="A3467" s="175">
        <v>39086</v>
      </c>
      <c r="B3467" s="176">
        <v>4.8099999999999996</v>
      </c>
      <c r="C3467" s="176"/>
      <c r="D3467" s="176"/>
      <c r="E3467" s="176"/>
    </row>
    <row r="3468" spans="1:5" x14ac:dyDescent="0.2">
      <c r="A3468" s="175">
        <v>39087</v>
      </c>
      <c r="B3468" s="176">
        <v>4.84</v>
      </c>
      <c r="C3468" s="176"/>
      <c r="D3468" s="176"/>
      <c r="E3468" s="176"/>
    </row>
    <row r="3469" spans="1:5" x14ac:dyDescent="0.2">
      <c r="A3469" s="175">
        <v>39090</v>
      </c>
      <c r="B3469" s="176">
        <v>4.84</v>
      </c>
      <c r="C3469" s="176"/>
      <c r="D3469" s="176"/>
      <c r="E3469" s="176"/>
    </row>
    <row r="3470" spans="1:5" x14ac:dyDescent="0.2">
      <c r="A3470" s="175">
        <v>39091</v>
      </c>
      <c r="B3470" s="176">
        <v>4.83</v>
      </c>
      <c r="C3470" s="176"/>
      <c r="D3470" s="176"/>
      <c r="E3470" s="176"/>
    </row>
    <row r="3471" spans="1:5" x14ac:dyDescent="0.2">
      <c r="A3471" s="175">
        <v>39092</v>
      </c>
      <c r="B3471" s="176">
        <v>4.87</v>
      </c>
      <c r="C3471" s="176"/>
      <c r="D3471" s="176"/>
      <c r="E3471" s="176"/>
    </row>
    <row r="3472" spans="1:5" x14ac:dyDescent="0.2">
      <c r="A3472" s="175">
        <v>39093</v>
      </c>
      <c r="B3472" s="176">
        <v>4.92</v>
      </c>
      <c r="C3472" s="176"/>
      <c r="D3472" s="176"/>
      <c r="E3472" s="176"/>
    </row>
    <row r="3473" spans="1:5" x14ac:dyDescent="0.2">
      <c r="A3473" s="175">
        <v>39094</v>
      </c>
      <c r="B3473" s="176">
        <v>4.96</v>
      </c>
      <c r="C3473" s="176"/>
      <c r="D3473" s="176"/>
      <c r="E3473" s="176"/>
    </row>
    <row r="3474" spans="1:5" x14ac:dyDescent="0.2">
      <c r="A3474" s="175">
        <v>39097</v>
      </c>
      <c r="B3474" s="177" t="e">
        <f>NA()</f>
        <v>#N/A</v>
      </c>
      <c r="C3474" s="177"/>
      <c r="D3474" s="177"/>
      <c r="E3474" s="177"/>
    </row>
    <row r="3475" spans="1:5" x14ac:dyDescent="0.2">
      <c r="A3475" s="175">
        <v>39098</v>
      </c>
      <c r="B3475" s="176">
        <v>4.9400000000000004</v>
      </c>
      <c r="C3475" s="176"/>
      <c r="D3475" s="176"/>
      <c r="E3475" s="176"/>
    </row>
    <row r="3476" spans="1:5" x14ac:dyDescent="0.2">
      <c r="A3476" s="175">
        <v>39099</v>
      </c>
      <c r="B3476" s="176">
        <v>4.9800000000000004</v>
      </c>
      <c r="C3476" s="176"/>
      <c r="D3476" s="176"/>
      <c r="E3476" s="176"/>
    </row>
    <row r="3477" spans="1:5" x14ac:dyDescent="0.2">
      <c r="A3477" s="175">
        <v>39100</v>
      </c>
      <c r="B3477" s="176">
        <v>4.9400000000000004</v>
      </c>
      <c r="C3477" s="176"/>
      <c r="D3477" s="176"/>
      <c r="E3477" s="176"/>
    </row>
    <row r="3478" spans="1:5" x14ac:dyDescent="0.2">
      <c r="A3478" s="175">
        <v>39101</v>
      </c>
      <c r="B3478" s="176">
        <v>4.96</v>
      </c>
      <c r="C3478" s="176"/>
      <c r="D3478" s="176"/>
      <c r="E3478" s="176"/>
    </row>
    <row r="3479" spans="1:5" x14ac:dyDescent="0.2">
      <c r="A3479" s="175">
        <v>39104</v>
      </c>
      <c r="B3479" s="176">
        <v>4.9400000000000004</v>
      </c>
      <c r="C3479" s="176"/>
      <c r="D3479" s="176"/>
      <c r="E3479" s="176"/>
    </row>
    <row r="3480" spans="1:5" x14ac:dyDescent="0.2">
      <c r="A3480" s="175">
        <v>39105</v>
      </c>
      <c r="B3480" s="176">
        <v>5</v>
      </c>
      <c r="C3480" s="176"/>
      <c r="D3480" s="176"/>
      <c r="E3480" s="176"/>
    </row>
    <row r="3481" spans="1:5" x14ac:dyDescent="0.2">
      <c r="A3481" s="175">
        <v>39106</v>
      </c>
      <c r="B3481" s="176">
        <v>5</v>
      </c>
      <c r="C3481" s="176"/>
      <c r="D3481" s="176"/>
      <c r="E3481" s="176"/>
    </row>
    <row r="3482" spans="1:5" x14ac:dyDescent="0.2">
      <c r="A3482" s="175">
        <v>39107</v>
      </c>
      <c r="B3482" s="176">
        <v>5.0599999999999996</v>
      </c>
      <c r="C3482" s="176"/>
      <c r="D3482" s="176"/>
      <c r="E3482" s="176"/>
    </row>
    <row r="3483" spans="1:5" x14ac:dyDescent="0.2">
      <c r="A3483" s="175">
        <v>39108</v>
      </c>
      <c r="B3483" s="176">
        <v>5.07</v>
      </c>
      <c r="C3483" s="176"/>
      <c r="D3483" s="176"/>
      <c r="E3483" s="176"/>
    </row>
    <row r="3484" spans="1:5" x14ac:dyDescent="0.2">
      <c r="A3484" s="175">
        <v>39111</v>
      </c>
      <c r="B3484" s="176">
        <v>5.09</v>
      </c>
      <c r="C3484" s="176"/>
      <c r="D3484" s="176"/>
      <c r="E3484" s="176"/>
    </row>
    <row r="3485" spans="1:5" x14ac:dyDescent="0.2">
      <c r="A3485" s="175">
        <v>39112</v>
      </c>
      <c r="B3485" s="176">
        <v>5.07</v>
      </c>
      <c r="C3485" s="176"/>
      <c r="D3485" s="176"/>
      <c r="E3485" s="176"/>
    </row>
    <row r="3486" spans="1:5" x14ac:dyDescent="0.2">
      <c r="A3486" s="175">
        <v>39113</v>
      </c>
      <c r="B3486" s="176">
        <v>5.0199999999999996</v>
      </c>
      <c r="C3486" s="176"/>
      <c r="D3486" s="176"/>
      <c r="E3486" s="176"/>
    </row>
    <row r="3487" spans="1:5" x14ac:dyDescent="0.2">
      <c r="A3487" s="175">
        <v>39114</v>
      </c>
      <c r="B3487" s="176">
        <v>5.0199999999999996</v>
      </c>
      <c r="C3487" s="176"/>
      <c r="D3487" s="176"/>
      <c r="E3487" s="176"/>
    </row>
    <row r="3488" spans="1:5" x14ac:dyDescent="0.2">
      <c r="A3488" s="175">
        <v>39115</v>
      </c>
      <c r="B3488" s="176">
        <v>5.0199999999999996</v>
      </c>
      <c r="C3488" s="176"/>
      <c r="D3488" s="176"/>
      <c r="E3488" s="176"/>
    </row>
    <row r="3489" spans="1:5" x14ac:dyDescent="0.2">
      <c r="A3489" s="175">
        <v>39118</v>
      </c>
      <c r="B3489" s="176">
        <v>5</v>
      </c>
      <c r="C3489" s="176"/>
      <c r="D3489" s="176"/>
      <c r="E3489" s="176"/>
    </row>
    <row r="3490" spans="1:5" x14ac:dyDescent="0.2">
      <c r="A3490" s="175">
        <v>39119</v>
      </c>
      <c r="B3490" s="176">
        <v>4.96</v>
      </c>
      <c r="C3490" s="176"/>
      <c r="D3490" s="176"/>
      <c r="E3490" s="176"/>
    </row>
    <row r="3491" spans="1:5" x14ac:dyDescent="0.2">
      <c r="A3491" s="175">
        <v>39120</v>
      </c>
      <c r="B3491" s="176">
        <v>4.9400000000000004</v>
      </c>
      <c r="C3491" s="176"/>
      <c r="D3491" s="176"/>
      <c r="E3491" s="176"/>
    </row>
    <row r="3492" spans="1:5" x14ac:dyDescent="0.2">
      <c r="A3492" s="175">
        <v>39121</v>
      </c>
      <c r="B3492" s="176">
        <v>4.93</v>
      </c>
      <c r="C3492" s="176"/>
      <c r="D3492" s="176"/>
      <c r="E3492" s="176"/>
    </row>
    <row r="3493" spans="1:5" x14ac:dyDescent="0.2">
      <c r="A3493" s="175">
        <v>39122</v>
      </c>
      <c r="B3493" s="176">
        <v>4.9800000000000004</v>
      </c>
      <c r="C3493" s="176"/>
      <c r="D3493" s="176"/>
      <c r="E3493" s="176"/>
    </row>
    <row r="3494" spans="1:5" x14ac:dyDescent="0.2">
      <c r="A3494" s="175">
        <v>39125</v>
      </c>
      <c r="B3494" s="176">
        <v>5</v>
      </c>
      <c r="C3494" s="176"/>
      <c r="D3494" s="176"/>
      <c r="E3494" s="176"/>
    </row>
    <row r="3495" spans="1:5" x14ac:dyDescent="0.2">
      <c r="A3495" s="175">
        <v>39126</v>
      </c>
      <c r="B3495" s="176">
        <v>5.0199999999999996</v>
      </c>
      <c r="C3495" s="176"/>
      <c r="D3495" s="176"/>
      <c r="E3495" s="176"/>
    </row>
    <row r="3496" spans="1:5" x14ac:dyDescent="0.2">
      <c r="A3496" s="175">
        <v>39127</v>
      </c>
      <c r="B3496" s="176">
        <v>4.9400000000000004</v>
      </c>
      <c r="C3496" s="176"/>
      <c r="D3496" s="176"/>
      <c r="E3496" s="176"/>
    </row>
    <row r="3497" spans="1:5" x14ac:dyDescent="0.2">
      <c r="A3497" s="175">
        <v>39128</v>
      </c>
      <c r="B3497" s="176">
        <v>4.91</v>
      </c>
      <c r="C3497" s="176"/>
      <c r="D3497" s="176"/>
      <c r="E3497" s="176"/>
    </row>
    <row r="3498" spans="1:5" x14ac:dyDescent="0.2">
      <c r="A3498" s="175">
        <v>39129</v>
      </c>
      <c r="B3498" s="176">
        <v>4.9000000000000004</v>
      </c>
      <c r="C3498" s="176"/>
      <c r="D3498" s="176"/>
      <c r="E3498" s="176"/>
    </row>
    <row r="3499" spans="1:5" x14ac:dyDescent="0.2">
      <c r="A3499" s="175">
        <v>39132</v>
      </c>
      <c r="B3499" s="176" t="e">
        <f>NA()</f>
        <v>#N/A</v>
      </c>
      <c r="C3499" s="176"/>
      <c r="D3499" s="176"/>
      <c r="E3499" s="176"/>
    </row>
    <row r="3500" spans="1:5" x14ac:dyDescent="0.2">
      <c r="A3500" s="175">
        <v>39133</v>
      </c>
      <c r="B3500" s="176">
        <v>4.8899999999999997</v>
      </c>
      <c r="C3500" s="176"/>
      <c r="D3500" s="176"/>
      <c r="E3500" s="176"/>
    </row>
    <row r="3501" spans="1:5" x14ac:dyDescent="0.2">
      <c r="A3501" s="175">
        <v>39134</v>
      </c>
      <c r="B3501" s="176">
        <v>4.9000000000000004</v>
      </c>
      <c r="C3501" s="176"/>
      <c r="D3501" s="176"/>
      <c r="E3501" s="176"/>
    </row>
    <row r="3502" spans="1:5" x14ac:dyDescent="0.2">
      <c r="A3502" s="175">
        <v>39135</v>
      </c>
      <c r="B3502" s="176">
        <v>4.9400000000000004</v>
      </c>
      <c r="C3502" s="176"/>
      <c r="D3502" s="176"/>
      <c r="E3502" s="176"/>
    </row>
    <row r="3503" spans="1:5" x14ac:dyDescent="0.2">
      <c r="A3503" s="175">
        <v>39136</v>
      </c>
      <c r="B3503" s="176">
        <v>4.8899999999999997</v>
      </c>
      <c r="C3503" s="176"/>
      <c r="D3503" s="176"/>
      <c r="E3503" s="176"/>
    </row>
    <row r="3504" spans="1:5" x14ac:dyDescent="0.2">
      <c r="A3504" s="175">
        <v>39139</v>
      </c>
      <c r="B3504" s="176">
        <v>4.84</v>
      </c>
      <c r="C3504" s="176"/>
      <c r="D3504" s="176"/>
      <c r="E3504" s="176"/>
    </row>
    <row r="3505" spans="1:5" x14ac:dyDescent="0.2">
      <c r="A3505" s="175">
        <v>39140</v>
      </c>
      <c r="B3505" s="176">
        <v>4.7300000000000004</v>
      </c>
      <c r="C3505" s="176"/>
      <c r="D3505" s="176"/>
      <c r="E3505" s="176"/>
    </row>
    <row r="3506" spans="1:5" x14ac:dyDescent="0.2">
      <c r="A3506" s="175">
        <v>39141</v>
      </c>
      <c r="B3506" s="176">
        <v>4.78</v>
      </c>
      <c r="C3506" s="176"/>
      <c r="D3506" s="176"/>
      <c r="E3506" s="176"/>
    </row>
    <row r="3507" spans="1:5" x14ac:dyDescent="0.2">
      <c r="A3507" s="175">
        <v>39142</v>
      </c>
      <c r="B3507" s="177">
        <v>4.78</v>
      </c>
      <c r="C3507" s="177"/>
      <c r="D3507" s="177"/>
      <c r="E3507" s="177"/>
    </row>
    <row r="3508" spans="1:5" x14ac:dyDescent="0.2">
      <c r="A3508" s="175">
        <v>39143</v>
      </c>
      <c r="B3508" s="176">
        <v>4.75</v>
      </c>
      <c r="C3508" s="176"/>
      <c r="D3508" s="176"/>
      <c r="E3508" s="176"/>
    </row>
    <row r="3509" spans="1:5" x14ac:dyDescent="0.2">
      <c r="A3509" s="175">
        <v>39146</v>
      </c>
      <c r="B3509" s="176">
        <v>4.74</v>
      </c>
      <c r="C3509" s="176"/>
      <c r="D3509" s="176"/>
      <c r="E3509" s="176"/>
    </row>
    <row r="3510" spans="1:5" x14ac:dyDescent="0.2">
      <c r="A3510" s="175">
        <v>39147</v>
      </c>
      <c r="B3510" s="176">
        <v>4.76</v>
      </c>
      <c r="C3510" s="176"/>
      <c r="D3510" s="176"/>
      <c r="E3510" s="176"/>
    </row>
    <row r="3511" spans="1:5" x14ac:dyDescent="0.2">
      <c r="A3511" s="175">
        <v>39148</v>
      </c>
      <c r="B3511" s="176">
        <v>4.7300000000000004</v>
      </c>
      <c r="C3511" s="176"/>
      <c r="D3511" s="176"/>
      <c r="E3511" s="176"/>
    </row>
    <row r="3512" spans="1:5" x14ac:dyDescent="0.2">
      <c r="A3512" s="175">
        <v>39149</v>
      </c>
      <c r="B3512" s="176">
        <v>4.74</v>
      </c>
      <c r="C3512" s="176"/>
      <c r="D3512" s="176"/>
      <c r="E3512" s="176"/>
    </row>
    <row r="3513" spans="1:5" x14ac:dyDescent="0.2">
      <c r="A3513" s="175">
        <v>39150</v>
      </c>
      <c r="B3513" s="176">
        <v>4.8099999999999996</v>
      </c>
      <c r="C3513" s="176"/>
      <c r="D3513" s="176"/>
      <c r="E3513" s="176"/>
    </row>
    <row r="3514" spans="1:5" x14ac:dyDescent="0.2">
      <c r="A3514" s="175">
        <v>39153</v>
      </c>
      <c r="B3514" s="176">
        <v>4.78</v>
      </c>
      <c r="C3514" s="176"/>
      <c r="D3514" s="176"/>
      <c r="E3514" s="176"/>
    </row>
    <row r="3515" spans="1:5" x14ac:dyDescent="0.2">
      <c r="A3515" s="175">
        <v>39154</v>
      </c>
      <c r="B3515" s="176">
        <v>4.75</v>
      </c>
      <c r="C3515" s="176"/>
      <c r="D3515" s="176"/>
      <c r="E3515" s="176"/>
    </row>
    <row r="3516" spans="1:5" x14ac:dyDescent="0.2">
      <c r="A3516" s="175">
        <v>39155</v>
      </c>
      <c r="B3516" s="176">
        <v>4.78</v>
      </c>
      <c r="C3516" s="176"/>
      <c r="D3516" s="176"/>
      <c r="E3516" s="176"/>
    </row>
    <row r="3517" spans="1:5" x14ac:dyDescent="0.2">
      <c r="A3517" s="175">
        <v>39156</v>
      </c>
      <c r="B3517" s="176">
        <v>4.78</v>
      </c>
      <c r="C3517" s="176"/>
      <c r="D3517" s="176"/>
      <c r="E3517" s="176"/>
    </row>
    <row r="3518" spans="1:5" x14ac:dyDescent="0.2">
      <c r="A3518" s="175">
        <v>39157</v>
      </c>
      <c r="B3518" s="176">
        <v>4.79</v>
      </c>
      <c r="C3518" s="176"/>
      <c r="D3518" s="176"/>
      <c r="E3518" s="176"/>
    </row>
    <row r="3519" spans="1:5" x14ac:dyDescent="0.2">
      <c r="A3519" s="175">
        <v>39160</v>
      </c>
      <c r="B3519" s="176">
        <v>4.8099999999999996</v>
      </c>
      <c r="C3519" s="176"/>
      <c r="D3519" s="176"/>
      <c r="E3519" s="176"/>
    </row>
    <row r="3520" spans="1:5" x14ac:dyDescent="0.2">
      <c r="A3520" s="175">
        <v>39161</v>
      </c>
      <c r="B3520" s="176">
        <v>4.79</v>
      </c>
      <c r="C3520" s="176"/>
      <c r="D3520" s="176"/>
      <c r="E3520" s="176"/>
    </row>
    <row r="3521" spans="1:5" x14ac:dyDescent="0.2">
      <c r="A3521" s="175">
        <v>39162</v>
      </c>
      <c r="B3521" s="176">
        <v>4.78</v>
      </c>
      <c r="C3521" s="176"/>
      <c r="D3521" s="176"/>
      <c r="E3521" s="176"/>
    </row>
    <row r="3522" spans="1:5" x14ac:dyDescent="0.2">
      <c r="A3522" s="175">
        <v>39163</v>
      </c>
      <c r="B3522" s="176">
        <v>4.8600000000000003</v>
      </c>
      <c r="C3522" s="176"/>
      <c r="D3522" s="176"/>
      <c r="E3522" s="176"/>
    </row>
    <row r="3523" spans="1:5" x14ac:dyDescent="0.2">
      <c r="A3523" s="175">
        <v>39164</v>
      </c>
      <c r="B3523" s="176">
        <v>4.88</v>
      </c>
      <c r="C3523" s="176"/>
      <c r="D3523" s="176"/>
      <c r="E3523" s="176"/>
    </row>
    <row r="3524" spans="1:5" x14ac:dyDescent="0.2">
      <c r="A3524" s="175">
        <v>39167</v>
      </c>
      <c r="B3524" s="176">
        <v>4.8600000000000003</v>
      </c>
      <c r="C3524" s="176"/>
      <c r="D3524" s="176"/>
      <c r="E3524" s="176"/>
    </row>
    <row r="3525" spans="1:5" x14ac:dyDescent="0.2">
      <c r="A3525" s="175">
        <v>39168</v>
      </c>
      <c r="B3525" s="176">
        <v>4.8899999999999997</v>
      </c>
      <c r="C3525" s="176"/>
      <c r="D3525" s="176"/>
      <c r="E3525" s="176"/>
    </row>
    <row r="3526" spans="1:5" x14ac:dyDescent="0.2">
      <c r="A3526" s="175">
        <v>39169</v>
      </c>
      <c r="B3526" s="176">
        <v>4.9000000000000004</v>
      </c>
      <c r="C3526" s="176"/>
      <c r="D3526" s="176"/>
      <c r="E3526" s="176"/>
    </row>
    <row r="3527" spans="1:5" x14ac:dyDescent="0.2">
      <c r="A3527" s="175">
        <v>39170</v>
      </c>
      <c r="B3527" s="176">
        <v>4.9000000000000004</v>
      </c>
      <c r="C3527" s="176"/>
      <c r="D3527" s="176"/>
      <c r="E3527" s="176"/>
    </row>
    <row r="3528" spans="1:5" x14ac:dyDescent="0.2">
      <c r="A3528" s="175">
        <v>39171</v>
      </c>
      <c r="B3528" s="176">
        <v>4.92</v>
      </c>
      <c r="C3528" s="176"/>
      <c r="D3528" s="176"/>
      <c r="E3528" s="176"/>
    </row>
    <row r="3529" spans="1:5" x14ac:dyDescent="0.2">
      <c r="A3529" s="175">
        <v>39174</v>
      </c>
      <c r="B3529" s="177">
        <v>4.92</v>
      </c>
      <c r="C3529" s="177"/>
      <c r="D3529" s="177"/>
      <c r="E3529" s="177"/>
    </row>
    <row r="3530" spans="1:5" x14ac:dyDescent="0.2">
      <c r="A3530" s="175">
        <v>39175</v>
      </c>
      <c r="B3530" s="176">
        <v>4.93</v>
      </c>
      <c r="C3530" s="176"/>
      <c r="D3530" s="176"/>
      <c r="E3530" s="176"/>
    </row>
    <row r="3531" spans="1:5" x14ac:dyDescent="0.2">
      <c r="A3531" s="175">
        <v>39176</v>
      </c>
      <c r="B3531" s="176">
        <v>4.92</v>
      </c>
      <c r="C3531" s="176"/>
      <c r="D3531" s="176"/>
      <c r="E3531" s="176"/>
    </row>
    <row r="3532" spans="1:5" x14ac:dyDescent="0.2">
      <c r="A3532" s="175">
        <v>39177</v>
      </c>
      <c r="B3532" s="176">
        <v>4.95</v>
      </c>
      <c r="C3532" s="176"/>
      <c r="D3532" s="176"/>
      <c r="E3532" s="176"/>
    </row>
    <row r="3533" spans="1:5" x14ac:dyDescent="0.2">
      <c r="A3533" s="175">
        <v>39178</v>
      </c>
      <c r="B3533" s="176">
        <v>5</v>
      </c>
      <c r="C3533" s="176"/>
      <c r="D3533" s="176"/>
      <c r="E3533" s="176"/>
    </row>
    <row r="3534" spans="1:5" x14ac:dyDescent="0.2">
      <c r="A3534" s="175">
        <v>39181</v>
      </c>
      <c r="B3534" s="177">
        <v>5</v>
      </c>
      <c r="C3534" s="177"/>
      <c r="D3534" s="177"/>
      <c r="E3534" s="177"/>
    </row>
    <row r="3535" spans="1:5" x14ac:dyDescent="0.2">
      <c r="A3535" s="175">
        <v>39182</v>
      </c>
      <c r="B3535" s="176">
        <v>4.99</v>
      </c>
      <c r="C3535" s="176"/>
      <c r="D3535" s="176"/>
      <c r="E3535" s="176"/>
    </row>
    <row r="3536" spans="1:5" x14ac:dyDescent="0.2">
      <c r="A3536" s="175">
        <v>39183</v>
      </c>
      <c r="B3536" s="176">
        <v>5</v>
      </c>
      <c r="C3536" s="176"/>
      <c r="D3536" s="176"/>
      <c r="E3536" s="176"/>
    </row>
    <row r="3537" spans="1:5" x14ac:dyDescent="0.2">
      <c r="A3537" s="175">
        <v>39184</v>
      </c>
      <c r="B3537" s="176">
        <v>4.99</v>
      </c>
      <c r="C3537" s="176"/>
      <c r="D3537" s="176"/>
      <c r="E3537" s="176"/>
    </row>
    <row r="3538" spans="1:5" x14ac:dyDescent="0.2">
      <c r="A3538" s="175">
        <v>39185</v>
      </c>
      <c r="B3538" s="176">
        <v>5.01</v>
      </c>
      <c r="C3538" s="176"/>
      <c r="D3538" s="176"/>
      <c r="E3538" s="176"/>
    </row>
    <row r="3539" spans="1:5" x14ac:dyDescent="0.2">
      <c r="A3539" s="175">
        <v>39188</v>
      </c>
      <c r="B3539" s="176">
        <v>4.9800000000000004</v>
      </c>
      <c r="C3539" s="176"/>
      <c r="D3539" s="176"/>
      <c r="E3539" s="176"/>
    </row>
    <row r="3540" spans="1:5" x14ac:dyDescent="0.2">
      <c r="A3540" s="175">
        <v>39189</v>
      </c>
      <c r="B3540" s="176">
        <v>4.93</v>
      </c>
      <c r="C3540" s="176"/>
      <c r="D3540" s="176"/>
      <c r="E3540" s="176"/>
    </row>
    <row r="3541" spans="1:5" x14ac:dyDescent="0.2">
      <c r="A3541" s="175">
        <v>39190</v>
      </c>
      <c r="B3541" s="176">
        <v>4.9000000000000004</v>
      </c>
      <c r="C3541" s="176"/>
      <c r="D3541" s="176"/>
      <c r="E3541" s="176"/>
    </row>
    <row r="3542" spans="1:5" x14ac:dyDescent="0.2">
      <c r="A3542" s="175">
        <v>39191</v>
      </c>
      <c r="B3542" s="176">
        <v>4.92</v>
      </c>
      <c r="C3542" s="176"/>
      <c r="D3542" s="176"/>
      <c r="E3542" s="176"/>
    </row>
    <row r="3543" spans="1:5" x14ac:dyDescent="0.2">
      <c r="A3543" s="175">
        <v>39192</v>
      </c>
      <c r="B3543" s="176">
        <v>4.93</v>
      </c>
      <c r="C3543" s="176"/>
      <c r="D3543" s="176"/>
      <c r="E3543" s="176"/>
    </row>
    <row r="3544" spans="1:5" x14ac:dyDescent="0.2">
      <c r="A3544" s="175">
        <v>39195</v>
      </c>
      <c r="B3544" s="177">
        <v>4.91</v>
      </c>
      <c r="C3544" s="177"/>
      <c r="D3544" s="177"/>
      <c r="E3544" s="177"/>
    </row>
    <row r="3545" spans="1:5" x14ac:dyDescent="0.2">
      <c r="A3545" s="175">
        <v>39196</v>
      </c>
      <c r="B3545" s="176">
        <v>4.88</v>
      </c>
      <c r="C3545" s="176"/>
      <c r="D3545" s="176"/>
      <c r="E3545" s="176"/>
    </row>
    <row r="3546" spans="1:5" x14ac:dyDescent="0.2">
      <c r="A3546" s="175">
        <v>39197</v>
      </c>
      <c r="B3546" s="176">
        <v>4.91</v>
      </c>
      <c r="C3546" s="176"/>
      <c r="D3546" s="176"/>
      <c r="E3546" s="176"/>
    </row>
    <row r="3547" spans="1:5" x14ac:dyDescent="0.2">
      <c r="A3547" s="175">
        <v>39198</v>
      </c>
      <c r="B3547" s="176">
        <v>4.95</v>
      </c>
      <c r="C3547" s="176"/>
      <c r="D3547" s="176"/>
      <c r="E3547" s="176"/>
    </row>
    <row r="3548" spans="1:5" x14ac:dyDescent="0.2">
      <c r="A3548" s="175">
        <v>39199</v>
      </c>
      <c r="B3548" s="176">
        <v>4.96</v>
      </c>
      <c r="C3548" s="176"/>
      <c r="D3548" s="176"/>
      <c r="E3548" s="176"/>
    </row>
    <row r="3549" spans="1:5" x14ac:dyDescent="0.2">
      <c r="A3549" s="175">
        <v>39202</v>
      </c>
      <c r="B3549" s="176">
        <v>4.88</v>
      </c>
      <c r="C3549" s="176"/>
      <c r="D3549" s="176"/>
      <c r="E3549" s="176"/>
    </row>
    <row r="3550" spans="1:5" x14ac:dyDescent="0.2">
      <c r="A3550" s="175">
        <v>39203</v>
      </c>
      <c r="B3550" s="176">
        <v>4.8899999999999997</v>
      </c>
      <c r="C3550" s="176"/>
      <c r="D3550" s="176"/>
      <c r="E3550" s="176"/>
    </row>
    <row r="3551" spans="1:5" x14ac:dyDescent="0.2">
      <c r="A3551" s="175">
        <v>39204</v>
      </c>
      <c r="B3551" s="176">
        <v>4.8899999999999997</v>
      </c>
      <c r="C3551" s="176"/>
      <c r="D3551" s="176"/>
      <c r="E3551" s="176"/>
    </row>
    <row r="3552" spans="1:5" x14ac:dyDescent="0.2">
      <c r="A3552" s="175">
        <v>39205</v>
      </c>
      <c r="B3552" s="176">
        <v>4.91</v>
      </c>
      <c r="C3552" s="176"/>
      <c r="D3552" s="176"/>
      <c r="E3552" s="176"/>
    </row>
    <row r="3553" spans="1:5" x14ac:dyDescent="0.2">
      <c r="A3553" s="175">
        <v>39206</v>
      </c>
      <c r="B3553" s="176">
        <v>4.88</v>
      </c>
      <c r="C3553" s="176"/>
      <c r="D3553" s="176"/>
      <c r="E3553" s="176"/>
    </row>
    <row r="3554" spans="1:5" x14ac:dyDescent="0.2">
      <c r="A3554" s="175">
        <v>39209</v>
      </c>
      <c r="B3554" s="176">
        <v>4.8600000000000003</v>
      </c>
      <c r="C3554" s="176"/>
      <c r="D3554" s="176"/>
      <c r="E3554" s="176"/>
    </row>
    <row r="3555" spans="1:5" x14ac:dyDescent="0.2">
      <c r="A3555" s="175">
        <v>39210</v>
      </c>
      <c r="B3555" s="176">
        <v>4.87</v>
      </c>
      <c r="C3555" s="176"/>
      <c r="D3555" s="176"/>
      <c r="E3555" s="176"/>
    </row>
    <row r="3556" spans="1:5" x14ac:dyDescent="0.2">
      <c r="A3556" s="175">
        <v>39211</v>
      </c>
      <c r="B3556" s="176">
        <v>4.91</v>
      </c>
      <c r="C3556" s="176"/>
      <c r="D3556" s="176"/>
      <c r="E3556" s="176"/>
    </row>
    <row r="3557" spans="1:5" x14ac:dyDescent="0.2">
      <c r="A3557" s="175">
        <v>39212</v>
      </c>
      <c r="B3557" s="176">
        <v>4.9000000000000004</v>
      </c>
      <c r="C3557" s="176"/>
      <c r="D3557" s="176"/>
      <c r="E3557" s="176"/>
    </row>
    <row r="3558" spans="1:5" x14ac:dyDescent="0.2">
      <c r="A3558" s="175">
        <v>39213</v>
      </c>
      <c r="B3558" s="176">
        <v>4.92</v>
      </c>
      <c r="C3558" s="176"/>
      <c r="D3558" s="176"/>
      <c r="E3558" s="176"/>
    </row>
    <row r="3559" spans="1:5" x14ac:dyDescent="0.2">
      <c r="A3559" s="175">
        <v>39216</v>
      </c>
      <c r="B3559" s="176">
        <v>4.93</v>
      </c>
      <c r="C3559" s="176"/>
      <c r="D3559" s="176"/>
      <c r="E3559" s="176"/>
    </row>
    <row r="3560" spans="1:5" x14ac:dyDescent="0.2">
      <c r="A3560" s="170">
        <v>39217</v>
      </c>
      <c r="B3560" s="171">
        <v>4.95</v>
      </c>
    </row>
    <row r="3561" spans="1:5" x14ac:dyDescent="0.2">
      <c r="A3561" s="170">
        <v>39218</v>
      </c>
      <c r="B3561" s="171">
        <v>4.95</v>
      </c>
    </row>
    <row r="3562" spans="1:5" x14ac:dyDescent="0.2">
      <c r="A3562" s="170">
        <v>39219</v>
      </c>
      <c r="B3562" s="171">
        <v>4.99</v>
      </c>
    </row>
    <row r="3563" spans="1:5" x14ac:dyDescent="0.2">
      <c r="A3563" s="170">
        <v>39220</v>
      </c>
      <c r="B3563" s="171">
        <v>5.03</v>
      </c>
    </row>
    <row r="3564" spans="1:5" x14ac:dyDescent="0.2">
      <c r="A3564" s="170">
        <v>39223</v>
      </c>
      <c r="B3564" s="171">
        <v>5.0199999999999996</v>
      </c>
    </row>
    <row r="3565" spans="1:5" x14ac:dyDescent="0.2">
      <c r="A3565" s="170">
        <v>39224</v>
      </c>
      <c r="B3565" s="171">
        <v>5.0599999999999996</v>
      </c>
    </row>
    <row r="3566" spans="1:5" x14ac:dyDescent="0.2">
      <c r="A3566" s="170">
        <v>39225</v>
      </c>
      <c r="B3566" s="171">
        <v>5.09</v>
      </c>
    </row>
    <row r="3567" spans="1:5" x14ac:dyDescent="0.2">
      <c r="A3567" s="170">
        <v>39226</v>
      </c>
      <c r="B3567" s="171">
        <v>5.09</v>
      </c>
    </row>
    <row r="3568" spans="1:5" x14ac:dyDescent="0.2">
      <c r="A3568" s="170">
        <v>39227</v>
      </c>
      <c r="B3568" s="171">
        <v>5.09</v>
      </c>
    </row>
    <row r="3569" spans="1:2" x14ac:dyDescent="0.2">
      <c r="A3569" s="170">
        <v>39230</v>
      </c>
      <c r="B3569" s="171" t="e">
        <f>NA()</f>
        <v>#N/A</v>
      </c>
    </row>
    <row r="3570" spans="1:2" x14ac:dyDescent="0.2">
      <c r="A3570" s="170">
        <v>39231</v>
      </c>
      <c r="B3570" s="171">
        <v>5.09</v>
      </c>
    </row>
    <row r="3571" spans="1:2" x14ac:dyDescent="0.2">
      <c r="A3571" s="170">
        <v>39232</v>
      </c>
      <c r="B3571" s="171">
        <v>5.09</v>
      </c>
    </row>
    <row r="3572" spans="1:2" x14ac:dyDescent="0.2">
      <c r="A3572" s="170">
        <v>39233</v>
      </c>
      <c r="B3572" s="171">
        <v>5.0999999999999996</v>
      </c>
    </row>
    <row r="3573" spans="1:2" x14ac:dyDescent="0.2">
      <c r="A3573" s="170">
        <v>39234</v>
      </c>
      <c r="B3573" s="171">
        <v>5.15</v>
      </c>
    </row>
    <row r="3574" spans="1:2" x14ac:dyDescent="0.2">
      <c r="A3574" s="170">
        <v>39237</v>
      </c>
      <c r="B3574" s="171">
        <v>5.1100000000000003</v>
      </c>
    </row>
    <row r="3575" spans="1:2" x14ac:dyDescent="0.2">
      <c r="A3575" s="170">
        <v>39238</v>
      </c>
      <c r="B3575" s="171">
        <v>5.16</v>
      </c>
    </row>
    <row r="3576" spans="1:2" x14ac:dyDescent="0.2">
      <c r="A3576" s="170">
        <v>39239</v>
      </c>
      <c r="B3576" s="171">
        <v>5.17</v>
      </c>
    </row>
    <row r="3577" spans="1:2" x14ac:dyDescent="0.2">
      <c r="A3577" s="170">
        <v>39240</v>
      </c>
      <c r="B3577" s="171">
        <v>5.29</v>
      </c>
    </row>
    <row r="3578" spans="1:2" x14ac:dyDescent="0.2">
      <c r="A3578" s="170">
        <v>39241</v>
      </c>
      <c r="B3578" s="171">
        <v>5.3</v>
      </c>
    </row>
    <row r="3579" spans="1:2" x14ac:dyDescent="0.2">
      <c r="A3579" s="170">
        <v>39244</v>
      </c>
      <c r="B3579" s="171">
        <v>5.32</v>
      </c>
    </row>
    <row r="3580" spans="1:2" x14ac:dyDescent="0.2">
      <c r="A3580" s="170">
        <v>39245</v>
      </c>
      <c r="B3580" s="171">
        <v>5.44</v>
      </c>
    </row>
    <row r="3581" spans="1:2" x14ac:dyDescent="0.2">
      <c r="A3581" s="170">
        <v>39246</v>
      </c>
      <c r="B3581" s="171">
        <v>5.36</v>
      </c>
    </row>
    <row r="3582" spans="1:2" x14ac:dyDescent="0.2">
      <c r="A3582" s="170">
        <v>39247</v>
      </c>
      <c r="B3582" s="171">
        <v>5.39</v>
      </c>
    </row>
    <row r="3583" spans="1:2" x14ac:dyDescent="0.2">
      <c r="A3583" s="170">
        <v>39248</v>
      </c>
      <c r="B3583" s="171">
        <v>5.34</v>
      </c>
    </row>
    <row r="3584" spans="1:2" x14ac:dyDescent="0.2">
      <c r="A3584" s="170">
        <v>39251</v>
      </c>
      <c r="B3584" s="171">
        <v>5.34</v>
      </c>
    </row>
    <row r="3585" spans="1:2" x14ac:dyDescent="0.2">
      <c r="A3585" s="170">
        <v>39252</v>
      </c>
      <c r="B3585" s="171">
        <v>5.28</v>
      </c>
    </row>
    <row r="3586" spans="1:2" x14ac:dyDescent="0.2">
      <c r="A3586" s="170">
        <v>39253</v>
      </c>
      <c r="B3586" s="171">
        <v>5.32</v>
      </c>
    </row>
    <row r="3587" spans="1:2" x14ac:dyDescent="0.2">
      <c r="A3587" s="170">
        <v>39254</v>
      </c>
      <c r="B3587" s="171">
        <v>5.36</v>
      </c>
    </row>
    <row r="3588" spans="1:2" x14ac:dyDescent="0.2">
      <c r="A3588" s="170">
        <v>39255</v>
      </c>
      <c r="B3588" s="171">
        <v>5.34</v>
      </c>
    </row>
    <row r="3589" spans="1:2" x14ac:dyDescent="0.2">
      <c r="A3589" s="170">
        <v>39258</v>
      </c>
      <c r="B3589" s="171">
        <v>5.28</v>
      </c>
    </row>
    <row r="3590" spans="1:2" x14ac:dyDescent="0.2">
      <c r="A3590" s="170">
        <v>39259</v>
      </c>
      <c r="B3590" s="171">
        <v>5.31</v>
      </c>
    </row>
    <row r="3591" spans="1:2" x14ac:dyDescent="0.2">
      <c r="A3591" s="170">
        <v>39260</v>
      </c>
      <c r="B3591" s="171">
        <v>5.28</v>
      </c>
    </row>
    <row r="3592" spans="1:2" x14ac:dyDescent="0.2">
      <c r="A3592" s="170">
        <v>39261</v>
      </c>
      <c r="B3592" s="171">
        <v>5.3</v>
      </c>
    </row>
    <row r="3593" spans="1:2" x14ac:dyDescent="0.2">
      <c r="A3593" s="170">
        <v>39262</v>
      </c>
      <c r="B3593" s="171">
        <v>5.21</v>
      </c>
    </row>
    <row r="3594" spans="1:2" x14ac:dyDescent="0.2">
      <c r="A3594" s="170">
        <v>39265</v>
      </c>
      <c r="B3594" s="171">
        <v>5.18</v>
      </c>
    </row>
    <row r="3595" spans="1:2" x14ac:dyDescent="0.2">
      <c r="A3595" s="170">
        <v>39266</v>
      </c>
      <c r="B3595" s="171">
        <v>5.22</v>
      </c>
    </row>
    <row r="3596" spans="1:2" x14ac:dyDescent="0.2">
      <c r="A3596" s="170">
        <v>39267</v>
      </c>
      <c r="B3596" s="171" t="e">
        <f>NA()</f>
        <v>#N/A</v>
      </c>
    </row>
    <row r="3597" spans="1:2" x14ac:dyDescent="0.2">
      <c r="A3597" s="170">
        <v>39268</v>
      </c>
      <c r="B3597" s="171">
        <v>5.32</v>
      </c>
    </row>
    <row r="3598" spans="1:2" x14ac:dyDescent="0.2">
      <c r="A3598" s="170">
        <v>39269</v>
      </c>
      <c r="B3598" s="171">
        <v>5.36</v>
      </c>
    </row>
    <row r="3599" spans="1:2" x14ac:dyDescent="0.2">
      <c r="A3599" s="170">
        <v>39272</v>
      </c>
      <c r="B3599" s="171">
        <v>5.32</v>
      </c>
    </row>
    <row r="3600" spans="1:2" x14ac:dyDescent="0.2">
      <c r="A3600" s="170">
        <v>39273</v>
      </c>
      <c r="B3600" s="171">
        <v>5.21</v>
      </c>
    </row>
    <row r="3601" spans="1:2" x14ac:dyDescent="0.2">
      <c r="A3601" s="170">
        <v>39274</v>
      </c>
      <c r="B3601" s="171">
        <v>5.26</v>
      </c>
    </row>
    <row r="3602" spans="1:2" x14ac:dyDescent="0.2">
      <c r="A3602" s="170">
        <v>39275</v>
      </c>
      <c r="B3602" s="171">
        <v>5.29</v>
      </c>
    </row>
    <row r="3603" spans="1:2" x14ac:dyDescent="0.2">
      <c r="A3603" s="170">
        <v>39276</v>
      </c>
      <c r="B3603" s="171">
        <v>5.27</v>
      </c>
    </row>
    <row r="3604" spans="1:2" x14ac:dyDescent="0.2">
      <c r="A3604" s="170">
        <v>39279</v>
      </c>
      <c r="B3604" s="171">
        <v>5.21</v>
      </c>
    </row>
    <row r="3605" spans="1:2" x14ac:dyDescent="0.2">
      <c r="A3605" s="170">
        <v>39280</v>
      </c>
      <c r="B3605" s="171">
        <v>5.24</v>
      </c>
    </row>
    <row r="3606" spans="1:2" x14ac:dyDescent="0.2">
      <c r="A3606" s="170">
        <v>39281</v>
      </c>
      <c r="B3606" s="171">
        <v>5.18</v>
      </c>
    </row>
    <row r="3607" spans="1:2" x14ac:dyDescent="0.2">
      <c r="A3607" s="170">
        <v>39282</v>
      </c>
      <c r="B3607" s="171">
        <v>5.2</v>
      </c>
    </row>
    <row r="3608" spans="1:2" x14ac:dyDescent="0.2">
      <c r="A3608" s="170">
        <v>39283</v>
      </c>
      <c r="B3608" s="171">
        <v>5.14</v>
      </c>
    </row>
    <row r="3609" spans="1:2" x14ac:dyDescent="0.2">
      <c r="A3609" s="170">
        <v>39286</v>
      </c>
      <c r="B3609" s="171">
        <v>5.15</v>
      </c>
    </row>
    <row r="3610" spans="1:2" x14ac:dyDescent="0.2">
      <c r="A3610" s="170">
        <v>39287</v>
      </c>
      <c r="B3610" s="171">
        <v>5.13</v>
      </c>
    </row>
    <row r="3611" spans="1:2" x14ac:dyDescent="0.2">
      <c r="A3611" s="170">
        <v>39288</v>
      </c>
      <c r="B3611" s="171">
        <v>5.12</v>
      </c>
    </row>
    <row r="3612" spans="1:2" x14ac:dyDescent="0.2">
      <c r="A3612" s="170">
        <v>39289</v>
      </c>
      <c r="B3612" s="171">
        <v>5.0199999999999996</v>
      </c>
    </row>
    <row r="3613" spans="1:2" x14ac:dyDescent="0.2">
      <c r="A3613" s="170">
        <v>39290</v>
      </c>
      <c r="B3613" s="171">
        <v>5.03</v>
      </c>
    </row>
    <row r="3614" spans="1:2" x14ac:dyDescent="0.2">
      <c r="A3614" s="170">
        <v>39293</v>
      </c>
      <c r="B3614" s="171">
        <v>5.05</v>
      </c>
    </row>
    <row r="3615" spans="1:2" x14ac:dyDescent="0.2">
      <c r="A3615" s="170">
        <v>39294</v>
      </c>
      <c r="B3615" s="171">
        <v>5</v>
      </c>
    </row>
    <row r="3616" spans="1:2" x14ac:dyDescent="0.2">
      <c r="A3616" s="170">
        <v>39295</v>
      </c>
      <c r="B3616" s="171">
        <v>4.99</v>
      </c>
    </row>
    <row r="3617" spans="1:2" x14ac:dyDescent="0.2">
      <c r="A3617" s="170">
        <v>39296</v>
      </c>
      <c r="B3617" s="171">
        <v>5</v>
      </c>
    </row>
    <row r="3618" spans="1:2" x14ac:dyDescent="0.2">
      <c r="A3618" s="170">
        <v>39297</v>
      </c>
      <c r="B3618" s="171">
        <v>4.96</v>
      </c>
    </row>
    <row r="3619" spans="1:2" x14ac:dyDescent="0.2">
      <c r="A3619" s="170">
        <v>39300</v>
      </c>
      <c r="B3619" s="171">
        <v>4.9800000000000004</v>
      </c>
    </row>
    <row r="3620" spans="1:2" x14ac:dyDescent="0.2">
      <c r="A3620" s="170">
        <v>39301</v>
      </c>
      <c r="B3620" s="171">
        <v>5.01</v>
      </c>
    </row>
    <row r="3621" spans="1:2" x14ac:dyDescent="0.2">
      <c r="A3621" s="170">
        <v>39302</v>
      </c>
      <c r="B3621" s="171">
        <v>5.1100000000000003</v>
      </c>
    </row>
    <row r="3622" spans="1:2" x14ac:dyDescent="0.2">
      <c r="A3622" s="170">
        <v>39303</v>
      </c>
      <c r="B3622" s="171">
        <v>5.0999999999999996</v>
      </c>
    </row>
    <row r="3623" spans="1:2" x14ac:dyDescent="0.2">
      <c r="A3623" s="170">
        <v>39304</v>
      </c>
      <c r="B3623" s="171">
        <v>5.1100000000000003</v>
      </c>
    </row>
    <row r="3624" spans="1:2" x14ac:dyDescent="0.2">
      <c r="A3624" s="170">
        <v>39307</v>
      </c>
      <c r="B3624" s="171">
        <v>5.09</v>
      </c>
    </row>
    <row r="3625" spans="1:2" x14ac:dyDescent="0.2">
      <c r="A3625" s="170">
        <v>39308</v>
      </c>
      <c r="B3625" s="171">
        <v>5.0599999999999996</v>
      </c>
    </row>
    <row r="3626" spans="1:2" x14ac:dyDescent="0.2">
      <c r="A3626" s="170">
        <v>39309</v>
      </c>
      <c r="B3626" s="171">
        <v>5.07</v>
      </c>
    </row>
    <row r="3627" spans="1:2" x14ac:dyDescent="0.2">
      <c r="A3627" s="170">
        <v>39310</v>
      </c>
      <c r="B3627" s="171">
        <v>4.99</v>
      </c>
    </row>
    <row r="3628" spans="1:2" x14ac:dyDescent="0.2">
      <c r="A3628" s="170">
        <v>39311</v>
      </c>
      <c r="B3628" s="171">
        <v>5.0599999999999996</v>
      </c>
    </row>
    <row r="3629" spans="1:2" x14ac:dyDescent="0.2">
      <c r="A3629" s="170">
        <v>39314</v>
      </c>
      <c r="B3629" s="171">
        <v>5.04</v>
      </c>
    </row>
    <row r="3630" spans="1:2" x14ac:dyDescent="0.2">
      <c r="A3630" s="170">
        <v>39315</v>
      </c>
      <c r="B3630" s="171">
        <v>5</v>
      </c>
    </row>
    <row r="3631" spans="1:2" x14ac:dyDescent="0.2">
      <c r="A3631" s="170">
        <v>39316</v>
      </c>
      <c r="B3631" s="171">
        <v>5.01</v>
      </c>
    </row>
    <row r="3632" spans="1:2" x14ac:dyDescent="0.2">
      <c r="A3632" s="170">
        <v>39317</v>
      </c>
      <c r="B3632" s="171">
        <v>4.9800000000000004</v>
      </c>
    </row>
    <row r="3633" spans="1:2" x14ac:dyDescent="0.2">
      <c r="A3633" s="170">
        <v>39318</v>
      </c>
      <c r="B3633" s="171">
        <v>4.95</v>
      </c>
    </row>
    <row r="3634" spans="1:2" x14ac:dyDescent="0.2">
      <c r="A3634" s="170">
        <v>39321</v>
      </c>
      <c r="B3634" s="171">
        <v>4.92</v>
      </c>
    </row>
    <row r="3635" spans="1:2" x14ac:dyDescent="0.2">
      <c r="A3635" s="170">
        <v>39322</v>
      </c>
      <c r="B3635" s="171">
        <v>4.9000000000000004</v>
      </c>
    </row>
    <row r="3636" spans="1:2" x14ac:dyDescent="0.2">
      <c r="A3636" s="170">
        <v>39323</v>
      </c>
      <c r="B3636" s="171">
        <v>4.93</v>
      </c>
    </row>
    <row r="3637" spans="1:2" x14ac:dyDescent="0.2">
      <c r="A3637" s="170">
        <v>39324</v>
      </c>
      <c r="B3637" s="171">
        <v>4.87</v>
      </c>
    </row>
    <row r="3638" spans="1:2" x14ac:dyDescent="0.2">
      <c r="A3638" s="170">
        <v>39325</v>
      </c>
      <c r="B3638" s="171">
        <v>4.87</v>
      </c>
    </row>
    <row r="3639" spans="1:2" x14ac:dyDescent="0.2">
      <c r="A3639" s="170">
        <v>39328</v>
      </c>
      <c r="B3639" s="171" t="e">
        <f>NA()</f>
        <v>#N/A</v>
      </c>
    </row>
    <row r="3640" spans="1:2" x14ac:dyDescent="0.2">
      <c r="A3640" s="170">
        <v>39329</v>
      </c>
      <c r="B3640" s="171">
        <v>4.88</v>
      </c>
    </row>
    <row r="3641" spans="1:2" x14ac:dyDescent="0.2">
      <c r="A3641" s="170">
        <v>39330</v>
      </c>
      <c r="B3641" s="171">
        <v>4.82</v>
      </c>
    </row>
    <row r="3642" spans="1:2" x14ac:dyDescent="0.2">
      <c r="A3642" s="170">
        <v>39331</v>
      </c>
      <c r="B3642" s="171">
        <v>4.84</v>
      </c>
    </row>
    <row r="3643" spans="1:2" x14ac:dyDescent="0.2">
      <c r="A3643" s="170">
        <v>39332</v>
      </c>
      <c r="B3643" s="171">
        <v>4.7300000000000004</v>
      </c>
    </row>
    <row r="3644" spans="1:2" x14ac:dyDescent="0.2">
      <c r="A3644" s="170">
        <v>39335</v>
      </c>
      <c r="B3644" s="171">
        <v>4.68</v>
      </c>
    </row>
    <row r="3645" spans="1:2" x14ac:dyDescent="0.2">
      <c r="A3645" s="170">
        <v>39336</v>
      </c>
      <c r="B3645" s="171">
        <v>4.68</v>
      </c>
    </row>
    <row r="3646" spans="1:2" x14ac:dyDescent="0.2">
      <c r="A3646" s="170">
        <v>39337</v>
      </c>
      <c r="B3646" s="171">
        <v>4.72</v>
      </c>
    </row>
    <row r="3647" spans="1:2" x14ac:dyDescent="0.2">
      <c r="A3647" s="170">
        <v>39338</v>
      </c>
      <c r="B3647" s="171">
        <v>4.79</v>
      </c>
    </row>
    <row r="3648" spans="1:2" x14ac:dyDescent="0.2">
      <c r="A3648" s="170">
        <v>39339</v>
      </c>
      <c r="B3648" s="171">
        <v>4.7699999999999996</v>
      </c>
    </row>
    <row r="3649" spans="1:2" x14ac:dyDescent="0.2">
      <c r="A3649" s="170">
        <v>39342</v>
      </c>
      <c r="B3649" s="171">
        <v>4.76</v>
      </c>
    </row>
    <row r="3650" spans="1:2" x14ac:dyDescent="0.2">
      <c r="A3650" s="170">
        <v>39343</v>
      </c>
      <c r="B3650" s="171">
        <v>4.8099999999999996</v>
      </c>
    </row>
    <row r="3651" spans="1:2" x14ac:dyDescent="0.2">
      <c r="A3651" s="170">
        <v>39344</v>
      </c>
      <c r="B3651" s="171">
        <v>4.8600000000000003</v>
      </c>
    </row>
    <row r="3652" spans="1:2" x14ac:dyDescent="0.2">
      <c r="A3652" s="170">
        <v>39345</v>
      </c>
      <c r="B3652" s="171">
        <v>4.99</v>
      </c>
    </row>
    <row r="3653" spans="1:2" x14ac:dyDescent="0.2">
      <c r="A3653" s="170">
        <v>39346</v>
      </c>
      <c r="B3653" s="171">
        <v>4.95</v>
      </c>
    </row>
    <row r="3654" spans="1:2" x14ac:dyDescent="0.2">
      <c r="A3654" s="170">
        <v>39349</v>
      </c>
      <c r="B3654" s="171">
        <v>4.9400000000000004</v>
      </c>
    </row>
    <row r="3655" spans="1:2" x14ac:dyDescent="0.2">
      <c r="A3655" s="170">
        <v>39350</v>
      </c>
      <c r="B3655" s="171">
        <v>4.9400000000000004</v>
      </c>
    </row>
    <row r="3656" spans="1:2" x14ac:dyDescent="0.2">
      <c r="A3656" s="170">
        <v>39351</v>
      </c>
      <c r="B3656" s="171">
        <v>4.95</v>
      </c>
    </row>
    <row r="3657" spans="1:2" x14ac:dyDescent="0.2">
      <c r="A3657" s="170">
        <v>39352</v>
      </c>
      <c r="B3657" s="171">
        <v>4.8899999999999997</v>
      </c>
    </row>
    <row r="3658" spans="1:2" x14ac:dyDescent="0.2">
      <c r="A3658" s="170">
        <v>39353</v>
      </c>
      <c r="B3658" s="171">
        <v>4.8899999999999997</v>
      </c>
    </row>
    <row r="3659" spans="1:2" x14ac:dyDescent="0.2">
      <c r="A3659" s="170">
        <v>39356</v>
      </c>
      <c r="B3659" s="171">
        <v>4.8499999999999996</v>
      </c>
    </row>
    <row r="3660" spans="1:2" x14ac:dyDescent="0.2">
      <c r="A3660" s="170">
        <v>39357</v>
      </c>
      <c r="B3660" s="171">
        <v>4.83</v>
      </c>
    </row>
    <row r="3661" spans="1:2" x14ac:dyDescent="0.2">
      <c r="A3661" s="170">
        <v>39358</v>
      </c>
      <c r="B3661" s="171">
        <v>4.8499999999999996</v>
      </c>
    </row>
    <row r="3662" spans="1:2" x14ac:dyDescent="0.2">
      <c r="A3662" s="170">
        <v>39359</v>
      </c>
      <c r="B3662" s="171">
        <v>4.83</v>
      </c>
    </row>
    <row r="3663" spans="1:2" x14ac:dyDescent="0.2">
      <c r="A3663" s="170">
        <v>39360</v>
      </c>
      <c r="B3663" s="171">
        <v>4.9400000000000004</v>
      </c>
    </row>
    <row r="3664" spans="1:2" x14ac:dyDescent="0.2">
      <c r="A3664" s="170">
        <v>39363</v>
      </c>
      <c r="B3664" s="171" t="e">
        <f>NA()</f>
        <v>#N/A</v>
      </c>
    </row>
    <row r="3665" spans="1:2" x14ac:dyDescent="0.2">
      <c r="A3665" s="170">
        <v>39364</v>
      </c>
      <c r="B3665" s="171">
        <v>4.93</v>
      </c>
    </row>
    <row r="3666" spans="1:2" x14ac:dyDescent="0.2">
      <c r="A3666" s="170">
        <v>39365</v>
      </c>
      <c r="B3666" s="171">
        <v>4.93</v>
      </c>
    </row>
    <row r="3667" spans="1:2" x14ac:dyDescent="0.2">
      <c r="A3667" s="170">
        <v>39366</v>
      </c>
      <c r="B3667" s="171">
        <v>4.95</v>
      </c>
    </row>
    <row r="3668" spans="1:2" x14ac:dyDescent="0.2">
      <c r="A3668" s="170">
        <v>39367</v>
      </c>
      <c r="B3668" s="171">
        <v>4.9800000000000004</v>
      </c>
    </row>
    <row r="3669" spans="1:2" x14ac:dyDescent="0.2">
      <c r="A3669" s="170">
        <v>39370</v>
      </c>
      <c r="B3669" s="171">
        <v>4.9800000000000004</v>
      </c>
    </row>
    <row r="3670" spans="1:2" x14ac:dyDescent="0.2">
      <c r="A3670" s="170">
        <v>39371</v>
      </c>
      <c r="B3670" s="171">
        <v>4.97</v>
      </c>
    </row>
    <row r="3671" spans="1:2" x14ac:dyDescent="0.2">
      <c r="A3671" s="170">
        <v>39372</v>
      </c>
      <c r="B3671" s="171">
        <v>4.88</v>
      </c>
    </row>
    <row r="3672" spans="1:2" x14ac:dyDescent="0.2">
      <c r="A3672" s="170">
        <v>39373</v>
      </c>
      <c r="B3672" s="171">
        <v>4.84</v>
      </c>
    </row>
    <row r="3673" spans="1:2" x14ac:dyDescent="0.2">
      <c r="A3673" s="170">
        <v>39374</v>
      </c>
      <c r="B3673" s="171">
        <v>4.74</v>
      </c>
    </row>
    <row r="3674" spans="1:2" x14ac:dyDescent="0.2">
      <c r="A3674" s="170">
        <v>39377</v>
      </c>
      <c r="B3674" s="171">
        <v>4.7300000000000004</v>
      </c>
    </row>
    <row r="3675" spans="1:2" x14ac:dyDescent="0.2">
      <c r="A3675" s="170">
        <v>39378</v>
      </c>
      <c r="B3675" s="171">
        <v>4.74</v>
      </c>
    </row>
    <row r="3676" spans="1:2" x14ac:dyDescent="0.2">
      <c r="A3676" s="170">
        <v>39379</v>
      </c>
      <c r="B3676" s="171">
        <v>4.6900000000000004</v>
      </c>
    </row>
    <row r="3677" spans="1:2" x14ac:dyDescent="0.2">
      <c r="A3677" s="170">
        <v>39380</v>
      </c>
      <c r="B3677" s="171">
        <v>4.7</v>
      </c>
    </row>
    <row r="3678" spans="1:2" x14ac:dyDescent="0.2">
      <c r="A3678" s="170">
        <v>39381</v>
      </c>
      <c r="B3678" s="171">
        <v>4.7300000000000004</v>
      </c>
    </row>
    <row r="3679" spans="1:2" x14ac:dyDescent="0.2">
      <c r="A3679" s="170">
        <v>39384</v>
      </c>
      <c r="B3679" s="171">
        <v>4.71</v>
      </c>
    </row>
    <row r="3680" spans="1:2" x14ac:dyDescent="0.2">
      <c r="A3680" s="170">
        <v>39385</v>
      </c>
      <c r="B3680" s="171">
        <v>4.72</v>
      </c>
    </row>
    <row r="3681" spans="1:2" x14ac:dyDescent="0.2">
      <c r="A3681" s="170">
        <v>39386</v>
      </c>
      <c r="B3681" s="171">
        <v>4.79</v>
      </c>
    </row>
    <row r="3682" spans="1:2" x14ac:dyDescent="0.2">
      <c r="A3682" s="170">
        <v>39387</v>
      </c>
      <c r="B3682" s="171">
        <v>4.6900000000000004</v>
      </c>
    </row>
    <row r="3683" spans="1:2" x14ac:dyDescent="0.2">
      <c r="A3683" s="170">
        <v>39388</v>
      </c>
      <c r="B3683" s="171">
        <v>4.6500000000000004</v>
      </c>
    </row>
    <row r="3684" spans="1:2" x14ac:dyDescent="0.2">
      <c r="A3684" s="170">
        <v>39391</v>
      </c>
      <c r="B3684" s="171">
        <v>4.67</v>
      </c>
    </row>
    <row r="3685" spans="1:2" x14ac:dyDescent="0.2">
      <c r="A3685" s="170">
        <v>39392</v>
      </c>
      <c r="B3685" s="171">
        <v>4.7</v>
      </c>
    </row>
    <row r="3686" spans="1:2" x14ac:dyDescent="0.2">
      <c r="A3686" s="170">
        <v>39393</v>
      </c>
      <c r="B3686" s="171">
        <v>4.71</v>
      </c>
    </row>
    <row r="3687" spans="1:2" x14ac:dyDescent="0.2">
      <c r="A3687" s="170">
        <v>39394</v>
      </c>
      <c r="B3687" s="171">
        <v>4.7</v>
      </c>
    </row>
    <row r="3688" spans="1:2" x14ac:dyDescent="0.2">
      <c r="A3688" s="170">
        <v>39395</v>
      </c>
      <c r="B3688" s="171">
        <v>4.6399999999999997</v>
      </c>
    </row>
    <row r="3689" spans="1:2" x14ac:dyDescent="0.2">
      <c r="A3689" s="170">
        <v>39398</v>
      </c>
      <c r="B3689" s="171" t="e">
        <f>NA()</f>
        <v>#N/A</v>
      </c>
    </row>
    <row r="3690" spans="1:2" x14ac:dyDescent="0.2">
      <c r="A3690" s="170">
        <v>39399</v>
      </c>
      <c r="B3690" s="171">
        <v>4.6399999999999997</v>
      </c>
    </row>
    <row r="3691" spans="1:2" x14ac:dyDescent="0.2">
      <c r="A3691" s="170">
        <v>39400</v>
      </c>
      <c r="B3691" s="171">
        <v>4.6500000000000004</v>
      </c>
    </row>
    <row r="3692" spans="1:2" x14ac:dyDescent="0.2">
      <c r="A3692" s="170">
        <v>39401</v>
      </c>
      <c r="B3692" s="171">
        <v>4.58</v>
      </c>
    </row>
    <row r="3693" spans="1:2" x14ac:dyDescent="0.2">
      <c r="A3693" s="170">
        <v>39402</v>
      </c>
      <c r="B3693" s="171">
        <v>4.5599999999999996</v>
      </c>
    </row>
    <row r="3694" spans="1:2" x14ac:dyDescent="0.2">
      <c r="A3694" s="170">
        <v>39405</v>
      </c>
      <c r="B3694" s="171">
        <v>4.5</v>
      </c>
    </row>
    <row r="3695" spans="1:2" x14ac:dyDescent="0.2">
      <c r="A3695" s="170">
        <v>39406</v>
      </c>
      <c r="B3695" s="171">
        <v>4.51</v>
      </c>
    </row>
    <row r="3696" spans="1:2" x14ac:dyDescent="0.2">
      <c r="A3696" s="170">
        <v>39407</v>
      </c>
      <c r="B3696" s="171">
        <v>4.49</v>
      </c>
    </row>
    <row r="3697" spans="1:2" x14ac:dyDescent="0.2">
      <c r="A3697" s="170">
        <v>39408</v>
      </c>
      <c r="B3697" s="171" t="e">
        <f>NA()</f>
        <v>#N/A</v>
      </c>
    </row>
    <row r="3698" spans="1:2" x14ac:dyDescent="0.2">
      <c r="A3698" s="170">
        <v>39409</v>
      </c>
      <c r="B3698" s="171">
        <v>4.46</v>
      </c>
    </row>
    <row r="3699" spans="1:2" x14ac:dyDescent="0.2">
      <c r="A3699" s="170">
        <v>39412</v>
      </c>
      <c r="B3699" s="171">
        <v>4.29</v>
      </c>
    </row>
    <row r="3700" spans="1:2" x14ac:dyDescent="0.2">
      <c r="A3700" s="170">
        <v>39413</v>
      </c>
      <c r="B3700" s="171">
        <v>4.4000000000000004</v>
      </c>
    </row>
    <row r="3701" spans="1:2" x14ac:dyDescent="0.2">
      <c r="A3701" s="170">
        <v>39414</v>
      </c>
      <c r="B3701" s="171">
        <v>4.46</v>
      </c>
    </row>
    <row r="3702" spans="1:2" x14ac:dyDescent="0.2">
      <c r="A3702" s="170">
        <v>39415</v>
      </c>
      <c r="B3702" s="171">
        <v>4.3899999999999997</v>
      </c>
    </row>
    <row r="3703" spans="1:2" x14ac:dyDescent="0.2">
      <c r="A3703" s="170">
        <v>39416</v>
      </c>
      <c r="B3703" s="171">
        <v>4.4400000000000004</v>
      </c>
    </row>
    <row r="3704" spans="1:2" x14ac:dyDescent="0.2">
      <c r="A3704" s="170">
        <v>39419</v>
      </c>
      <c r="B3704" s="171">
        <v>4.38</v>
      </c>
    </row>
    <row r="3705" spans="1:2" x14ac:dyDescent="0.2">
      <c r="A3705" s="170">
        <v>39420</v>
      </c>
      <c r="B3705" s="171">
        <v>4.38</v>
      </c>
    </row>
    <row r="3706" spans="1:2" x14ac:dyDescent="0.2">
      <c r="A3706" s="170">
        <v>39421</v>
      </c>
      <c r="B3706" s="171">
        <v>4.42</v>
      </c>
    </row>
    <row r="3707" spans="1:2" x14ac:dyDescent="0.2">
      <c r="A3707" s="170">
        <v>39422</v>
      </c>
      <c r="B3707" s="171">
        <v>4.5199999999999996</v>
      </c>
    </row>
    <row r="3708" spans="1:2" x14ac:dyDescent="0.2">
      <c r="A3708" s="170">
        <v>39423</v>
      </c>
      <c r="B3708" s="171">
        <v>4.62</v>
      </c>
    </row>
    <row r="3709" spans="1:2" x14ac:dyDescent="0.2">
      <c r="A3709" s="170">
        <v>39426</v>
      </c>
      <c r="B3709" s="171">
        <v>4.6399999999999997</v>
      </c>
    </row>
    <row r="3710" spans="1:2" x14ac:dyDescent="0.2">
      <c r="A3710" s="170">
        <v>39427</v>
      </c>
      <c r="B3710" s="171">
        <v>4.51</v>
      </c>
    </row>
    <row r="3711" spans="1:2" x14ac:dyDescent="0.2">
      <c r="A3711" s="170">
        <v>39428</v>
      </c>
      <c r="B3711" s="171">
        <v>4.55</v>
      </c>
    </row>
    <row r="3712" spans="1:2" x14ac:dyDescent="0.2">
      <c r="A3712" s="170">
        <v>39429</v>
      </c>
      <c r="B3712" s="171">
        <v>4.66</v>
      </c>
    </row>
    <row r="3713" spans="1:2" x14ac:dyDescent="0.2">
      <c r="A3713" s="170">
        <v>39430</v>
      </c>
      <c r="B3713" s="171">
        <v>4.71</v>
      </c>
    </row>
    <row r="3714" spans="1:2" x14ac:dyDescent="0.2">
      <c r="A3714" s="170">
        <v>39433</v>
      </c>
      <c r="B3714" s="171">
        <v>4.67</v>
      </c>
    </row>
    <row r="3715" spans="1:2" x14ac:dyDescent="0.2">
      <c r="A3715" s="170">
        <v>39434</v>
      </c>
      <c r="B3715" s="171">
        <v>4.5999999999999996</v>
      </c>
    </row>
    <row r="3716" spans="1:2" x14ac:dyDescent="0.2">
      <c r="A3716" s="170">
        <v>39435</v>
      </c>
      <c r="B3716" s="171">
        <v>4.5199999999999996</v>
      </c>
    </row>
    <row r="3717" spans="1:2" x14ac:dyDescent="0.2">
      <c r="A3717" s="170">
        <v>39436</v>
      </c>
      <c r="B3717" s="171">
        <v>4.5</v>
      </c>
    </row>
    <row r="3718" spans="1:2" x14ac:dyDescent="0.2">
      <c r="A3718" s="170">
        <v>39437</v>
      </c>
      <c r="B3718" s="171">
        <v>4.62</v>
      </c>
    </row>
    <row r="3719" spans="1:2" x14ac:dyDescent="0.2">
      <c r="A3719" s="170">
        <v>39440</v>
      </c>
      <c r="B3719" s="171">
        <v>4.67</v>
      </c>
    </row>
    <row r="3720" spans="1:2" x14ac:dyDescent="0.2">
      <c r="A3720" s="170">
        <v>39441</v>
      </c>
      <c r="B3720" s="171" t="e">
        <f>NA()</f>
        <v>#N/A</v>
      </c>
    </row>
    <row r="3721" spans="1:2" x14ac:dyDescent="0.2">
      <c r="A3721" s="170">
        <v>39442</v>
      </c>
      <c r="B3721" s="171">
        <v>4.7300000000000004</v>
      </c>
    </row>
    <row r="3722" spans="1:2" x14ac:dyDescent="0.2">
      <c r="A3722" s="170">
        <v>39443</v>
      </c>
      <c r="B3722" s="171">
        <v>4.66</v>
      </c>
    </row>
    <row r="3723" spans="1:2" x14ac:dyDescent="0.2">
      <c r="A3723" s="170">
        <v>39444</v>
      </c>
      <c r="B3723" s="171">
        <v>4.5599999999999996</v>
      </c>
    </row>
    <row r="3724" spans="1:2" x14ac:dyDescent="0.2">
      <c r="A3724" s="170">
        <v>39447</v>
      </c>
      <c r="B3724" s="171">
        <v>4.5</v>
      </c>
    </row>
    <row r="3725" spans="1:2" x14ac:dyDescent="0.2">
      <c r="A3725" s="170">
        <v>39448</v>
      </c>
      <c r="B3725" s="171" t="e">
        <f>NA()</f>
        <v>#N/A</v>
      </c>
    </row>
    <row r="3726" spans="1:2" x14ac:dyDescent="0.2">
      <c r="A3726" s="170">
        <v>39449</v>
      </c>
      <c r="B3726" s="171">
        <v>4.3899999999999997</v>
      </c>
    </row>
    <row r="3727" spans="1:2" x14ac:dyDescent="0.2">
      <c r="A3727" s="170">
        <v>39450</v>
      </c>
      <c r="B3727" s="171">
        <v>4.41</v>
      </c>
    </row>
    <row r="3728" spans="1:2" x14ac:dyDescent="0.2">
      <c r="A3728" s="170">
        <v>39451</v>
      </c>
      <c r="B3728" s="171">
        <v>4.4000000000000004</v>
      </c>
    </row>
    <row r="3729" spans="1:2" x14ac:dyDescent="0.2">
      <c r="A3729" s="170">
        <v>39454</v>
      </c>
      <c r="B3729" s="171">
        <v>4.37</v>
      </c>
    </row>
    <row r="3730" spans="1:2" x14ac:dyDescent="0.2">
      <c r="A3730" s="170">
        <v>39455</v>
      </c>
      <c r="B3730" s="171">
        <v>4.3899999999999997</v>
      </c>
    </row>
    <row r="3731" spans="1:2" x14ac:dyDescent="0.2">
      <c r="A3731" s="170">
        <v>39456</v>
      </c>
      <c r="B3731" s="171">
        <v>4.3499999999999996</v>
      </c>
    </row>
    <row r="3732" spans="1:2" x14ac:dyDescent="0.2">
      <c r="A3732" s="170">
        <v>39457</v>
      </c>
      <c r="B3732" s="171">
        <v>4.47</v>
      </c>
    </row>
    <row r="3733" spans="1:2" x14ac:dyDescent="0.2">
      <c r="A3733" s="170">
        <v>39458</v>
      </c>
      <c r="B3733" s="171">
        <v>4.4000000000000004</v>
      </c>
    </row>
    <row r="3734" spans="1:2" x14ac:dyDescent="0.2">
      <c r="A3734" s="170">
        <v>39461</v>
      </c>
      <c r="B3734" s="171">
        <v>4.3899999999999997</v>
      </c>
    </row>
    <row r="3735" spans="1:2" x14ac:dyDescent="0.2">
      <c r="A3735" s="170">
        <v>39462</v>
      </c>
      <c r="B3735" s="171">
        <v>4.3</v>
      </c>
    </row>
    <row r="3736" spans="1:2" x14ac:dyDescent="0.2">
      <c r="A3736" s="170">
        <v>39463</v>
      </c>
      <c r="B3736" s="171">
        <v>4.34</v>
      </c>
    </row>
    <row r="3737" spans="1:2" x14ac:dyDescent="0.2">
      <c r="A3737" s="170">
        <v>39464</v>
      </c>
      <c r="B3737" s="171">
        <v>4.2699999999999996</v>
      </c>
    </row>
    <row r="3738" spans="1:2" x14ac:dyDescent="0.2">
      <c r="A3738" s="170">
        <v>39465</v>
      </c>
      <c r="B3738" s="171">
        <v>4.3</v>
      </c>
    </row>
    <row r="3739" spans="1:2" x14ac:dyDescent="0.2">
      <c r="A3739" s="170">
        <v>39468</v>
      </c>
      <c r="B3739" s="171" t="e">
        <f>NA()</f>
        <v>#N/A</v>
      </c>
    </row>
    <row r="3740" spans="1:2" x14ac:dyDescent="0.2">
      <c r="A3740" s="170">
        <v>39469</v>
      </c>
      <c r="B3740" s="171">
        <v>4.2300000000000004</v>
      </c>
    </row>
    <row r="3741" spans="1:2" x14ac:dyDescent="0.2">
      <c r="A3741" s="170">
        <v>39470</v>
      </c>
      <c r="B3741" s="171">
        <v>4.2300000000000004</v>
      </c>
    </row>
    <row r="3742" spans="1:2" x14ac:dyDescent="0.2">
      <c r="A3742" s="170">
        <v>39471</v>
      </c>
      <c r="B3742" s="171">
        <v>4.37</v>
      </c>
    </row>
    <row r="3743" spans="1:2" x14ac:dyDescent="0.2">
      <c r="A3743" s="170">
        <v>39472</v>
      </c>
      <c r="B3743" s="171">
        <v>4.3</v>
      </c>
    </row>
    <row r="3744" spans="1:2" x14ac:dyDescent="0.2">
      <c r="A3744" s="170">
        <v>39475</v>
      </c>
      <c r="B3744" s="171">
        <v>4.3</v>
      </c>
    </row>
    <row r="3745" spans="1:2" x14ac:dyDescent="0.2">
      <c r="A3745" s="170">
        <v>39476</v>
      </c>
      <c r="B3745" s="171">
        <v>4.3499999999999996</v>
      </c>
    </row>
    <row r="3746" spans="1:2" x14ac:dyDescent="0.2">
      <c r="A3746" s="170">
        <v>39477</v>
      </c>
      <c r="B3746" s="171">
        <v>4.45</v>
      </c>
    </row>
    <row r="3747" spans="1:2" x14ac:dyDescent="0.2">
      <c r="A3747" s="170">
        <v>39478</v>
      </c>
      <c r="B3747" s="171">
        <v>4.3499999999999996</v>
      </c>
    </row>
    <row r="3748" spans="1:2" x14ac:dyDescent="0.2">
      <c r="A3748" s="170">
        <v>39479</v>
      </c>
      <c r="B3748" s="171">
        <v>4.3099999999999996</v>
      </c>
    </row>
    <row r="3749" spans="1:2" x14ac:dyDescent="0.2">
      <c r="A3749" s="170">
        <v>39482</v>
      </c>
      <c r="B3749" s="171">
        <v>4.37</v>
      </c>
    </row>
    <row r="3750" spans="1:2" x14ac:dyDescent="0.2">
      <c r="A3750" s="170">
        <v>39483</v>
      </c>
      <c r="B3750" s="171">
        <v>4.32</v>
      </c>
    </row>
    <row r="3751" spans="1:2" x14ac:dyDescent="0.2">
      <c r="A3751" s="170">
        <v>39484</v>
      </c>
      <c r="B3751" s="171">
        <v>4.3600000000000003</v>
      </c>
    </row>
    <row r="3752" spans="1:2" x14ac:dyDescent="0.2">
      <c r="A3752" s="170">
        <v>39485</v>
      </c>
      <c r="B3752" s="171">
        <v>4.5</v>
      </c>
    </row>
    <row r="3753" spans="1:2" x14ac:dyDescent="0.2">
      <c r="A3753" s="170">
        <v>39486</v>
      </c>
      <c r="B3753" s="171">
        <v>4.41</v>
      </c>
    </row>
    <row r="3754" spans="1:2" x14ac:dyDescent="0.2">
      <c r="A3754" s="170">
        <v>39489</v>
      </c>
      <c r="B3754" s="171">
        <v>4.38</v>
      </c>
    </row>
    <row r="3755" spans="1:2" x14ac:dyDescent="0.2">
      <c r="A3755" s="170">
        <v>39490</v>
      </c>
      <c r="B3755" s="171">
        <v>4.43</v>
      </c>
    </row>
    <row r="3756" spans="1:2" x14ac:dyDescent="0.2">
      <c r="A3756" s="170">
        <v>39491</v>
      </c>
      <c r="B3756" s="171">
        <v>4.4800000000000004</v>
      </c>
    </row>
    <row r="3757" spans="1:2" x14ac:dyDescent="0.2">
      <c r="A3757" s="170">
        <v>39492</v>
      </c>
      <c r="B3757" s="171">
        <v>4.63</v>
      </c>
    </row>
    <row r="3758" spans="1:2" x14ac:dyDescent="0.2">
      <c r="A3758" s="170">
        <v>39493</v>
      </c>
      <c r="B3758" s="171">
        <v>4.55</v>
      </c>
    </row>
    <row r="3759" spans="1:2" x14ac:dyDescent="0.2">
      <c r="A3759" s="170">
        <v>39496</v>
      </c>
      <c r="B3759" s="171" t="e">
        <f>NA()</f>
        <v>#N/A</v>
      </c>
    </row>
    <row r="3760" spans="1:2" x14ac:dyDescent="0.2">
      <c r="A3760" s="170">
        <v>39497</v>
      </c>
      <c r="B3760" s="171">
        <v>4.63</v>
      </c>
    </row>
    <row r="3761" spans="1:2" x14ac:dyDescent="0.2">
      <c r="A3761" s="170">
        <v>39498</v>
      </c>
      <c r="B3761" s="171">
        <v>4.63</v>
      </c>
    </row>
    <row r="3762" spans="1:2" x14ac:dyDescent="0.2">
      <c r="A3762" s="170">
        <v>39499</v>
      </c>
      <c r="B3762" s="171">
        <v>4.5199999999999996</v>
      </c>
    </row>
    <row r="3763" spans="1:2" x14ac:dyDescent="0.2">
      <c r="A3763" s="170">
        <v>39500</v>
      </c>
      <c r="B3763" s="171">
        <v>4.55</v>
      </c>
    </row>
    <row r="3764" spans="1:2" x14ac:dyDescent="0.2">
      <c r="A3764" s="170">
        <v>39503</v>
      </c>
      <c r="B3764" s="171">
        <v>4.6500000000000004</v>
      </c>
    </row>
    <row r="3765" spans="1:2" x14ac:dyDescent="0.2">
      <c r="A3765" s="170">
        <v>39504</v>
      </c>
      <c r="B3765" s="171">
        <v>4.6399999999999997</v>
      </c>
    </row>
    <row r="3766" spans="1:2" x14ac:dyDescent="0.2">
      <c r="A3766" s="170">
        <v>39505</v>
      </c>
      <c r="B3766" s="171">
        <v>4.62</v>
      </c>
    </row>
    <row r="3767" spans="1:2" x14ac:dyDescent="0.2">
      <c r="A3767" s="170">
        <v>39506</v>
      </c>
      <c r="B3767" s="171">
        <v>4.51</v>
      </c>
    </row>
    <row r="3768" spans="1:2" x14ac:dyDescent="0.2">
      <c r="A3768" s="170">
        <v>39507</v>
      </c>
      <c r="B3768" s="171">
        <v>4.37</v>
      </c>
    </row>
    <row r="3769" spans="1:2" x14ac:dyDescent="0.2">
      <c r="A3769" s="170">
        <v>39510</v>
      </c>
      <c r="B3769" s="171">
        <v>4.37</v>
      </c>
    </row>
    <row r="3770" spans="1:2" x14ac:dyDescent="0.2">
      <c r="A3770" s="170">
        <v>39511</v>
      </c>
      <c r="B3770" s="171">
        <v>4.46</v>
      </c>
    </row>
    <row r="3771" spans="1:2" x14ac:dyDescent="0.2">
      <c r="A3771" s="170">
        <v>39512</v>
      </c>
      <c r="B3771" s="171">
        <v>4.55</v>
      </c>
    </row>
    <row r="3772" spans="1:2" x14ac:dyDescent="0.2">
      <c r="A3772" s="170">
        <v>39513</v>
      </c>
      <c r="B3772" s="171">
        <v>4.5199999999999996</v>
      </c>
    </row>
    <row r="3773" spans="1:2" x14ac:dyDescent="0.2">
      <c r="A3773" s="170">
        <v>39514</v>
      </c>
      <c r="B3773" s="171">
        <v>4.49</v>
      </c>
    </row>
    <row r="3774" spans="1:2" x14ac:dyDescent="0.2">
      <c r="A3774" s="170">
        <v>39517</v>
      </c>
      <c r="B3774" s="171">
        <v>4.3899999999999997</v>
      </c>
    </row>
    <row r="3775" spans="1:2" x14ac:dyDescent="0.2">
      <c r="A3775" s="170">
        <v>39518</v>
      </c>
      <c r="B3775" s="171">
        <v>4.4800000000000004</v>
      </c>
    </row>
    <row r="3776" spans="1:2" x14ac:dyDescent="0.2">
      <c r="A3776" s="170">
        <v>39519</v>
      </c>
      <c r="B3776" s="171">
        <v>4.3499999999999996</v>
      </c>
    </row>
    <row r="3777" spans="1:2" x14ac:dyDescent="0.2">
      <c r="A3777" s="170">
        <v>39520</v>
      </c>
      <c r="B3777" s="171">
        <v>4.42</v>
      </c>
    </row>
    <row r="3778" spans="1:2" x14ac:dyDescent="0.2">
      <c r="A3778" s="170">
        <v>39521</v>
      </c>
      <c r="B3778" s="171">
        <v>4.3</v>
      </c>
    </row>
    <row r="3779" spans="1:2" x14ac:dyDescent="0.2">
      <c r="A3779" s="170">
        <v>39524</v>
      </c>
      <c r="B3779" s="171">
        <v>4.24</v>
      </c>
    </row>
    <row r="3780" spans="1:2" x14ac:dyDescent="0.2">
      <c r="A3780" s="170">
        <v>39525</v>
      </c>
      <c r="B3780" s="171">
        <v>4.3</v>
      </c>
    </row>
    <row r="3781" spans="1:2" x14ac:dyDescent="0.2">
      <c r="A3781" s="170">
        <v>39526</v>
      </c>
      <c r="B3781" s="171">
        <v>4.2</v>
      </c>
    </row>
    <row r="3782" spans="1:2" x14ac:dyDescent="0.2">
      <c r="A3782" s="170">
        <v>39527</v>
      </c>
      <c r="B3782" s="171">
        <v>4.1500000000000004</v>
      </c>
    </row>
    <row r="3783" spans="1:2" x14ac:dyDescent="0.2">
      <c r="A3783" s="170">
        <v>39528</v>
      </c>
      <c r="B3783" s="171" t="e">
        <f>NA()</f>
        <v>#N/A</v>
      </c>
    </row>
    <row r="3784" spans="1:2" x14ac:dyDescent="0.2">
      <c r="A3784" s="170">
        <v>39531</v>
      </c>
      <c r="B3784" s="171">
        <v>4.3099999999999996</v>
      </c>
    </row>
    <row r="3785" spans="1:2" x14ac:dyDescent="0.2">
      <c r="A3785" s="170">
        <v>39532</v>
      </c>
      <c r="B3785" s="171">
        <v>4.29</v>
      </c>
    </row>
    <row r="3786" spans="1:2" x14ac:dyDescent="0.2">
      <c r="A3786" s="170">
        <v>39533</v>
      </c>
      <c r="B3786" s="171">
        <v>4.3099999999999996</v>
      </c>
    </row>
    <row r="3787" spans="1:2" x14ac:dyDescent="0.2">
      <c r="A3787" s="170">
        <v>39534</v>
      </c>
      <c r="B3787" s="171">
        <v>4.37</v>
      </c>
    </row>
    <row r="3788" spans="1:2" x14ac:dyDescent="0.2">
      <c r="A3788" s="170">
        <v>39535</v>
      </c>
      <c r="B3788" s="171">
        <v>4.32</v>
      </c>
    </row>
    <row r="3789" spans="1:2" x14ac:dyDescent="0.2">
      <c r="A3789" s="170">
        <v>39538</v>
      </c>
      <c r="B3789" s="171">
        <v>4.3</v>
      </c>
    </row>
    <row r="3790" spans="1:2" x14ac:dyDescent="0.2">
      <c r="A3790" s="170">
        <v>39539</v>
      </c>
      <c r="B3790" s="171">
        <v>4.4000000000000004</v>
      </c>
    </row>
    <row r="3791" spans="1:2" x14ac:dyDescent="0.2">
      <c r="A3791" s="170">
        <v>39540</v>
      </c>
      <c r="B3791" s="171">
        <v>4.4000000000000004</v>
      </c>
    </row>
    <row r="3792" spans="1:2" x14ac:dyDescent="0.2">
      <c r="A3792" s="170">
        <v>39541</v>
      </c>
      <c r="B3792" s="171">
        <v>4.41</v>
      </c>
    </row>
    <row r="3793" spans="1:2" x14ac:dyDescent="0.2">
      <c r="A3793" s="170">
        <v>39542</v>
      </c>
      <c r="B3793" s="171">
        <v>4.32</v>
      </c>
    </row>
    <row r="3794" spans="1:2" x14ac:dyDescent="0.2">
      <c r="A3794" s="170">
        <v>39545</v>
      </c>
      <c r="B3794" s="171">
        <v>4.37</v>
      </c>
    </row>
    <row r="3795" spans="1:2" x14ac:dyDescent="0.2">
      <c r="A3795" s="170">
        <v>39546</v>
      </c>
      <c r="B3795" s="171">
        <v>4.37</v>
      </c>
    </row>
    <row r="3796" spans="1:2" x14ac:dyDescent="0.2">
      <c r="A3796" s="170">
        <v>39547</v>
      </c>
      <c r="B3796" s="171">
        <v>4.3</v>
      </c>
    </row>
    <row r="3797" spans="1:2" x14ac:dyDescent="0.2">
      <c r="A3797" s="170">
        <v>39548</v>
      </c>
      <c r="B3797" s="171">
        <v>4.33</v>
      </c>
    </row>
    <row r="3798" spans="1:2" x14ac:dyDescent="0.2">
      <c r="A3798" s="170">
        <v>39549</v>
      </c>
      <c r="B3798" s="171">
        <v>4.28</v>
      </c>
    </row>
    <row r="3799" spans="1:2" x14ac:dyDescent="0.2">
      <c r="A3799" s="170">
        <v>39552</v>
      </c>
      <c r="B3799" s="171">
        <v>4.32</v>
      </c>
    </row>
    <row r="3800" spans="1:2" x14ac:dyDescent="0.2">
      <c r="A3800" s="170">
        <v>39553</v>
      </c>
      <c r="B3800" s="171">
        <v>4.38</v>
      </c>
    </row>
    <row r="3801" spans="1:2" x14ac:dyDescent="0.2">
      <c r="A3801" s="170">
        <v>39554</v>
      </c>
      <c r="B3801" s="171">
        <v>4.49</v>
      </c>
    </row>
    <row r="3802" spans="1:2" x14ac:dyDescent="0.2">
      <c r="A3802" s="170">
        <v>39555</v>
      </c>
      <c r="B3802" s="171">
        <v>4.5</v>
      </c>
    </row>
    <row r="3803" spans="1:2" x14ac:dyDescent="0.2">
      <c r="A3803" s="170">
        <v>39556</v>
      </c>
      <c r="B3803" s="171">
        <v>4.5199999999999996</v>
      </c>
    </row>
    <row r="3804" spans="1:2" x14ac:dyDescent="0.2">
      <c r="A3804" s="170">
        <v>39559</v>
      </c>
      <c r="B3804" s="171">
        <v>4.4800000000000004</v>
      </c>
    </row>
    <row r="3805" spans="1:2" x14ac:dyDescent="0.2">
      <c r="A3805" s="170">
        <v>39560</v>
      </c>
      <c r="B3805" s="171">
        <v>4.47</v>
      </c>
    </row>
    <row r="3806" spans="1:2" x14ac:dyDescent="0.2">
      <c r="A3806" s="170">
        <v>39561</v>
      </c>
      <c r="B3806" s="171">
        <v>4.49</v>
      </c>
    </row>
    <row r="3807" spans="1:2" x14ac:dyDescent="0.2">
      <c r="A3807" s="170">
        <v>39562</v>
      </c>
      <c r="B3807" s="171">
        <v>4.5599999999999996</v>
      </c>
    </row>
    <row r="3808" spans="1:2" x14ac:dyDescent="0.2">
      <c r="A3808" s="170">
        <v>39563</v>
      </c>
      <c r="B3808" s="171">
        <v>4.6100000000000003</v>
      </c>
    </row>
    <row r="3809" spans="1:2" x14ac:dyDescent="0.2">
      <c r="A3809" s="170">
        <v>39566</v>
      </c>
      <c r="B3809" s="171">
        <v>4.57</v>
      </c>
    </row>
    <row r="3810" spans="1:2" x14ac:dyDescent="0.2">
      <c r="A3810" s="170">
        <v>39567</v>
      </c>
      <c r="B3810" s="171">
        <v>4.5599999999999996</v>
      </c>
    </row>
    <row r="3811" spans="1:2" x14ac:dyDescent="0.2">
      <c r="A3811" s="170">
        <v>39568</v>
      </c>
      <c r="B3811" s="171">
        <v>4.49</v>
      </c>
    </row>
    <row r="3812" spans="1:2" x14ac:dyDescent="0.2">
      <c r="A3812" s="170">
        <v>39569</v>
      </c>
      <c r="B3812" s="171">
        <v>4.49</v>
      </c>
    </row>
    <row r="3813" spans="1:2" x14ac:dyDescent="0.2">
      <c r="A3813" s="170">
        <v>39570</v>
      </c>
      <c r="B3813" s="171">
        <v>4.57</v>
      </c>
    </row>
    <row r="3814" spans="1:2" x14ac:dyDescent="0.2">
      <c r="A3814" s="170">
        <v>39573</v>
      </c>
      <c r="B3814" s="171">
        <v>4.58</v>
      </c>
    </row>
    <row r="3815" spans="1:2" x14ac:dyDescent="0.2">
      <c r="A3815" s="170">
        <v>39574</v>
      </c>
      <c r="B3815" s="171">
        <v>4.6399999999999997</v>
      </c>
    </row>
    <row r="3816" spans="1:2" x14ac:dyDescent="0.2">
      <c r="A3816" s="170">
        <v>39575</v>
      </c>
      <c r="B3816" s="171">
        <v>4.6100000000000003</v>
      </c>
    </row>
    <row r="3817" spans="1:2" x14ac:dyDescent="0.2">
      <c r="A3817" s="170">
        <v>39576</v>
      </c>
      <c r="B3817" s="171">
        <v>4.55</v>
      </c>
    </row>
    <row r="3818" spans="1:2" x14ac:dyDescent="0.2">
      <c r="A3818" s="170">
        <v>39577</v>
      </c>
      <c r="B3818" s="171">
        <v>4.5199999999999996</v>
      </c>
    </row>
    <row r="3819" spans="1:2" x14ac:dyDescent="0.2">
      <c r="A3819" s="170">
        <v>39580</v>
      </c>
      <c r="B3819" s="171">
        <v>4.5199999999999996</v>
      </c>
    </row>
    <row r="3820" spans="1:2" x14ac:dyDescent="0.2">
      <c r="A3820" s="170">
        <v>39581</v>
      </c>
      <c r="B3820" s="171">
        <v>4.6100000000000003</v>
      </c>
    </row>
    <row r="3821" spans="1:2" x14ac:dyDescent="0.2">
      <c r="A3821" s="170">
        <v>39582</v>
      </c>
      <c r="B3821" s="171">
        <v>4.63</v>
      </c>
    </row>
    <row r="3822" spans="1:2" x14ac:dyDescent="0.2">
      <c r="A3822" s="170">
        <v>39583</v>
      </c>
      <c r="B3822" s="171">
        <v>4.55</v>
      </c>
    </row>
    <row r="3823" spans="1:2" x14ac:dyDescent="0.2">
      <c r="A3823" s="170">
        <v>39584</v>
      </c>
      <c r="B3823" s="171">
        <v>4.57</v>
      </c>
    </row>
    <row r="3824" spans="1:2" x14ac:dyDescent="0.2">
      <c r="A3824" s="170">
        <v>39587</v>
      </c>
      <c r="B3824" s="171">
        <v>4.55</v>
      </c>
    </row>
    <row r="3825" spans="1:2" x14ac:dyDescent="0.2">
      <c r="A3825" s="170">
        <v>39588</v>
      </c>
      <c r="B3825" s="171">
        <v>4.5199999999999996</v>
      </c>
    </row>
    <row r="3826" spans="1:2" x14ac:dyDescent="0.2">
      <c r="A3826" s="170">
        <v>39589</v>
      </c>
      <c r="B3826" s="171">
        <v>4.53</v>
      </c>
    </row>
    <row r="3827" spans="1:2" x14ac:dyDescent="0.2">
      <c r="A3827" s="170">
        <v>39590</v>
      </c>
      <c r="B3827" s="171">
        <v>4.62</v>
      </c>
    </row>
    <row r="3828" spans="1:2" x14ac:dyDescent="0.2">
      <c r="A3828" s="170">
        <v>39591</v>
      </c>
      <c r="B3828" s="171">
        <v>4.5599999999999996</v>
      </c>
    </row>
    <row r="3829" spans="1:2" x14ac:dyDescent="0.2">
      <c r="A3829" s="170">
        <v>39594</v>
      </c>
      <c r="B3829" s="171" t="e">
        <f>NA()</f>
        <v>#N/A</v>
      </c>
    </row>
    <row r="3830" spans="1:2" x14ac:dyDescent="0.2">
      <c r="A3830" s="170">
        <v>39595</v>
      </c>
      <c r="B3830" s="171">
        <v>4.6500000000000004</v>
      </c>
    </row>
    <row r="3831" spans="1:2" x14ac:dyDescent="0.2">
      <c r="A3831" s="170">
        <v>39596</v>
      </c>
      <c r="B3831" s="171">
        <v>4.72</v>
      </c>
    </row>
    <row r="3832" spans="1:2" x14ac:dyDescent="0.2">
      <c r="A3832" s="170">
        <v>39597</v>
      </c>
      <c r="B3832" s="171">
        <v>4.7699999999999996</v>
      </c>
    </row>
    <row r="3833" spans="1:2" x14ac:dyDescent="0.2">
      <c r="A3833" s="170">
        <v>39598</v>
      </c>
      <c r="B3833" s="171">
        <v>4.74</v>
      </c>
    </row>
    <row r="3834" spans="1:2" x14ac:dyDescent="0.2">
      <c r="A3834" s="170">
        <v>39601</v>
      </c>
      <c r="B3834" s="171">
        <v>4.6900000000000004</v>
      </c>
    </row>
    <row r="3835" spans="1:2" x14ac:dyDescent="0.2">
      <c r="A3835" s="170">
        <v>39602</v>
      </c>
      <c r="B3835" s="171">
        <v>4.6399999999999997</v>
      </c>
    </row>
    <row r="3836" spans="1:2" x14ac:dyDescent="0.2">
      <c r="A3836" s="170">
        <v>39603</v>
      </c>
      <c r="B3836" s="171">
        <v>4.72</v>
      </c>
    </row>
    <row r="3837" spans="1:2" x14ac:dyDescent="0.2">
      <c r="A3837" s="170">
        <v>39604</v>
      </c>
      <c r="B3837" s="171">
        <v>4.7699999999999996</v>
      </c>
    </row>
    <row r="3838" spans="1:2" x14ac:dyDescent="0.2">
      <c r="A3838" s="170">
        <v>39605</v>
      </c>
      <c r="B3838" s="171">
        <v>4.67</v>
      </c>
    </row>
    <row r="3839" spans="1:2" x14ac:dyDescent="0.2">
      <c r="A3839" s="170">
        <v>39608</v>
      </c>
      <c r="B3839" s="171">
        <v>4.68</v>
      </c>
    </row>
    <row r="3840" spans="1:2" x14ac:dyDescent="0.2">
      <c r="A3840" s="170">
        <v>39609</v>
      </c>
      <c r="B3840" s="171">
        <v>4.76</v>
      </c>
    </row>
    <row r="3841" spans="1:2" x14ac:dyDescent="0.2">
      <c r="A3841" s="170">
        <v>39610</v>
      </c>
      <c r="B3841" s="171">
        <v>4.76</v>
      </c>
    </row>
    <row r="3842" spans="1:2" x14ac:dyDescent="0.2">
      <c r="A3842" s="170">
        <v>39611</v>
      </c>
      <c r="B3842" s="171">
        <v>4.83</v>
      </c>
    </row>
    <row r="3843" spans="1:2" x14ac:dyDescent="0.2">
      <c r="A3843" s="170">
        <v>39612</v>
      </c>
      <c r="B3843" s="171">
        <v>4.8600000000000003</v>
      </c>
    </row>
    <row r="3844" spans="1:2" x14ac:dyDescent="0.2">
      <c r="A3844" s="170">
        <v>39615</v>
      </c>
      <c r="B3844" s="171">
        <v>4.84</v>
      </c>
    </row>
    <row r="3845" spans="1:2" x14ac:dyDescent="0.2">
      <c r="A3845" s="170">
        <v>39616</v>
      </c>
      <c r="B3845" s="171">
        <v>4.8499999999999996</v>
      </c>
    </row>
    <row r="3846" spans="1:2" x14ac:dyDescent="0.2">
      <c r="A3846" s="170">
        <v>39617</v>
      </c>
      <c r="B3846" s="171">
        <v>4.7699999999999996</v>
      </c>
    </row>
    <row r="3847" spans="1:2" x14ac:dyDescent="0.2">
      <c r="A3847" s="170">
        <v>39618</v>
      </c>
      <c r="B3847" s="171">
        <v>4.82</v>
      </c>
    </row>
    <row r="3848" spans="1:2" x14ac:dyDescent="0.2">
      <c r="A3848" s="170">
        <v>39619</v>
      </c>
      <c r="B3848" s="171">
        <v>4.76</v>
      </c>
    </row>
    <row r="3849" spans="1:2" x14ac:dyDescent="0.2">
      <c r="A3849" s="170">
        <v>39622</v>
      </c>
      <c r="B3849" s="171">
        <v>4.7699999999999996</v>
      </c>
    </row>
    <row r="3850" spans="1:2" x14ac:dyDescent="0.2">
      <c r="A3850" s="170">
        <v>39623</v>
      </c>
      <c r="B3850" s="171">
        <v>4.7</v>
      </c>
    </row>
    <row r="3851" spans="1:2" x14ac:dyDescent="0.2">
      <c r="A3851" s="170">
        <v>39624</v>
      </c>
      <c r="B3851" s="171">
        <v>4.72</v>
      </c>
    </row>
    <row r="3852" spans="1:2" x14ac:dyDescent="0.2">
      <c r="A3852" s="170">
        <v>39625</v>
      </c>
      <c r="B3852" s="171">
        <v>4.67</v>
      </c>
    </row>
    <row r="3853" spans="1:2" x14ac:dyDescent="0.2">
      <c r="A3853" s="170">
        <v>39626</v>
      </c>
      <c r="B3853" s="171">
        <v>4.58</v>
      </c>
    </row>
    <row r="3854" spans="1:2" x14ac:dyDescent="0.2">
      <c r="A3854" s="170">
        <v>39629</v>
      </c>
      <c r="B3854" s="171">
        <v>4.59</v>
      </c>
    </row>
    <row r="3855" spans="1:2" x14ac:dyDescent="0.2">
      <c r="A3855" s="170">
        <v>39630</v>
      </c>
      <c r="B3855" s="171">
        <v>4.5999999999999996</v>
      </c>
    </row>
    <row r="3856" spans="1:2" x14ac:dyDescent="0.2">
      <c r="A3856" s="170">
        <v>39631</v>
      </c>
      <c r="B3856" s="171">
        <v>4.57</v>
      </c>
    </row>
    <row r="3857" spans="1:2" x14ac:dyDescent="0.2">
      <c r="A3857" s="170">
        <v>39632</v>
      </c>
      <c r="B3857" s="171">
        <v>4.58</v>
      </c>
    </row>
    <row r="3858" spans="1:2" x14ac:dyDescent="0.2">
      <c r="A3858" s="170">
        <v>39633</v>
      </c>
      <c r="B3858" s="171" t="e">
        <f>NA()</f>
        <v>#N/A</v>
      </c>
    </row>
    <row r="3859" spans="1:2" x14ac:dyDescent="0.2">
      <c r="A3859" s="170">
        <v>39636</v>
      </c>
      <c r="B3859" s="171">
        <v>4.55</v>
      </c>
    </row>
    <row r="3860" spans="1:2" x14ac:dyDescent="0.2">
      <c r="A3860" s="170">
        <v>39637</v>
      </c>
      <c r="B3860" s="171">
        <v>4.51</v>
      </c>
    </row>
    <row r="3861" spans="1:2" x14ac:dyDescent="0.2">
      <c r="A3861" s="170">
        <v>39638</v>
      </c>
      <c r="B3861" s="171">
        <v>4.47</v>
      </c>
    </row>
    <row r="3862" spans="1:2" x14ac:dyDescent="0.2">
      <c r="A3862" s="170">
        <v>39639</v>
      </c>
      <c r="B3862" s="171">
        <v>4.47</v>
      </c>
    </row>
    <row r="3863" spans="1:2" x14ac:dyDescent="0.2">
      <c r="A3863" s="170">
        <v>39640</v>
      </c>
      <c r="B3863" s="171">
        <v>4.57</v>
      </c>
    </row>
    <row r="3864" spans="1:2" x14ac:dyDescent="0.2">
      <c r="A3864" s="170">
        <v>39643</v>
      </c>
      <c r="B3864" s="171">
        <v>4.5199999999999996</v>
      </c>
    </row>
    <row r="3865" spans="1:2" x14ac:dyDescent="0.2">
      <c r="A3865" s="170">
        <v>39644</v>
      </c>
      <c r="B3865" s="171">
        <v>4.5199999999999996</v>
      </c>
    </row>
    <row r="3866" spans="1:2" x14ac:dyDescent="0.2">
      <c r="A3866" s="170">
        <v>39645</v>
      </c>
      <c r="B3866" s="171">
        <v>4.6399999999999997</v>
      </c>
    </row>
    <row r="3867" spans="1:2" x14ac:dyDescent="0.2">
      <c r="A3867" s="170">
        <v>39646</v>
      </c>
      <c r="B3867" s="171">
        <v>4.7</v>
      </c>
    </row>
    <row r="3868" spans="1:2" x14ac:dyDescent="0.2">
      <c r="A3868" s="170">
        <v>39647</v>
      </c>
      <c r="B3868" s="171">
        <v>4.71</v>
      </c>
    </row>
    <row r="3869" spans="1:2" x14ac:dyDescent="0.2">
      <c r="A3869" s="170">
        <v>39650</v>
      </c>
      <c r="B3869" s="171">
        <v>4.6900000000000004</v>
      </c>
    </row>
    <row r="3870" spans="1:2" x14ac:dyDescent="0.2">
      <c r="A3870" s="170">
        <v>39651</v>
      </c>
      <c r="B3870" s="171">
        <v>4.7300000000000004</v>
      </c>
    </row>
    <row r="3871" spans="1:2" x14ac:dyDescent="0.2">
      <c r="A3871" s="170">
        <v>39652</v>
      </c>
      <c r="B3871" s="171">
        <v>4.76</v>
      </c>
    </row>
    <row r="3872" spans="1:2" x14ac:dyDescent="0.2">
      <c r="A3872" s="170">
        <v>39653</v>
      </c>
      <c r="B3872" s="171">
        <v>4.66</v>
      </c>
    </row>
    <row r="3873" spans="1:2" x14ac:dyDescent="0.2">
      <c r="A3873" s="170">
        <v>39654</v>
      </c>
      <c r="B3873" s="171">
        <v>4.75</v>
      </c>
    </row>
    <row r="3874" spans="1:2" x14ac:dyDescent="0.2">
      <c r="A3874" s="170">
        <v>39657</v>
      </c>
      <c r="B3874" s="171">
        <v>4.6900000000000004</v>
      </c>
    </row>
    <row r="3875" spans="1:2" x14ac:dyDescent="0.2">
      <c r="A3875" s="170">
        <v>39658</v>
      </c>
      <c r="B3875" s="171">
        <v>4.7</v>
      </c>
    </row>
    <row r="3876" spans="1:2" x14ac:dyDescent="0.2">
      <c r="A3876" s="170">
        <v>39659</v>
      </c>
      <c r="B3876" s="171">
        <v>4.6900000000000004</v>
      </c>
    </row>
    <row r="3877" spans="1:2" x14ac:dyDescent="0.2">
      <c r="A3877" s="170">
        <v>39660</v>
      </c>
      <c r="B3877" s="171">
        <v>4.63</v>
      </c>
    </row>
    <row r="3878" spans="1:2" x14ac:dyDescent="0.2">
      <c r="A3878" s="170">
        <v>39661</v>
      </c>
      <c r="B3878" s="171">
        <v>4.6100000000000003</v>
      </c>
    </row>
    <row r="3879" spans="1:2" x14ac:dyDescent="0.2">
      <c r="A3879" s="170">
        <v>39664</v>
      </c>
      <c r="B3879" s="171">
        <v>4.62</v>
      </c>
    </row>
    <row r="3880" spans="1:2" x14ac:dyDescent="0.2">
      <c r="A3880" s="170">
        <v>39665</v>
      </c>
      <c r="B3880" s="171">
        <v>4.67</v>
      </c>
    </row>
    <row r="3881" spans="1:2" x14ac:dyDescent="0.2">
      <c r="A3881" s="170">
        <v>39666</v>
      </c>
      <c r="B3881" s="171">
        <v>4.71</v>
      </c>
    </row>
    <row r="3882" spans="1:2" x14ac:dyDescent="0.2">
      <c r="A3882" s="170">
        <v>39667</v>
      </c>
      <c r="B3882" s="171">
        <v>4.58</v>
      </c>
    </row>
    <row r="3883" spans="1:2" x14ac:dyDescent="0.2">
      <c r="A3883" s="170">
        <v>39668</v>
      </c>
      <c r="B3883" s="171">
        <v>4.58</v>
      </c>
    </row>
    <row r="3884" spans="1:2" x14ac:dyDescent="0.2">
      <c r="A3884" s="170">
        <v>39671</v>
      </c>
      <c r="B3884" s="171">
        <v>4.6399999999999997</v>
      </c>
    </row>
    <row r="3885" spans="1:2" x14ac:dyDescent="0.2">
      <c r="A3885" s="170">
        <v>39672</v>
      </c>
      <c r="B3885" s="171">
        <v>4.58</v>
      </c>
    </row>
    <row r="3886" spans="1:2" x14ac:dyDescent="0.2">
      <c r="A3886" s="170">
        <v>39673</v>
      </c>
      <c r="B3886" s="171">
        <v>4.6100000000000003</v>
      </c>
    </row>
    <row r="3887" spans="1:2" x14ac:dyDescent="0.2">
      <c r="A3887" s="170">
        <v>39674</v>
      </c>
      <c r="B3887" s="171">
        <v>4.55</v>
      </c>
    </row>
    <row r="3888" spans="1:2" x14ac:dyDescent="0.2">
      <c r="A3888" s="170">
        <v>39675</v>
      </c>
      <c r="B3888" s="171">
        <v>4.5</v>
      </c>
    </row>
    <row r="3889" spans="1:2" x14ac:dyDescent="0.2">
      <c r="A3889" s="170">
        <v>39678</v>
      </c>
      <c r="B3889" s="171">
        <v>4.47</v>
      </c>
    </row>
    <row r="3890" spans="1:2" x14ac:dyDescent="0.2">
      <c r="A3890" s="170">
        <v>39679</v>
      </c>
      <c r="B3890" s="171">
        <v>4.5</v>
      </c>
    </row>
    <row r="3891" spans="1:2" x14ac:dyDescent="0.2">
      <c r="A3891" s="170">
        <v>39680</v>
      </c>
      <c r="B3891" s="171">
        <v>4.46</v>
      </c>
    </row>
    <row r="3892" spans="1:2" x14ac:dyDescent="0.2">
      <c r="A3892" s="170">
        <v>39681</v>
      </c>
      <c r="B3892" s="171">
        <v>4.49</v>
      </c>
    </row>
    <row r="3893" spans="1:2" x14ac:dyDescent="0.2">
      <c r="A3893" s="170">
        <v>39682</v>
      </c>
      <c r="B3893" s="171">
        <v>4.5</v>
      </c>
    </row>
    <row r="3894" spans="1:2" x14ac:dyDescent="0.2">
      <c r="A3894" s="170">
        <v>39685</v>
      </c>
      <c r="B3894" s="171">
        <v>4.42</v>
      </c>
    </row>
    <row r="3895" spans="1:2" x14ac:dyDescent="0.2">
      <c r="A3895" s="170">
        <v>39686</v>
      </c>
      <c r="B3895" s="171">
        <v>4.43</v>
      </c>
    </row>
    <row r="3896" spans="1:2" x14ac:dyDescent="0.2">
      <c r="A3896" s="170">
        <v>39687</v>
      </c>
      <c r="B3896" s="171">
        <v>4.41</v>
      </c>
    </row>
    <row r="3897" spans="1:2" x14ac:dyDescent="0.2">
      <c r="A3897" s="170">
        <v>39688</v>
      </c>
      <c r="B3897" s="171">
        <v>4.41</v>
      </c>
    </row>
    <row r="3898" spans="1:2" x14ac:dyDescent="0.2">
      <c r="A3898" s="170">
        <v>39689</v>
      </c>
      <c r="B3898" s="171">
        <v>4.47</v>
      </c>
    </row>
    <row r="3899" spans="1:2" x14ac:dyDescent="0.2">
      <c r="A3899" s="170">
        <v>39692</v>
      </c>
      <c r="B3899" s="171" t="e">
        <f>NA()</f>
        <v>#N/A</v>
      </c>
    </row>
    <row r="3900" spans="1:2" x14ac:dyDescent="0.2">
      <c r="A3900" s="170">
        <v>39693</v>
      </c>
      <c r="B3900" s="171">
        <v>4.3899999999999997</v>
      </c>
    </row>
    <row r="3901" spans="1:2" x14ac:dyDescent="0.2">
      <c r="A3901" s="170">
        <v>39694</v>
      </c>
      <c r="B3901" s="171">
        <v>4.3600000000000003</v>
      </c>
    </row>
    <row r="3902" spans="1:2" x14ac:dyDescent="0.2">
      <c r="A3902" s="170">
        <v>39695</v>
      </c>
      <c r="B3902" s="171">
        <v>4.3099999999999996</v>
      </c>
    </row>
    <row r="3903" spans="1:2" x14ac:dyDescent="0.2">
      <c r="A3903" s="170">
        <v>39696</v>
      </c>
      <c r="B3903" s="171">
        <v>4.3099999999999996</v>
      </c>
    </row>
    <row r="3904" spans="1:2" x14ac:dyDescent="0.2">
      <c r="A3904" s="170">
        <v>39699</v>
      </c>
      <c r="B3904" s="171">
        <v>4.3</v>
      </c>
    </row>
    <row r="3905" spans="1:2" x14ac:dyDescent="0.2">
      <c r="A3905" s="170">
        <v>39700</v>
      </c>
      <c r="B3905" s="171">
        <v>4.24</v>
      </c>
    </row>
    <row r="3906" spans="1:2" x14ac:dyDescent="0.2">
      <c r="A3906" s="170">
        <v>39701</v>
      </c>
      <c r="B3906" s="171">
        <v>4.2699999999999996</v>
      </c>
    </row>
    <row r="3907" spans="1:2" x14ac:dyDescent="0.2">
      <c r="A3907" s="170">
        <v>39702</v>
      </c>
      <c r="B3907" s="171">
        <v>4.25</v>
      </c>
    </row>
    <row r="3908" spans="1:2" x14ac:dyDescent="0.2">
      <c r="A3908" s="170">
        <v>39703</v>
      </c>
      <c r="B3908" s="171">
        <v>4.3600000000000003</v>
      </c>
    </row>
    <row r="3909" spans="1:2" x14ac:dyDescent="0.2">
      <c r="A3909" s="170">
        <v>39706</v>
      </c>
      <c r="B3909" s="171">
        <v>4.1399999999999997</v>
      </c>
    </row>
    <row r="3910" spans="1:2" x14ac:dyDescent="0.2">
      <c r="A3910" s="170">
        <v>39707</v>
      </c>
      <c r="B3910" s="171">
        <v>4.12</v>
      </c>
    </row>
    <row r="3911" spans="1:2" x14ac:dyDescent="0.2">
      <c r="A3911" s="170">
        <v>39708</v>
      </c>
      <c r="B3911" s="171">
        <v>4.12</v>
      </c>
    </row>
    <row r="3912" spans="1:2" x14ac:dyDescent="0.2">
      <c r="A3912" s="170">
        <v>39709</v>
      </c>
      <c r="B3912" s="171">
        <v>4.1900000000000004</v>
      </c>
    </row>
    <row r="3913" spans="1:2" x14ac:dyDescent="0.2">
      <c r="A3913" s="170">
        <v>39710</v>
      </c>
      <c r="B3913" s="171">
        <v>4.42</v>
      </c>
    </row>
    <row r="3914" spans="1:2" x14ac:dyDescent="0.2">
      <c r="A3914" s="170">
        <v>39713</v>
      </c>
      <c r="B3914" s="171">
        <v>4.4800000000000004</v>
      </c>
    </row>
    <row r="3915" spans="1:2" x14ac:dyDescent="0.2">
      <c r="A3915" s="170">
        <v>39714</v>
      </c>
      <c r="B3915" s="171">
        <v>4.5</v>
      </c>
    </row>
    <row r="3916" spans="1:2" x14ac:dyDescent="0.2">
      <c r="A3916" s="170">
        <v>39715</v>
      </c>
      <c r="B3916" s="171">
        <v>4.4800000000000004</v>
      </c>
    </row>
    <row r="3917" spans="1:2" x14ac:dyDescent="0.2">
      <c r="A3917" s="170">
        <v>39716</v>
      </c>
      <c r="B3917" s="171">
        <v>4.4800000000000004</v>
      </c>
    </row>
    <row r="3918" spans="1:2" x14ac:dyDescent="0.2">
      <c r="A3918" s="170">
        <v>39717</v>
      </c>
      <c r="B3918" s="171">
        <v>4.4400000000000004</v>
      </c>
    </row>
    <row r="3919" spans="1:2" x14ac:dyDescent="0.2">
      <c r="A3919" s="170">
        <v>39720</v>
      </c>
      <c r="B3919" s="171">
        <v>4.21</v>
      </c>
    </row>
    <row r="3920" spans="1:2" x14ac:dyDescent="0.2">
      <c r="A3920" s="170">
        <v>39721</v>
      </c>
      <c r="B3920" s="171">
        <v>4.43</v>
      </c>
    </row>
    <row r="3921" spans="1:2" x14ac:dyDescent="0.2">
      <c r="A3921" s="170">
        <v>39722</v>
      </c>
      <c r="B3921" s="171">
        <v>4.33</v>
      </c>
    </row>
    <row r="3922" spans="1:2" x14ac:dyDescent="0.2">
      <c r="A3922" s="170">
        <v>39723</v>
      </c>
      <c r="B3922" s="171">
        <v>4.28</v>
      </c>
    </row>
    <row r="3923" spans="1:2" x14ac:dyDescent="0.2">
      <c r="A3923" s="170">
        <v>39724</v>
      </c>
      <c r="B3923" s="171">
        <v>4.26</v>
      </c>
    </row>
    <row r="3924" spans="1:2" x14ac:dyDescent="0.2">
      <c r="A3924" s="170">
        <v>39727</v>
      </c>
      <c r="B3924" s="171">
        <v>4.12</v>
      </c>
    </row>
    <row r="3925" spans="1:2" x14ac:dyDescent="0.2">
      <c r="A3925" s="170">
        <v>39728</v>
      </c>
      <c r="B3925" s="171">
        <v>4.1500000000000004</v>
      </c>
    </row>
    <row r="3926" spans="1:2" x14ac:dyDescent="0.2">
      <c r="A3926" s="170">
        <v>39729</v>
      </c>
      <c r="B3926" s="171">
        <v>4.3099999999999996</v>
      </c>
    </row>
    <row r="3927" spans="1:2" x14ac:dyDescent="0.2">
      <c r="A3927" s="170">
        <v>39730</v>
      </c>
      <c r="B3927" s="171">
        <v>4.41</v>
      </c>
    </row>
    <row r="3928" spans="1:2" x14ac:dyDescent="0.2">
      <c r="A3928" s="170">
        <v>39731</v>
      </c>
      <c r="B3928" s="171">
        <v>4.41</v>
      </c>
    </row>
    <row r="3929" spans="1:2" x14ac:dyDescent="0.2">
      <c r="A3929" s="170">
        <v>39734</v>
      </c>
      <c r="B3929" s="171" t="e">
        <f>NA()</f>
        <v>#N/A</v>
      </c>
    </row>
    <row r="3930" spans="1:2" x14ac:dyDescent="0.2">
      <c r="A3930" s="170">
        <v>39735</v>
      </c>
      <c r="B3930" s="171">
        <v>4.57</v>
      </c>
    </row>
    <row r="3931" spans="1:2" x14ac:dyDescent="0.2">
      <c r="A3931" s="170">
        <v>39736</v>
      </c>
      <c r="B3931" s="171">
        <v>4.57</v>
      </c>
    </row>
    <row r="3932" spans="1:2" x14ac:dyDescent="0.2">
      <c r="A3932" s="170">
        <v>39737</v>
      </c>
      <c r="B3932" s="171">
        <v>4.59</v>
      </c>
    </row>
    <row r="3933" spans="1:2" x14ac:dyDescent="0.2">
      <c r="A3933" s="170">
        <v>39738</v>
      </c>
      <c r="B3933" s="171">
        <v>4.66</v>
      </c>
    </row>
    <row r="3934" spans="1:2" x14ac:dyDescent="0.2">
      <c r="A3934" s="170">
        <v>39741</v>
      </c>
      <c r="B3934" s="171">
        <v>4.5999999999999996</v>
      </c>
    </row>
    <row r="3935" spans="1:2" x14ac:dyDescent="0.2">
      <c r="A3935" s="170">
        <v>39742</v>
      </c>
      <c r="B3935" s="171">
        <v>4.5199999999999996</v>
      </c>
    </row>
    <row r="3936" spans="1:2" x14ac:dyDescent="0.2">
      <c r="A3936" s="170">
        <v>39743</v>
      </c>
      <c r="B3936" s="171">
        <v>4.42</v>
      </c>
    </row>
    <row r="3937" spans="1:2" x14ac:dyDescent="0.2">
      <c r="A3937" s="170">
        <v>39744</v>
      </c>
      <c r="B3937" s="171">
        <v>4.34</v>
      </c>
    </row>
    <row r="3938" spans="1:2" x14ac:dyDescent="0.2">
      <c r="A3938" s="170">
        <v>39745</v>
      </c>
      <c r="B3938" s="171">
        <v>4.4400000000000004</v>
      </c>
    </row>
    <row r="3939" spans="1:2" x14ac:dyDescent="0.2">
      <c r="A3939" s="170">
        <v>39748</v>
      </c>
      <c r="B3939" s="171">
        <v>4.43</v>
      </c>
    </row>
    <row r="3940" spans="1:2" x14ac:dyDescent="0.2">
      <c r="A3940" s="170">
        <v>39749</v>
      </c>
      <c r="B3940" s="171">
        <v>4.51</v>
      </c>
    </row>
    <row r="3941" spans="1:2" x14ac:dyDescent="0.2">
      <c r="A3941" s="170">
        <v>39750</v>
      </c>
      <c r="B3941" s="171">
        <v>4.59</v>
      </c>
    </row>
    <row r="3942" spans="1:2" x14ac:dyDescent="0.2">
      <c r="A3942" s="170">
        <v>39751</v>
      </c>
      <c r="B3942" s="171">
        <v>4.67</v>
      </c>
    </row>
    <row r="3943" spans="1:2" x14ac:dyDescent="0.2">
      <c r="A3943" s="170">
        <v>39752</v>
      </c>
      <c r="B3943" s="171">
        <v>4.74</v>
      </c>
    </row>
    <row r="3944" spans="1:2" x14ac:dyDescent="0.2">
      <c r="A3944" s="170">
        <v>39755</v>
      </c>
      <c r="B3944" s="171">
        <v>4.7300000000000004</v>
      </c>
    </row>
    <row r="3945" spans="1:2" x14ac:dyDescent="0.2">
      <c r="A3945" s="170">
        <v>39756</v>
      </c>
      <c r="B3945" s="171">
        <v>4.58</v>
      </c>
    </row>
    <row r="3946" spans="1:2" x14ac:dyDescent="0.2">
      <c r="A3946" s="170">
        <v>39757</v>
      </c>
      <c r="B3946" s="171">
        <v>4.49</v>
      </c>
    </row>
    <row r="3947" spans="1:2" x14ac:dyDescent="0.2">
      <c r="A3947" s="170">
        <v>39758</v>
      </c>
      <c r="B3947" s="171">
        <v>4.5199999999999996</v>
      </c>
    </row>
    <row r="3948" spans="1:2" x14ac:dyDescent="0.2">
      <c r="A3948" s="170">
        <v>39759</v>
      </c>
      <c r="B3948" s="171">
        <v>4.57</v>
      </c>
    </row>
    <row r="3949" spans="1:2" x14ac:dyDescent="0.2">
      <c r="A3949" s="170">
        <v>39762</v>
      </c>
      <c r="B3949" s="171">
        <v>4.5</v>
      </c>
    </row>
    <row r="3950" spans="1:2" x14ac:dyDescent="0.2">
      <c r="A3950" s="170">
        <v>39763</v>
      </c>
      <c r="B3950" s="171" t="e">
        <f>NA()</f>
        <v>#N/A</v>
      </c>
    </row>
    <row r="3951" spans="1:2" x14ac:dyDescent="0.2">
      <c r="A3951" s="170">
        <v>39764</v>
      </c>
      <c r="B3951" s="171">
        <v>4.4400000000000004</v>
      </c>
    </row>
    <row r="3952" spans="1:2" x14ac:dyDescent="0.2">
      <c r="A3952" s="170">
        <v>39765</v>
      </c>
      <c r="B3952" s="171">
        <v>4.57</v>
      </c>
    </row>
    <row r="3953" spans="1:2" x14ac:dyDescent="0.2">
      <c r="A3953" s="170">
        <v>39766</v>
      </c>
      <c r="B3953" s="171">
        <v>4.43</v>
      </c>
    </row>
    <row r="3954" spans="1:2" x14ac:dyDescent="0.2">
      <c r="A3954" s="170">
        <v>39769</v>
      </c>
      <c r="B3954" s="171">
        <v>4.42</v>
      </c>
    </row>
    <row r="3955" spans="1:2" x14ac:dyDescent="0.2">
      <c r="A3955" s="170">
        <v>39770</v>
      </c>
      <c r="B3955" s="171">
        <v>4.32</v>
      </c>
    </row>
    <row r="3956" spans="1:2" x14ac:dyDescent="0.2">
      <c r="A3956" s="170">
        <v>39771</v>
      </c>
      <c r="B3956" s="171">
        <v>4.17</v>
      </c>
    </row>
    <row r="3957" spans="1:2" x14ac:dyDescent="0.2">
      <c r="A3957" s="170">
        <v>39772</v>
      </c>
      <c r="B3957" s="171">
        <v>3.87</v>
      </c>
    </row>
    <row r="3958" spans="1:2" x14ac:dyDescent="0.2">
      <c r="A3958" s="170">
        <v>39773</v>
      </c>
      <c r="B3958" s="171">
        <v>3.93</v>
      </c>
    </row>
    <row r="3959" spans="1:2" x14ac:dyDescent="0.2">
      <c r="A3959" s="170">
        <v>39776</v>
      </c>
      <c r="B3959" s="171">
        <v>4.01</v>
      </c>
    </row>
    <row r="3960" spans="1:2" x14ac:dyDescent="0.2">
      <c r="A3960" s="170">
        <v>39777</v>
      </c>
      <c r="B3960" s="171">
        <v>3.85</v>
      </c>
    </row>
    <row r="3961" spans="1:2" x14ac:dyDescent="0.2">
      <c r="A3961" s="170">
        <v>39778</v>
      </c>
      <c r="B3961" s="171">
        <v>3.77</v>
      </c>
    </row>
    <row r="3962" spans="1:2" x14ac:dyDescent="0.2">
      <c r="A3962" s="170">
        <v>39779</v>
      </c>
      <c r="B3962" s="171" t="e">
        <f>NA()</f>
        <v>#N/A</v>
      </c>
    </row>
    <row r="3963" spans="1:2" x14ac:dyDescent="0.2">
      <c r="A3963" s="170">
        <v>39780</v>
      </c>
      <c r="B3963" s="171">
        <v>3.71</v>
      </c>
    </row>
    <row r="3964" spans="1:2" x14ac:dyDescent="0.2">
      <c r="A3964" s="170">
        <v>39783</v>
      </c>
      <c r="B3964" s="171">
        <v>3.51</v>
      </c>
    </row>
    <row r="3965" spans="1:2" x14ac:dyDescent="0.2">
      <c r="A3965" s="170">
        <v>39784</v>
      </c>
      <c r="B3965" s="171">
        <v>3.47</v>
      </c>
    </row>
    <row r="3966" spans="1:2" x14ac:dyDescent="0.2">
      <c r="A3966" s="170">
        <v>39785</v>
      </c>
      <c r="B3966" s="171">
        <v>3.45</v>
      </c>
    </row>
    <row r="3967" spans="1:2" x14ac:dyDescent="0.2">
      <c r="A3967" s="170">
        <v>39786</v>
      </c>
      <c r="B3967" s="171">
        <v>3.35</v>
      </c>
    </row>
    <row r="3968" spans="1:2" x14ac:dyDescent="0.2">
      <c r="A3968" s="170">
        <v>39787</v>
      </c>
      <c r="B3968" s="171">
        <v>3.41</v>
      </c>
    </row>
    <row r="3969" spans="1:2" x14ac:dyDescent="0.2">
      <c r="A3969" s="170">
        <v>39790</v>
      </c>
      <c r="B3969" s="171">
        <v>3.45</v>
      </c>
    </row>
    <row r="3970" spans="1:2" x14ac:dyDescent="0.2">
      <c r="A3970" s="170">
        <v>39791</v>
      </c>
      <c r="B3970" s="171">
        <v>3.35</v>
      </c>
    </row>
    <row r="3971" spans="1:2" x14ac:dyDescent="0.2">
      <c r="A3971" s="170">
        <v>39792</v>
      </c>
      <c r="B3971" s="171">
        <v>3.39</v>
      </c>
    </row>
    <row r="3972" spans="1:2" x14ac:dyDescent="0.2">
      <c r="A3972" s="170">
        <v>39793</v>
      </c>
      <c r="B3972" s="171">
        <v>3.35</v>
      </c>
    </row>
    <row r="3973" spans="1:2" x14ac:dyDescent="0.2">
      <c r="A3973" s="170">
        <v>39794</v>
      </c>
      <c r="B3973" s="171">
        <v>3.36</v>
      </c>
    </row>
    <row r="3974" spans="1:2" x14ac:dyDescent="0.2">
      <c r="A3974" s="170">
        <v>39797</v>
      </c>
      <c r="B3974" s="171">
        <v>3.29</v>
      </c>
    </row>
    <row r="3975" spans="1:2" x14ac:dyDescent="0.2">
      <c r="A3975" s="170">
        <v>39798</v>
      </c>
      <c r="B3975" s="171">
        <v>3.16</v>
      </c>
    </row>
    <row r="3976" spans="1:2" x14ac:dyDescent="0.2">
      <c r="A3976" s="170">
        <v>39799</v>
      </c>
      <c r="B3976" s="171">
        <v>3.01</v>
      </c>
    </row>
    <row r="3977" spans="1:2" x14ac:dyDescent="0.2">
      <c r="A3977" s="170">
        <v>39800</v>
      </c>
      <c r="B3977" s="171">
        <v>2.86</v>
      </c>
    </row>
    <row r="3978" spans="1:2" x14ac:dyDescent="0.2">
      <c r="A3978" s="170">
        <v>39801</v>
      </c>
      <c r="B3978" s="171">
        <v>2.89</v>
      </c>
    </row>
    <row r="3979" spans="1:2" x14ac:dyDescent="0.2">
      <c r="A3979" s="170">
        <v>39804</v>
      </c>
      <c r="B3979" s="171">
        <v>2.92</v>
      </c>
    </row>
    <row r="3980" spans="1:2" x14ac:dyDescent="0.2">
      <c r="A3980" s="170">
        <v>39805</v>
      </c>
      <c r="B3980" s="171">
        <v>2.93</v>
      </c>
    </row>
    <row r="3981" spans="1:2" x14ac:dyDescent="0.2">
      <c r="A3981" s="170">
        <v>39806</v>
      </c>
      <c r="B3981" s="171">
        <v>2.94</v>
      </c>
    </row>
    <row r="3982" spans="1:2" x14ac:dyDescent="0.2">
      <c r="A3982" s="170">
        <v>39807</v>
      </c>
      <c r="B3982" s="171" t="e">
        <f>NA()</f>
        <v>#N/A</v>
      </c>
    </row>
    <row r="3983" spans="1:2" x14ac:dyDescent="0.2">
      <c r="A3983" s="170">
        <v>39808</v>
      </c>
      <c r="B3983" s="171">
        <v>2.91</v>
      </c>
    </row>
    <row r="3984" spans="1:2" x14ac:dyDescent="0.2">
      <c r="A3984" s="170">
        <v>39811</v>
      </c>
      <c r="B3984" s="171">
        <v>2.94</v>
      </c>
    </row>
    <row r="3985" spans="1:2" x14ac:dyDescent="0.2">
      <c r="A3985" s="170">
        <v>39812</v>
      </c>
      <c r="B3985" s="171">
        <v>2.88</v>
      </c>
    </row>
    <row r="3986" spans="1:2" x14ac:dyDescent="0.2">
      <c r="A3986" s="170">
        <v>39813</v>
      </c>
      <c r="B3986" s="171">
        <v>3.05</v>
      </c>
    </row>
    <row r="3987" spans="1:2" x14ac:dyDescent="0.2">
      <c r="A3987" s="170">
        <v>39814</v>
      </c>
      <c r="B3987" s="171" t="e">
        <f>NA()</f>
        <v>#N/A</v>
      </c>
    </row>
    <row r="3988" spans="1:2" x14ac:dyDescent="0.2">
      <c r="A3988" s="170">
        <v>39815</v>
      </c>
      <c r="B3988" s="171">
        <v>3.22</v>
      </c>
    </row>
    <row r="3989" spans="1:2" x14ac:dyDescent="0.2">
      <c r="A3989" s="170">
        <v>39818</v>
      </c>
      <c r="B3989" s="171">
        <v>3.37</v>
      </c>
    </row>
    <row r="3990" spans="1:2" x14ac:dyDescent="0.2">
      <c r="A3990" s="170">
        <v>39819</v>
      </c>
      <c r="B3990" s="171">
        <v>3.41</v>
      </c>
    </row>
    <row r="3991" spans="1:2" x14ac:dyDescent="0.2">
      <c r="A3991" s="170">
        <v>39820</v>
      </c>
      <c r="B3991" s="171">
        <v>3.41</v>
      </c>
    </row>
    <row r="3992" spans="1:2" x14ac:dyDescent="0.2">
      <c r="A3992" s="170">
        <v>39821</v>
      </c>
      <c r="B3992" s="171">
        <v>3.4</v>
      </c>
    </row>
    <row r="3993" spans="1:2" x14ac:dyDescent="0.2">
      <c r="A3993" s="170">
        <v>39822</v>
      </c>
      <c r="B3993" s="171">
        <v>3.39</v>
      </c>
    </row>
    <row r="3994" spans="1:2" x14ac:dyDescent="0.2">
      <c r="A3994" s="170">
        <v>39825</v>
      </c>
      <c r="B3994" s="171">
        <v>3.3</v>
      </c>
    </row>
    <row r="3995" spans="1:2" x14ac:dyDescent="0.2">
      <c r="A3995" s="170">
        <v>39826</v>
      </c>
      <c r="B3995" s="171">
        <v>3.3</v>
      </c>
    </row>
    <row r="3996" spans="1:2" x14ac:dyDescent="0.2">
      <c r="A3996" s="170">
        <v>39827</v>
      </c>
      <c r="B3996" s="171">
        <v>3.17</v>
      </c>
    </row>
    <row r="3997" spans="1:2" x14ac:dyDescent="0.2">
      <c r="A3997" s="170">
        <v>39828</v>
      </c>
      <c r="B3997" s="171">
        <v>3.16</v>
      </c>
    </row>
    <row r="3998" spans="1:2" x14ac:dyDescent="0.2">
      <c r="A3998" s="170">
        <v>39829</v>
      </c>
      <c r="B3998" s="171">
        <v>3.22</v>
      </c>
    </row>
    <row r="3999" spans="1:2" x14ac:dyDescent="0.2">
      <c r="A3999" s="170">
        <v>39832</v>
      </c>
      <c r="B3999" s="171" t="e">
        <f>NA()</f>
        <v>#N/A</v>
      </c>
    </row>
    <row r="4000" spans="1:2" x14ac:dyDescent="0.2">
      <c r="A4000" s="170">
        <v>39833</v>
      </c>
      <c r="B4000" s="171">
        <v>3.3</v>
      </c>
    </row>
    <row r="4001" spans="1:2" x14ac:dyDescent="0.2">
      <c r="A4001" s="170">
        <v>39834</v>
      </c>
      <c r="B4001" s="171">
        <v>3.51</v>
      </c>
    </row>
    <row r="4002" spans="1:2" x14ac:dyDescent="0.2">
      <c r="A4002" s="170">
        <v>39835</v>
      </c>
      <c r="B4002" s="171">
        <v>3.61</v>
      </c>
    </row>
    <row r="4003" spans="1:2" x14ac:dyDescent="0.2">
      <c r="A4003" s="170">
        <v>39836</v>
      </c>
      <c r="B4003" s="171">
        <v>3.65</v>
      </c>
    </row>
    <row r="4004" spans="1:2" x14ac:dyDescent="0.2">
      <c r="A4004" s="170">
        <v>39839</v>
      </c>
      <c r="B4004" s="171">
        <v>3.71</v>
      </c>
    </row>
    <row r="4005" spans="1:2" x14ac:dyDescent="0.2">
      <c r="A4005" s="170">
        <v>39840</v>
      </c>
      <c r="B4005" s="171">
        <v>3.57</v>
      </c>
    </row>
    <row r="4006" spans="1:2" x14ac:dyDescent="0.2">
      <c r="A4006" s="170">
        <v>39841</v>
      </c>
      <c r="B4006" s="171">
        <v>3.73</v>
      </c>
    </row>
    <row r="4007" spans="1:2" x14ac:dyDescent="0.2">
      <c r="A4007" s="170">
        <v>39842</v>
      </c>
      <c r="B4007" s="171">
        <v>3.85</v>
      </c>
    </row>
    <row r="4008" spans="1:2" x14ac:dyDescent="0.2">
      <c r="A4008" s="170">
        <v>39843</v>
      </c>
      <c r="B4008" s="171">
        <v>3.86</v>
      </c>
    </row>
    <row r="4009" spans="1:2" x14ac:dyDescent="0.2">
      <c r="A4009" s="170">
        <v>39846</v>
      </c>
      <c r="B4009" s="171">
        <v>3.75</v>
      </c>
    </row>
    <row r="4010" spans="1:2" x14ac:dyDescent="0.2">
      <c r="A4010" s="170">
        <v>39847</v>
      </c>
      <c r="B4010" s="171">
        <v>3.88</v>
      </c>
    </row>
    <row r="4011" spans="1:2" x14ac:dyDescent="0.2">
      <c r="A4011" s="170">
        <v>39848</v>
      </c>
      <c r="B4011" s="171">
        <v>3.88</v>
      </c>
    </row>
    <row r="4012" spans="1:2" x14ac:dyDescent="0.2">
      <c r="A4012" s="170">
        <v>39849</v>
      </c>
      <c r="B4012" s="171">
        <v>3.86</v>
      </c>
    </row>
    <row r="4013" spans="1:2" x14ac:dyDescent="0.2">
      <c r="A4013" s="170">
        <v>39850</v>
      </c>
      <c r="B4013" s="171">
        <v>3.94</v>
      </c>
    </row>
    <row r="4014" spans="1:2" x14ac:dyDescent="0.2">
      <c r="A4014" s="170">
        <v>39853</v>
      </c>
      <c r="B4014" s="171">
        <v>3.91</v>
      </c>
    </row>
    <row r="4015" spans="1:2" x14ac:dyDescent="0.2">
      <c r="A4015" s="170">
        <v>39854</v>
      </c>
      <c r="B4015" s="171">
        <v>3.77</v>
      </c>
    </row>
    <row r="4016" spans="1:2" x14ac:dyDescent="0.2">
      <c r="A4016" s="170">
        <v>39855</v>
      </c>
      <c r="B4016" s="171">
        <v>3.69</v>
      </c>
    </row>
    <row r="4017" spans="1:2" x14ac:dyDescent="0.2">
      <c r="A4017" s="170">
        <v>39856</v>
      </c>
      <c r="B4017" s="171">
        <v>3.71</v>
      </c>
    </row>
    <row r="4018" spans="1:2" x14ac:dyDescent="0.2">
      <c r="A4018" s="170">
        <v>39857</v>
      </c>
      <c r="B4018" s="171">
        <v>3.91</v>
      </c>
    </row>
    <row r="4019" spans="1:2" x14ac:dyDescent="0.2">
      <c r="A4019" s="170">
        <v>39860</v>
      </c>
      <c r="B4019" s="171" t="e">
        <f>NA()</f>
        <v>#N/A</v>
      </c>
    </row>
    <row r="4020" spans="1:2" x14ac:dyDescent="0.2">
      <c r="A4020" s="170">
        <v>39861</v>
      </c>
      <c r="B4020" s="171">
        <v>3.7</v>
      </c>
    </row>
    <row r="4021" spans="1:2" x14ac:dyDescent="0.2">
      <c r="A4021" s="170">
        <v>39862</v>
      </c>
      <c r="B4021" s="171">
        <v>3.77</v>
      </c>
    </row>
    <row r="4022" spans="1:2" x14ac:dyDescent="0.2">
      <c r="A4022" s="170">
        <v>39863</v>
      </c>
      <c r="B4022" s="171">
        <v>3.92</v>
      </c>
    </row>
    <row r="4023" spans="1:2" x14ac:dyDescent="0.2">
      <c r="A4023" s="170">
        <v>39864</v>
      </c>
      <c r="B4023" s="171">
        <v>3.82</v>
      </c>
    </row>
    <row r="4024" spans="1:2" x14ac:dyDescent="0.2">
      <c r="A4024" s="170">
        <v>39867</v>
      </c>
      <c r="B4024" s="171">
        <v>3.79</v>
      </c>
    </row>
    <row r="4025" spans="1:2" x14ac:dyDescent="0.2">
      <c r="A4025" s="170">
        <v>39868</v>
      </c>
      <c r="B4025" s="171">
        <v>3.77</v>
      </c>
    </row>
    <row r="4026" spans="1:2" x14ac:dyDescent="0.2">
      <c r="A4026" s="170">
        <v>39869</v>
      </c>
      <c r="B4026" s="171">
        <v>3.88</v>
      </c>
    </row>
    <row r="4027" spans="1:2" x14ac:dyDescent="0.2">
      <c r="A4027" s="170">
        <v>39870</v>
      </c>
      <c r="B4027" s="171">
        <v>3.93</v>
      </c>
    </row>
    <row r="4028" spans="1:2" x14ac:dyDescent="0.2">
      <c r="A4028" s="170">
        <v>39871</v>
      </c>
      <c r="B4028" s="171">
        <v>3.98</v>
      </c>
    </row>
    <row r="4029" spans="1:2" x14ac:dyDescent="0.2">
      <c r="A4029" s="170">
        <v>39874</v>
      </c>
      <c r="B4029" s="171">
        <v>3.89</v>
      </c>
    </row>
    <row r="4030" spans="1:2" x14ac:dyDescent="0.2">
      <c r="A4030" s="170">
        <v>39875</v>
      </c>
      <c r="B4030" s="171">
        <v>3.92</v>
      </c>
    </row>
    <row r="4031" spans="1:2" x14ac:dyDescent="0.2">
      <c r="A4031" s="170">
        <v>39876</v>
      </c>
      <c r="B4031" s="171">
        <v>3.96</v>
      </c>
    </row>
    <row r="4032" spans="1:2" x14ac:dyDescent="0.2">
      <c r="A4032" s="170">
        <v>39877</v>
      </c>
      <c r="B4032" s="171">
        <v>3.76</v>
      </c>
    </row>
    <row r="4033" spans="1:2" x14ac:dyDescent="0.2">
      <c r="A4033" s="170">
        <v>39878</v>
      </c>
      <c r="B4033" s="171">
        <v>3.74</v>
      </c>
    </row>
    <row r="4034" spans="1:2" x14ac:dyDescent="0.2">
      <c r="A4034" s="170">
        <v>39881</v>
      </c>
      <c r="B4034" s="171">
        <v>3.83</v>
      </c>
    </row>
    <row r="4035" spans="1:2" x14ac:dyDescent="0.2">
      <c r="A4035" s="170">
        <v>39882</v>
      </c>
      <c r="B4035" s="171">
        <v>3.94</v>
      </c>
    </row>
    <row r="4036" spans="1:2" x14ac:dyDescent="0.2">
      <c r="A4036" s="170">
        <v>39883</v>
      </c>
      <c r="B4036" s="171">
        <v>3.88</v>
      </c>
    </row>
    <row r="4037" spans="1:2" x14ac:dyDescent="0.2">
      <c r="A4037" s="170">
        <v>39884</v>
      </c>
      <c r="B4037" s="171">
        <v>3.82</v>
      </c>
    </row>
    <row r="4038" spans="1:2" x14ac:dyDescent="0.2">
      <c r="A4038" s="170">
        <v>39885</v>
      </c>
      <c r="B4038" s="171">
        <v>3.84</v>
      </c>
    </row>
    <row r="4039" spans="1:2" x14ac:dyDescent="0.2">
      <c r="A4039" s="170">
        <v>39888</v>
      </c>
      <c r="B4039" s="171">
        <v>3.93</v>
      </c>
    </row>
    <row r="4040" spans="1:2" x14ac:dyDescent="0.2">
      <c r="A4040" s="170">
        <v>39889</v>
      </c>
      <c r="B4040" s="171">
        <v>3.99</v>
      </c>
    </row>
    <row r="4041" spans="1:2" x14ac:dyDescent="0.2">
      <c r="A4041" s="170">
        <v>39890</v>
      </c>
      <c r="B4041" s="171">
        <v>3.65</v>
      </c>
    </row>
    <row r="4042" spans="1:2" x14ac:dyDescent="0.2">
      <c r="A4042" s="170">
        <v>39891</v>
      </c>
      <c r="B4042" s="171">
        <v>3.64</v>
      </c>
    </row>
    <row r="4043" spans="1:2" x14ac:dyDescent="0.2">
      <c r="A4043" s="170">
        <v>39892</v>
      </c>
      <c r="B4043" s="171">
        <v>3.67</v>
      </c>
    </row>
    <row r="4044" spans="1:2" x14ac:dyDescent="0.2">
      <c r="A4044" s="170">
        <v>39895</v>
      </c>
      <c r="B4044" s="171">
        <v>3.7</v>
      </c>
    </row>
    <row r="4045" spans="1:2" x14ac:dyDescent="0.2">
      <c r="A4045" s="170">
        <v>39896</v>
      </c>
      <c r="B4045" s="171">
        <v>3.64</v>
      </c>
    </row>
    <row r="4046" spans="1:2" x14ac:dyDescent="0.2">
      <c r="A4046" s="170">
        <v>39897</v>
      </c>
      <c r="B4046" s="171">
        <v>3.76</v>
      </c>
    </row>
    <row r="4047" spans="1:2" x14ac:dyDescent="0.2">
      <c r="A4047" s="170">
        <v>39898</v>
      </c>
      <c r="B4047" s="171">
        <v>3.69</v>
      </c>
    </row>
    <row r="4048" spans="1:2" x14ac:dyDescent="0.2">
      <c r="A4048" s="170">
        <v>39899</v>
      </c>
      <c r="B4048" s="171">
        <v>3.66</v>
      </c>
    </row>
    <row r="4049" spans="1:2" x14ac:dyDescent="0.2">
      <c r="A4049" s="170">
        <v>39902</v>
      </c>
      <c r="B4049" s="171">
        <v>3.64</v>
      </c>
    </row>
    <row r="4050" spans="1:2" x14ac:dyDescent="0.2">
      <c r="A4050" s="170">
        <v>39903</v>
      </c>
      <c r="B4050" s="171">
        <v>3.61</v>
      </c>
    </row>
    <row r="4051" spans="1:2" x14ac:dyDescent="0.2">
      <c r="A4051" s="170">
        <v>39904</v>
      </c>
      <c r="B4051" s="171">
        <v>3.54</v>
      </c>
    </row>
    <row r="4052" spans="1:2" x14ac:dyDescent="0.2">
      <c r="A4052" s="170">
        <v>39905</v>
      </c>
      <c r="B4052" s="171">
        <v>3.63</v>
      </c>
    </row>
    <row r="4053" spans="1:2" x14ac:dyDescent="0.2">
      <c r="A4053" s="170">
        <v>39906</v>
      </c>
      <c r="B4053" s="171">
        <v>3.77</v>
      </c>
    </row>
    <row r="4054" spans="1:2" x14ac:dyDescent="0.2">
      <c r="A4054" s="170">
        <v>39909</v>
      </c>
      <c r="B4054" s="171">
        <v>3.82</v>
      </c>
    </row>
    <row r="4055" spans="1:2" x14ac:dyDescent="0.2">
      <c r="A4055" s="170">
        <v>39910</v>
      </c>
      <c r="B4055" s="171">
        <v>3.79</v>
      </c>
    </row>
    <row r="4056" spans="1:2" x14ac:dyDescent="0.2">
      <c r="A4056" s="170">
        <v>39911</v>
      </c>
      <c r="B4056" s="171">
        <v>3.74</v>
      </c>
    </row>
    <row r="4057" spans="1:2" x14ac:dyDescent="0.2">
      <c r="A4057" s="170">
        <v>39912</v>
      </c>
      <c r="B4057" s="171">
        <v>3.85</v>
      </c>
    </row>
    <row r="4058" spans="1:2" x14ac:dyDescent="0.2">
      <c r="A4058" s="170">
        <v>39913</v>
      </c>
      <c r="B4058" s="171" t="e">
        <f>NA()</f>
        <v>#N/A</v>
      </c>
    </row>
    <row r="4059" spans="1:2" x14ac:dyDescent="0.2">
      <c r="A4059" s="170">
        <v>39916</v>
      </c>
      <c r="B4059" s="171">
        <v>3.78</v>
      </c>
    </row>
    <row r="4060" spans="1:2" x14ac:dyDescent="0.2">
      <c r="A4060" s="170">
        <v>39917</v>
      </c>
      <c r="B4060" s="171">
        <v>3.73</v>
      </c>
    </row>
    <row r="4061" spans="1:2" x14ac:dyDescent="0.2">
      <c r="A4061" s="170">
        <v>39918</v>
      </c>
      <c r="B4061" s="171">
        <v>3.75</v>
      </c>
    </row>
    <row r="4062" spans="1:2" x14ac:dyDescent="0.2">
      <c r="A4062" s="170">
        <v>39919</v>
      </c>
      <c r="B4062" s="171">
        <v>3.81</v>
      </c>
    </row>
    <row r="4063" spans="1:2" x14ac:dyDescent="0.2">
      <c r="A4063" s="170">
        <v>39920</v>
      </c>
      <c r="B4063" s="171">
        <v>3.91</v>
      </c>
    </row>
    <row r="4064" spans="1:2" x14ac:dyDescent="0.2">
      <c r="A4064" s="170">
        <v>39923</v>
      </c>
      <c r="B4064" s="171">
        <v>3.8</v>
      </c>
    </row>
    <row r="4065" spans="1:2" x14ac:dyDescent="0.2">
      <c r="A4065" s="170">
        <v>39924</v>
      </c>
      <c r="B4065" s="171">
        <v>3.86</v>
      </c>
    </row>
    <row r="4066" spans="1:2" x14ac:dyDescent="0.2">
      <c r="A4066" s="170">
        <v>39925</v>
      </c>
      <c r="B4066" s="171">
        <v>3.93</v>
      </c>
    </row>
    <row r="4067" spans="1:2" x14ac:dyDescent="0.2">
      <c r="A4067" s="170">
        <v>39926</v>
      </c>
      <c r="B4067" s="171">
        <v>3.9</v>
      </c>
    </row>
    <row r="4068" spans="1:2" x14ac:dyDescent="0.2">
      <c r="A4068" s="170">
        <v>39927</v>
      </c>
      <c r="B4068" s="171">
        <v>3.99</v>
      </c>
    </row>
    <row r="4069" spans="1:2" x14ac:dyDescent="0.2">
      <c r="A4069" s="170">
        <v>39930</v>
      </c>
      <c r="B4069" s="171">
        <v>3.92</v>
      </c>
    </row>
    <row r="4070" spans="1:2" x14ac:dyDescent="0.2">
      <c r="A4070" s="170">
        <v>39931</v>
      </c>
      <c r="B4070" s="171">
        <v>4.03</v>
      </c>
    </row>
    <row r="4071" spans="1:2" x14ac:dyDescent="0.2">
      <c r="A4071" s="170">
        <v>39932</v>
      </c>
      <c r="B4071" s="171">
        <v>4.07</v>
      </c>
    </row>
    <row r="4072" spans="1:2" x14ac:dyDescent="0.2">
      <c r="A4072" s="170">
        <v>39933</v>
      </c>
      <c r="B4072" s="171">
        <v>4.0999999999999996</v>
      </c>
    </row>
    <row r="4073" spans="1:2" x14ac:dyDescent="0.2">
      <c r="A4073" s="170">
        <v>39934</v>
      </c>
      <c r="B4073" s="171">
        <v>4.1399999999999997</v>
      </c>
    </row>
    <row r="4074" spans="1:2" x14ac:dyDescent="0.2">
      <c r="A4074" s="170">
        <v>39937</v>
      </c>
      <c r="B4074" s="171">
        <v>4.1100000000000003</v>
      </c>
    </row>
    <row r="4075" spans="1:2" x14ac:dyDescent="0.2">
      <c r="A4075" s="170">
        <v>39938</v>
      </c>
      <c r="B4075" s="171">
        <v>4.1100000000000003</v>
      </c>
    </row>
    <row r="4076" spans="1:2" x14ac:dyDescent="0.2">
      <c r="A4076" s="170">
        <v>39939</v>
      </c>
      <c r="B4076" s="171">
        <v>4.12</v>
      </c>
    </row>
    <row r="4077" spans="1:2" x14ac:dyDescent="0.2">
      <c r="A4077" s="170">
        <v>39940</v>
      </c>
      <c r="B4077" s="171">
        <v>4.26</v>
      </c>
    </row>
    <row r="4078" spans="1:2" x14ac:dyDescent="0.2">
      <c r="A4078" s="170">
        <v>39941</v>
      </c>
      <c r="B4078" s="171">
        <v>4.25</v>
      </c>
    </row>
    <row r="4079" spans="1:2" x14ac:dyDescent="0.2">
      <c r="A4079" s="170">
        <v>39944</v>
      </c>
      <c r="B4079" s="171">
        <v>4.1500000000000004</v>
      </c>
    </row>
    <row r="4080" spans="1:2" x14ac:dyDescent="0.2">
      <c r="A4080" s="170">
        <v>39945</v>
      </c>
      <c r="B4080" s="171">
        <v>4.13</v>
      </c>
    </row>
    <row r="4081" spans="1:2" x14ac:dyDescent="0.2">
      <c r="A4081" s="170">
        <v>39946</v>
      </c>
      <c r="B4081" s="171">
        <v>4.0599999999999996</v>
      </c>
    </row>
    <row r="4082" spans="1:2" x14ac:dyDescent="0.2">
      <c r="A4082" s="170">
        <v>39947</v>
      </c>
      <c r="B4082" s="171">
        <v>4.04</v>
      </c>
    </row>
    <row r="4083" spans="1:2" x14ac:dyDescent="0.2">
      <c r="A4083" s="170">
        <v>39948</v>
      </c>
      <c r="B4083" s="171">
        <v>4.07</v>
      </c>
    </row>
    <row r="4084" spans="1:2" x14ac:dyDescent="0.2">
      <c r="A4084" s="170">
        <v>39951</v>
      </c>
      <c r="B4084" s="171">
        <v>4.16</v>
      </c>
    </row>
    <row r="4085" spans="1:2" x14ac:dyDescent="0.2">
      <c r="A4085" s="170">
        <v>39952</v>
      </c>
      <c r="B4085" s="171">
        <v>4.1900000000000004</v>
      </c>
    </row>
    <row r="4086" spans="1:2" x14ac:dyDescent="0.2">
      <c r="A4086" s="170">
        <v>39953</v>
      </c>
      <c r="B4086" s="171">
        <v>4.1100000000000003</v>
      </c>
    </row>
    <row r="4087" spans="1:2" x14ac:dyDescent="0.2">
      <c r="A4087" s="170">
        <v>39954</v>
      </c>
      <c r="B4087" s="171">
        <v>4.2699999999999996</v>
      </c>
    </row>
    <row r="4088" spans="1:2" x14ac:dyDescent="0.2">
      <c r="A4088" s="170">
        <v>39955</v>
      </c>
      <c r="B4088" s="171">
        <v>4.3600000000000003</v>
      </c>
    </row>
    <row r="4089" spans="1:2" x14ac:dyDescent="0.2">
      <c r="A4089" s="170">
        <v>39958</v>
      </c>
      <c r="B4089" s="171" t="e">
        <f>NA()</f>
        <v>#N/A</v>
      </c>
    </row>
    <row r="4090" spans="1:2" x14ac:dyDescent="0.2">
      <c r="A4090" s="170">
        <v>39959</v>
      </c>
      <c r="B4090" s="171">
        <v>4.42</v>
      </c>
    </row>
    <row r="4091" spans="1:2" x14ac:dyDescent="0.2">
      <c r="A4091" s="170">
        <v>39960</v>
      </c>
      <c r="B4091" s="171">
        <v>4.58</v>
      </c>
    </row>
    <row r="4092" spans="1:2" x14ac:dyDescent="0.2">
      <c r="A4092" s="170">
        <v>39961</v>
      </c>
      <c r="B4092" s="171">
        <v>4.5199999999999996</v>
      </c>
    </row>
    <row r="4093" spans="1:2" x14ac:dyDescent="0.2">
      <c r="A4093" s="170">
        <v>39962</v>
      </c>
      <c r="B4093" s="171">
        <v>4.34</v>
      </c>
    </row>
    <row r="4094" spans="1:2" x14ac:dyDescent="0.2">
      <c r="A4094" s="170">
        <v>39965</v>
      </c>
      <c r="B4094" s="171">
        <v>4.5599999999999996</v>
      </c>
    </row>
    <row r="4095" spans="1:2" x14ac:dyDescent="0.2">
      <c r="A4095" s="170">
        <v>39966</v>
      </c>
      <c r="B4095" s="171">
        <v>4.51</v>
      </c>
    </row>
    <row r="4096" spans="1:2" x14ac:dyDescent="0.2">
      <c r="A4096" s="170">
        <v>39967</v>
      </c>
      <c r="B4096" s="171">
        <v>4.4400000000000004</v>
      </c>
    </row>
    <row r="4097" spans="1:2" x14ac:dyDescent="0.2">
      <c r="A4097" s="170">
        <v>39968</v>
      </c>
      <c r="B4097" s="171">
        <v>4.58</v>
      </c>
    </row>
    <row r="4098" spans="1:2" x14ac:dyDescent="0.2">
      <c r="A4098" s="170">
        <v>39969</v>
      </c>
      <c r="B4098" s="171">
        <v>4.6399999999999997</v>
      </c>
    </row>
    <row r="4099" spans="1:2" x14ac:dyDescent="0.2">
      <c r="A4099" s="170">
        <v>39972</v>
      </c>
      <c r="B4099" s="171">
        <v>4.66</v>
      </c>
    </row>
    <row r="4100" spans="1:2" x14ac:dyDescent="0.2">
      <c r="A4100" s="170">
        <v>39973</v>
      </c>
      <c r="B4100" s="171">
        <v>4.6500000000000004</v>
      </c>
    </row>
    <row r="4101" spans="1:2" x14ac:dyDescent="0.2">
      <c r="A4101" s="170">
        <v>39974</v>
      </c>
      <c r="B4101" s="171">
        <v>4.75</v>
      </c>
    </row>
    <row r="4102" spans="1:2" x14ac:dyDescent="0.2">
      <c r="A4102" s="170">
        <v>39975</v>
      </c>
      <c r="B4102" s="171">
        <v>4.67</v>
      </c>
    </row>
    <row r="4103" spans="1:2" x14ac:dyDescent="0.2">
      <c r="A4103" s="170">
        <v>39976</v>
      </c>
      <c r="B4103" s="171">
        <v>4.63</v>
      </c>
    </row>
    <row r="4104" spans="1:2" x14ac:dyDescent="0.2">
      <c r="A4104" s="170">
        <v>39979</v>
      </c>
      <c r="B4104" s="171">
        <v>4.58</v>
      </c>
    </row>
    <row r="4105" spans="1:2" x14ac:dyDescent="0.2">
      <c r="A4105" s="170">
        <v>39980</v>
      </c>
      <c r="B4105" s="171">
        <v>4.47</v>
      </c>
    </row>
    <row r="4106" spans="1:2" x14ac:dyDescent="0.2">
      <c r="A4106" s="170">
        <v>39981</v>
      </c>
      <c r="B4106" s="171">
        <v>4.47</v>
      </c>
    </row>
    <row r="4107" spans="1:2" x14ac:dyDescent="0.2">
      <c r="A4107" s="170">
        <v>39982</v>
      </c>
      <c r="B4107" s="171">
        <v>4.62</v>
      </c>
    </row>
    <row r="4108" spans="1:2" x14ac:dyDescent="0.2">
      <c r="A4108" s="170">
        <v>39983</v>
      </c>
      <c r="B4108" s="171">
        <v>4.54</v>
      </c>
    </row>
    <row r="4109" spans="1:2" x14ac:dyDescent="0.2">
      <c r="A4109" s="170">
        <v>39986</v>
      </c>
      <c r="B4109" s="171">
        <v>4.45</v>
      </c>
    </row>
    <row r="4110" spans="1:2" x14ac:dyDescent="0.2">
      <c r="A4110" s="170">
        <v>39987</v>
      </c>
      <c r="B4110" s="171">
        <v>4.3600000000000003</v>
      </c>
    </row>
    <row r="4111" spans="1:2" x14ac:dyDescent="0.2">
      <c r="A4111" s="170">
        <v>39988</v>
      </c>
      <c r="B4111" s="171">
        <v>4.43</v>
      </c>
    </row>
    <row r="4112" spans="1:2" x14ac:dyDescent="0.2">
      <c r="A4112" s="170">
        <v>39989</v>
      </c>
      <c r="B4112" s="171">
        <v>4.3099999999999996</v>
      </c>
    </row>
    <row r="4113" spans="1:2" x14ac:dyDescent="0.2">
      <c r="A4113" s="170">
        <v>39990</v>
      </c>
      <c r="B4113" s="171">
        <v>4.28</v>
      </c>
    </row>
    <row r="4114" spans="1:2" x14ac:dyDescent="0.2">
      <c r="A4114" s="170">
        <v>39993</v>
      </c>
      <c r="B4114" s="171">
        <v>4.29</v>
      </c>
    </row>
    <row r="4115" spans="1:2" x14ac:dyDescent="0.2">
      <c r="A4115" s="170">
        <v>39994</v>
      </c>
      <c r="B4115" s="171">
        <v>4.3</v>
      </c>
    </row>
    <row r="4116" spans="1:2" x14ac:dyDescent="0.2">
      <c r="A4116" s="170">
        <v>39995</v>
      </c>
      <c r="B4116" s="171">
        <v>4.32</v>
      </c>
    </row>
    <row r="4117" spans="1:2" x14ac:dyDescent="0.2">
      <c r="A4117" s="170">
        <v>39996</v>
      </c>
      <c r="B4117" s="171">
        <v>4.28</v>
      </c>
    </row>
    <row r="4118" spans="1:2" x14ac:dyDescent="0.2">
      <c r="A4118" s="170">
        <v>39997</v>
      </c>
      <c r="B4118" s="171" t="e">
        <f>NA()</f>
        <v>#N/A</v>
      </c>
    </row>
    <row r="4119" spans="1:2" x14ac:dyDescent="0.2">
      <c r="A4119" s="170">
        <v>40000</v>
      </c>
      <c r="B4119" s="171">
        <v>4.29</v>
      </c>
    </row>
    <row r="4120" spans="1:2" x14ac:dyDescent="0.2">
      <c r="A4120" s="170">
        <v>40001</v>
      </c>
      <c r="B4120" s="171">
        <v>4.25</v>
      </c>
    </row>
    <row r="4121" spans="1:2" x14ac:dyDescent="0.2">
      <c r="A4121" s="170">
        <v>40002</v>
      </c>
      <c r="B4121" s="171">
        <v>4.13</v>
      </c>
    </row>
    <row r="4122" spans="1:2" x14ac:dyDescent="0.2">
      <c r="A4122" s="170">
        <v>40003</v>
      </c>
      <c r="B4122" s="171">
        <v>4.26</v>
      </c>
    </row>
    <row r="4123" spans="1:2" x14ac:dyDescent="0.2">
      <c r="A4123" s="170">
        <v>40004</v>
      </c>
      <c r="B4123" s="171">
        <v>4.16</v>
      </c>
    </row>
    <row r="4124" spans="1:2" x14ac:dyDescent="0.2">
      <c r="A4124" s="170">
        <v>40007</v>
      </c>
      <c r="B4124" s="171">
        <v>4.21</v>
      </c>
    </row>
    <row r="4125" spans="1:2" x14ac:dyDescent="0.2">
      <c r="A4125" s="170">
        <v>40008</v>
      </c>
      <c r="B4125" s="171">
        <v>4.3499999999999996</v>
      </c>
    </row>
    <row r="4126" spans="1:2" x14ac:dyDescent="0.2">
      <c r="A4126" s="170">
        <v>40009</v>
      </c>
      <c r="B4126" s="171">
        <v>4.46</v>
      </c>
    </row>
    <row r="4127" spans="1:2" x14ac:dyDescent="0.2">
      <c r="A4127" s="170">
        <v>40010</v>
      </c>
      <c r="B4127" s="171">
        <v>4.43</v>
      </c>
    </row>
    <row r="4128" spans="1:2" x14ac:dyDescent="0.2">
      <c r="A4128" s="170">
        <v>40011</v>
      </c>
      <c r="B4128" s="171">
        <v>4.51</v>
      </c>
    </row>
    <row r="4129" spans="1:2" x14ac:dyDescent="0.2">
      <c r="A4129" s="170">
        <v>40014</v>
      </c>
      <c r="B4129" s="171">
        <v>4.45</v>
      </c>
    </row>
    <row r="4130" spans="1:2" x14ac:dyDescent="0.2">
      <c r="A4130" s="170">
        <v>40015</v>
      </c>
      <c r="B4130" s="171">
        <v>4.3499999999999996</v>
      </c>
    </row>
    <row r="4131" spans="1:2" x14ac:dyDescent="0.2">
      <c r="A4131" s="170">
        <v>40016</v>
      </c>
      <c r="B4131" s="171">
        <v>4.42</v>
      </c>
    </row>
    <row r="4132" spans="1:2" x14ac:dyDescent="0.2">
      <c r="A4132" s="170">
        <v>40017</v>
      </c>
      <c r="B4132" s="171">
        <v>4.55</v>
      </c>
    </row>
    <row r="4133" spans="1:2" x14ac:dyDescent="0.2">
      <c r="A4133" s="170">
        <v>40018</v>
      </c>
      <c r="B4133" s="171">
        <v>4.53</v>
      </c>
    </row>
    <row r="4134" spans="1:2" x14ac:dyDescent="0.2">
      <c r="A4134" s="170">
        <v>40021</v>
      </c>
      <c r="B4134" s="171">
        <v>4.5999999999999996</v>
      </c>
    </row>
    <row r="4135" spans="1:2" x14ac:dyDescent="0.2">
      <c r="A4135" s="170">
        <v>40022</v>
      </c>
      <c r="B4135" s="171">
        <v>4.54</v>
      </c>
    </row>
    <row r="4136" spans="1:2" x14ac:dyDescent="0.2">
      <c r="A4136" s="170">
        <v>40023</v>
      </c>
      <c r="B4136" s="171">
        <v>4.49</v>
      </c>
    </row>
    <row r="4137" spans="1:2" x14ac:dyDescent="0.2">
      <c r="A4137" s="170">
        <v>40024</v>
      </c>
      <c r="B4137" s="171">
        <v>4.4400000000000004</v>
      </c>
    </row>
    <row r="4138" spans="1:2" x14ac:dyDescent="0.2">
      <c r="A4138" s="170">
        <v>40025</v>
      </c>
      <c r="B4138" s="171">
        <v>4.29</v>
      </c>
    </row>
    <row r="4139" spans="1:2" x14ac:dyDescent="0.2">
      <c r="A4139" s="170">
        <v>40028</v>
      </c>
      <c r="B4139" s="171">
        <v>4.4000000000000004</v>
      </c>
    </row>
    <row r="4140" spans="1:2" x14ac:dyDescent="0.2">
      <c r="A4140" s="170">
        <v>40029</v>
      </c>
      <c r="B4140" s="171">
        <v>4.4400000000000004</v>
      </c>
    </row>
    <row r="4141" spans="1:2" x14ac:dyDescent="0.2">
      <c r="A4141" s="170">
        <v>40030</v>
      </c>
      <c r="B4141" s="171">
        <v>4.54</v>
      </c>
    </row>
    <row r="4142" spans="1:2" x14ac:dyDescent="0.2">
      <c r="A4142" s="170">
        <v>40031</v>
      </c>
      <c r="B4142" s="171">
        <v>4.51</v>
      </c>
    </row>
    <row r="4143" spans="1:2" x14ac:dyDescent="0.2">
      <c r="A4143" s="170">
        <v>40032</v>
      </c>
      <c r="B4143" s="171">
        <v>4.59</v>
      </c>
    </row>
    <row r="4144" spans="1:2" x14ac:dyDescent="0.2">
      <c r="A4144" s="170">
        <v>40035</v>
      </c>
      <c r="B4144" s="171">
        <v>4.49</v>
      </c>
    </row>
    <row r="4145" spans="1:2" x14ac:dyDescent="0.2">
      <c r="A4145" s="170">
        <v>40036</v>
      </c>
      <c r="B4145" s="171">
        <v>4.4000000000000004</v>
      </c>
    </row>
    <row r="4146" spans="1:2" x14ac:dyDescent="0.2">
      <c r="A4146" s="170">
        <v>40037</v>
      </c>
      <c r="B4146" s="171">
        <v>4.49</v>
      </c>
    </row>
    <row r="4147" spans="1:2" x14ac:dyDescent="0.2">
      <c r="A4147" s="170">
        <v>40038</v>
      </c>
      <c r="B4147" s="171">
        <v>4.37</v>
      </c>
    </row>
    <row r="4148" spans="1:2" x14ac:dyDescent="0.2">
      <c r="A4148" s="170">
        <v>40039</v>
      </c>
      <c r="B4148" s="171">
        <v>4.33</v>
      </c>
    </row>
    <row r="4149" spans="1:2" x14ac:dyDescent="0.2">
      <c r="A4149" s="170">
        <v>40042</v>
      </c>
      <c r="B4149" s="171">
        <v>4.26</v>
      </c>
    </row>
    <row r="4150" spans="1:2" x14ac:dyDescent="0.2">
      <c r="A4150" s="170">
        <v>40043</v>
      </c>
      <c r="B4150" s="171">
        <v>4.29</v>
      </c>
    </row>
    <row r="4151" spans="1:2" x14ac:dyDescent="0.2">
      <c r="A4151" s="170">
        <v>40044</v>
      </c>
      <c r="B4151" s="171">
        <v>4.2300000000000004</v>
      </c>
    </row>
    <row r="4152" spans="1:2" x14ac:dyDescent="0.2">
      <c r="A4152" s="170">
        <v>40045</v>
      </c>
      <c r="B4152" s="171">
        <v>4.18</v>
      </c>
    </row>
    <row r="4153" spans="1:2" x14ac:dyDescent="0.2">
      <c r="A4153" s="170">
        <v>40046</v>
      </c>
      <c r="B4153" s="171">
        <v>4.32</v>
      </c>
    </row>
    <row r="4154" spans="1:2" x14ac:dyDescent="0.2">
      <c r="A4154" s="170">
        <v>40049</v>
      </c>
      <c r="B4154" s="171">
        <v>4.22</v>
      </c>
    </row>
    <row r="4155" spans="1:2" x14ac:dyDescent="0.2">
      <c r="A4155" s="170">
        <v>40050</v>
      </c>
      <c r="B4155" s="171">
        <v>4.17</v>
      </c>
    </row>
    <row r="4156" spans="1:2" x14ac:dyDescent="0.2">
      <c r="A4156" s="170">
        <v>40051</v>
      </c>
      <c r="B4156" s="171">
        <v>4.1500000000000004</v>
      </c>
    </row>
    <row r="4157" spans="1:2" x14ac:dyDescent="0.2">
      <c r="A4157" s="170">
        <v>40052</v>
      </c>
      <c r="B4157" s="171">
        <v>4.1900000000000004</v>
      </c>
    </row>
    <row r="4158" spans="1:2" x14ac:dyDescent="0.2">
      <c r="A4158" s="170">
        <v>40053</v>
      </c>
      <c r="B4158" s="171">
        <v>4.17</v>
      </c>
    </row>
    <row r="4159" spans="1:2" x14ac:dyDescent="0.2">
      <c r="A4159" s="170">
        <v>40056</v>
      </c>
      <c r="B4159" s="171">
        <v>4.1399999999999997</v>
      </c>
    </row>
    <row r="4160" spans="1:2" x14ac:dyDescent="0.2">
      <c r="A4160" s="170">
        <v>40057</v>
      </c>
      <c r="B4160" s="171">
        <v>4.1399999999999997</v>
      </c>
    </row>
    <row r="4161" spans="1:2" x14ac:dyDescent="0.2">
      <c r="A4161" s="170">
        <v>40058</v>
      </c>
      <c r="B4161" s="171">
        <v>4.04</v>
      </c>
    </row>
    <row r="4162" spans="1:2" x14ac:dyDescent="0.2">
      <c r="A4162" s="170">
        <v>40059</v>
      </c>
      <c r="B4162" s="171">
        <v>4.09</v>
      </c>
    </row>
    <row r="4163" spans="1:2" x14ac:dyDescent="0.2">
      <c r="A4163" s="170">
        <v>40060</v>
      </c>
      <c r="B4163" s="171">
        <v>4.21</v>
      </c>
    </row>
    <row r="4164" spans="1:2" x14ac:dyDescent="0.2">
      <c r="A4164" s="170">
        <v>40063</v>
      </c>
      <c r="B4164" s="171" t="e">
        <f>NA()</f>
        <v>#N/A</v>
      </c>
    </row>
    <row r="4165" spans="1:2" x14ac:dyDescent="0.2">
      <c r="A4165" s="170">
        <v>40064</v>
      </c>
      <c r="B4165" s="171">
        <v>4.24</v>
      </c>
    </row>
    <row r="4166" spans="1:2" x14ac:dyDescent="0.2">
      <c r="A4166" s="170">
        <v>40065</v>
      </c>
      <c r="B4166" s="171">
        <v>4.26</v>
      </c>
    </row>
    <row r="4167" spans="1:2" x14ac:dyDescent="0.2">
      <c r="A4167" s="170">
        <v>40066</v>
      </c>
      <c r="B4167" s="171">
        <v>4.1100000000000003</v>
      </c>
    </row>
    <row r="4168" spans="1:2" x14ac:dyDescent="0.2">
      <c r="A4168" s="170">
        <v>40067</v>
      </c>
      <c r="B4168" s="171">
        <v>4.0999999999999996</v>
      </c>
    </row>
    <row r="4169" spans="1:2" x14ac:dyDescent="0.2">
      <c r="A4169" s="170">
        <v>40070</v>
      </c>
      <c r="B4169" s="171">
        <v>4.16</v>
      </c>
    </row>
    <row r="4170" spans="1:2" x14ac:dyDescent="0.2">
      <c r="A4170" s="170">
        <v>40071</v>
      </c>
      <c r="B4170" s="171">
        <v>4.21</v>
      </c>
    </row>
    <row r="4171" spans="1:2" x14ac:dyDescent="0.2">
      <c r="A4171" s="170">
        <v>40072</v>
      </c>
      <c r="B4171" s="171">
        <v>4.22</v>
      </c>
    </row>
    <row r="4172" spans="1:2" x14ac:dyDescent="0.2">
      <c r="A4172" s="170">
        <v>40073</v>
      </c>
      <c r="B4172" s="171">
        <v>4.1399999999999997</v>
      </c>
    </row>
    <row r="4173" spans="1:2" x14ac:dyDescent="0.2">
      <c r="A4173" s="170">
        <v>40074</v>
      </c>
      <c r="B4173" s="171">
        <v>4.2</v>
      </c>
    </row>
    <row r="4174" spans="1:2" x14ac:dyDescent="0.2">
      <c r="A4174" s="170">
        <v>40077</v>
      </c>
      <c r="B4174" s="171">
        <v>4.2</v>
      </c>
    </row>
    <row r="4175" spans="1:2" x14ac:dyDescent="0.2">
      <c r="A4175" s="170">
        <v>40078</v>
      </c>
      <c r="B4175" s="171">
        <v>4.18</v>
      </c>
    </row>
    <row r="4176" spans="1:2" x14ac:dyDescent="0.2">
      <c r="A4176" s="170">
        <v>40079</v>
      </c>
      <c r="B4176" s="171">
        <v>4.18</v>
      </c>
    </row>
    <row r="4177" spans="1:2" x14ac:dyDescent="0.2">
      <c r="A4177" s="170">
        <v>40080</v>
      </c>
      <c r="B4177" s="171">
        <v>4.1399999999999997</v>
      </c>
    </row>
    <row r="4178" spans="1:2" x14ac:dyDescent="0.2">
      <c r="A4178" s="170">
        <v>40081</v>
      </c>
      <c r="B4178" s="171">
        <v>4.07</v>
      </c>
    </row>
    <row r="4179" spans="1:2" x14ac:dyDescent="0.2">
      <c r="A4179" s="170">
        <v>40084</v>
      </c>
      <c r="B4179" s="171">
        <v>4.0199999999999996</v>
      </c>
    </row>
    <row r="4180" spans="1:2" x14ac:dyDescent="0.2">
      <c r="A4180" s="170">
        <v>40085</v>
      </c>
      <c r="B4180" s="171">
        <v>4.0199999999999996</v>
      </c>
    </row>
    <row r="4181" spans="1:2" x14ac:dyDescent="0.2">
      <c r="A4181" s="170">
        <v>40086</v>
      </c>
      <c r="B4181" s="171">
        <v>4.0199999999999996</v>
      </c>
    </row>
    <row r="4182" spans="1:2" x14ac:dyDescent="0.2">
      <c r="A4182" s="170">
        <v>40087</v>
      </c>
      <c r="B4182" s="171">
        <v>3.95</v>
      </c>
    </row>
    <row r="4183" spans="1:2" x14ac:dyDescent="0.2">
      <c r="A4183" s="170">
        <v>40088</v>
      </c>
      <c r="B4183" s="171">
        <v>3.98</v>
      </c>
    </row>
    <row r="4184" spans="1:2" x14ac:dyDescent="0.2">
      <c r="A4184" s="170">
        <v>40091</v>
      </c>
      <c r="B4184" s="171">
        <v>3.98</v>
      </c>
    </row>
    <row r="4185" spans="1:2" x14ac:dyDescent="0.2">
      <c r="A4185" s="170">
        <v>40092</v>
      </c>
      <c r="B4185" s="171">
        <v>4.03</v>
      </c>
    </row>
    <row r="4186" spans="1:2" x14ac:dyDescent="0.2">
      <c r="A4186" s="170">
        <v>40093</v>
      </c>
      <c r="B4186" s="171">
        <v>3.96</v>
      </c>
    </row>
    <row r="4187" spans="1:2" x14ac:dyDescent="0.2">
      <c r="A4187" s="170">
        <v>40094</v>
      </c>
      <c r="B4187" s="171">
        <v>4.05</v>
      </c>
    </row>
    <row r="4188" spans="1:2" x14ac:dyDescent="0.2">
      <c r="A4188" s="170">
        <v>40095</v>
      </c>
      <c r="B4188" s="171">
        <v>4.2</v>
      </c>
    </row>
    <row r="4189" spans="1:2" x14ac:dyDescent="0.2">
      <c r="A4189" s="170">
        <v>40098</v>
      </c>
      <c r="B4189" s="171" t="e">
        <f>NA()</f>
        <v>#N/A</v>
      </c>
    </row>
    <row r="4190" spans="1:2" x14ac:dyDescent="0.2">
      <c r="A4190" s="170">
        <v>40099</v>
      </c>
      <c r="B4190" s="171">
        <v>4.1399999999999997</v>
      </c>
    </row>
    <row r="4191" spans="1:2" x14ac:dyDescent="0.2">
      <c r="A4191" s="170">
        <v>40100</v>
      </c>
      <c r="B4191" s="171">
        <v>4.26</v>
      </c>
    </row>
    <row r="4192" spans="1:2" x14ac:dyDescent="0.2">
      <c r="A4192" s="170">
        <v>40101</v>
      </c>
      <c r="B4192" s="171">
        <v>4.29</v>
      </c>
    </row>
    <row r="4193" spans="1:2" x14ac:dyDescent="0.2">
      <c r="A4193" s="170">
        <v>40102</v>
      </c>
      <c r="B4193" s="171">
        <v>4.22</v>
      </c>
    </row>
    <row r="4194" spans="1:2" x14ac:dyDescent="0.2">
      <c r="A4194" s="170">
        <v>40105</v>
      </c>
      <c r="B4194" s="171">
        <v>4.1900000000000004</v>
      </c>
    </row>
    <row r="4195" spans="1:2" x14ac:dyDescent="0.2">
      <c r="A4195" s="170">
        <v>40106</v>
      </c>
      <c r="B4195" s="171">
        <v>4.1399999999999997</v>
      </c>
    </row>
    <row r="4196" spans="1:2" x14ac:dyDescent="0.2">
      <c r="A4196" s="170">
        <v>40107</v>
      </c>
      <c r="B4196" s="171">
        <v>4.2</v>
      </c>
    </row>
    <row r="4197" spans="1:2" x14ac:dyDescent="0.2">
      <c r="A4197" s="170">
        <v>40108</v>
      </c>
      <c r="B4197" s="171">
        <v>4.22</v>
      </c>
    </row>
    <row r="4198" spans="1:2" x14ac:dyDescent="0.2">
      <c r="A4198" s="170">
        <v>40109</v>
      </c>
      <c r="B4198" s="171">
        <v>4.2699999999999996</v>
      </c>
    </row>
    <row r="4199" spans="1:2" x14ac:dyDescent="0.2">
      <c r="A4199" s="170">
        <v>40112</v>
      </c>
      <c r="B4199" s="171">
        <v>4.3499999999999996</v>
      </c>
    </row>
    <row r="4200" spans="1:2" x14ac:dyDescent="0.2">
      <c r="A4200" s="170">
        <v>40113</v>
      </c>
      <c r="B4200" s="171">
        <v>4.26</v>
      </c>
    </row>
    <row r="4201" spans="1:2" x14ac:dyDescent="0.2">
      <c r="A4201" s="170">
        <v>40114</v>
      </c>
      <c r="B4201" s="171">
        <v>4.22</v>
      </c>
    </row>
    <row r="4202" spans="1:2" x14ac:dyDescent="0.2">
      <c r="A4202" s="170">
        <v>40115</v>
      </c>
      <c r="B4202" s="171">
        <v>4.3099999999999996</v>
      </c>
    </row>
    <row r="4203" spans="1:2" x14ac:dyDescent="0.2">
      <c r="A4203" s="170">
        <v>40116</v>
      </c>
      <c r="B4203" s="171">
        <v>4.1900000000000004</v>
      </c>
    </row>
    <row r="4204" spans="1:2" x14ac:dyDescent="0.2">
      <c r="A4204" s="170">
        <v>40119</v>
      </c>
      <c r="B4204" s="171">
        <v>4.22</v>
      </c>
    </row>
    <row r="4205" spans="1:2" x14ac:dyDescent="0.2">
      <c r="A4205" s="170">
        <v>40120</v>
      </c>
      <c r="B4205" s="171">
        <v>4.29</v>
      </c>
    </row>
    <row r="4206" spans="1:2" x14ac:dyDescent="0.2">
      <c r="A4206" s="170">
        <v>40121</v>
      </c>
      <c r="B4206" s="171">
        <v>4.3600000000000003</v>
      </c>
    </row>
    <row r="4207" spans="1:2" x14ac:dyDescent="0.2">
      <c r="A4207" s="170">
        <v>40122</v>
      </c>
      <c r="B4207" s="171">
        <v>4.3600000000000003</v>
      </c>
    </row>
    <row r="4208" spans="1:2" x14ac:dyDescent="0.2">
      <c r="A4208" s="170">
        <v>40123</v>
      </c>
      <c r="B4208" s="171">
        <v>4.3499999999999996</v>
      </c>
    </row>
    <row r="4209" spans="1:2" x14ac:dyDescent="0.2">
      <c r="A4209" s="170">
        <v>40126</v>
      </c>
      <c r="B4209" s="171">
        <v>4.34</v>
      </c>
    </row>
    <row r="4210" spans="1:2" x14ac:dyDescent="0.2">
      <c r="A4210" s="170">
        <v>40127</v>
      </c>
      <c r="B4210" s="171">
        <v>4.3600000000000003</v>
      </c>
    </row>
    <row r="4211" spans="1:2" x14ac:dyDescent="0.2">
      <c r="A4211" s="170">
        <v>40128</v>
      </c>
      <c r="B4211" s="171" t="e">
        <f>NA()</f>
        <v>#N/A</v>
      </c>
    </row>
    <row r="4212" spans="1:2" x14ac:dyDescent="0.2">
      <c r="A4212" s="170">
        <v>40129</v>
      </c>
      <c r="B4212" s="171">
        <v>4.33</v>
      </c>
    </row>
    <row r="4213" spans="1:2" x14ac:dyDescent="0.2">
      <c r="A4213" s="170">
        <v>40130</v>
      </c>
      <c r="B4213" s="171">
        <v>4.29</v>
      </c>
    </row>
    <row r="4214" spans="1:2" x14ac:dyDescent="0.2">
      <c r="A4214" s="170">
        <v>40133</v>
      </c>
      <c r="B4214" s="171">
        <v>4.18</v>
      </c>
    </row>
    <row r="4215" spans="1:2" x14ac:dyDescent="0.2">
      <c r="A4215" s="170">
        <v>40134</v>
      </c>
      <c r="B4215" s="171">
        <v>4.17</v>
      </c>
    </row>
    <row r="4216" spans="1:2" x14ac:dyDescent="0.2">
      <c r="A4216" s="170">
        <v>40135</v>
      </c>
      <c r="B4216" s="171">
        <v>4.21</v>
      </c>
    </row>
    <row r="4217" spans="1:2" x14ac:dyDescent="0.2">
      <c r="A4217" s="170">
        <v>40136</v>
      </c>
      <c r="B4217" s="171">
        <v>4.2</v>
      </c>
    </row>
    <row r="4218" spans="1:2" x14ac:dyDescent="0.2">
      <c r="A4218" s="170">
        <v>40137</v>
      </c>
      <c r="B4218" s="171">
        <v>4.2</v>
      </c>
    </row>
    <row r="4219" spans="1:2" x14ac:dyDescent="0.2">
      <c r="A4219" s="170">
        <v>40140</v>
      </c>
      <c r="B4219" s="171">
        <v>4.2</v>
      </c>
    </row>
    <row r="4220" spans="1:2" x14ac:dyDescent="0.2">
      <c r="A4220" s="170">
        <v>40141</v>
      </c>
      <c r="B4220" s="171">
        <v>4.16</v>
      </c>
    </row>
    <row r="4221" spans="1:2" x14ac:dyDescent="0.2">
      <c r="A4221" s="170">
        <v>40142</v>
      </c>
      <c r="B4221" s="171">
        <v>4.12</v>
      </c>
    </row>
    <row r="4222" spans="1:2" x14ac:dyDescent="0.2">
      <c r="A4222" s="170">
        <v>40143</v>
      </c>
      <c r="B4222" s="171" t="e">
        <f>NA()</f>
        <v>#N/A</v>
      </c>
    </row>
    <row r="4223" spans="1:2" x14ac:dyDescent="0.2">
      <c r="A4223" s="170">
        <v>40144</v>
      </c>
      <c r="B4223" s="171">
        <v>4.07</v>
      </c>
    </row>
    <row r="4224" spans="1:2" x14ac:dyDescent="0.2">
      <c r="A4224" s="170">
        <v>40147</v>
      </c>
      <c r="B4224" s="171">
        <v>4.07</v>
      </c>
    </row>
    <row r="4225" spans="1:2" x14ac:dyDescent="0.2">
      <c r="A4225" s="170">
        <v>40148</v>
      </c>
      <c r="B4225" s="171">
        <v>4.1399999999999997</v>
      </c>
    </row>
    <row r="4226" spans="1:2" x14ac:dyDescent="0.2">
      <c r="A4226" s="170">
        <v>40149</v>
      </c>
      <c r="B4226" s="171">
        <v>4.1399999999999997</v>
      </c>
    </row>
    <row r="4227" spans="1:2" x14ac:dyDescent="0.2">
      <c r="A4227" s="170">
        <v>40150</v>
      </c>
      <c r="B4227" s="171">
        <v>4.2300000000000004</v>
      </c>
    </row>
    <row r="4228" spans="1:2" x14ac:dyDescent="0.2">
      <c r="A4228" s="170">
        <v>40151</v>
      </c>
      <c r="B4228" s="171">
        <v>4.3099999999999996</v>
      </c>
    </row>
    <row r="4229" spans="1:2" x14ac:dyDescent="0.2">
      <c r="A4229" s="170">
        <v>40154</v>
      </c>
      <c r="B4229" s="171">
        <v>4.29</v>
      </c>
    </row>
    <row r="4230" spans="1:2" x14ac:dyDescent="0.2">
      <c r="A4230" s="170">
        <v>40155</v>
      </c>
      <c r="B4230" s="171">
        <v>4.28</v>
      </c>
    </row>
    <row r="4231" spans="1:2" x14ac:dyDescent="0.2">
      <c r="A4231" s="170">
        <v>40156</v>
      </c>
      <c r="B4231" s="171">
        <v>4.3099999999999996</v>
      </c>
    </row>
    <row r="4232" spans="1:2" x14ac:dyDescent="0.2">
      <c r="A4232" s="170">
        <v>40157</v>
      </c>
      <c r="B4232" s="171">
        <v>4.37</v>
      </c>
    </row>
    <row r="4233" spans="1:2" x14ac:dyDescent="0.2">
      <c r="A4233" s="170">
        <v>40158</v>
      </c>
      <c r="B4233" s="171">
        <v>4.3899999999999997</v>
      </c>
    </row>
    <row r="4234" spans="1:2" x14ac:dyDescent="0.2">
      <c r="A4234" s="170">
        <v>40161</v>
      </c>
      <c r="B4234" s="171">
        <v>4.3899999999999997</v>
      </c>
    </row>
    <row r="4235" spans="1:2" x14ac:dyDescent="0.2">
      <c r="A4235" s="170">
        <v>40162</v>
      </c>
      <c r="B4235" s="171">
        <v>4.42</v>
      </c>
    </row>
    <row r="4236" spans="1:2" x14ac:dyDescent="0.2">
      <c r="A4236" s="170">
        <v>40163</v>
      </c>
      <c r="B4236" s="171">
        <v>4.42</v>
      </c>
    </row>
    <row r="4237" spans="1:2" x14ac:dyDescent="0.2">
      <c r="A4237" s="170">
        <v>40164</v>
      </c>
      <c r="B4237" s="171">
        <v>4.3099999999999996</v>
      </c>
    </row>
    <row r="4238" spans="1:2" x14ac:dyDescent="0.2">
      <c r="A4238" s="170">
        <v>40165</v>
      </c>
      <c r="B4238" s="171">
        <v>4.3600000000000003</v>
      </c>
    </row>
    <row r="4239" spans="1:2" x14ac:dyDescent="0.2">
      <c r="A4239" s="170">
        <v>40168</v>
      </c>
      <c r="B4239" s="171">
        <v>4.47</v>
      </c>
    </row>
    <row r="4240" spans="1:2" x14ac:dyDescent="0.2">
      <c r="A4240" s="170">
        <v>40169</v>
      </c>
      <c r="B4240" s="171">
        <v>4.5199999999999996</v>
      </c>
    </row>
    <row r="4241" spans="1:2" x14ac:dyDescent="0.2">
      <c r="A4241" s="170">
        <v>40170</v>
      </c>
      <c r="B4241" s="171">
        <v>4.54</v>
      </c>
    </row>
    <row r="4242" spans="1:2" x14ac:dyDescent="0.2">
      <c r="A4242" s="170">
        <v>40171</v>
      </c>
      <c r="B4242" s="171">
        <v>4.5999999999999996</v>
      </c>
    </row>
    <row r="4243" spans="1:2" x14ac:dyDescent="0.2">
      <c r="A4243" s="170">
        <v>40172</v>
      </c>
      <c r="B4243" s="171" t="e">
        <f>NA()</f>
        <v>#N/A</v>
      </c>
    </row>
    <row r="4244" spans="1:2" x14ac:dyDescent="0.2">
      <c r="A4244" s="170">
        <v>40175</v>
      </c>
      <c r="B4244" s="171">
        <v>4.6100000000000003</v>
      </c>
    </row>
    <row r="4245" spans="1:2" x14ac:dyDescent="0.2">
      <c r="A4245" s="170">
        <v>40176</v>
      </c>
      <c r="B4245" s="171">
        <v>4.57</v>
      </c>
    </row>
    <row r="4246" spans="1:2" x14ac:dyDescent="0.2">
      <c r="A4246" s="170">
        <v>40177</v>
      </c>
      <c r="B4246" s="171">
        <v>4.54</v>
      </c>
    </row>
    <row r="4247" spans="1:2" x14ac:dyDescent="0.2">
      <c r="A4247" s="170">
        <v>40178</v>
      </c>
      <c r="B4247" s="171">
        <v>4.58</v>
      </c>
    </row>
    <row r="4248" spans="1:2" x14ac:dyDescent="0.2">
      <c r="A4248" s="170">
        <v>40179</v>
      </c>
      <c r="B4248" s="171" t="e">
        <f>NA()</f>
        <v>#N/A</v>
      </c>
    </row>
    <row r="4249" spans="1:2" x14ac:dyDescent="0.2">
      <c r="A4249" s="170">
        <v>40182</v>
      </c>
      <c r="B4249" s="171">
        <v>4.5999999999999996</v>
      </c>
    </row>
    <row r="4250" spans="1:2" x14ac:dyDescent="0.2">
      <c r="A4250" s="170">
        <v>40183</v>
      </c>
      <c r="B4250" s="171">
        <v>4.54</v>
      </c>
    </row>
    <row r="4251" spans="1:2" x14ac:dyDescent="0.2">
      <c r="A4251" s="170">
        <v>40184</v>
      </c>
      <c r="B4251" s="171">
        <v>4.63</v>
      </c>
    </row>
    <row r="4252" spans="1:2" x14ac:dyDescent="0.2">
      <c r="A4252" s="170">
        <v>40185</v>
      </c>
      <c r="B4252" s="171">
        <v>4.62</v>
      </c>
    </row>
    <row r="4253" spans="1:2" x14ac:dyDescent="0.2">
      <c r="A4253" s="170">
        <v>40186</v>
      </c>
      <c r="B4253" s="171">
        <v>4.6100000000000003</v>
      </c>
    </row>
    <row r="4254" spans="1:2" x14ac:dyDescent="0.2">
      <c r="A4254" s="170">
        <v>40189</v>
      </c>
      <c r="B4254" s="171">
        <v>4.6399999999999997</v>
      </c>
    </row>
    <row r="4255" spans="1:2" x14ac:dyDescent="0.2">
      <c r="A4255" s="170">
        <v>40190</v>
      </c>
      <c r="B4255" s="171">
        <v>4.5199999999999996</v>
      </c>
    </row>
    <row r="4256" spans="1:2" x14ac:dyDescent="0.2">
      <c r="A4256" s="170">
        <v>40191</v>
      </c>
      <c r="B4256" s="171">
        <v>4.5999999999999996</v>
      </c>
    </row>
    <row r="4257" spans="1:2" x14ac:dyDescent="0.2">
      <c r="A4257" s="170">
        <v>40192</v>
      </c>
      <c r="B4257" s="171">
        <v>4.5199999999999996</v>
      </c>
    </row>
    <row r="4258" spans="1:2" x14ac:dyDescent="0.2">
      <c r="A4258" s="170">
        <v>40193</v>
      </c>
      <c r="B4258" s="171">
        <v>4.4800000000000004</v>
      </c>
    </row>
    <row r="4259" spans="1:2" x14ac:dyDescent="0.2">
      <c r="A4259" s="170">
        <v>40196</v>
      </c>
      <c r="B4259" s="171" t="e">
        <f>NA()</f>
        <v>#N/A</v>
      </c>
    </row>
    <row r="4260" spans="1:2" x14ac:dyDescent="0.2">
      <c r="A4260" s="170">
        <v>40197</v>
      </c>
      <c r="B4260" s="171">
        <v>4.49</v>
      </c>
    </row>
    <row r="4261" spans="1:2" x14ac:dyDescent="0.2">
      <c r="A4261" s="170">
        <v>40198</v>
      </c>
      <c r="B4261" s="171">
        <v>4.43</v>
      </c>
    </row>
    <row r="4262" spans="1:2" x14ac:dyDescent="0.2">
      <c r="A4262" s="170">
        <v>40199</v>
      </c>
      <c r="B4262" s="171">
        <v>4.38</v>
      </c>
    </row>
    <row r="4263" spans="1:2" x14ac:dyDescent="0.2">
      <c r="A4263" s="170">
        <v>40200</v>
      </c>
      <c r="B4263" s="171">
        <v>4.38</v>
      </c>
    </row>
    <row r="4264" spans="1:2" x14ac:dyDescent="0.2">
      <c r="A4264" s="170">
        <v>40203</v>
      </c>
      <c r="B4264" s="171">
        <v>4.42</v>
      </c>
    </row>
    <row r="4265" spans="1:2" x14ac:dyDescent="0.2">
      <c r="A4265" s="170">
        <v>40204</v>
      </c>
      <c r="B4265" s="171">
        <v>4.43</v>
      </c>
    </row>
    <row r="4266" spans="1:2" x14ac:dyDescent="0.2">
      <c r="A4266" s="170">
        <v>40205</v>
      </c>
      <c r="B4266" s="171">
        <v>4.42</v>
      </c>
    </row>
    <row r="4267" spans="1:2" x14ac:dyDescent="0.2">
      <c r="A4267" s="170">
        <v>40206</v>
      </c>
      <c r="B4267" s="171">
        <v>4.4400000000000004</v>
      </c>
    </row>
    <row r="4268" spans="1:2" x14ac:dyDescent="0.2">
      <c r="A4268" s="170">
        <v>40207</v>
      </c>
      <c r="B4268" s="171">
        <v>4.38</v>
      </c>
    </row>
    <row r="4269" spans="1:2" x14ac:dyDescent="0.2">
      <c r="A4269" s="170">
        <v>40210</v>
      </c>
      <c r="B4269" s="171">
        <v>4.43</v>
      </c>
    </row>
    <row r="4270" spans="1:2" x14ac:dyDescent="0.2">
      <c r="A4270" s="170">
        <v>40211</v>
      </c>
      <c r="B4270" s="171">
        <v>4.42</v>
      </c>
    </row>
    <row r="4271" spans="1:2" x14ac:dyDescent="0.2">
      <c r="A4271" s="170">
        <v>40212</v>
      </c>
      <c r="B4271" s="171">
        <v>4.49</v>
      </c>
    </row>
    <row r="4272" spans="1:2" x14ac:dyDescent="0.2">
      <c r="A4272" s="170">
        <v>40213</v>
      </c>
      <c r="B4272" s="171">
        <v>4.3899999999999997</v>
      </c>
    </row>
    <row r="4273" spans="1:2" x14ac:dyDescent="0.2">
      <c r="A4273" s="170">
        <v>40214</v>
      </c>
      <c r="B4273" s="171">
        <v>4.3600000000000003</v>
      </c>
    </row>
    <row r="4274" spans="1:2" x14ac:dyDescent="0.2">
      <c r="A4274" s="170">
        <v>40217</v>
      </c>
      <c r="B4274" s="171">
        <v>4.38</v>
      </c>
    </row>
    <row r="4275" spans="1:2" x14ac:dyDescent="0.2">
      <c r="A4275" s="170">
        <v>40218</v>
      </c>
      <c r="B4275" s="171">
        <v>4.4400000000000004</v>
      </c>
    </row>
    <row r="4276" spans="1:2" x14ac:dyDescent="0.2">
      <c r="A4276" s="170">
        <v>40219</v>
      </c>
      <c r="B4276" s="171">
        <v>4.51</v>
      </c>
    </row>
    <row r="4277" spans="1:2" x14ac:dyDescent="0.2">
      <c r="A4277" s="170">
        <v>40220</v>
      </c>
      <c r="B4277" s="171">
        <v>4.54</v>
      </c>
    </row>
    <row r="4278" spans="1:2" x14ac:dyDescent="0.2">
      <c r="A4278" s="170">
        <v>40221</v>
      </c>
      <c r="B4278" s="171">
        <v>4.5199999999999996</v>
      </c>
    </row>
    <row r="4279" spans="1:2" x14ac:dyDescent="0.2">
      <c r="A4279" s="170">
        <v>40224</v>
      </c>
      <c r="B4279" s="171" t="e">
        <f>NA()</f>
        <v>#N/A</v>
      </c>
    </row>
    <row r="4280" spans="1:2" x14ac:dyDescent="0.2">
      <c r="A4280" s="170">
        <v>40225</v>
      </c>
      <c r="B4280" s="171">
        <v>4.49</v>
      </c>
    </row>
    <row r="4281" spans="1:2" x14ac:dyDescent="0.2">
      <c r="A4281" s="170">
        <v>40226</v>
      </c>
      <c r="B4281" s="171">
        <v>4.5599999999999996</v>
      </c>
    </row>
    <row r="4282" spans="1:2" x14ac:dyDescent="0.2">
      <c r="A4282" s="170">
        <v>40227</v>
      </c>
      <c r="B4282" s="171">
        <v>4.6100000000000003</v>
      </c>
    </row>
    <row r="4283" spans="1:2" x14ac:dyDescent="0.2">
      <c r="A4283" s="170">
        <v>40228</v>
      </c>
      <c r="B4283" s="171">
        <v>4.58</v>
      </c>
    </row>
    <row r="4284" spans="1:2" x14ac:dyDescent="0.2">
      <c r="A4284" s="170">
        <v>40231</v>
      </c>
      <c r="B4284" s="171">
        <v>4.5999999999999996</v>
      </c>
    </row>
    <row r="4285" spans="1:2" x14ac:dyDescent="0.2">
      <c r="A4285" s="170">
        <v>40232</v>
      </c>
      <c r="B4285" s="171">
        <v>4.49</v>
      </c>
    </row>
    <row r="4286" spans="1:2" x14ac:dyDescent="0.2">
      <c r="A4286" s="170">
        <v>40233</v>
      </c>
      <c r="B4286" s="171">
        <v>4.49</v>
      </c>
    </row>
    <row r="4287" spans="1:2" x14ac:dyDescent="0.2">
      <c r="A4287" s="170">
        <v>40234</v>
      </c>
      <c r="B4287" s="171">
        <v>4.4400000000000004</v>
      </c>
    </row>
    <row r="4288" spans="1:2" x14ac:dyDescent="0.2">
      <c r="A4288" s="170">
        <v>40235</v>
      </c>
      <c r="B4288" s="171">
        <v>4.4000000000000004</v>
      </c>
    </row>
    <row r="4289" spans="1:2" x14ac:dyDescent="0.2">
      <c r="A4289" s="170">
        <v>40238</v>
      </c>
      <c r="B4289" s="171">
        <v>4.41</v>
      </c>
    </row>
    <row r="4290" spans="1:2" x14ac:dyDescent="0.2">
      <c r="A4290" s="170">
        <v>40239</v>
      </c>
      <c r="B4290" s="171">
        <v>4.42</v>
      </c>
    </row>
    <row r="4291" spans="1:2" x14ac:dyDescent="0.2">
      <c r="A4291" s="170">
        <v>40240</v>
      </c>
      <c r="B4291" s="171">
        <v>4.43</v>
      </c>
    </row>
    <row r="4292" spans="1:2" x14ac:dyDescent="0.2">
      <c r="A4292" s="170">
        <v>40241</v>
      </c>
      <c r="B4292" s="171">
        <v>4.4000000000000004</v>
      </c>
    </row>
    <row r="4293" spans="1:2" x14ac:dyDescent="0.2">
      <c r="A4293" s="170">
        <v>40242</v>
      </c>
      <c r="B4293" s="171">
        <v>4.49</v>
      </c>
    </row>
    <row r="4294" spans="1:2" x14ac:dyDescent="0.2">
      <c r="A4294" s="170">
        <v>40245</v>
      </c>
      <c r="B4294" s="171">
        <v>4.5199999999999996</v>
      </c>
    </row>
    <row r="4295" spans="1:2" x14ac:dyDescent="0.2">
      <c r="A4295" s="170">
        <v>40246</v>
      </c>
      <c r="B4295" s="171">
        <v>4.53</v>
      </c>
    </row>
    <row r="4296" spans="1:2" x14ac:dyDescent="0.2">
      <c r="A4296" s="170">
        <v>40247</v>
      </c>
      <c r="B4296" s="171">
        <v>4.53</v>
      </c>
    </row>
    <row r="4297" spans="1:2" x14ac:dyDescent="0.2">
      <c r="A4297" s="170">
        <v>40248</v>
      </c>
      <c r="B4297" s="171">
        <v>4.51</v>
      </c>
    </row>
    <row r="4298" spans="1:2" x14ac:dyDescent="0.2">
      <c r="A4298" s="170">
        <v>40249</v>
      </c>
      <c r="B4298" s="171">
        <v>4.47</v>
      </c>
    </row>
    <row r="4299" spans="1:2" x14ac:dyDescent="0.2">
      <c r="A4299" s="170">
        <v>40252</v>
      </c>
      <c r="B4299" s="171">
        <v>4.4800000000000004</v>
      </c>
    </row>
    <row r="4300" spans="1:2" x14ac:dyDescent="0.2">
      <c r="A4300" s="170">
        <v>40253</v>
      </c>
      <c r="B4300" s="171">
        <v>4.43</v>
      </c>
    </row>
    <row r="4301" spans="1:2" x14ac:dyDescent="0.2">
      <c r="A4301" s="170">
        <v>40254</v>
      </c>
      <c r="B4301" s="171">
        <v>4.41</v>
      </c>
    </row>
    <row r="4302" spans="1:2" x14ac:dyDescent="0.2">
      <c r="A4302" s="170">
        <v>40255</v>
      </c>
      <c r="B4302" s="171">
        <v>4.43</v>
      </c>
    </row>
    <row r="4303" spans="1:2" x14ac:dyDescent="0.2">
      <c r="A4303" s="170">
        <v>40256</v>
      </c>
      <c r="B4303" s="171">
        <v>4.41</v>
      </c>
    </row>
    <row r="4304" spans="1:2" x14ac:dyDescent="0.2">
      <c r="A4304" s="170">
        <v>40259</v>
      </c>
      <c r="B4304" s="171">
        <v>4.41</v>
      </c>
    </row>
    <row r="4305" spans="1:2" x14ac:dyDescent="0.2">
      <c r="A4305" s="170">
        <v>40260</v>
      </c>
      <c r="B4305" s="171">
        <v>4.43</v>
      </c>
    </row>
    <row r="4306" spans="1:2" x14ac:dyDescent="0.2">
      <c r="A4306" s="170">
        <v>40261</v>
      </c>
      <c r="B4306" s="171">
        <v>4.5599999999999996</v>
      </c>
    </row>
    <row r="4307" spans="1:2" x14ac:dyDescent="0.2">
      <c r="A4307" s="170">
        <v>40262</v>
      </c>
      <c r="B4307" s="171">
        <v>4.63</v>
      </c>
    </row>
    <row r="4308" spans="1:2" x14ac:dyDescent="0.2">
      <c r="A4308" s="170">
        <v>40263</v>
      </c>
      <c r="B4308" s="171">
        <v>4.5999999999999996</v>
      </c>
    </row>
    <row r="4309" spans="1:2" x14ac:dyDescent="0.2">
      <c r="A4309" s="170">
        <v>40266</v>
      </c>
      <c r="B4309" s="171">
        <v>4.6100000000000003</v>
      </c>
    </row>
    <row r="4310" spans="1:2" x14ac:dyDescent="0.2">
      <c r="A4310" s="170">
        <v>40267</v>
      </c>
      <c r="B4310" s="171">
        <v>4.59</v>
      </c>
    </row>
    <row r="4311" spans="1:2" x14ac:dyDescent="0.2">
      <c r="A4311" s="170">
        <v>40268</v>
      </c>
      <c r="B4311" s="171">
        <v>4.55</v>
      </c>
    </row>
    <row r="4312" spans="1:2" x14ac:dyDescent="0.2">
      <c r="A4312" s="170">
        <v>40269</v>
      </c>
      <c r="B4312" s="171">
        <v>4.58</v>
      </c>
    </row>
    <row r="4313" spans="1:2" x14ac:dyDescent="0.2">
      <c r="A4313" s="170">
        <v>40270</v>
      </c>
      <c r="B4313" s="171">
        <v>4.6500000000000004</v>
      </c>
    </row>
    <row r="4314" spans="1:2" x14ac:dyDescent="0.2">
      <c r="A4314" s="170">
        <v>40273</v>
      </c>
      <c r="B4314" s="171">
        <v>4.6900000000000004</v>
      </c>
    </row>
    <row r="4315" spans="1:2" x14ac:dyDescent="0.2">
      <c r="A4315" s="170">
        <v>40274</v>
      </c>
      <c r="B4315" s="171">
        <v>4.68</v>
      </c>
    </row>
    <row r="4316" spans="1:2" x14ac:dyDescent="0.2">
      <c r="A4316" s="170">
        <v>40275</v>
      </c>
      <c r="B4316" s="171">
        <v>4.58</v>
      </c>
    </row>
    <row r="4317" spans="1:2" x14ac:dyDescent="0.2">
      <c r="A4317" s="170">
        <v>40276</v>
      </c>
      <c r="B4317" s="171">
        <v>4.5999999999999996</v>
      </c>
    </row>
    <row r="4318" spans="1:2" x14ac:dyDescent="0.2">
      <c r="A4318" s="170">
        <v>40277</v>
      </c>
      <c r="B4318" s="171">
        <v>4.58</v>
      </c>
    </row>
    <row r="4319" spans="1:2" x14ac:dyDescent="0.2">
      <c r="A4319" s="170">
        <v>40280</v>
      </c>
      <c r="B4319" s="171">
        <v>4.54</v>
      </c>
    </row>
    <row r="4320" spans="1:2" x14ac:dyDescent="0.2">
      <c r="A4320" s="170">
        <v>40281</v>
      </c>
      <c r="B4320" s="171">
        <v>4.5199999999999996</v>
      </c>
    </row>
    <row r="4321" spans="1:2" x14ac:dyDescent="0.2">
      <c r="A4321" s="170">
        <v>40282</v>
      </c>
      <c r="B4321" s="171">
        <v>4.57</v>
      </c>
    </row>
    <row r="4322" spans="1:2" x14ac:dyDescent="0.2">
      <c r="A4322" s="170">
        <v>40283</v>
      </c>
      <c r="B4322" s="171">
        <v>4.5599999999999996</v>
      </c>
    </row>
    <row r="4323" spans="1:2" x14ac:dyDescent="0.2">
      <c r="A4323" s="170">
        <v>40284</v>
      </c>
      <c r="B4323" s="171">
        <v>4.5</v>
      </c>
    </row>
    <row r="4324" spans="1:2" x14ac:dyDescent="0.2">
      <c r="A4324" s="170">
        <v>40287</v>
      </c>
      <c r="B4324" s="171">
        <v>4.54</v>
      </c>
    </row>
    <row r="4325" spans="1:2" x14ac:dyDescent="0.2">
      <c r="A4325" s="170">
        <v>40288</v>
      </c>
      <c r="B4325" s="171">
        <v>4.51</v>
      </c>
    </row>
    <row r="4326" spans="1:2" x14ac:dyDescent="0.2">
      <c r="A4326" s="170">
        <v>40289</v>
      </c>
      <c r="B4326" s="171">
        <v>4.45</v>
      </c>
    </row>
    <row r="4327" spans="1:2" x14ac:dyDescent="0.2">
      <c r="A4327" s="170">
        <v>40290</v>
      </c>
      <c r="B4327" s="171">
        <v>4.4800000000000004</v>
      </c>
    </row>
    <row r="4328" spans="1:2" x14ac:dyDescent="0.2">
      <c r="A4328" s="170">
        <v>40291</v>
      </c>
      <c r="B4328" s="171">
        <v>4.51</v>
      </c>
    </row>
    <row r="4329" spans="1:2" x14ac:dyDescent="0.2">
      <c r="A4329" s="170">
        <v>40294</v>
      </c>
      <c r="B4329" s="171">
        <v>4.5</v>
      </c>
    </row>
    <row r="4330" spans="1:2" x14ac:dyDescent="0.2">
      <c r="A4330" s="170">
        <v>40295</v>
      </c>
      <c r="B4330" s="171">
        <v>4.4000000000000004</v>
      </c>
    </row>
    <row r="4331" spans="1:2" x14ac:dyDescent="0.2">
      <c r="A4331" s="170">
        <v>40296</v>
      </c>
      <c r="B4331" s="171">
        <v>4.47</v>
      </c>
    </row>
    <row r="4332" spans="1:2" x14ac:dyDescent="0.2">
      <c r="A4332" s="170">
        <v>40297</v>
      </c>
      <c r="B4332" s="171">
        <v>4.42</v>
      </c>
    </row>
    <row r="4333" spans="1:2" x14ac:dyDescent="0.2">
      <c r="A4333" s="170">
        <v>40298</v>
      </c>
      <c r="B4333" s="171">
        <v>4.3600000000000003</v>
      </c>
    </row>
    <row r="4334" spans="1:2" x14ac:dyDescent="0.2">
      <c r="A4334" s="170">
        <v>40301</v>
      </c>
      <c r="B4334" s="171">
        <v>4.37</v>
      </c>
    </row>
    <row r="4335" spans="1:2" x14ac:dyDescent="0.2">
      <c r="A4335" s="170">
        <v>40302</v>
      </c>
      <c r="B4335" s="171">
        <v>4.2699999999999996</v>
      </c>
    </row>
    <row r="4336" spans="1:2" x14ac:dyDescent="0.2">
      <c r="A4336" s="170">
        <v>40303</v>
      </c>
      <c r="B4336" s="171">
        <v>4.2300000000000004</v>
      </c>
    </row>
    <row r="4337" spans="1:2" x14ac:dyDescent="0.2">
      <c r="A4337" s="170">
        <v>40304</v>
      </c>
      <c r="B4337" s="171">
        <v>4.03</v>
      </c>
    </row>
    <row r="4338" spans="1:2" x14ac:dyDescent="0.2">
      <c r="A4338" s="170">
        <v>40305</v>
      </c>
      <c r="B4338" s="171">
        <v>4.1100000000000003</v>
      </c>
    </row>
    <row r="4339" spans="1:2" x14ac:dyDescent="0.2">
      <c r="A4339" s="170">
        <v>40308</v>
      </c>
      <c r="B4339" s="171">
        <v>4.2300000000000004</v>
      </c>
    </row>
    <row r="4340" spans="1:2" x14ac:dyDescent="0.2">
      <c r="A4340" s="170">
        <v>40309</v>
      </c>
      <c r="B4340" s="171">
        <v>4.24</v>
      </c>
    </row>
    <row r="4341" spans="1:2" x14ac:dyDescent="0.2">
      <c r="A4341" s="170">
        <v>40310</v>
      </c>
      <c r="B4341" s="171">
        <v>4.29</v>
      </c>
    </row>
    <row r="4342" spans="1:2" x14ac:dyDescent="0.2">
      <c r="A4342" s="170">
        <v>40311</v>
      </c>
      <c r="B4342" s="171">
        <v>4.26</v>
      </c>
    </row>
    <row r="4343" spans="1:2" x14ac:dyDescent="0.2">
      <c r="A4343" s="170">
        <v>40312</v>
      </c>
      <c r="B4343" s="171">
        <v>4.13</v>
      </c>
    </row>
    <row r="4344" spans="1:2" x14ac:dyDescent="0.2">
      <c r="A4344" s="170">
        <v>40315</v>
      </c>
      <c r="B4344" s="171">
        <v>4.17</v>
      </c>
    </row>
    <row r="4345" spans="1:2" x14ac:dyDescent="0.2">
      <c r="A4345" s="170">
        <v>40316</v>
      </c>
      <c r="B4345" s="171">
        <v>4.08</v>
      </c>
    </row>
    <row r="4346" spans="1:2" x14ac:dyDescent="0.2">
      <c r="A4346" s="170">
        <v>40317</v>
      </c>
      <c r="B4346" s="171">
        <v>4.07</v>
      </c>
    </row>
    <row r="4347" spans="1:2" x14ac:dyDescent="0.2">
      <c r="A4347" s="170">
        <v>40318</v>
      </c>
      <c r="B4347" s="171">
        <v>3.96</v>
      </c>
    </row>
    <row r="4348" spans="1:2" x14ac:dyDescent="0.2">
      <c r="A4348" s="170">
        <v>40319</v>
      </c>
      <c r="B4348" s="171">
        <v>3.91</v>
      </c>
    </row>
    <row r="4349" spans="1:2" x14ac:dyDescent="0.2">
      <c r="A4349" s="170">
        <v>40322</v>
      </c>
      <c r="B4349" s="171">
        <v>3.96</v>
      </c>
    </row>
    <row r="4350" spans="1:2" x14ac:dyDescent="0.2">
      <c r="A4350" s="170">
        <v>40323</v>
      </c>
      <c r="B4350" s="171">
        <v>3.91</v>
      </c>
    </row>
    <row r="4351" spans="1:2" x14ac:dyDescent="0.2">
      <c r="A4351" s="170">
        <v>40324</v>
      </c>
      <c r="B4351" s="171">
        <v>3.94</v>
      </c>
    </row>
    <row r="4352" spans="1:2" x14ac:dyDescent="0.2">
      <c r="A4352" s="170">
        <v>40325</v>
      </c>
      <c r="B4352" s="171">
        <v>4.08</v>
      </c>
    </row>
    <row r="4353" spans="1:2" x14ac:dyDescent="0.2">
      <c r="A4353" s="170">
        <v>40326</v>
      </c>
      <c r="B4353" s="171">
        <v>4.05</v>
      </c>
    </row>
    <row r="4354" spans="1:2" x14ac:dyDescent="0.2">
      <c r="A4354" s="170">
        <v>40329</v>
      </c>
      <c r="B4354" s="171" t="e">
        <f>NA()</f>
        <v>#N/A</v>
      </c>
    </row>
    <row r="4355" spans="1:2" x14ac:dyDescent="0.2">
      <c r="A4355" s="170">
        <v>40330</v>
      </c>
      <c r="B4355" s="171">
        <v>4.03</v>
      </c>
    </row>
    <row r="4356" spans="1:2" x14ac:dyDescent="0.2">
      <c r="A4356" s="170">
        <v>40331</v>
      </c>
      <c r="B4356" s="171">
        <v>4.08</v>
      </c>
    </row>
    <row r="4357" spans="1:2" x14ac:dyDescent="0.2">
      <c r="A4357" s="170">
        <v>40332</v>
      </c>
      <c r="B4357" s="171">
        <v>4.12</v>
      </c>
    </row>
    <row r="4358" spans="1:2" x14ac:dyDescent="0.2">
      <c r="A4358" s="170">
        <v>40333</v>
      </c>
      <c r="B4358" s="171">
        <v>3.95</v>
      </c>
    </row>
    <row r="4359" spans="1:2" x14ac:dyDescent="0.2">
      <c r="A4359" s="170">
        <v>40336</v>
      </c>
      <c r="B4359" s="171">
        <v>3.93</v>
      </c>
    </row>
    <row r="4360" spans="1:2" x14ac:dyDescent="0.2">
      <c r="A4360" s="170">
        <v>40337</v>
      </c>
      <c r="B4360" s="171">
        <v>3.92</v>
      </c>
    </row>
    <row r="4361" spans="1:2" x14ac:dyDescent="0.2">
      <c r="A4361" s="170">
        <v>40338</v>
      </c>
      <c r="B4361" s="171">
        <v>3.94</v>
      </c>
    </row>
    <row r="4362" spans="1:2" x14ac:dyDescent="0.2">
      <c r="A4362" s="170">
        <v>40339</v>
      </c>
      <c r="B4362" s="171">
        <v>4.0599999999999996</v>
      </c>
    </row>
    <row r="4363" spans="1:2" x14ac:dyDescent="0.2">
      <c r="A4363" s="170">
        <v>40340</v>
      </c>
      <c r="B4363" s="171">
        <v>3.97</v>
      </c>
    </row>
    <row r="4364" spans="1:2" x14ac:dyDescent="0.2">
      <c r="A4364" s="170">
        <v>40343</v>
      </c>
      <c r="B4364" s="171">
        <v>4.0199999999999996</v>
      </c>
    </row>
    <row r="4365" spans="1:2" x14ac:dyDescent="0.2">
      <c r="A4365" s="170">
        <v>40344</v>
      </c>
      <c r="B4365" s="171">
        <v>4.0599999999999996</v>
      </c>
    </row>
    <row r="4366" spans="1:2" x14ac:dyDescent="0.2">
      <c r="A4366" s="170">
        <v>40345</v>
      </c>
      <c r="B4366" s="171">
        <v>4</v>
      </c>
    </row>
    <row r="4367" spans="1:2" x14ac:dyDescent="0.2">
      <c r="A4367" s="170">
        <v>40346</v>
      </c>
      <c r="B4367" s="171">
        <v>3.95</v>
      </c>
    </row>
    <row r="4368" spans="1:2" x14ac:dyDescent="0.2">
      <c r="A4368" s="170">
        <v>40347</v>
      </c>
      <c r="B4368" s="171">
        <v>3.97</v>
      </c>
    </row>
    <row r="4369" spans="1:2" x14ac:dyDescent="0.2">
      <c r="A4369" s="170">
        <v>40350</v>
      </c>
      <c r="B4369" s="171">
        <v>3.99</v>
      </c>
    </row>
    <row r="4370" spans="1:2" x14ac:dyDescent="0.2">
      <c r="A4370" s="170">
        <v>40351</v>
      </c>
      <c r="B4370" s="171">
        <v>3.92</v>
      </c>
    </row>
    <row r="4371" spans="1:2" x14ac:dyDescent="0.2">
      <c r="A4371" s="170">
        <v>40352</v>
      </c>
      <c r="B4371" s="171">
        <v>3.87</v>
      </c>
    </row>
    <row r="4372" spans="1:2" x14ac:dyDescent="0.2">
      <c r="A4372" s="170">
        <v>40353</v>
      </c>
      <c r="B4372" s="171">
        <v>3.91</v>
      </c>
    </row>
    <row r="4373" spans="1:2" x14ac:dyDescent="0.2">
      <c r="A4373" s="170">
        <v>40354</v>
      </c>
      <c r="B4373" s="171">
        <v>3.89</v>
      </c>
    </row>
    <row r="4374" spans="1:2" x14ac:dyDescent="0.2">
      <c r="A4374" s="170">
        <v>40357</v>
      </c>
      <c r="B4374" s="171">
        <v>3.82</v>
      </c>
    </row>
    <row r="4375" spans="1:2" x14ac:dyDescent="0.2">
      <c r="A4375" s="170">
        <v>40358</v>
      </c>
      <c r="B4375" s="171">
        <v>3.76</v>
      </c>
    </row>
    <row r="4376" spans="1:2" x14ac:dyDescent="0.2">
      <c r="A4376" s="170">
        <v>40359</v>
      </c>
      <c r="B4376" s="171">
        <v>3.74</v>
      </c>
    </row>
    <row r="4377" spans="1:2" x14ac:dyDescent="0.2">
      <c r="A4377" s="170">
        <v>40360</v>
      </c>
      <c r="B4377" s="171">
        <v>3.71</v>
      </c>
    </row>
    <row r="4378" spans="1:2" x14ac:dyDescent="0.2">
      <c r="A4378" s="170">
        <v>40361</v>
      </c>
      <c r="B4378" s="171">
        <v>3.77</v>
      </c>
    </row>
    <row r="4379" spans="1:2" x14ac:dyDescent="0.2">
      <c r="A4379" s="170">
        <v>40364</v>
      </c>
      <c r="B4379" s="171" t="e">
        <f>NA()</f>
        <v>#N/A</v>
      </c>
    </row>
    <row r="4380" spans="1:2" x14ac:dyDescent="0.2">
      <c r="A4380" s="170">
        <v>40365</v>
      </c>
      <c r="B4380" s="171">
        <v>3.71</v>
      </c>
    </row>
    <row r="4381" spans="1:2" x14ac:dyDescent="0.2">
      <c r="A4381" s="170">
        <v>40366</v>
      </c>
      <c r="B4381" s="171">
        <v>3.78</v>
      </c>
    </row>
    <row r="4382" spans="1:2" x14ac:dyDescent="0.2">
      <c r="A4382" s="170">
        <v>40367</v>
      </c>
      <c r="B4382" s="171">
        <v>3.81</v>
      </c>
    </row>
    <row r="4383" spans="1:2" x14ac:dyDescent="0.2">
      <c r="A4383" s="170">
        <v>40368</v>
      </c>
      <c r="B4383" s="171">
        <v>3.85</v>
      </c>
    </row>
    <row r="4384" spans="1:2" x14ac:dyDescent="0.2">
      <c r="A4384" s="170">
        <v>40371</v>
      </c>
      <c r="B4384" s="171">
        <v>3.86</v>
      </c>
    </row>
    <row r="4385" spans="1:2" x14ac:dyDescent="0.2">
      <c r="A4385" s="170">
        <v>40372</v>
      </c>
      <c r="B4385" s="171">
        <v>3.92</v>
      </c>
    </row>
    <row r="4386" spans="1:2" x14ac:dyDescent="0.2">
      <c r="A4386" s="170">
        <v>40373</v>
      </c>
      <c r="B4386" s="171">
        <v>3.84</v>
      </c>
    </row>
    <row r="4387" spans="1:2" x14ac:dyDescent="0.2">
      <c r="A4387" s="170">
        <v>40374</v>
      </c>
      <c r="B4387" s="171">
        <v>3.77</v>
      </c>
    </row>
    <row r="4388" spans="1:2" x14ac:dyDescent="0.2">
      <c r="A4388" s="170">
        <v>40375</v>
      </c>
      <c r="B4388" s="171">
        <v>3.74</v>
      </c>
    </row>
    <row r="4389" spans="1:2" x14ac:dyDescent="0.2">
      <c r="A4389" s="170">
        <v>40378</v>
      </c>
      <c r="B4389" s="171">
        <v>3.78</v>
      </c>
    </row>
    <row r="4390" spans="1:2" x14ac:dyDescent="0.2">
      <c r="A4390" s="170">
        <v>40379</v>
      </c>
      <c r="B4390" s="171">
        <v>3.78</v>
      </c>
    </row>
    <row r="4391" spans="1:2" x14ac:dyDescent="0.2">
      <c r="A4391" s="170">
        <v>40380</v>
      </c>
      <c r="B4391" s="171">
        <v>3.68</v>
      </c>
    </row>
    <row r="4392" spans="1:2" x14ac:dyDescent="0.2">
      <c r="A4392" s="170">
        <v>40381</v>
      </c>
      <c r="B4392" s="171">
        <v>3.75</v>
      </c>
    </row>
    <row r="4393" spans="1:2" x14ac:dyDescent="0.2">
      <c r="A4393" s="170">
        <v>40382</v>
      </c>
      <c r="B4393" s="171">
        <v>3.81</v>
      </c>
    </row>
    <row r="4394" spans="1:2" x14ac:dyDescent="0.2">
      <c r="A4394" s="170">
        <v>40385</v>
      </c>
      <c r="B4394" s="171">
        <v>3.82</v>
      </c>
    </row>
    <row r="4395" spans="1:2" x14ac:dyDescent="0.2">
      <c r="A4395" s="170">
        <v>40386</v>
      </c>
      <c r="B4395" s="171">
        <v>3.88</v>
      </c>
    </row>
    <row r="4396" spans="1:2" x14ac:dyDescent="0.2">
      <c r="A4396" s="170">
        <v>40387</v>
      </c>
      <c r="B4396" s="171">
        <v>3.86</v>
      </c>
    </row>
    <row r="4397" spans="1:2" x14ac:dyDescent="0.2">
      <c r="A4397" s="170">
        <v>40388</v>
      </c>
      <c r="B4397" s="171">
        <v>3.86</v>
      </c>
    </row>
    <row r="4398" spans="1:2" x14ac:dyDescent="0.2">
      <c r="A4398" s="170">
        <v>40389</v>
      </c>
      <c r="B4398" s="171">
        <v>3.74</v>
      </c>
    </row>
    <row r="4399" spans="1:2" x14ac:dyDescent="0.2">
      <c r="A4399" s="170">
        <v>40392</v>
      </c>
      <c r="B4399" s="171">
        <v>3.82</v>
      </c>
    </row>
    <row r="4400" spans="1:2" x14ac:dyDescent="0.2">
      <c r="A4400" s="170">
        <v>40393</v>
      </c>
      <c r="B4400" s="171">
        <v>3.78</v>
      </c>
    </row>
    <row r="4401" spans="1:2" x14ac:dyDescent="0.2">
      <c r="A4401" s="170">
        <v>40394</v>
      </c>
      <c r="B4401" s="171">
        <v>3.81</v>
      </c>
    </row>
    <row r="4402" spans="1:2" x14ac:dyDescent="0.2">
      <c r="A4402" s="170">
        <v>40395</v>
      </c>
      <c r="B4402" s="171">
        <v>3.78</v>
      </c>
    </row>
    <row r="4403" spans="1:2" x14ac:dyDescent="0.2">
      <c r="A4403" s="170">
        <v>40396</v>
      </c>
      <c r="B4403" s="171">
        <v>3.71</v>
      </c>
    </row>
    <row r="4404" spans="1:2" x14ac:dyDescent="0.2">
      <c r="A4404" s="170">
        <v>40399</v>
      </c>
      <c r="B4404" s="171">
        <v>3.73</v>
      </c>
    </row>
    <row r="4405" spans="1:2" x14ac:dyDescent="0.2">
      <c r="A4405" s="170">
        <v>40400</v>
      </c>
      <c r="B4405" s="171">
        <v>3.7</v>
      </c>
    </row>
    <row r="4406" spans="1:2" x14ac:dyDescent="0.2">
      <c r="A4406" s="170">
        <v>40401</v>
      </c>
      <c r="B4406" s="171">
        <v>3.62</v>
      </c>
    </row>
    <row r="4407" spans="1:2" x14ac:dyDescent="0.2">
      <c r="A4407" s="170">
        <v>40402</v>
      </c>
      <c r="B4407" s="171">
        <v>3.63</v>
      </c>
    </row>
    <row r="4408" spans="1:2" x14ac:dyDescent="0.2">
      <c r="A4408" s="170">
        <v>40403</v>
      </c>
      <c r="B4408" s="171">
        <v>3.56</v>
      </c>
    </row>
    <row r="4409" spans="1:2" x14ac:dyDescent="0.2">
      <c r="A4409" s="170">
        <v>40406</v>
      </c>
      <c r="B4409" s="171">
        <v>3.42</v>
      </c>
    </row>
    <row r="4410" spans="1:2" x14ac:dyDescent="0.2">
      <c r="A4410" s="170">
        <v>40407</v>
      </c>
      <c r="B4410" s="171">
        <v>3.47</v>
      </c>
    </row>
    <row r="4411" spans="1:2" x14ac:dyDescent="0.2">
      <c r="A4411" s="170">
        <v>40408</v>
      </c>
      <c r="B4411" s="171">
        <v>3.44</v>
      </c>
    </row>
    <row r="4412" spans="1:2" x14ac:dyDescent="0.2">
      <c r="A4412" s="170">
        <v>40409</v>
      </c>
      <c r="B4412" s="171">
        <v>3.37</v>
      </c>
    </row>
    <row r="4413" spans="1:2" x14ac:dyDescent="0.2">
      <c r="A4413" s="170">
        <v>40410</v>
      </c>
      <c r="B4413" s="171">
        <v>3.38</v>
      </c>
    </row>
    <row r="4414" spans="1:2" x14ac:dyDescent="0.2">
      <c r="A4414" s="170">
        <v>40413</v>
      </c>
      <c r="B4414" s="171">
        <v>3.37</v>
      </c>
    </row>
    <row r="4415" spans="1:2" x14ac:dyDescent="0.2">
      <c r="A4415" s="170">
        <v>40414</v>
      </c>
      <c r="B4415" s="171">
        <v>3.28</v>
      </c>
    </row>
    <row r="4416" spans="1:2" x14ac:dyDescent="0.2">
      <c r="A4416" s="170">
        <v>40415</v>
      </c>
      <c r="B4416" s="171">
        <v>3.31</v>
      </c>
    </row>
    <row r="4417" spans="1:2" x14ac:dyDescent="0.2">
      <c r="A4417" s="170">
        <v>40416</v>
      </c>
      <c r="B4417" s="171">
        <v>3.25</v>
      </c>
    </row>
    <row r="4418" spans="1:2" x14ac:dyDescent="0.2">
      <c r="A4418" s="170">
        <v>40417</v>
      </c>
      <c r="B4418" s="171">
        <v>3.41</v>
      </c>
    </row>
    <row r="4419" spans="1:2" x14ac:dyDescent="0.2">
      <c r="A4419" s="170">
        <v>40420</v>
      </c>
      <c r="B4419" s="171">
        <v>3.3</v>
      </c>
    </row>
    <row r="4420" spans="1:2" x14ac:dyDescent="0.2">
      <c r="A4420" s="170">
        <v>40421</v>
      </c>
      <c r="B4420" s="171">
        <v>3.23</v>
      </c>
    </row>
    <row r="4421" spans="1:2" x14ac:dyDescent="0.2">
      <c r="A4421" s="170">
        <v>40422</v>
      </c>
      <c r="B4421" s="171">
        <v>3.35</v>
      </c>
    </row>
    <row r="4422" spans="1:2" x14ac:dyDescent="0.2">
      <c r="A4422" s="170">
        <v>40423</v>
      </c>
      <c r="B4422" s="171">
        <v>3.41</v>
      </c>
    </row>
    <row r="4423" spans="1:2" x14ac:dyDescent="0.2">
      <c r="A4423" s="170">
        <v>40424</v>
      </c>
      <c r="B4423" s="171">
        <v>3.49</v>
      </c>
    </row>
    <row r="4424" spans="1:2" x14ac:dyDescent="0.2">
      <c r="A4424" s="170">
        <v>40427</v>
      </c>
      <c r="B4424" s="171" t="e">
        <f>NA()</f>
        <v>#N/A</v>
      </c>
    </row>
    <row r="4425" spans="1:2" x14ac:dyDescent="0.2">
      <c r="A4425" s="170">
        <v>40428</v>
      </c>
      <c r="B4425" s="171">
        <v>3.37</v>
      </c>
    </row>
    <row r="4426" spans="1:2" x14ac:dyDescent="0.2">
      <c r="A4426" s="170">
        <v>40429</v>
      </c>
      <c r="B4426" s="171">
        <v>3.42</v>
      </c>
    </row>
    <row r="4427" spans="1:2" x14ac:dyDescent="0.2">
      <c r="A4427" s="170">
        <v>40430</v>
      </c>
      <c r="B4427" s="171">
        <v>3.54</v>
      </c>
    </row>
    <row r="4428" spans="1:2" x14ac:dyDescent="0.2">
      <c r="A4428" s="170">
        <v>40431</v>
      </c>
      <c r="B4428" s="171">
        <v>3.58</v>
      </c>
    </row>
    <row r="4429" spans="1:2" x14ac:dyDescent="0.2">
      <c r="A4429" s="170">
        <v>40434</v>
      </c>
      <c r="B4429" s="171">
        <v>3.52</v>
      </c>
    </row>
    <row r="4430" spans="1:2" x14ac:dyDescent="0.2">
      <c r="A4430" s="170">
        <v>40435</v>
      </c>
      <c r="B4430" s="171">
        <v>3.48</v>
      </c>
    </row>
    <row r="4431" spans="1:2" x14ac:dyDescent="0.2">
      <c r="A4431" s="170">
        <v>40436</v>
      </c>
      <c r="B4431" s="171">
        <v>3.55</v>
      </c>
    </row>
    <row r="4432" spans="1:2" x14ac:dyDescent="0.2">
      <c r="A4432" s="170">
        <v>40437</v>
      </c>
      <c r="B4432" s="171">
        <v>3.61</v>
      </c>
    </row>
    <row r="4433" spans="1:2" x14ac:dyDescent="0.2">
      <c r="A4433" s="170">
        <v>40438</v>
      </c>
      <c r="B4433" s="171">
        <v>3.6</v>
      </c>
    </row>
    <row r="4434" spans="1:2" x14ac:dyDescent="0.2">
      <c r="A4434" s="170">
        <v>40441</v>
      </c>
      <c r="B4434" s="171">
        <v>3.57</v>
      </c>
    </row>
    <row r="4435" spans="1:2" x14ac:dyDescent="0.2">
      <c r="A4435" s="170">
        <v>40442</v>
      </c>
      <c r="B4435" s="171">
        <v>3.49</v>
      </c>
    </row>
    <row r="4436" spans="1:2" x14ac:dyDescent="0.2">
      <c r="A4436" s="170">
        <v>40443</v>
      </c>
      <c r="B4436" s="171">
        <v>3.43</v>
      </c>
    </row>
    <row r="4437" spans="1:2" x14ac:dyDescent="0.2">
      <c r="A4437" s="170">
        <v>40444</v>
      </c>
      <c r="B4437" s="171">
        <v>3.43</v>
      </c>
    </row>
    <row r="4438" spans="1:2" x14ac:dyDescent="0.2">
      <c r="A4438" s="170">
        <v>40445</v>
      </c>
      <c r="B4438" s="171">
        <v>3.5</v>
      </c>
    </row>
    <row r="4439" spans="1:2" x14ac:dyDescent="0.2">
      <c r="A4439" s="170">
        <v>40448</v>
      </c>
      <c r="B4439" s="171">
        <v>3.4</v>
      </c>
    </row>
    <row r="4440" spans="1:2" x14ac:dyDescent="0.2">
      <c r="A4440" s="170">
        <v>40449</v>
      </c>
      <c r="B4440" s="171">
        <v>3.35</v>
      </c>
    </row>
    <row r="4441" spans="1:2" x14ac:dyDescent="0.2">
      <c r="A4441" s="170">
        <v>40450</v>
      </c>
      <c r="B4441" s="171">
        <v>3.38</v>
      </c>
    </row>
    <row r="4442" spans="1:2" x14ac:dyDescent="0.2">
      <c r="A4442" s="170">
        <v>40451</v>
      </c>
      <c r="B4442" s="171">
        <v>3.38</v>
      </c>
    </row>
    <row r="4443" spans="1:2" x14ac:dyDescent="0.2">
      <c r="A4443" s="170">
        <v>40452</v>
      </c>
      <c r="B4443" s="171">
        <v>3.4</v>
      </c>
    </row>
    <row r="4444" spans="1:2" x14ac:dyDescent="0.2">
      <c r="A4444" s="170">
        <v>40455</v>
      </c>
      <c r="B4444" s="171">
        <v>3.39</v>
      </c>
    </row>
    <row r="4445" spans="1:2" x14ac:dyDescent="0.2">
      <c r="A4445" s="170">
        <v>40456</v>
      </c>
      <c r="B4445" s="171">
        <v>3.41</v>
      </c>
    </row>
    <row r="4446" spans="1:2" x14ac:dyDescent="0.2">
      <c r="A4446" s="170">
        <v>40457</v>
      </c>
      <c r="B4446" s="171">
        <v>3.34</v>
      </c>
    </row>
    <row r="4447" spans="1:2" x14ac:dyDescent="0.2">
      <c r="A4447" s="170">
        <v>40458</v>
      </c>
      <c r="B4447" s="171">
        <v>3.38</v>
      </c>
    </row>
    <row r="4448" spans="1:2" x14ac:dyDescent="0.2">
      <c r="A4448" s="170">
        <v>40459</v>
      </c>
      <c r="B4448" s="171">
        <v>3.39</v>
      </c>
    </row>
    <row r="4449" spans="1:2" x14ac:dyDescent="0.2">
      <c r="A4449" s="170">
        <v>40462</v>
      </c>
      <c r="B4449" s="171" t="e">
        <f>NA()</f>
        <v>#N/A</v>
      </c>
    </row>
    <row r="4450" spans="1:2" x14ac:dyDescent="0.2">
      <c r="A4450" s="170">
        <v>40463</v>
      </c>
      <c r="B4450" s="171">
        <v>3.44</v>
      </c>
    </row>
    <row r="4451" spans="1:2" x14ac:dyDescent="0.2">
      <c r="A4451" s="170">
        <v>40464</v>
      </c>
      <c r="B4451" s="171">
        <v>3.48</v>
      </c>
    </row>
    <row r="4452" spans="1:2" x14ac:dyDescent="0.2">
      <c r="A4452" s="170">
        <v>40465</v>
      </c>
      <c r="B4452" s="171">
        <v>3.54</v>
      </c>
    </row>
    <row r="4453" spans="1:2" x14ac:dyDescent="0.2">
      <c r="A4453" s="170">
        <v>40466</v>
      </c>
      <c r="B4453" s="171">
        <v>3.62</v>
      </c>
    </row>
    <row r="4454" spans="1:2" x14ac:dyDescent="0.2">
      <c r="A4454" s="170">
        <v>40469</v>
      </c>
      <c r="B4454" s="171">
        <v>3.57</v>
      </c>
    </row>
    <row r="4455" spans="1:2" x14ac:dyDescent="0.2">
      <c r="A4455" s="170">
        <v>40470</v>
      </c>
      <c r="B4455" s="171">
        <v>3.53</v>
      </c>
    </row>
    <row r="4456" spans="1:2" x14ac:dyDescent="0.2">
      <c r="A4456" s="170">
        <v>40471</v>
      </c>
      <c r="B4456" s="171">
        <v>3.53</v>
      </c>
    </row>
    <row r="4457" spans="1:2" x14ac:dyDescent="0.2">
      <c r="A4457" s="170">
        <v>40472</v>
      </c>
      <c r="B4457" s="171">
        <v>3.59</v>
      </c>
    </row>
    <row r="4458" spans="1:2" x14ac:dyDescent="0.2">
      <c r="A4458" s="170">
        <v>40473</v>
      </c>
      <c r="B4458" s="171">
        <v>3.59</v>
      </c>
    </row>
    <row r="4459" spans="1:2" x14ac:dyDescent="0.2">
      <c r="A4459" s="170">
        <v>40476</v>
      </c>
      <c r="B4459" s="171">
        <v>3.56</v>
      </c>
    </row>
    <row r="4460" spans="1:2" x14ac:dyDescent="0.2">
      <c r="A4460" s="170">
        <v>40477</v>
      </c>
      <c r="B4460" s="171">
        <v>3.66</v>
      </c>
    </row>
    <row r="4461" spans="1:2" x14ac:dyDescent="0.2">
      <c r="A4461" s="170">
        <v>40478</v>
      </c>
      <c r="B4461" s="171">
        <v>3.72</v>
      </c>
    </row>
    <row r="4462" spans="1:2" x14ac:dyDescent="0.2">
      <c r="A4462" s="170">
        <v>40479</v>
      </c>
      <c r="B4462" s="171">
        <v>3.7</v>
      </c>
    </row>
    <row r="4463" spans="1:2" x14ac:dyDescent="0.2">
      <c r="A4463" s="170">
        <v>40480</v>
      </c>
      <c r="B4463" s="171">
        <v>3.64</v>
      </c>
    </row>
    <row r="4464" spans="1:2" x14ac:dyDescent="0.2">
      <c r="A4464" s="170">
        <v>40483</v>
      </c>
      <c r="B4464" s="171">
        <v>3.66</v>
      </c>
    </row>
    <row r="4465" spans="1:2" x14ac:dyDescent="0.2">
      <c r="A4465" s="170">
        <v>40484</v>
      </c>
      <c r="B4465" s="171">
        <v>3.58</v>
      </c>
    </row>
    <row r="4466" spans="1:2" x14ac:dyDescent="0.2">
      <c r="A4466" s="170">
        <v>40485</v>
      </c>
      <c r="B4466" s="171">
        <v>3.71</v>
      </c>
    </row>
    <row r="4467" spans="1:2" x14ac:dyDescent="0.2">
      <c r="A4467" s="170">
        <v>40486</v>
      </c>
      <c r="B4467" s="171">
        <v>3.62</v>
      </c>
    </row>
    <row r="4468" spans="1:2" x14ac:dyDescent="0.2">
      <c r="A4468" s="170">
        <v>40487</v>
      </c>
      <c r="B4468" s="171">
        <v>3.69</v>
      </c>
    </row>
    <row r="4469" spans="1:2" x14ac:dyDescent="0.2">
      <c r="A4469" s="170">
        <v>40490</v>
      </c>
      <c r="B4469" s="171">
        <v>3.7</v>
      </c>
    </row>
    <row r="4470" spans="1:2" x14ac:dyDescent="0.2">
      <c r="A4470" s="170">
        <v>40491</v>
      </c>
      <c r="B4470" s="171">
        <v>3.83</v>
      </c>
    </row>
    <row r="4471" spans="1:2" x14ac:dyDescent="0.2">
      <c r="A4471" s="170">
        <v>40492</v>
      </c>
      <c r="B4471" s="171">
        <v>3.83</v>
      </c>
    </row>
    <row r="4472" spans="1:2" x14ac:dyDescent="0.2">
      <c r="A4472" s="170">
        <v>40493</v>
      </c>
      <c r="B4472" s="171" t="e">
        <f>NA()</f>
        <v>#N/A</v>
      </c>
    </row>
    <row r="4473" spans="1:2" x14ac:dyDescent="0.2">
      <c r="A4473" s="170">
        <v>40494</v>
      </c>
      <c r="B4473" s="171">
        <v>3.88</v>
      </c>
    </row>
    <row r="4474" spans="1:2" x14ac:dyDescent="0.2">
      <c r="A4474" s="170">
        <v>40497</v>
      </c>
      <c r="B4474" s="171">
        <v>4.01</v>
      </c>
    </row>
    <row r="4475" spans="1:2" x14ac:dyDescent="0.2">
      <c r="A4475" s="170">
        <v>40498</v>
      </c>
      <c r="B4475" s="171">
        <v>3.9</v>
      </c>
    </row>
    <row r="4476" spans="1:2" x14ac:dyDescent="0.2">
      <c r="A4476" s="170">
        <v>40499</v>
      </c>
      <c r="B4476" s="171">
        <v>3.95</v>
      </c>
    </row>
    <row r="4477" spans="1:2" x14ac:dyDescent="0.2">
      <c r="A4477" s="170">
        <v>40500</v>
      </c>
      <c r="B4477" s="171">
        <v>3.95</v>
      </c>
    </row>
    <row r="4478" spans="1:2" x14ac:dyDescent="0.2">
      <c r="A4478" s="170">
        <v>40501</v>
      </c>
      <c r="B4478" s="171">
        <v>3.91</v>
      </c>
    </row>
    <row r="4479" spans="1:2" x14ac:dyDescent="0.2">
      <c r="A4479" s="170">
        <v>40504</v>
      </c>
      <c r="B4479" s="171">
        <v>3.85</v>
      </c>
    </row>
    <row r="4480" spans="1:2" x14ac:dyDescent="0.2">
      <c r="A4480" s="170">
        <v>40505</v>
      </c>
      <c r="B4480" s="171">
        <v>3.82</v>
      </c>
    </row>
    <row r="4481" spans="1:2" x14ac:dyDescent="0.2">
      <c r="A4481" s="170">
        <v>40506</v>
      </c>
      <c r="B4481" s="171">
        <v>3.96</v>
      </c>
    </row>
    <row r="4482" spans="1:2" x14ac:dyDescent="0.2">
      <c r="A4482" s="170">
        <v>40507</v>
      </c>
      <c r="B4482" s="171" t="e">
        <f>NA()</f>
        <v>#N/A</v>
      </c>
    </row>
    <row r="4483" spans="1:2" x14ac:dyDescent="0.2">
      <c r="A4483" s="170">
        <v>40508</v>
      </c>
      <c r="B4483" s="171">
        <v>3.88</v>
      </c>
    </row>
    <row r="4484" spans="1:2" x14ac:dyDescent="0.2">
      <c r="A4484" s="170">
        <v>40511</v>
      </c>
      <c r="B4484" s="171">
        <v>3.83</v>
      </c>
    </row>
    <row r="4485" spans="1:2" x14ac:dyDescent="0.2">
      <c r="A4485" s="170">
        <v>40512</v>
      </c>
      <c r="B4485" s="171">
        <v>3.8</v>
      </c>
    </row>
    <row r="4486" spans="1:2" x14ac:dyDescent="0.2">
      <c r="A4486" s="170">
        <v>40513</v>
      </c>
      <c r="B4486" s="171">
        <v>3.95</v>
      </c>
    </row>
    <row r="4487" spans="1:2" x14ac:dyDescent="0.2">
      <c r="A4487" s="170">
        <v>40514</v>
      </c>
      <c r="B4487" s="171">
        <v>3.97</v>
      </c>
    </row>
    <row r="4488" spans="1:2" x14ac:dyDescent="0.2">
      <c r="A4488" s="170">
        <v>40515</v>
      </c>
      <c r="B4488" s="171">
        <v>4.01</v>
      </c>
    </row>
    <row r="4489" spans="1:2" x14ac:dyDescent="0.2">
      <c r="A4489" s="170">
        <v>40518</v>
      </c>
      <c r="B4489" s="171">
        <v>3.94</v>
      </c>
    </row>
    <row r="4490" spans="1:2" x14ac:dyDescent="0.2">
      <c r="A4490" s="170">
        <v>40519</v>
      </c>
      <c r="B4490" s="171">
        <v>4.1100000000000003</v>
      </c>
    </row>
    <row r="4491" spans="1:2" x14ac:dyDescent="0.2">
      <c r="A4491" s="170">
        <v>40520</v>
      </c>
      <c r="B4491" s="171">
        <v>4.18</v>
      </c>
    </row>
    <row r="4492" spans="1:2" x14ac:dyDescent="0.2">
      <c r="A4492" s="170">
        <v>40521</v>
      </c>
      <c r="B4492" s="171">
        <v>4.1500000000000004</v>
      </c>
    </row>
    <row r="4493" spans="1:2" x14ac:dyDescent="0.2">
      <c r="A4493" s="170">
        <v>40522</v>
      </c>
      <c r="B4493" s="171">
        <v>4.1900000000000004</v>
      </c>
    </row>
    <row r="4494" spans="1:2" x14ac:dyDescent="0.2">
      <c r="A4494" s="170">
        <v>40525</v>
      </c>
      <c r="B4494" s="171">
        <v>4.1500000000000004</v>
      </c>
    </row>
    <row r="4495" spans="1:2" x14ac:dyDescent="0.2">
      <c r="A4495" s="170">
        <v>40526</v>
      </c>
      <c r="B4495" s="171">
        <v>4.32</v>
      </c>
    </row>
    <row r="4496" spans="1:2" x14ac:dyDescent="0.2">
      <c r="A4496" s="170">
        <v>40527</v>
      </c>
      <c r="B4496" s="171">
        <v>4.37</v>
      </c>
    </row>
    <row r="4497" spans="1:2" x14ac:dyDescent="0.2">
      <c r="A4497" s="170">
        <v>40528</v>
      </c>
      <c r="B4497" s="171">
        <v>4.32</v>
      </c>
    </row>
    <row r="4498" spans="1:2" x14ac:dyDescent="0.2">
      <c r="A4498" s="170">
        <v>40529</v>
      </c>
      <c r="B4498" s="171">
        <v>4.1900000000000004</v>
      </c>
    </row>
    <row r="4499" spans="1:2" x14ac:dyDescent="0.2">
      <c r="A4499" s="170">
        <v>40532</v>
      </c>
      <c r="B4499" s="171">
        <v>4.21</v>
      </c>
    </row>
    <row r="4500" spans="1:2" x14ac:dyDescent="0.2">
      <c r="A4500" s="170">
        <v>40533</v>
      </c>
      <c r="B4500" s="171">
        <v>4.21</v>
      </c>
    </row>
    <row r="4501" spans="1:2" x14ac:dyDescent="0.2">
      <c r="A4501" s="170">
        <v>40534</v>
      </c>
      <c r="B4501" s="171">
        <v>4.2300000000000004</v>
      </c>
    </row>
    <row r="4502" spans="1:2" x14ac:dyDescent="0.2">
      <c r="A4502" s="170">
        <v>40535</v>
      </c>
      <c r="B4502" s="171">
        <v>4.26</v>
      </c>
    </row>
    <row r="4503" spans="1:2" x14ac:dyDescent="0.2">
      <c r="A4503" s="170">
        <v>40536</v>
      </c>
      <c r="B4503" s="171" t="e">
        <f>NA()</f>
        <v>#N/A</v>
      </c>
    </row>
    <row r="4504" spans="1:2" x14ac:dyDescent="0.2">
      <c r="A4504" s="170">
        <v>40539</v>
      </c>
      <c r="B4504" s="171">
        <v>4.2</v>
      </c>
    </row>
    <row r="4505" spans="1:2" x14ac:dyDescent="0.2">
      <c r="A4505" s="170">
        <v>40540</v>
      </c>
      <c r="B4505" s="171">
        <v>4.33</v>
      </c>
    </row>
    <row r="4506" spans="1:2" x14ac:dyDescent="0.2">
      <c r="A4506" s="170">
        <v>40541</v>
      </c>
      <c r="B4506" s="171">
        <v>4.1900000000000004</v>
      </c>
    </row>
    <row r="4507" spans="1:2" x14ac:dyDescent="0.2">
      <c r="A4507" s="170">
        <v>40542</v>
      </c>
      <c r="B4507" s="171">
        <v>4.21</v>
      </c>
    </row>
    <row r="4508" spans="1:2" x14ac:dyDescent="0.2">
      <c r="A4508" s="170">
        <v>40543</v>
      </c>
      <c r="B4508" s="171">
        <v>4.13</v>
      </c>
    </row>
    <row r="4509" spans="1:2" x14ac:dyDescent="0.2">
      <c r="A4509" s="170">
        <v>40546</v>
      </c>
      <c r="B4509" s="171">
        <v>4.18</v>
      </c>
    </row>
    <row r="4510" spans="1:2" x14ac:dyDescent="0.2">
      <c r="A4510" s="170">
        <v>40547</v>
      </c>
      <c r="B4510" s="171">
        <v>4.21</v>
      </c>
    </row>
    <row r="4511" spans="1:2" x14ac:dyDescent="0.2">
      <c r="A4511" s="170">
        <v>40548</v>
      </c>
      <c r="B4511" s="171">
        <v>4.34</v>
      </c>
    </row>
    <row r="4512" spans="1:2" x14ac:dyDescent="0.2">
      <c r="A4512" s="170">
        <v>40549</v>
      </c>
      <c r="B4512" s="171">
        <v>4.3099999999999996</v>
      </c>
    </row>
    <row r="4513" spans="1:2" x14ac:dyDescent="0.2">
      <c r="A4513" s="170">
        <v>40550</v>
      </c>
      <c r="B4513" s="171">
        <v>4.25</v>
      </c>
    </row>
    <row r="4514" spans="1:2" x14ac:dyDescent="0.2">
      <c r="A4514" s="170">
        <v>40553</v>
      </c>
      <c r="B4514" s="171">
        <v>4.2300000000000004</v>
      </c>
    </row>
    <row r="4515" spans="1:2" x14ac:dyDescent="0.2">
      <c r="A4515" s="170">
        <v>40554</v>
      </c>
      <c r="B4515" s="171">
        <v>4.26</v>
      </c>
    </row>
    <row r="4516" spans="1:2" x14ac:dyDescent="0.2">
      <c r="A4516" s="170">
        <v>40555</v>
      </c>
      <c r="B4516" s="171">
        <v>4.28</v>
      </c>
    </row>
    <row r="4517" spans="1:2" x14ac:dyDescent="0.2">
      <c r="A4517" s="170">
        <v>40556</v>
      </c>
      <c r="B4517" s="171">
        <v>4.24</v>
      </c>
    </row>
    <row r="4518" spans="1:2" x14ac:dyDescent="0.2">
      <c r="A4518" s="170">
        <v>40557</v>
      </c>
      <c r="B4518" s="171">
        <v>4.2699999999999996</v>
      </c>
    </row>
    <row r="4519" spans="1:2" x14ac:dyDescent="0.2">
      <c r="A4519" s="170">
        <v>40560</v>
      </c>
      <c r="B4519" s="171" t="e">
        <f>NA()</f>
        <v>#N/A</v>
      </c>
    </row>
    <row r="4520" spans="1:2" x14ac:dyDescent="0.2">
      <c r="A4520" s="170">
        <v>40561</v>
      </c>
      <c r="B4520" s="171">
        <v>4.3099999999999996</v>
      </c>
    </row>
    <row r="4521" spans="1:2" x14ac:dyDescent="0.2">
      <c r="A4521" s="170">
        <v>40562</v>
      </c>
      <c r="B4521" s="171">
        <v>4.2699999999999996</v>
      </c>
    </row>
    <row r="4522" spans="1:2" x14ac:dyDescent="0.2">
      <c r="A4522" s="170">
        <v>40563</v>
      </c>
      <c r="B4522" s="171">
        <v>4.3600000000000003</v>
      </c>
    </row>
    <row r="4523" spans="1:2" x14ac:dyDescent="0.2">
      <c r="A4523" s="170">
        <v>40564</v>
      </c>
      <c r="B4523" s="171">
        <v>4.33</v>
      </c>
    </row>
    <row r="4524" spans="1:2" x14ac:dyDescent="0.2">
      <c r="A4524" s="170">
        <v>40567</v>
      </c>
      <c r="B4524" s="171">
        <v>4.3099999999999996</v>
      </c>
    </row>
    <row r="4525" spans="1:2" x14ac:dyDescent="0.2">
      <c r="A4525" s="170">
        <v>40568</v>
      </c>
      <c r="B4525" s="171">
        <v>4.2300000000000004</v>
      </c>
    </row>
    <row r="4526" spans="1:2" x14ac:dyDescent="0.2">
      <c r="A4526" s="170">
        <v>40569</v>
      </c>
      <c r="B4526" s="171">
        <v>4.34</v>
      </c>
    </row>
    <row r="4527" spans="1:2" x14ac:dyDescent="0.2">
      <c r="A4527" s="170">
        <v>40570</v>
      </c>
      <c r="B4527" s="171">
        <v>4.3099999999999996</v>
      </c>
    </row>
    <row r="4528" spans="1:2" x14ac:dyDescent="0.2">
      <c r="A4528" s="170">
        <v>40571</v>
      </c>
      <c r="B4528" s="171">
        <v>4.26</v>
      </c>
    </row>
    <row r="4529" spans="1:2" x14ac:dyDescent="0.2">
      <c r="A4529" s="170">
        <v>40574</v>
      </c>
      <c r="B4529" s="171">
        <v>4.33</v>
      </c>
    </row>
    <row r="4530" spans="1:2" x14ac:dyDescent="0.2">
      <c r="A4530" s="170">
        <v>40575</v>
      </c>
      <c r="B4530" s="171">
        <v>4.37</v>
      </c>
    </row>
    <row r="4531" spans="1:2" x14ac:dyDescent="0.2">
      <c r="A4531" s="170">
        <v>40576</v>
      </c>
      <c r="B4531" s="171">
        <v>4.3899999999999997</v>
      </c>
    </row>
    <row r="4532" spans="1:2" x14ac:dyDescent="0.2">
      <c r="A4532" s="170">
        <v>40577</v>
      </c>
      <c r="B4532" s="171">
        <v>4.43</v>
      </c>
    </row>
    <row r="4533" spans="1:2" x14ac:dyDescent="0.2">
      <c r="A4533" s="170">
        <v>40578</v>
      </c>
      <c r="B4533" s="171">
        <v>4.51</v>
      </c>
    </row>
    <row r="4534" spans="1:2" x14ac:dyDescent="0.2">
      <c r="A4534" s="170">
        <v>40581</v>
      </c>
      <c r="B4534" s="171">
        <v>4.5</v>
      </c>
    </row>
    <row r="4535" spans="1:2" x14ac:dyDescent="0.2">
      <c r="A4535" s="170">
        <v>40582</v>
      </c>
      <c r="B4535" s="171">
        <v>4.5599999999999996</v>
      </c>
    </row>
    <row r="4536" spans="1:2" x14ac:dyDescent="0.2">
      <c r="A4536" s="170">
        <v>40583</v>
      </c>
      <c r="B4536" s="171">
        <v>4.49</v>
      </c>
    </row>
    <row r="4537" spans="1:2" x14ac:dyDescent="0.2">
      <c r="A4537" s="170">
        <v>40584</v>
      </c>
      <c r="B4537" s="171">
        <v>4.55</v>
      </c>
    </row>
    <row r="4538" spans="1:2" x14ac:dyDescent="0.2">
      <c r="A4538" s="170">
        <v>40585</v>
      </c>
      <c r="B4538" s="171">
        <v>4.49</v>
      </c>
    </row>
    <row r="4539" spans="1:2" x14ac:dyDescent="0.2">
      <c r="A4539" s="170">
        <v>40588</v>
      </c>
      <c r="B4539" s="171">
        <v>4.46</v>
      </c>
    </row>
    <row r="4540" spans="1:2" x14ac:dyDescent="0.2">
      <c r="A4540" s="170">
        <v>40589</v>
      </c>
      <c r="B4540" s="171">
        <v>4.45</v>
      </c>
    </row>
    <row r="4541" spans="1:2" x14ac:dyDescent="0.2">
      <c r="A4541" s="170">
        <v>40590</v>
      </c>
      <c r="B4541" s="171">
        <v>4.46</v>
      </c>
    </row>
    <row r="4542" spans="1:2" x14ac:dyDescent="0.2">
      <c r="A4542" s="170">
        <v>40591</v>
      </c>
      <c r="B4542" s="171">
        <v>4.4400000000000004</v>
      </c>
    </row>
    <row r="4543" spans="1:2" x14ac:dyDescent="0.2">
      <c r="A4543" s="170">
        <v>40592</v>
      </c>
      <c r="B4543" s="171">
        <v>4.46</v>
      </c>
    </row>
    <row r="4544" spans="1:2" x14ac:dyDescent="0.2">
      <c r="A4544" s="170">
        <v>40595</v>
      </c>
      <c r="B4544" s="171" t="e">
        <f>NA()</f>
        <v>#N/A</v>
      </c>
    </row>
    <row r="4545" spans="1:2" x14ac:dyDescent="0.2">
      <c r="A4545" s="170">
        <v>40596</v>
      </c>
      <c r="B4545" s="171">
        <v>4.3499999999999996</v>
      </c>
    </row>
    <row r="4546" spans="1:2" x14ac:dyDescent="0.2">
      <c r="A4546" s="170">
        <v>40597</v>
      </c>
      <c r="B4546" s="171">
        <v>4.34</v>
      </c>
    </row>
    <row r="4547" spans="1:2" x14ac:dyDescent="0.2">
      <c r="A4547" s="170">
        <v>40598</v>
      </c>
      <c r="B4547" s="171">
        <v>4.29</v>
      </c>
    </row>
    <row r="4548" spans="1:2" x14ac:dyDescent="0.2">
      <c r="A4548" s="170">
        <v>40599</v>
      </c>
      <c r="B4548" s="171">
        <v>4.26</v>
      </c>
    </row>
    <row r="4549" spans="1:2" x14ac:dyDescent="0.2">
      <c r="A4549" s="170">
        <v>40602</v>
      </c>
      <c r="B4549" s="171">
        <v>4.25</v>
      </c>
    </row>
    <row r="4550" spans="1:2" x14ac:dyDescent="0.2">
      <c r="A4550" s="170">
        <v>40603</v>
      </c>
      <c r="B4550" s="171">
        <v>4.24</v>
      </c>
    </row>
    <row r="4551" spans="1:2" x14ac:dyDescent="0.2">
      <c r="A4551" s="170">
        <v>40604</v>
      </c>
      <c r="B4551" s="171">
        <v>4.3</v>
      </c>
    </row>
    <row r="4552" spans="1:2" x14ac:dyDescent="0.2">
      <c r="A4552" s="170">
        <v>40605</v>
      </c>
      <c r="B4552" s="171">
        <v>4.4000000000000004</v>
      </c>
    </row>
    <row r="4553" spans="1:2" x14ac:dyDescent="0.2">
      <c r="A4553" s="170">
        <v>40606</v>
      </c>
      <c r="B4553" s="171">
        <v>4.34</v>
      </c>
    </row>
    <row r="4554" spans="1:2" x14ac:dyDescent="0.2">
      <c r="A4554" s="170">
        <v>40609</v>
      </c>
      <c r="B4554" s="171">
        <v>4.3600000000000003</v>
      </c>
    </row>
    <row r="4555" spans="1:2" x14ac:dyDescent="0.2">
      <c r="A4555" s="170">
        <v>40610</v>
      </c>
      <c r="B4555" s="171">
        <v>4.41</v>
      </c>
    </row>
    <row r="4556" spans="1:2" x14ac:dyDescent="0.2">
      <c r="A4556" s="170">
        <v>40611</v>
      </c>
      <c r="B4556" s="171">
        <v>4.3499999999999996</v>
      </c>
    </row>
    <row r="4557" spans="1:2" x14ac:dyDescent="0.2">
      <c r="A4557" s="170">
        <v>40612</v>
      </c>
      <c r="B4557" s="171">
        <v>4.25</v>
      </c>
    </row>
    <row r="4558" spans="1:2" x14ac:dyDescent="0.2">
      <c r="A4558" s="170">
        <v>40613</v>
      </c>
      <c r="B4558" s="171">
        <v>4.29</v>
      </c>
    </row>
    <row r="4559" spans="1:2" x14ac:dyDescent="0.2">
      <c r="A4559" s="170">
        <v>40616</v>
      </c>
      <c r="B4559" s="171">
        <v>4.25</v>
      </c>
    </row>
    <row r="4560" spans="1:2" x14ac:dyDescent="0.2">
      <c r="A4560" s="170">
        <v>40617</v>
      </c>
      <c r="B4560" s="171">
        <v>4.21</v>
      </c>
    </row>
    <row r="4561" spans="1:2" x14ac:dyDescent="0.2">
      <c r="A4561" s="170">
        <v>40618</v>
      </c>
      <c r="B4561" s="171">
        <v>4.1100000000000003</v>
      </c>
    </row>
    <row r="4562" spans="1:2" x14ac:dyDescent="0.2">
      <c r="A4562" s="170">
        <v>40619</v>
      </c>
      <c r="B4562" s="171">
        <v>4.1500000000000004</v>
      </c>
    </row>
    <row r="4563" spans="1:2" x14ac:dyDescent="0.2">
      <c r="A4563" s="170">
        <v>40620</v>
      </c>
      <c r="B4563" s="171">
        <v>4.17</v>
      </c>
    </row>
    <row r="4564" spans="1:2" x14ac:dyDescent="0.2">
      <c r="A4564" s="170">
        <v>40623</v>
      </c>
      <c r="B4564" s="171">
        <v>4.2</v>
      </c>
    </row>
    <row r="4565" spans="1:2" x14ac:dyDescent="0.2">
      <c r="A4565" s="170">
        <v>40624</v>
      </c>
      <c r="B4565" s="171">
        <v>4.1900000000000004</v>
      </c>
    </row>
    <row r="4566" spans="1:2" x14ac:dyDescent="0.2">
      <c r="A4566" s="170">
        <v>40625</v>
      </c>
      <c r="B4566" s="171">
        <v>4.2</v>
      </c>
    </row>
    <row r="4567" spans="1:2" x14ac:dyDescent="0.2">
      <c r="A4567" s="170">
        <v>40626</v>
      </c>
      <c r="B4567" s="171">
        <v>4.25</v>
      </c>
    </row>
    <row r="4568" spans="1:2" x14ac:dyDescent="0.2">
      <c r="A4568" s="170">
        <v>40627</v>
      </c>
      <c r="B4568" s="171">
        <v>4.28</v>
      </c>
    </row>
    <row r="4569" spans="1:2" x14ac:dyDescent="0.2">
      <c r="A4569" s="170">
        <v>40630</v>
      </c>
      <c r="B4569" s="171">
        <v>4.28</v>
      </c>
    </row>
    <row r="4570" spans="1:2" x14ac:dyDescent="0.2">
      <c r="A4570" s="170">
        <v>40631</v>
      </c>
      <c r="B4570" s="171">
        <v>4.3099999999999996</v>
      </c>
    </row>
    <row r="4571" spans="1:2" x14ac:dyDescent="0.2">
      <c r="A4571" s="170">
        <v>40632</v>
      </c>
      <c r="B4571" s="171">
        <v>4.29</v>
      </c>
    </row>
    <row r="4572" spans="1:2" x14ac:dyDescent="0.2">
      <c r="A4572" s="170">
        <v>40633</v>
      </c>
      <c r="B4572" s="171">
        <v>4.29</v>
      </c>
    </row>
    <row r="4573" spans="1:2" x14ac:dyDescent="0.2">
      <c r="A4573" s="170">
        <v>40634</v>
      </c>
      <c r="B4573" s="171">
        <v>4.2699999999999996</v>
      </c>
    </row>
    <row r="4574" spans="1:2" x14ac:dyDescent="0.2">
      <c r="A4574" s="170">
        <v>40637</v>
      </c>
      <c r="B4574" s="171">
        <v>4.2699999999999996</v>
      </c>
    </row>
    <row r="4575" spans="1:2" x14ac:dyDescent="0.2">
      <c r="A4575" s="170">
        <v>40638</v>
      </c>
      <c r="B4575" s="171">
        <v>4.3</v>
      </c>
    </row>
    <row r="4576" spans="1:2" x14ac:dyDescent="0.2">
      <c r="A4576" s="170">
        <v>40639</v>
      </c>
      <c r="B4576" s="171">
        <v>4.37</v>
      </c>
    </row>
    <row r="4577" spans="1:2" x14ac:dyDescent="0.2">
      <c r="A4577" s="170">
        <v>40640</v>
      </c>
      <c r="B4577" s="171">
        <v>4.41</v>
      </c>
    </row>
    <row r="4578" spans="1:2" x14ac:dyDescent="0.2">
      <c r="A4578" s="170">
        <v>40641</v>
      </c>
      <c r="B4578" s="171">
        <v>4.41</v>
      </c>
    </row>
    <row r="4579" spans="1:2" x14ac:dyDescent="0.2">
      <c r="A4579" s="170">
        <v>40644</v>
      </c>
      <c r="B4579" s="171">
        <v>4.42</v>
      </c>
    </row>
    <row r="4580" spans="1:2" x14ac:dyDescent="0.2">
      <c r="A4580" s="170">
        <v>40645</v>
      </c>
      <c r="B4580" s="171">
        <v>4.3499999999999996</v>
      </c>
    </row>
    <row r="4581" spans="1:2" x14ac:dyDescent="0.2">
      <c r="A4581" s="170">
        <v>40646</v>
      </c>
      <c r="B4581" s="171">
        <v>4.33</v>
      </c>
    </row>
    <row r="4582" spans="1:2" x14ac:dyDescent="0.2">
      <c r="A4582" s="170">
        <v>40647</v>
      </c>
      <c r="B4582" s="171">
        <v>4.32</v>
      </c>
    </row>
    <row r="4583" spans="1:2" x14ac:dyDescent="0.2">
      <c r="A4583" s="170">
        <v>40648</v>
      </c>
      <c r="B4583" s="171">
        <v>4.25</v>
      </c>
    </row>
    <row r="4584" spans="1:2" x14ac:dyDescent="0.2">
      <c r="A4584" s="170">
        <v>40651</v>
      </c>
      <c r="B4584" s="171">
        <v>4.22</v>
      </c>
    </row>
    <row r="4585" spans="1:2" x14ac:dyDescent="0.2">
      <c r="A4585" s="170">
        <v>40652</v>
      </c>
      <c r="B4585" s="171">
        <v>4.2</v>
      </c>
    </row>
    <row r="4586" spans="1:2" x14ac:dyDescent="0.2">
      <c r="A4586" s="170">
        <v>40653</v>
      </c>
      <c r="B4586" s="171">
        <v>4.24</v>
      </c>
    </row>
    <row r="4587" spans="1:2" x14ac:dyDescent="0.2">
      <c r="A4587" s="170">
        <v>40654</v>
      </c>
      <c r="B4587" s="171">
        <v>4.24</v>
      </c>
    </row>
    <row r="4588" spans="1:2" x14ac:dyDescent="0.2">
      <c r="A4588" s="170">
        <v>40655</v>
      </c>
      <c r="B4588" s="171" t="e">
        <f>NA()</f>
        <v>#N/A</v>
      </c>
    </row>
    <row r="4589" spans="1:2" x14ac:dyDescent="0.2">
      <c r="A4589" s="170">
        <v>40658</v>
      </c>
      <c r="B4589" s="171">
        <v>4.22</v>
      </c>
    </row>
    <row r="4590" spans="1:2" x14ac:dyDescent="0.2">
      <c r="A4590" s="170">
        <v>40659</v>
      </c>
      <c r="B4590" s="171">
        <v>4.16</v>
      </c>
    </row>
    <row r="4591" spans="1:2" x14ac:dyDescent="0.2">
      <c r="A4591" s="170">
        <v>40660</v>
      </c>
      <c r="B4591" s="171">
        <v>4.21</v>
      </c>
    </row>
    <row r="4592" spans="1:2" x14ac:dyDescent="0.2">
      <c r="A4592" s="170">
        <v>40661</v>
      </c>
      <c r="B4592" s="171">
        <v>4.18</v>
      </c>
    </row>
    <row r="4593" spans="1:2" x14ac:dyDescent="0.2">
      <c r="A4593" s="170">
        <v>40662</v>
      </c>
      <c r="B4593" s="171">
        <v>4.1500000000000004</v>
      </c>
    </row>
    <row r="4594" spans="1:2" x14ac:dyDescent="0.2">
      <c r="A4594" s="170">
        <v>40665</v>
      </c>
      <c r="B4594" s="171">
        <v>4.1399999999999997</v>
      </c>
    </row>
    <row r="4595" spans="1:2" x14ac:dyDescent="0.2">
      <c r="A4595" s="170">
        <v>40666</v>
      </c>
      <c r="B4595" s="171">
        <v>4.1100000000000003</v>
      </c>
    </row>
    <row r="4596" spans="1:2" x14ac:dyDescent="0.2">
      <c r="A4596" s="170">
        <v>40667</v>
      </c>
      <c r="B4596" s="171">
        <v>4.08</v>
      </c>
    </row>
    <row r="4597" spans="1:2" x14ac:dyDescent="0.2">
      <c r="A4597" s="170">
        <v>40668</v>
      </c>
      <c r="B4597" s="171">
        <v>4</v>
      </c>
    </row>
    <row r="4598" spans="1:2" x14ac:dyDescent="0.2">
      <c r="A4598" s="170">
        <v>40669</v>
      </c>
      <c r="B4598" s="171">
        <v>4.03</v>
      </c>
    </row>
    <row r="4599" spans="1:2" x14ac:dyDescent="0.2">
      <c r="A4599" s="170">
        <v>40672</v>
      </c>
      <c r="B4599" s="171">
        <v>4.03</v>
      </c>
    </row>
    <row r="4600" spans="1:2" x14ac:dyDescent="0.2">
      <c r="A4600" s="170">
        <v>40673</v>
      </c>
      <c r="B4600" s="171">
        <v>4.07</v>
      </c>
    </row>
    <row r="4601" spans="1:2" x14ac:dyDescent="0.2">
      <c r="A4601" s="170">
        <v>40674</v>
      </c>
      <c r="B4601" s="171">
        <v>4.04</v>
      </c>
    </row>
    <row r="4602" spans="1:2" x14ac:dyDescent="0.2">
      <c r="A4602" s="170">
        <v>40675</v>
      </c>
      <c r="B4602" s="171">
        <v>4.07</v>
      </c>
    </row>
    <row r="4603" spans="1:2" x14ac:dyDescent="0.2">
      <c r="A4603" s="170">
        <v>40676</v>
      </c>
      <c r="B4603" s="171">
        <v>4.03</v>
      </c>
    </row>
    <row r="4604" spans="1:2" x14ac:dyDescent="0.2">
      <c r="A4604" s="170">
        <v>40679</v>
      </c>
      <c r="B4604" s="171">
        <v>3.99</v>
      </c>
    </row>
    <row r="4605" spans="1:2" x14ac:dyDescent="0.2">
      <c r="A4605" s="170">
        <v>40680</v>
      </c>
      <c r="B4605" s="171">
        <v>3.94</v>
      </c>
    </row>
    <row r="4606" spans="1:2" x14ac:dyDescent="0.2">
      <c r="A4606" s="170">
        <v>40681</v>
      </c>
      <c r="B4606" s="171">
        <v>4</v>
      </c>
    </row>
    <row r="4607" spans="1:2" x14ac:dyDescent="0.2">
      <c r="A4607" s="170">
        <v>40682</v>
      </c>
      <c r="B4607" s="171">
        <v>4.01</v>
      </c>
    </row>
    <row r="4608" spans="1:2" x14ac:dyDescent="0.2">
      <c r="A4608" s="170">
        <v>40683</v>
      </c>
      <c r="B4608" s="171">
        <v>4</v>
      </c>
    </row>
    <row r="4609" spans="1:2" x14ac:dyDescent="0.2">
      <c r="A4609" s="170">
        <v>40686</v>
      </c>
      <c r="B4609" s="171">
        <v>3.97</v>
      </c>
    </row>
    <row r="4610" spans="1:2" x14ac:dyDescent="0.2">
      <c r="A4610" s="170">
        <v>40687</v>
      </c>
      <c r="B4610" s="171">
        <v>3.96</v>
      </c>
    </row>
    <row r="4611" spans="1:2" x14ac:dyDescent="0.2">
      <c r="A4611" s="170">
        <v>40688</v>
      </c>
      <c r="B4611" s="171">
        <v>3.99</v>
      </c>
    </row>
    <row r="4612" spans="1:2" x14ac:dyDescent="0.2">
      <c r="A4612" s="170">
        <v>40689</v>
      </c>
      <c r="B4612" s="171">
        <v>3.93</v>
      </c>
    </row>
    <row r="4613" spans="1:2" x14ac:dyDescent="0.2">
      <c r="A4613" s="170">
        <v>40690</v>
      </c>
      <c r="B4613" s="171">
        <v>3.94</v>
      </c>
    </row>
    <row r="4614" spans="1:2" x14ac:dyDescent="0.2">
      <c r="A4614" s="170">
        <v>40693</v>
      </c>
      <c r="B4614" s="171" t="e">
        <f>NA()</f>
        <v>#N/A</v>
      </c>
    </row>
    <row r="4615" spans="1:2" x14ac:dyDescent="0.2">
      <c r="A4615" s="170">
        <v>40694</v>
      </c>
      <c r="B4615" s="171">
        <v>3.91</v>
      </c>
    </row>
    <row r="4616" spans="1:2" x14ac:dyDescent="0.2">
      <c r="A4616" s="170">
        <v>40695</v>
      </c>
      <c r="B4616" s="171">
        <v>3.83</v>
      </c>
    </row>
    <row r="4617" spans="1:2" x14ac:dyDescent="0.2">
      <c r="A4617" s="170">
        <v>40696</v>
      </c>
      <c r="B4617" s="171">
        <v>3.92</v>
      </c>
    </row>
    <row r="4618" spans="1:2" x14ac:dyDescent="0.2">
      <c r="A4618" s="170">
        <v>40697</v>
      </c>
      <c r="B4618" s="171">
        <v>3.9</v>
      </c>
    </row>
    <row r="4619" spans="1:2" x14ac:dyDescent="0.2">
      <c r="A4619" s="170">
        <v>40700</v>
      </c>
      <c r="B4619" s="171">
        <v>3.92</v>
      </c>
    </row>
    <row r="4620" spans="1:2" x14ac:dyDescent="0.2">
      <c r="A4620" s="170">
        <v>40701</v>
      </c>
      <c r="B4620" s="171">
        <v>3.94</v>
      </c>
    </row>
    <row r="4621" spans="1:2" x14ac:dyDescent="0.2">
      <c r="A4621" s="170">
        <v>40702</v>
      </c>
      <c r="B4621" s="171">
        <v>3.88</v>
      </c>
    </row>
    <row r="4622" spans="1:2" x14ac:dyDescent="0.2">
      <c r="A4622" s="170">
        <v>40703</v>
      </c>
      <c r="B4622" s="171">
        <v>3.91</v>
      </c>
    </row>
    <row r="4623" spans="1:2" x14ac:dyDescent="0.2">
      <c r="A4623" s="170">
        <v>40704</v>
      </c>
      <c r="B4623" s="171">
        <v>3.87</v>
      </c>
    </row>
    <row r="4624" spans="1:2" x14ac:dyDescent="0.2">
      <c r="A4624" s="170">
        <v>40707</v>
      </c>
      <c r="B4624" s="171">
        <v>3.89</v>
      </c>
    </row>
    <row r="4625" spans="1:2" x14ac:dyDescent="0.2">
      <c r="A4625" s="170">
        <v>40708</v>
      </c>
      <c r="B4625" s="171">
        <v>4</v>
      </c>
    </row>
    <row r="4626" spans="1:2" x14ac:dyDescent="0.2">
      <c r="A4626" s="170">
        <v>40709</v>
      </c>
      <c r="B4626" s="171">
        <v>3.89</v>
      </c>
    </row>
    <row r="4627" spans="1:2" x14ac:dyDescent="0.2">
      <c r="A4627" s="170">
        <v>40710</v>
      </c>
      <c r="B4627" s="171">
        <v>3.84</v>
      </c>
    </row>
    <row r="4628" spans="1:2" x14ac:dyDescent="0.2">
      <c r="A4628" s="170">
        <v>40711</v>
      </c>
      <c r="B4628" s="171">
        <v>3.86</v>
      </c>
    </row>
    <row r="4629" spans="1:2" x14ac:dyDescent="0.2">
      <c r="A4629" s="170">
        <v>40714</v>
      </c>
      <c r="B4629" s="171">
        <v>3.87</v>
      </c>
    </row>
    <row r="4630" spans="1:2" x14ac:dyDescent="0.2">
      <c r="A4630" s="170">
        <v>40715</v>
      </c>
      <c r="B4630" s="171">
        <v>3.9</v>
      </c>
    </row>
    <row r="4631" spans="1:2" x14ac:dyDescent="0.2">
      <c r="A4631" s="170">
        <v>40716</v>
      </c>
      <c r="B4631" s="171">
        <v>3.91</v>
      </c>
    </row>
    <row r="4632" spans="1:2" x14ac:dyDescent="0.2">
      <c r="A4632" s="170">
        <v>40717</v>
      </c>
      <c r="B4632" s="171">
        <v>3.84</v>
      </c>
    </row>
    <row r="4633" spans="1:2" x14ac:dyDescent="0.2">
      <c r="A4633" s="170">
        <v>40718</v>
      </c>
      <c r="B4633" s="171">
        <v>3.83</v>
      </c>
    </row>
    <row r="4634" spans="1:2" x14ac:dyDescent="0.2">
      <c r="A4634" s="170">
        <v>40721</v>
      </c>
      <c r="B4634" s="171">
        <v>3.94</v>
      </c>
    </row>
    <row r="4635" spans="1:2" x14ac:dyDescent="0.2">
      <c r="A4635" s="170">
        <v>40722</v>
      </c>
      <c r="B4635" s="171">
        <v>4.01</v>
      </c>
    </row>
    <row r="4636" spans="1:2" x14ac:dyDescent="0.2">
      <c r="A4636" s="170">
        <v>40723</v>
      </c>
      <c r="B4636" s="171">
        <v>4.08</v>
      </c>
    </row>
    <row r="4637" spans="1:2" x14ac:dyDescent="0.2">
      <c r="A4637" s="170">
        <v>40724</v>
      </c>
      <c r="B4637" s="171">
        <v>4.09</v>
      </c>
    </row>
    <row r="4638" spans="1:2" x14ac:dyDescent="0.2">
      <c r="A4638" s="170">
        <v>40725</v>
      </c>
      <c r="B4638" s="171">
        <v>4.12</v>
      </c>
    </row>
    <row r="4639" spans="1:2" x14ac:dyDescent="0.2">
      <c r="A4639" s="170">
        <v>40728</v>
      </c>
      <c r="B4639" s="171" t="e">
        <f>NA()</f>
        <v>#N/A</v>
      </c>
    </row>
    <row r="4640" spans="1:2" x14ac:dyDescent="0.2">
      <c r="A4640" s="170">
        <v>40729</v>
      </c>
      <c r="B4640" s="171">
        <v>4.09</v>
      </c>
    </row>
    <row r="4641" spans="1:2" x14ac:dyDescent="0.2">
      <c r="A4641" s="170">
        <v>40730</v>
      </c>
      <c r="B4641" s="171">
        <v>4.05</v>
      </c>
    </row>
    <row r="4642" spans="1:2" x14ac:dyDescent="0.2">
      <c r="A4642" s="170">
        <v>40731</v>
      </c>
      <c r="B4642" s="171">
        <v>4.08</v>
      </c>
    </row>
    <row r="4643" spans="1:2" x14ac:dyDescent="0.2">
      <c r="A4643" s="170">
        <v>40732</v>
      </c>
      <c r="B4643" s="171">
        <v>3.97</v>
      </c>
    </row>
    <row r="4644" spans="1:2" x14ac:dyDescent="0.2">
      <c r="A4644" s="170">
        <v>40735</v>
      </c>
      <c r="B4644" s="171">
        <v>3.88</v>
      </c>
    </row>
    <row r="4645" spans="1:2" x14ac:dyDescent="0.2">
      <c r="A4645" s="170">
        <v>40736</v>
      </c>
      <c r="B4645" s="171">
        <v>3.86</v>
      </c>
    </row>
    <row r="4646" spans="1:2" x14ac:dyDescent="0.2">
      <c r="A4646" s="170">
        <v>40737</v>
      </c>
      <c r="B4646" s="171">
        <v>3.85</v>
      </c>
    </row>
    <row r="4647" spans="1:2" x14ac:dyDescent="0.2">
      <c r="A4647" s="170">
        <v>40738</v>
      </c>
      <c r="B4647" s="171">
        <v>3.92</v>
      </c>
    </row>
    <row r="4648" spans="1:2" x14ac:dyDescent="0.2">
      <c r="A4648" s="170">
        <v>40739</v>
      </c>
      <c r="B4648" s="171">
        <v>3.92</v>
      </c>
    </row>
    <row r="4649" spans="1:2" x14ac:dyDescent="0.2">
      <c r="A4649" s="170">
        <v>40742</v>
      </c>
      <c r="B4649" s="171">
        <v>3.95</v>
      </c>
    </row>
    <row r="4650" spans="1:2" x14ac:dyDescent="0.2">
      <c r="A4650" s="170">
        <v>40743</v>
      </c>
      <c r="B4650" s="171">
        <v>3.86</v>
      </c>
    </row>
    <row r="4651" spans="1:2" x14ac:dyDescent="0.2">
      <c r="A4651" s="170">
        <v>40744</v>
      </c>
      <c r="B4651" s="171">
        <v>3.92</v>
      </c>
    </row>
    <row r="4652" spans="1:2" x14ac:dyDescent="0.2">
      <c r="A4652" s="170">
        <v>40745</v>
      </c>
      <c r="B4652" s="171">
        <v>3.98</v>
      </c>
    </row>
    <row r="4653" spans="1:2" x14ac:dyDescent="0.2">
      <c r="A4653" s="170">
        <v>40746</v>
      </c>
      <c r="B4653" s="171">
        <v>3.93</v>
      </c>
    </row>
    <row r="4654" spans="1:2" x14ac:dyDescent="0.2">
      <c r="A4654" s="170">
        <v>40749</v>
      </c>
      <c r="B4654" s="171">
        <v>3.98</v>
      </c>
    </row>
    <row r="4655" spans="1:2" x14ac:dyDescent="0.2">
      <c r="A4655" s="170">
        <v>40750</v>
      </c>
      <c r="B4655" s="171">
        <v>3.94</v>
      </c>
    </row>
    <row r="4656" spans="1:2" x14ac:dyDescent="0.2">
      <c r="A4656" s="170">
        <v>40751</v>
      </c>
      <c r="B4656" s="171">
        <v>3.95</v>
      </c>
    </row>
    <row r="4657" spans="1:2" x14ac:dyDescent="0.2">
      <c r="A4657" s="170">
        <v>40752</v>
      </c>
      <c r="B4657" s="171">
        <v>3.93</v>
      </c>
    </row>
    <row r="4658" spans="1:2" x14ac:dyDescent="0.2">
      <c r="A4658" s="170">
        <v>40753</v>
      </c>
      <c r="B4658" s="171">
        <v>3.77</v>
      </c>
    </row>
    <row r="4659" spans="1:2" x14ac:dyDescent="0.2">
      <c r="A4659" s="170">
        <v>40756</v>
      </c>
      <c r="B4659" s="171">
        <v>3.72</v>
      </c>
    </row>
    <row r="4660" spans="1:2" x14ac:dyDescent="0.2">
      <c r="A4660" s="170">
        <v>40757</v>
      </c>
      <c r="B4660" s="171">
        <v>3.59</v>
      </c>
    </row>
    <row r="4661" spans="1:2" x14ac:dyDescent="0.2">
      <c r="A4661" s="170">
        <v>40758</v>
      </c>
      <c r="B4661" s="171">
        <v>3.55</v>
      </c>
    </row>
    <row r="4662" spans="1:2" x14ac:dyDescent="0.2">
      <c r="A4662" s="170">
        <v>40759</v>
      </c>
      <c r="B4662" s="171">
        <v>3.37</v>
      </c>
    </row>
    <row r="4663" spans="1:2" x14ac:dyDescent="0.2">
      <c r="A4663" s="170">
        <v>40760</v>
      </c>
      <c r="B4663" s="171">
        <v>3.49</v>
      </c>
    </row>
    <row r="4664" spans="1:2" x14ac:dyDescent="0.2">
      <c r="A4664" s="170">
        <v>40763</v>
      </c>
      <c r="B4664" s="171">
        <v>3.31</v>
      </c>
    </row>
    <row r="4665" spans="1:2" x14ac:dyDescent="0.2">
      <c r="A4665" s="170">
        <v>40764</v>
      </c>
      <c r="B4665" s="171">
        <v>3.17</v>
      </c>
    </row>
    <row r="4666" spans="1:2" x14ac:dyDescent="0.2">
      <c r="A4666" s="170">
        <v>40765</v>
      </c>
      <c r="B4666" s="171">
        <v>3.08</v>
      </c>
    </row>
    <row r="4667" spans="1:2" x14ac:dyDescent="0.2">
      <c r="A4667" s="170">
        <v>40766</v>
      </c>
      <c r="B4667" s="171">
        <v>3.34</v>
      </c>
    </row>
    <row r="4668" spans="1:2" x14ac:dyDescent="0.2">
      <c r="A4668" s="170">
        <v>40767</v>
      </c>
      <c r="B4668" s="171">
        <v>3.24</v>
      </c>
    </row>
    <row r="4669" spans="1:2" x14ac:dyDescent="0.2">
      <c r="A4669" s="170">
        <v>40770</v>
      </c>
      <c r="B4669" s="171">
        <v>3.29</v>
      </c>
    </row>
    <row r="4670" spans="1:2" x14ac:dyDescent="0.2">
      <c r="A4670" s="170">
        <v>40771</v>
      </c>
      <c r="B4670" s="171">
        <v>3.23</v>
      </c>
    </row>
    <row r="4671" spans="1:2" x14ac:dyDescent="0.2">
      <c r="A4671" s="170">
        <v>40772</v>
      </c>
      <c r="B4671" s="171">
        <v>3.14</v>
      </c>
    </row>
    <row r="4672" spans="1:2" x14ac:dyDescent="0.2">
      <c r="A4672" s="170">
        <v>40773</v>
      </c>
      <c r="B4672" s="171">
        <v>3.02</v>
      </c>
    </row>
    <row r="4673" spans="1:2" x14ac:dyDescent="0.2">
      <c r="A4673" s="170">
        <v>40774</v>
      </c>
      <c r="B4673" s="171">
        <v>2.97</v>
      </c>
    </row>
    <row r="4674" spans="1:2" x14ac:dyDescent="0.2">
      <c r="A4674" s="170">
        <v>40777</v>
      </c>
      <c r="B4674" s="171">
        <v>3</v>
      </c>
    </row>
    <row r="4675" spans="1:2" x14ac:dyDescent="0.2">
      <c r="A4675" s="170">
        <v>40778</v>
      </c>
      <c r="B4675" s="171">
        <v>3.06</v>
      </c>
    </row>
    <row r="4676" spans="1:2" x14ac:dyDescent="0.2">
      <c r="A4676" s="170">
        <v>40779</v>
      </c>
      <c r="B4676" s="171">
        <v>3.23</v>
      </c>
    </row>
    <row r="4677" spans="1:2" x14ac:dyDescent="0.2">
      <c r="A4677" s="170">
        <v>40780</v>
      </c>
      <c r="B4677" s="171">
        <v>3.17</v>
      </c>
    </row>
    <row r="4678" spans="1:2" x14ac:dyDescent="0.2">
      <c r="A4678" s="170">
        <v>40781</v>
      </c>
      <c r="B4678" s="171">
        <v>3.13</v>
      </c>
    </row>
    <row r="4679" spans="1:2" x14ac:dyDescent="0.2">
      <c r="A4679" s="170">
        <v>40784</v>
      </c>
      <c r="B4679" s="171">
        <v>3.22</v>
      </c>
    </row>
    <row r="4680" spans="1:2" x14ac:dyDescent="0.2">
      <c r="A4680" s="170">
        <v>40785</v>
      </c>
      <c r="B4680" s="171">
        <v>3.12</v>
      </c>
    </row>
    <row r="4681" spans="1:2" x14ac:dyDescent="0.2">
      <c r="A4681" s="170">
        <v>40786</v>
      </c>
      <c r="B4681" s="171">
        <v>3.19</v>
      </c>
    </row>
    <row r="4682" spans="1:2" x14ac:dyDescent="0.2">
      <c r="A4682" s="170">
        <v>40787</v>
      </c>
      <c r="B4682" s="171">
        <v>3.1</v>
      </c>
    </row>
    <row r="4683" spans="1:2" x14ac:dyDescent="0.2">
      <c r="A4683" s="170">
        <v>40788</v>
      </c>
      <c r="B4683" s="171">
        <v>2.92</v>
      </c>
    </row>
    <row r="4684" spans="1:2" x14ac:dyDescent="0.2">
      <c r="A4684" s="170">
        <v>40791</v>
      </c>
      <c r="B4684" s="171" t="e">
        <f>NA()</f>
        <v>#N/A</v>
      </c>
    </row>
    <row r="4685" spans="1:2" x14ac:dyDescent="0.2">
      <c r="A4685" s="170">
        <v>40792</v>
      </c>
      <c r="B4685" s="171">
        <v>2.86</v>
      </c>
    </row>
    <row r="4686" spans="1:2" x14ac:dyDescent="0.2">
      <c r="A4686" s="170">
        <v>40793</v>
      </c>
      <c r="B4686" s="171">
        <v>2.96</v>
      </c>
    </row>
    <row r="4687" spans="1:2" x14ac:dyDescent="0.2">
      <c r="A4687" s="170">
        <v>40794</v>
      </c>
      <c r="B4687" s="171">
        <v>2.92</v>
      </c>
    </row>
    <row r="4688" spans="1:2" x14ac:dyDescent="0.2">
      <c r="A4688" s="170">
        <v>40795</v>
      </c>
      <c r="B4688" s="171">
        <v>2.86</v>
      </c>
    </row>
    <row r="4689" spans="1:2" x14ac:dyDescent="0.2">
      <c r="A4689" s="170">
        <v>40798</v>
      </c>
      <c r="B4689" s="171">
        <v>2.84</v>
      </c>
    </row>
    <row r="4690" spans="1:2" x14ac:dyDescent="0.2">
      <c r="A4690" s="170">
        <v>40799</v>
      </c>
      <c r="B4690" s="171">
        <v>2.92</v>
      </c>
    </row>
    <row r="4691" spans="1:2" x14ac:dyDescent="0.2">
      <c r="A4691" s="170">
        <v>40800</v>
      </c>
      <c r="B4691" s="171">
        <v>2.92</v>
      </c>
    </row>
    <row r="4692" spans="1:2" x14ac:dyDescent="0.2">
      <c r="A4692" s="170">
        <v>40801</v>
      </c>
      <c r="B4692" s="171">
        <v>2.97</v>
      </c>
    </row>
    <row r="4693" spans="1:2" x14ac:dyDescent="0.2">
      <c r="A4693" s="170">
        <v>40802</v>
      </c>
      <c r="B4693" s="171">
        <v>2.96</v>
      </c>
    </row>
    <row r="4694" spans="1:2" x14ac:dyDescent="0.2">
      <c r="A4694" s="170">
        <v>40805</v>
      </c>
      <c r="B4694" s="171">
        <v>2.84</v>
      </c>
    </row>
    <row r="4695" spans="1:2" x14ac:dyDescent="0.2">
      <c r="A4695" s="170">
        <v>40806</v>
      </c>
      <c r="B4695" s="171">
        <v>2.82</v>
      </c>
    </row>
    <row r="4696" spans="1:2" x14ac:dyDescent="0.2">
      <c r="A4696" s="170">
        <v>40807</v>
      </c>
      <c r="B4696" s="171">
        <v>2.69</v>
      </c>
    </row>
    <row r="4697" spans="1:2" x14ac:dyDescent="0.2">
      <c r="A4697" s="170">
        <v>40808</v>
      </c>
      <c r="B4697" s="171">
        <v>2.48</v>
      </c>
    </row>
    <row r="4698" spans="1:2" x14ac:dyDescent="0.2">
      <c r="A4698" s="170">
        <v>40809</v>
      </c>
      <c r="B4698" s="171">
        <v>2.59</v>
      </c>
    </row>
    <row r="4699" spans="1:2" x14ac:dyDescent="0.2">
      <c r="A4699" s="170">
        <v>40812</v>
      </c>
      <c r="B4699" s="171">
        <v>2.69</v>
      </c>
    </row>
    <row r="4700" spans="1:2" x14ac:dyDescent="0.2">
      <c r="A4700" s="170">
        <v>40813</v>
      </c>
      <c r="B4700" s="171">
        <v>2.79</v>
      </c>
    </row>
    <row r="4701" spans="1:2" x14ac:dyDescent="0.2">
      <c r="A4701" s="170">
        <v>40814</v>
      </c>
      <c r="B4701" s="171">
        <v>2.82</v>
      </c>
    </row>
    <row r="4702" spans="1:2" x14ac:dyDescent="0.2">
      <c r="A4702" s="170">
        <v>40815</v>
      </c>
      <c r="B4702" s="171">
        <v>2.76</v>
      </c>
    </row>
    <row r="4703" spans="1:2" x14ac:dyDescent="0.2">
      <c r="A4703" s="170">
        <v>40816</v>
      </c>
      <c r="B4703" s="171">
        <v>2.66</v>
      </c>
    </row>
    <row r="4704" spans="1:2" x14ac:dyDescent="0.2">
      <c r="A4704" s="170">
        <v>40819</v>
      </c>
      <c r="B4704" s="171">
        <v>2.5099999999999998</v>
      </c>
    </row>
    <row r="4705" spans="1:2" x14ac:dyDescent="0.2">
      <c r="A4705" s="170">
        <v>40820</v>
      </c>
      <c r="B4705" s="171">
        <v>2.5299999999999998</v>
      </c>
    </row>
    <row r="4706" spans="1:2" x14ac:dyDescent="0.2">
      <c r="A4706" s="170">
        <v>40821</v>
      </c>
      <c r="B4706" s="171">
        <v>2.62</v>
      </c>
    </row>
    <row r="4707" spans="1:2" x14ac:dyDescent="0.2">
      <c r="A4707" s="170">
        <v>40822</v>
      </c>
      <c r="B4707" s="171">
        <v>2.71</v>
      </c>
    </row>
    <row r="4708" spans="1:2" x14ac:dyDescent="0.2">
      <c r="A4708" s="170">
        <v>40823</v>
      </c>
      <c r="B4708" s="171">
        <v>2.78</v>
      </c>
    </row>
    <row r="4709" spans="1:2" x14ac:dyDescent="0.2">
      <c r="A4709" s="170">
        <v>40826</v>
      </c>
      <c r="B4709" s="171" t="e">
        <f>NA()</f>
        <v>#N/A</v>
      </c>
    </row>
    <row r="4710" spans="1:2" x14ac:dyDescent="0.2">
      <c r="A4710" s="170">
        <v>40827</v>
      </c>
      <c r="B4710" s="171">
        <v>2.87</v>
      </c>
    </row>
    <row r="4711" spans="1:2" x14ac:dyDescent="0.2">
      <c r="A4711" s="170">
        <v>40828</v>
      </c>
      <c r="B4711" s="171">
        <v>2.94</v>
      </c>
    </row>
    <row r="4712" spans="1:2" x14ac:dyDescent="0.2">
      <c r="A4712" s="170">
        <v>40829</v>
      </c>
      <c r="B4712" s="171">
        <v>2.9</v>
      </c>
    </row>
    <row r="4713" spans="1:2" x14ac:dyDescent="0.2">
      <c r="A4713" s="170">
        <v>40830</v>
      </c>
      <c r="B4713" s="171">
        <v>2.97</v>
      </c>
    </row>
    <row r="4714" spans="1:2" x14ac:dyDescent="0.2">
      <c r="A4714" s="170">
        <v>40833</v>
      </c>
      <c r="B4714" s="171">
        <v>2.88</v>
      </c>
    </row>
    <row r="4715" spans="1:2" x14ac:dyDescent="0.2">
      <c r="A4715" s="170">
        <v>40834</v>
      </c>
      <c r="B4715" s="171">
        <v>2.91</v>
      </c>
    </row>
    <row r="4716" spans="1:2" x14ac:dyDescent="0.2">
      <c r="A4716" s="170">
        <v>40835</v>
      </c>
      <c r="B4716" s="171">
        <v>2.9</v>
      </c>
    </row>
    <row r="4717" spans="1:2" x14ac:dyDescent="0.2">
      <c r="A4717" s="170">
        <v>40836</v>
      </c>
      <c r="B4717" s="171">
        <v>2.92</v>
      </c>
    </row>
    <row r="4718" spans="1:2" x14ac:dyDescent="0.2">
      <c r="A4718" s="170">
        <v>40837</v>
      </c>
      <c r="B4718" s="171">
        <v>2.98</v>
      </c>
    </row>
    <row r="4719" spans="1:2" x14ac:dyDescent="0.2">
      <c r="A4719" s="170">
        <v>40840</v>
      </c>
      <c r="B4719" s="171">
        <v>3</v>
      </c>
    </row>
    <row r="4720" spans="1:2" x14ac:dyDescent="0.2">
      <c r="A4720" s="170">
        <v>40841</v>
      </c>
      <c r="B4720" s="171">
        <v>2.86</v>
      </c>
    </row>
    <row r="4721" spans="1:2" x14ac:dyDescent="0.2">
      <c r="A4721" s="170">
        <v>40842</v>
      </c>
      <c r="B4721" s="171">
        <v>2.95</v>
      </c>
    </row>
    <row r="4722" spans="1:2" x14ac:dyDescent="0.2">
      <c r="A4722" s="170">
        <v>40843</v>
      </c>
      <c r="B4722" s="171">
        <v>3.18</v>
      </c>
    </row>
    <row r="4723" spans="1:2" x14ac:dyDescent="0.2">
      <c r="A4723" s="170">
        <v>40844</v>
      </c>
      <c r="B4723" s="171">
        <v>3.09</v>
      </c>
    </row>
    <row r="4724" spans="1:2" x14ac:dyDescent="0.2">
      <c r="A4724" s="170">
        <v>40847</v>
      </c>
      <c r="B4724" s="171">
        <v>2.89</v>
      </c>
    </row>
    <row r="4725" spans="1:2" x14ac:dyDescent="0.2">
      <c r="A4725" s="170">
        <v>40848</v>
      </c>
      <c r="B4725" s="171">
        <v>2.73</v>
      </c>
    </row>
    <row r="4726" spans="1:2" x14ac:dyDescent="0.2">
      <c r="A4726" s="170">
        <v>40849</v>
      </c>
      <c r="B4726" s="171">
        <v>2.75</v>
      </c>
    </row>
    <row r="4727" spans="1:2" x14ac:dyDescent="0.2">
      <c r="A4727" s="170">
        <v>40850</v>
      </c>
      <c r="B4727" s="171">
        <v>2.83</v>
      </c>
    </row>
    <row r="4728" spans="1:2" x14ac:dyDescent="0.2">
      <c r="A4728" s="170">
        <v>40851</v>
      </c>
      <c r="B4728" s="171">
        <v>2.81</v>
      </c>
    </row>
    <row r="4729" spans="1:2" x14ac:dyDescent="0.2">
      <c r="A4729" s="170">
        <v>40854</v>
      </c>
      <c r="B4729" s="171">
        <v>2.77</v>
      </c>
    </row>
    <row r="4730" spans="1:2" x14ac:dyDescent="0.2">
      <c r="A4730" s="170">
        <v>40855</v>
      </c>
      <c r="B4730" s="171">
        <v>2.84</v>
      </c>
    </row>
    <row r="4731" spans="1:2" x14ac:dyDescent="0.2">
      <c r="A4731" s="170">
        <v>40856</v>
      </c>
      <c r="B4731" s="171">
        <v>2.73</v>
      </c>
    </row>
    <row r="4732" spans="1:2" x14ac:dyDescent="0.2">
      <c r="A4732" s="170">
        <v>40857</v>
      </c>
      <c r="B4732" s="171">
        <v>2.8</v>
      </c>
    </row>
    <row r="4733" spans="1:2" x14ac:dyDescent="0.2">
      <c r="A4733" s="170">
        <v>40858</v>
      </c>
      <c r="B4733" s="171" t="e">
        <f>NA()</f>
        <v>#N/A</v>
      </c>
    </row>
    <row r="4734" spans="1:2" x14ac:dyDescent="0.2">
      <c r="A4734" s="170">
        <v>40861</v>
      </c>
      <c r="B4734" s="171">
        <v>2.77</v>
      </c>
    </row>
    <row r="4735" spans="1:2" x14ac:dyDescent="0.2">
      <c r="A4735" s="170">
        <v>40862</v>
      </c>
      <c r="B4735" s="171">
        <v>2.79</v>
      </c>
    </row>
    <row r="4736" spans="1:2" x14ac:dyDescent="0.2">
      <c r="A4736" s="170">
        <v>40863</v>
      </c>
      <c r="B4736" s="171">
        <v>2.73</v>
      </c>
    </row>
    <row r="4737" spans="1:2" x14ac:dyDescent="0.2">
      <c r="A4737" s="170">
        <v>40864</v>
      </c>
      <c r="B4737" s="171">
        <v>2.66</v>
      </c>
    </row>
    <row r="4738" spans="1:2" x14ac:dyDescent="0.2">
      <c r="A4738" s="170">
        <v>40865</v>
      </c>
      <c r="B4738" s="171">
        <v>2.69</v>
      </c>
    </row>
    <row r="4739" spans="1:2" x14ac:dyDescent="0.2">
      <c r="A4739" s="170">
        <v>40868</v>
      </c>
      <c r="B4739" s="171">
        <v>2.65</v>
      </c>
    </row>
    <row r="4740" spans="1:2" x14ac:dyDescent="0.2">
      <c r="A4740" s="170">
        <v>40869</v>
      </c>
      <c r="B4740" s="171">
        <v>2.6</v>
      </c>
    </row>
    <row r="4741" spans="1:2" x14ac:dyDescent="0.2">
      <c r="A4741" s="170">
        <v>40870</v>
      </c>
      <c r="B4741" s="171">
        <v>2.5299999999999998</v>
      </c>
    </row>
    <row r="4742" spans="1:2" x14ac:dyDescent="0.2">
      <c r="A4742" s="170">
        <v>40871</v>
      </c>
      <c r="B4742" s="171" t="e">
        <f>NA()</f>
        <v>#N/A</v>
      </c>
    </row>
    <row r="4743" spans="1:2" x14ac:dyDescent="0.2">
      <c r="A4743" s="170">
        <v>40872</v>
      </c>
      <c r="B4743" s="171">
        <v>2.62</v>
      </c>
    </row>
    <row r="4744" spans="1:2" x14ac:dyDescent="0.2">
      <c r="A4744" s="170">
        <v>40875</v>
      </c>
      <c r="B4744" s="171">
        <v>2.63</v>
      </c>
    </row>
    <row r="4745" spans="1:2" x14ac:dyDescent="0.2">
      <c r="A4745" s="170">
        <v>40876</v>
      </c>
      <c r="B4745" s="171">
        <v>2.66</v>
      </c>
    </row>
    <row r="4746" spans="1:2" x14ac:dyDescent="0.2">
      <c r="A4746" s="170">
        <v>40877</v>
      </c>
      <c r="B4746" s="171">
        <v>2.77</v>
      </c>
    </row>
    <row r="4747" spans="1:2" x14ac:dyDescent="0.2">
      <c r="A4747" s="170">
        <v>40878</v>
      </c>
      <c r="B4747" s="171">
        <v>2.82</v>
      </c>
    </row>
    <row r="4748" spans="1:2" x14ac:dyDescent="0.2">
      <c r="A4748" s="170">
        <v>40879</v>
      </c>
      <c r="B4748" s="171">
        <v>2.74</v>
      </c>
    </row>
    <row r="4749" spans="1:2" x14ac:dyDescent="0.2">
      <c r="A4749" s="170">
        <v>40882</v>
      </c>
      <c r="B4749" s="171">
        <v>2.73</v>
      </c>
    </row>
    <row r="4750" spans="1:2" x14ac:dyDescent="0.2">
      <c r="A4750" s="170">
        <v>40883</v>
      </c>
      <c r="B4750" s="171">
        <v>2.74</v>
      </c>
    </row>
    <row r="4751" spans="1:2" x14ac:dyDescent="0.2">
      <c r="A4751" s="170">
        <v>40884</v>
      </c>
      <c r="B4751" s="171">
        <v>2.74</v>
      </c>
    </row>
    <row r="4752" spans="1:2" x14ac:dyDescent="0.2">
      <c r="A4752" s="170">
        <v>40885</v>
      </c>
      <c r="B4752" s="171">
        <v>2.7</v>
      </c>
    </row>
    <row r="4753" spans="1:2" x14ac:dyDescent="0.2">
      <c r="A4753" s="170">
        <v>40886</v>
      </c>
      <c r="B4753" s="171">
        <v>2.79</v>
      </c>
    </row>
    <row r="4754" spans="1:2" x14ac:dyDescent="0.2">
      <c r="A4754" s="170">
        <v>40889</v>
      </c>
      <c r="B4754" s="171">
        <v>2.75</v>
      </c>
    </row>
    <row r="4755" spans="1:2" x14ac:dyDescent="0.2">
      <c r="A4755" s="170">
        <v>40890</v>
      </c>
      <c r="B4755" s="171">
        <v>2.66</v>
      </c>
    </row>
    <row r="4756" spans="1:2" x14ac:dyDescent="0.2">
      <c r="A4756" s="170">
        <v>40891</v>
      </c>
      <c r="B4756" s="171">
        <v>2.59</v>
      </c>
    </row>
    <row r="4757" spans="1:2" x14ac:dyDescent="0.2">
      <c r="A4757" s="170">
        <v>40892</v>
      </c>
      <c r="B4757" s="171">
        <v>2.6</v>
      </c>
    </row>
    <row r="4758" spans="1:2" x14ac:dyDescent="0.2">
      <c r="A4758" s="170">
        <v>40893</v>
      </c>
      <c r="B4758" s="171">
        <v>2.54</v>
      </c>
    </row>
    <row r="4759" spans="1:2" x14ac:dyDescent="0.2">
      <c r="A4759" s="170">
        <v>40896</v>
      </c>
      <c r="B4759" s="171">
        <v>2.48</v>
      </c>
    </row>
    <row r="4760" spans="1:2" x14ac:dyDescent="0.2">
      <c r="A4760" s="170">
        <v>40897</v>
      </c>
      <c r="B4760" s="171">
        <v>2.61</v>
      </c>
    </row>
    <row r="4761" spans="1:2" x14ac:dyDescent="0.2">
      <c r="A4761" s="170">
        <v>40898</v>
      </c>
      <c r="B4761" s="171">
        <v>2.67</v>
      </c>
    </row>
    <row r="4762" spans="1:2" x14ac:dyDescent="0.2">
      <c r="A4762" s="170">
        <v>40899</v>
      </c>
      <c r="B4762" s="171">
        <v>2.67</v>
      </c>
    </row>
    <row r="4763" spans="1:2" x14ac:dyDescent="0.2">
      <c r="A4763" s="170">
        <v>40900</v>
      </c>
      <c r="B4763" s="171">
        <v>2.73</v>
      </c>
    </row>
    <row r="4764" spans="1:2" x14ac:dyDescent="0.2">
      <c r="A4764" s="170">
        <v>40903</v>
      </c>
      <c r="B4764" s="171" t="e">
        <f>NA()</f>
        <v>#N/A</v>
      </c>
    </row>
    <row r="4765" spans="1:2" x14ac:dyDescent="0.2">
      <c r="A4765" s="170">
        <v>40904</v>
      </c>
      <c r="B4765" s="171">
        <v>2.72</v>
      </c>
    </row>
    <row r="4766" spans="1:2" x14ac:dyDescent="0.2">
      <c r="A4766" s="170">
        <v>40905</v>
      </c>
      <c r="B4766" s="171">
        <v>2.59</v>
      </c>
    </row>
    <row r="4767" spans="1:2" x14ac:dyDescent="0.2">
      <c r="A4767" s="170">
        <v>40906</v>
      </c>
      <c r="B4767" s="171">
        <v>2.58</v>
      </c>
    </row>
    <row r="4768" spans="1:2" x14ac:dyDescent="0.2">
      <c r="A4768" s="170">
        <v>40907</v>
      </c>
      <c r="B4768" s="171">
        <v>2.57</v>
      </c>
    </row>
    <row r="4769" spans="1:2" x14ac:dyDescent="0.2">
      <c r="A4769" s="170">
        <v>40910</v>
      </c>
      <c r="B4769" s="171" t="e">
        <f>NA()</f>
        <v>#N/A</v>
      </c>
    </row>
    <row r="4770" spans="1:2" x14ac:dyDescent="0.2">
      <c r="A4770" s="170">
        <v>40911</v>
      </c>
      <c r="B4770" s="171">
        <v>2.67</v>
      </c>
    </row>
    <row r="4771" spans="1:2" x14ac:dyDescent="0.2">
      <c r="A4771" s="170">
        <v>40912</v>
      </c>
      <c r="B4771" s="171">
        <v>2.71</v>
      </c>
    </row>
    <row r="4772" spans="1:2" x14ac:dyDescent="0.2">
      <c r="A4772" s="170">
        <v>40913</v>
      </c>
      <c r="B4772" s="171">
        <v>2.74</v>
      </c>
    </row>
    <row r="4773" spans="1:2" x14ac:dyDescent="0.2">
      <c r="A4773" s="170">
        <v>40914</v>
      </c>
      <c r="B4773" s="171">
        <v>2.7</v>
      </c>
    </row>
    <row r="4774" spans="1:2" x14ac:dyDescent="0.2">
      <c r="A4774" s="170">
        <v>40917</v>
      </c>
      <c r="B4774" s="171">
        <v>2.7</v>
      </c>
    </row>
    <row r="4775" spans="1:2" x14ac:dyDescent="0.2">
      <c r="A4775" s="170">
        <v>40918</v>
      </c>
      <c r="B4775" s="171">
        <v>2.71</v>
      </c>
    </row>
    <row r="4776" spans="1:2" x14ac:dyDescent="0.2">
      <c r="A4776" s="170">
        <v>40919</v>
      </c>
      <c r="B4776" s="171">
        <v>2.63</v>
      </c>
    </row>
    <row r="4777" spans="1:2" x14ac:dyDescent="0.2">
      <c r="A4777" s="170">
        <v>40920</v>
      </c>
      <c r="B4777" s="171">
        <v>2.65</v>
      </c>
    </row>
    <row r="4778" spans="1:2" x14ac:dyDescent="0.2">
      <c r="A4778" s="170">
        <v>40921</v>
      </c>
      <c r="B4778" s="171">
        <v>2.59</v>
      </c>
    </row>
    <row r="4779" spans="1:2" x14ac:dyDescent="0.2">
      <c r="A4779" s="170">
        <v>40924</v>
      </c>
      <c r="B4779" s="171" t="e">
        <f>NA()</f>
        <v>#N/A</v>
      </c>
    </row>
    <row r="4780" spans="1:2" x14ac:dyDescent="0.2">
      <c r="A4780" s="170">
        <v>40925</v>
      </c>
      <c r="B4780" s="171">
        <v>2.57</v>
      </c>
    </row>
    <row r="4781" spans="1:2" x14ac:dyDescent="0.2">
      <c r="A4781" s="170">
        <v>40926</v>
      </c>
      <c r="B4781" s="171">
        <v>2.63</v>
      </c>
    </row>
    <row r="4782" spans="1:2" x14ac:dyDescent="0.2">
      <c r="A4782" s="170">
        <v>40927</v>
      </c>
      <c r="B4782" s="171">
        <v>2.72</v>
      </c>
    </row>
    <row r="4783" spans="1:2" x14ac:dyDescent="0.2">
      <c r="A4783" s="170">
        <v>40928</v>
      </c>
      <c r="B4783" s="171">
        <v>2.78</v>
      </c>
    </row>
    <row r="4784" spans="1:2" x14ac:dyDescent="0.2">
      <c r="A4784" s="170">
        <v>40931</v>
      </c>
      <c r="B4784" s="171">
        <v>2.82</v>
      </c>
    </row>
    <row r="4785" spans="1:2" x14ac:dyDescent="0.2">
      <c r="A4785" s="170">
        <v>40932</v>
      </c>
      <c r="B4785" s="171">
        <v>2.82</v>
      </c>
    </row>
    <row r="4786" spans="1:2" x14ac:dyDescent="0.2">
      <c r="A4786" s="170">
        <v>40933</v>
      </c>
      <c r="B4786" s="171">
        <v>2.78</v>
      </c>
    </row>
    <row r="4787" spans="1:2" x14ac:dyDescent="0.2">
      <c r="A4787" s="170">
        <v>40934</v>
      </c>
      <c r="B4787" s="171">
        <v>2.74</v>
      </c>
    </row>
    <row r="4788" spans="1:2" x14ac:dyDescent="0.2">
      <c r="A4788" s="170">
        <v>40935</v>
      </c>
      <c r="B4788" s="171">
        <v>2.71</v>
      </c>
    </row>
    <row r="4789" spans="1:2" x14ac:dyDescent="0.2">
      <c r="A4789" s="170">
        <v>40938</v>
      </c>
      <c r="B4789" s="171">
        <v>2.64</v>
      </c>
    </row>
    <row r="4790" spans="1:2" x14ac:dyDescent="0.2">
      <c r="A4790" s="170">
        <v>40939</v>
      </c>
      <c r="B4790" s="171">
        <v>2.59</v>
      </c>
    </row>
    <row r="4791" spans="1:2" x14ac:dyDescent="0.2">
      <c r="A4791" s="170">
        <v>40940</v>
      </c>
      <c r="B4791" s="171">
        <v>2.65</v>
      </c>
    </row>
    <row r="4792" spans="1:2" x14ac:dyDescent="0.2">
      <c r="A4792" s="170">
        <v>40941</v>
      </c>
      <c r="B4792" s="171">
        <v>2.64</v>
      </c>
    </row>
    <row r="4793" spans="1:2" x14ac:dyDescent="0.2">
      <c r="A4793" s="170">
        <v>40942</v>
      </c>
      <c r="B4793" s="171">
        <v>2.76</v>
      </c>
    </row>
    <row r="4794" spans="1:2" x14ac:dyDescent="0.2">
      <c r="A4794" s="170">
        <v>40945</v>
      </c>
      <c r="B4794" s="171">
        <v>2.71</v>
      </c>
    </row>
    <row r="4795" spans="1:2" x14ac:dyDescent="0.2">
      <c r="A4795" s="170">
        <v>40946</v>
      </c>
      <c r="B4795" s="171">
        <v>2.78</v>
      </c>
    </row>
    <row r="4796" spans="1:2" x14ac:dyDescent="0.2">
      <c r="A4796" s="170">
        <v>40947</v>
      </c>
      <c r="B4796" s="171">
        <v>2.78</v>
      </c>
    </row>
    <row r="4797" spans="1:2" x14ac:dyDescent="0.2">
      <c r="A4797" s="170">
        <v>40948</v>
      </c>
      <c r="B4797" s="171">
        <v>2.83</v>
      </c>
    </row>
    <row r="4798" spans="1:2" x14ac:dyDescent="0.2">
      <c r="A4798" s="170">
        <v>40949</v>
      </c>
      <c r="B4798" s="171">
        <v>2.75</v>
      </c>
    </row>
    <row r="4799" spans="1:2" x14ac:dyDescent="0.2">
      <c r="A4799" s="170">
        <v>40952</v>
      </c>
      <c r="B4799" s="171">
        <v>2.78</v>
      </c>
    </row>
    <row r="4800" spans="1:2" x14ac:dyDescent="0.2">
      <c r="A4800" s="170">
        <v>40953</v>
      </c>
      <c r="B4800" s="171">
        <v>2.7</v>
      </c>
    </row>
    <row r="4801" spans="1:2" x14ac:dyDescent="0.2">
      <c r="A4801" s="170">
        <v>40954</v>
      </c>
      <c r="B4801" s="171">
        <v>2.72</v>
      </c>
    </row>
    <row r="4802" spans="1:2" x14ac:dyDescent="0.2">
      <c r="A4802" s="170">
        <v>40955</v>
      </c>
      <c r="B4802" s="171">
        <v>2.78</v>
      </c>
    </row>
    <row r="4803" spans="1:2" x14ac:dyDescent="0.2">
      <c r="A4803" s="170">
        <v>40956</v>
      </c>
      <c r="B4803" s="171">
        <v>2.8</v>
      </c>
    </row>
    <row r="4804" spans="1:2" x14ac:dyDescent="0.2">
      <c r="A4804" s="170">
        <v>40959</v>
      </c>
      <c r="B4804" s="171" t="e">
        <f>NA()</f>
        <v>#N/A</v>
      </c>
    </row>
    <row r="4805" spans="1:2" x14ac:dyDescent="0.2">
      <c r="A4805" s="170">
        <v>40960</v>
      </c>
      <c r="B4805" s="171">
        <v>2.84</v>
      </c>
    </row>
    <row r="4806" spans="1:2" x14ac:dyDescent="0.2">
      <c r="A4806" s="170">
        <v>40961</v>
      </c>
      <c r="B4806" s="171">
        <v>2.79</v>
      </c>
    </row>
    <row r="4807" spans="1:2" x14ac:dyDescent="0.2">
      <c r="A4807" s="170">
        <v>40962</v>
      </c>
      <c r="B4807" s="171">
        <v>2.77</v>
      </c>
    </row>
    <row r="4808" spans="1:2" x14ac:dyDescent="0.2">
      <c r="A4808" s="170">
        <v>40963</v>
      </c>
      <c r="B4808" s="171">
        <v>2.75</v>
      </c>
    </row>
    <row r="4809" spans="1:2" x14ac:dyDescent="0.2">
      <c r="A4809" s="170">
        <v>40966</v>
      </c>
      <c r="B4809" s="171">
        <v>2.69</v>
      </c>
    </row>
    <row r="4810" spans="1:2" x14ac:dyDescent="0.2">
      <c r="A4810" s="170">
        <v>40967</v>
      </c>
      <c r="B4810" s="171">
        <v>2.71</v>
      </c>
    </row>
    <row r="4811" spans="1:2" x14ac:dyDescent="0.2">
      <c r="A4811" s="170">
        <v>40968</v>
      </c>
      <c r="B4811" s="171">
        <v>2.73</v>
      </c>
    </row>
    <row r="4812" spans="1:2" x14ac:dyDescent="0.2">
      <c r="A4812" s="170">
        <v>40969</v>
      </c>
      <c r="B4812" s="171">
        <v>2.8</v>
      </c>
    </row>
    <row r="4813" spans="1:2" x14ac:dyDescent="0.2">
      <c r="A4813" s="170">
        <v>40970</v>
      </c>
      <c r="B4813" s="171">
        <v>2.77</v>
      </c>
    </row>
    <row r="4814" spans="1:2" x14ac:dyDescent="0.2">
      <c r="A4814" s="170">
        <v>40973</v>
      </c>
      <c r="B4814" s="171">
        <v>2.78</v>
      </c>
    </row>
    <row r="4815" spans="1:2" x14ac:dyDescent="0.2">
      <c r="A4815" s="170">
        <v>40974</v>
      </c>
      <c r="B4815" s="171">
        <v>2.73</v>
      </c>
    </row>
    <row r="4816" spans="1:2" x14ac:dyDescent="0.2">
      <c r="A4816" s="170">
        <v>40975</v>
      </c>
      <c r="B4816" s="171">
        <v>2.76</v>
      </c>
    </row>
    <row r="4817" spans="1:2" x14ac:dyDescent="0.2">
      <c r="A4817" s="170">
        <v>40976</v>
      </c>
      <c r="B4817" s="171">
        <v>2.82</v>
      </c>
    </row>
    <row r="4818" spans="1:2" x14ac:dyDescent="0.2">
      <c r="A4818" s="170">
        <v>40977</v>
      </c>
      <c r="B4818" s="171">
        <v>2.83</v>
      </c>
    </row>
    <row r="4819" spans="1:2" x14ac:dyDescent="0.2">
      <c r="A4819" s="170">
        <v>40980</v>
      </c>
      <c r="B4819" s="171">
        <v>2.82</v>
      </c>
    </row>
    <row r="4820" spans="1:2" x14ac:dyDescent="0.2">
      <c r="A4820" s="170">
        <v>40981</v>
      </c>
      <c r="B4820" s="171">
        <v>2.92</v>
      </c>
    </row>
    <row r="4821" spans="1:2" x14ac:dyDescent="0.2">
      <c r="A4821" s="170">
        <v>40982</v>
      </c>
      <c r="B4821" s="171">
        <v>3.08</v>
      </c>
    </row>
    <row r="4822" spans="1:2" x14ac:dyDescent="0.2">
      <c r="A4822" s="170">
        <v>40983</v>
      </c>
      <c r="B4822" s="171">
        <v>3.08</v>
      </c>
    </row>
    <row r="4823" spans="1:2" x14ac:dyDescent="0.2">
      <c r="A4823" s="170">
        <v>40984</v>
      </c>
      <c r="B4823" s="171">
        <v>3.08</v>
      </c>
    </row>
    <row r="4824" spans="1:2" x14ac:dyDescent="0.2">
      <c r="A4824" s="170">
        <v>40987</v>
      </c>
      <c r="B4824" s="171">
        <v>3.14</v>
      </c>
    </row>
    <row r="4825" spans="1:2" x14ac:dyDescent="0.2">
      <c r="A4825" s="170">
        <v>40988</v>
      </c>
      <c r="B4825" s="171">
        <v>3.13</v>
      </c>
    </row>
    <row r="4826" spans="1:2" x14ac:dyDescent="0.2">
      <c r="A4826" s="170">
        <v>40989</v>
      </c>
      <c r="B4826" s="171">
        <v>3.06</v>
      </c>
    </row>
    <row r="4827" spans="1:2" x14ac:dyDescent="0.2">
      <c r="A4827" s="170">
        <v>40990</v>
      </c>
      <c r="B4827" s="171">
        <v>3.04</v>
      </c>
    </row>
    <row r="4828" spans="1:2" x14ac:dyDescent="0.2">
      <c r="A4828" s="170">
        <v>40991</v>
      </c>
      <c r="B4828" s="171">
        <v>2.99</v>
      </c>
    </row>
    <row r="4829" spans="1:2" x14ac:dyDescent="0.2">
      <c r="A4829" s="170">
        <v>40994</v>
      </c>
      <c r="B4829" s="171">
        <v>3</v>
      </c>
    </row>
    <row r="4830" spans="1:2" x14ac:dyDescent="0.2">
      <c r="A4830" s="170">
        <v>40995</v>
      </c>
      <c r="B4830" s="171">
        <v>2.96</v>
      </c>
    </row>
    <row r="4831" spans="1:2" x14ac:dyDescent="0.2">
      <c r="A4831" s="170">
        <v>40996</v>
      </c>
      <c r="B4831" s="171">
        <v>2.97</v>
      </c>
    </row>
    <row r="4832" spans="1:2" x14ac:dyDescent="0.2">
      <c r="A4832" s="170">
        <v>40997</v>
      </c>
      <c r="B4832" s="171">
        <v>2.93</v>
      </c>
    </row>
    <row r="4833" spans="1:2" x14ac:dyDescent="0.2">
      <c r="A4833" s="170">
        <v>40998</v>
      </c>
      <c r="B4833" s="171">
        <v>3</v>
      </c>
    </row>
    <row r="4834" spans="1:2" x14ac:dyDescent="0.2">
      <c r="A4834" s="170">
        <v>41001</v>
      </c>
      <c r="B4834" s="171">
        <v>3</v>
      </c>
    </row>
    <row r="4835" spans="1:2" x14ac:dyDescent="0.2">
      <c r="A4835" s="170">
        <v>41002</v>
      </c>
      <c r="B4835" s="171">
        <v>3.07</v>
      </c>
    </row>
    <row r="4836" spans="1:2" x14ac:dyDescent="0.2">
      <c r="A4836" s="170">
        <v>41003</v>
      </c>
      <c r="B4836" s="171">
        <v>3.02</v>
      </c>
    </row>
    <row r="4837" spans="1:2" x14ac:dyDescent="0.2">
      <c r="A4837" s="170">
        <v>41004</v>
      </c>
      <c r="B4837" s="171">
        <v>2.97</v>
      </c>
    </row>
    <row r="4838" spans="1:2" x14ac:dyDescent="0.2">
      <c r="A4838" s="170">
        <v>41005</v>
      </c>
      <c r="B4838" s="171">
        <v>2.85</v>
      </c>
    </row>
    <row r="4839" spans="1:2" x14ac:dyDescent="0.2">
      <c r="A4839" s="170">
        <v>41008</v>
      </c>
      <c r="B4839" s="171">
        <v>2.82</v>
      </c>
    </row>
    <row r="4840" spans="1:2" x14ac:dyDescent="0.2">
      <c r="A4840" s="170">
        <v>41009</v>
      </c>
      <c r="B4840" s="171">
        <v>2.77</v>
      </c>
    </row>
    <row r="4841" spans="1:2" x14ac:dyDescent="0.2">
      <c r="A4841" s="170">
        <v>41010</v>
      </c>
      <c r="B4841" s="171">
        <v>2.82</v>
      </c>
    </row>
    <row r="4842" spans="1:2" x14ac:dyDescent="0.2">
      <c r="A4842" s="170">
        <v>41011</v>
      </c>
      <c r="B4842" s="171">
        <v>2.85</v>
      </c>
    </row>
    <row r="4843" spans="1:2" x14ac:dyDescent="0.2">
      <c r="A4843" s="170">
        <v>41012</v>
      </c>
      <c r="B4843" s="171">
        <v>2.77</v>
      </c>
    </row>
    <row r="4844" spans="1:2" x14ac:dyDescent="0.2">
      <c r="A4844" s="170">
        <v>41015</v>
      </c>
      <c r="B4844" s="171">
        <v>2.75</v>
      </c>
    </row>
    <row r="4845" spans="1:2" x14ac:dyDescent="0.2">
      <c r="A4845" s="170">
        <v>41016</v>
      </c>
      <c r="B4845" s="171">
        <v>2.79</v>
      </c>
    </row>
    <row r="4846" spans="1:2" x14ac:dyDescent="0.2">
      <c r="A4846" s="170">
        <v>41017</v>
      </c>
      <c r="B4846" s="171">
        <v>2.76</v>
      </c>
    </row>
    <row r="4847" spans="1:2" x14ac:dyDescent="0.2">
      <c r="A4847" s="170">
        <v>41018</v>
      </c>
      <c r="B4847" s="171">
        <v>2.74</v>
      </c>
    </row>
    <row r="4848" spans="1:2" x14ac:dyDescent="0.2">
      <c r="A4848" s="170">
        <v>41019</v>
      </c>
      <c r="B4848" s="171">
        <v>2.75</v>
      </c>
    </row>
    <row r="4849" spans="1:2" x14ac:dyDescent="0.2">
      <c r="A4849" s="170">
        <v>41022</v>
      </c>
      <c r="B4849" s="171">
        <v>2.71</v>
      </c>
    </row>
    <row r="4850" spans="1:2" x14ac:dyDescent="0.2">
      <c r="A4850" s="170">
        <v>41023</v>
      </c>
      <c r="B4850" s="171">
        <v>2.75</v>
      </c>
    </row>
    <row r="4851" spans="1:2" x14ac:dyDescent="0.2">
      <c r="A4851" s="170">
        <v>41024</v>
      </c>
      <c r="B4851" s="171">
        <v>2.76</v>
      </c>
    </row>
    <row r="4852" spans="1:2" x14ac:dyDescent="0.2">
      <c r="A4852" s="170">
        <v>41025</v>
      </c>
      <c r="B4852" s="171">
        <v>2.74</v>
      </c>
    </row>
    <row r="4853" spans="1:2" x14ac:dyDescent="0.2">
      <c r="A4853" s="170">
        <v>41026</v>
      </c>
      <c r="B4853" s="171">
        <v>2.73</v>
      </c>
    </row>
    <row r="4854" spans="1:2" x14ac:dyDescent="0.2">
      <c r="A4854" s="170">
        <v>41029</v>
      </c>
      <c r="B4854" s="171">
        <v>2.73</v>
      </c>
    </row>
    <row r="4855" spans="1:2" x14ac:dyDescent="0.2">
      <c r="A4855" s="170">
        <v>41030</v>
      </c>
      <c r="B4855" s="171">
        <v>2.76</v>
      </c>
    </row>
    <row r="4856" spans="1:2" x14ac:dyDescent="0.2">
      <c r="A4856" s="170">
        <v>41031</v>
      </c>
      <c r="B4856" s="171">
        <v>2.72</v>
      </c>
    </row>
    <row r="4857" spans="1:2" x14ac:dyDescent="0.2">
      <c r="A4857" s="170">
        <v>41032</v>
      </c>
      <c r="B4857" s="171">
        <v>2.72</v>
      </c>
    </row>
    <row r="4858" spans="1:2" x14ac:dyDescent="0.2">
      <c r="A4858" s="170">
        <v>41033</v>
      </c>
      <c r="B4858" s="171">
        <v>2.67</v>
      </c>
    </row>
    <row r="4859" spans="1:2" x14ac:dyDescent="0.2">
      <c r="A4859" s="170">
        <v>41036</v>
      </c>
      <c r="B4859" s="171">
        <v>2.67</v>
      </c>
    </row>
    <row r="4860" spans="1:2" x14ac:dyDescent="0.2">
      <c r="A4860" s="170">
        <v>41037</v>
      </c>
      <c r="B4860" s="171">
        <v>2.63</v>
      </c>
    </row>
    <row r="4861" spans="1:2" x14ac:dyDescent="0.2">
      <c r="A4861" s="170">
        <v>41038</v>
      </c>
      <c r="B4861" s="171">
        <v>2.63</v>
      </c>
    </row>
    <row r="4862" spans="1:2" x14ac:dyDescent="0.2">
      <c r="A4862" s="170">
        <v>41039</v>
      </c>
      <c r="B4862" s="171">
        <v>2.64</v>
      </c>
    </row>
    <row r="4863" spans="1:2" x14ac:dyDescent="0.2">
      <c r="A4863" s="170">
        <v>41040</v>
      </c>
      <c r="B4863" s="171">
        <v>2.59</v>
      </c>
    </row>
    <row r="4864" spans="1:2" x14ac:dyDescent="0.2">
      <c r="A4864" s="170">
        <v>41043</v>
      </c>
      <c r="B4864" s="171">
        <v>2.5299999999999998</v>
      </c>
    </row>
    <row r="4865" spans="1:2" x14ac:dyDescent="0.2">
      <c r="A4865" s="170">
        <v>41044</v>
      </c>
      <c r="B4865" s="171">
        <v>2.5</v>
      </c>
    </row>
    <row r="4866" spans="1:2" x14ac:dyDescent="0.2">
      <c r="A4866" s="170">
        <v>41045</v>
      </c>
      <c r="B4866" s="171">
        <v>2.48</v>
      </c>
    </row>
    <row r="4867" spans="1:2" x14ac:dyDescent="0.2">
      <c r="A4867" s="170">
        <v>41046</v>
      </c>
      <c r="B4867" s="171">
        <v>2.39</v>
      </c>
    </row>
    <row r="4868" spans="1:2" x14ac:dyDescent="0.2">
      <c r="A4868" s="170">
        <v>41047</v>
      </c>
      <c r="B4868" s="171">
        <v>2.4</v>
      </c>
    </row>
    <row r="4869" spans="1:2" x14ac:dyDescent="0.2">
      <c r="A4869" s="170">
        <v>41050</v>
      </c>
      <c r="B4869" s="171">
        <v>2.42</v>
      </c>
    </row>
    <row r="4870" spans="1:2" x14ac:dyDescent="0.2">
      <c r="A4870" s="170">
        <v>41051</v>
      </c>
      <c r="B4870" s="171">
        <v>2.48</v>
      </c>
    </row>
    <row r="4871" spans="1:2" x14ac:dyDescent="0.2">
      <c r="A4871" s="170">
        <v>41052</v>
      </c>
      <c r="B4871" s="171">
        <v>2.41</v>
      </c>
    </row>
    <row r="4872" spans="1:2" x14ac:dyDescent="0.2">
      <c r="A4872" s="170">
        <v>41053</v>
      </c>
      <c r="B4872" s="171">
        <v>2.46</v>
      </c>
    </row>
    <row r="4873" spans="1:2" x14ac:dyDescent="0.2">
      <c r="A4873" s="170">
        <v>41054</v>
      </c>
      <c r="B4873" s="171">
        <v>2.44</v>
      </c>
    </row>
    <row r="4874" spans="1:2" x14ac:dyDescent="0.2">
      <c r="A4874" s="170">
        <v>41057</v>
      </c>
      <c r="B4874" s="171" t="e">
        <f>NA()</f>
        <v>#N/A</v>
      </c>
    </row>
    <row r="4875" spans="1:2" x14ac:dyDescent="0.2">
      <c r="A4875" s="170">
        <v>41058</v>
      </c>
      <c r="B4875" s="171">
        <v>2.44</v>
      </c>
    </row>
    <row r="4876" spans="1:2" x14ac:dyDescent="0.2">
      <c r="A4876" s="170">
        <v>41059</v>
      </c>
      <c r="B4876" s="171">
        <v>2.3199999999999998</v>
      </c>
    </row>
    <row r="4877" spans="1:2" x14ac:dyDescent="0.2">
      <c r="A4877" s="170">
        <v>41060</v>
      </c>
      <c r="B4877" s="171">
        <v>2.27</v>
      </c>
    </row>
    <row r="4878" spans="1:2" x14ac:dyDescent="0.2">
      <c r="A4878" s="170">
        <v>41061</v>
      </c>
      <c r="B4878" s="171">
        <v>2.13</v>
      </c>
    </row>
    <row r="4879" spans="1:2" x14ac:dyDescent="0.2">
      <c r="A4879" s="170">
        <v>41064</v>
      </c>
      <c r="B4879" s="171">
        <v>2.17</v>
      </c>
    </row>
    <row r="4880" spans="1:2" x14ac:dyDescent="0.2">
      <c r="A4880" s="170">
        <v>41065</v>
      </c>
      <c r="B4880" s="171">
        <v>2.23</v>
      </c>
    </row>
    <row r="4881" spans="1:2" x14ac:dyDescent="0.2">
      <c r="A4881" s="170">
        <v>41066</v>
      </c>
      <c r="B4881" s="171">
        <v>2.34</v>
      </c>
    </row>
    <row r="4882" spans="1:2" x14ac:dyDescent="0.2">
      <c r="A4882" s="170">
        <v>41067</v>
      </c>
      <c r="B4882" s="171">
        <v>2.35</v>
      </c>
    </row>
    <row r="4883" spans="1:2" x14ac:dyDescent="0.2">
      <c r="A4883" s="170">
        <v>41068</v>
      </c>
      <c r="B4883" s="171">
        <v>2.36</v>
      </c>
    </row>
    <row r="4884" spans="1:2" x14ac:dyDescent="0.2">
      <c r="A4884" s="170">
        <v>41071</v>
      </c>
      <c r="B4884" s="171">
        <v>2.2999999999999998</v>
      </c>
    </row>
    <row r="4885" spans="1:2" x14ac:dyDescent="0.2">
      <c r="A4885" s="170">
        <v>41072</v>
      </c>
      <c r="B4885" s="171">
        <v>2.37</v>
      </c>
    </row>
    <row r="4886" spans="1:2" x14ac:dyDescent="0.2">
      <c r="A4886" s="170">
        <v>41073</v>
      </c>
      <c r="B4886" s="171">
        <v>2.2999999999999998</v>
      </c>
    </row>
    <row r="4887" spans="1:2" x14ac:dyDescent="0.2">
      <c r="A4887" s="170">
        <v>41074</v>
      </c>
      <c r="B4887" s="171">
        <v>2.33</v>
      </c>
    </row>
    <row r="4888" spans="1:2" x14ac:dyDescent="0.2">
      <c r="A4888" s="170">
        <v>41075</v>
      </c>
      <c r="B4888" s="171">
        <v>2.2999999999999998</v>
      </c>
    </row>
    <row r="4889" spans="1:2" x14ac:dyDescent="0.2">
      <c r="A4889" s="170">
        <v>41078</v>
      </c>
      <c r="B4889" s="171">
        <v>2.2799999999999998</v>
      </c>
    </row>
    <row r="4890" spans="1:2" x14ac:dyDescent="0.2">
      <c r="A4890" s="170">
        <v>41079</v>
      </c>
      <c r="B4890" s="171">
        <v>2.33</v>
      </c>
    </row>
    <row r="4891" spans="1:2" x14ac:dyDescent="0.2">
      <c r="A4891" s="170">
        <v>41080</v>
      </c>
      <c r="B4891" s="171">
        <v>2.34</v>
      </c>
    </row>
    <row r="4892" spans="1:2" x14ac:dyDescent="0.2">
      <c r="A4892" s="170">
        <v>41081</v>
      </c>
      <c r="B4892" s="171">
        <v>2.2999999999999998</v>
      </c>
    </row>
    <row r="4893" spans="1:2" x14ac:dyDescent="0.2">
      <c r="A4893" s="170">
        <v>41082</v>
      </c>
      <c r="B4893" s="171">
        <v>2.37</v>
      </c>
    </row>
    <row r="4894" spans="1:2" x14ac:dyDescent="0.2">
      <c r="A4894" s="170">
        <v>41085</v>
      </c>
      <c r="B4894" s="171">
        <v>2.31</v>
      </c>
    </row>
    <row r="4895" spans="1:2" x14ac:dyDescent="0.2">
      <c r="A4895" s="170">
        <v>41086</v>
      </c>
      <c r="B4895" s="171">
        <v>2.34</v>
      </c>
    </row>
    <row r="4896" spans="1:2" x14ac:dyDescent="0.2">
      <c r="A4896" s="170">
        <v>41087</v>
      </c>
      <c r="B4896" s="171">
        <v>2.3199999999999998</v>
      </c>
    </row>
    <row r="4897" spans="1:2" x14ac:dyDescent="0.2">
      <c r="A4897" s="170">
        <v>41088</v>
      </c>
      <c r="B4897" s="171">
        <v>2.2799999999999998</v>
      </c>
    </row>
    <row r="4898" spans="1:2" x14ac:dyDescent="0.2">
      <c r="A4898" s="170">
        <v>41089</v>
      </c>
      <c r="B4898" s="171">
        <v>2.38</v>
      </c>
    </row>
    <row r="4899" spans="1:2" x14ac:dyDescent="0.2">
      <c r="A4899" s="170">
        <v>41092</v>
      </c>
      <c r="B4899" s="171">
        <v>2.2999999999999998</v>
      </c>
    </row>
    <row r="4900" spans="1:2" x14ac:dyDescent="0.2">
      <c r="A4900" s="170">
        <v>41093</v>
      </c>
      <c r="B4900" s="171">
        <v>2.36</v>
      </c>
    </row>
    <row r="4901" spans="1:2" x14ac:dyDescent="0.2">
      <c r="A4901" s="170">
        <v>41094</v>
      </c>
      <c r="B4901" s="171" t="e">
        <f>NA()</f>
        <v>#N/A</v>
      </c>
    </row>
    <row r="4902" spans="1:2" x14ac:dyDescent="0.2">
      <c r="A4902" s="170">
        <v>41095</v>
      </c>
      <c r="B4902" s="171">
        <v>2.34</v>
      </c>
    </row>
    <row r="4903" spans="1:2" x14ac:dyDescent="0.2">
      <c r="A4903" s="170">
        <v>41096</v>
      </c>
      <c r="B4903" s="171">
        <v>2.2799999999999998</v>
      </c>
    </row>
    <row r="4904" spans="1:2" x14ac:dyDescent="0.2">
      <c r="A4904" s="170">
        <v>41099</v>
      </c>
      <c r="B4904" s="171">
        <v>2.2400000000000002</v>
      </c>
    </row>
    <row r="4905" spans="1:2" x14ac:dyDescent="0.2">
      <c r="A4905" s="170">
        <v>41100</v>
      </c>
      <c r="B4905" s="171">
        <v>2.2200000000000002</v>
      </c>
    </row>
    <row r="4906" spans="1:2" x14ac:dyDescent="0.2">
      <c r="A4906" s="170">
        <v>41101</v>
      </c>
      <c r="B4906" s="171">
        <v>2.2200000000000002</v>
      </c>
    </row>
    <row r="4907" spans="1:2" x14ac:dyDescent="0.2">
      <c r="A4907" s="170">
        <v>41102</v>
      </c>
      <c r="B4907" s="171">
        <v>2.1800000000000002</v>
      </c>
    </row>
    <row r="4908" spans="1:2" x14ac:dyDescent="0.2">
      <c r="A4908" s="170">
        <v>41103</v>
      </c>
      <c r="B4908" s="171">
        <v>2.2000000000000002</v>
      </c>
    </row>
    <row r="4909" spans="1:2" x14ac:dyDescent="0.2">
      <c r="A4909" s="170">
        <v>41106</v>
      </c>
      <c r="B4909" s="171">
        <v>2.1800000000000002</v>
      </c>
    </row>
    <row r="4910" spans="1:2" x14ac:dyDescent="0.2">
      <c r="A4910" s="170">
        <v>41107</v>
      </c>
      <c r="B4910" s="171">
        <v>2.2200000000000002</v>
      </c>
    </row>
    <row r="4911" spans="1:2" x14ac:dyDescent="0.2">
      <c r="A4911" s="170">
        <v>41108</v>
      </c>
      <c r="B4911" s="171">
        <v>2.21</v>
      </c>
    </row>
    <row r="4912" spans="1:2" x14ac:dyDescent="0.2">
      <c r="A4912" s="170">
        <v>41109</v>
      </c>
      <c r="B4912" s="171">
        <v>2.2400000000000002</v>
      </c>
    </row>
    <row r="4913" spans="1:2" x14ac:dyDescent="0.2">
      <c r="A4913" s="170">
        <v>41110</v>
      </c>
      <c r="B4913" s="171">
        <v>2.17</v>
      </c>
    </row>
    <row r="4914" spans="1:2" x14ac:dyDescent="0.2">
      <c r="A4914" s="170">
        <v>41113</v>
      </c>
      <c r="B4914" s="171">
        <v>2.15</v>
      </c>
    </row>
    <row r="4915" spans="1:2" x14ac:dyDescent="0.2">
      <c r="A4915" s="170">
        <v>41114</v>
      </c>
      <c r="B4915" s="171">
        <v>2.11</v>
      </c>
    </row>
    <row r="4916" spans="1:2" x14ac:dyDescent="0.2">
      <c r="A4916" s="170">
        <v>41115</v>
      </c>
      <c r="B4916" s="171">
        <v>2.11</v>
      </c>
    </row>
    <row r="4917" spans="1:2" x14ac:dyDescent="0.2">
      <c r="A4917" s="170">
        <v>41116</v>
      </c>
      <c r="B4917" s="171">
        <v>2.13</v>
      </c>
    </row>
    <row r="4918" spans="1:2" x14ac:dyDescent="0.2">
      <c r="A4918" s="170">
        <v>41117</v>
      </c>
      <c r="B4918" s="171">
        <v>2.27</v>
      </c>
    </row>
    <row r="4919" spans="1:2" x14ac:dyDescent="0.2">
      <c r="A4919" s="170">
        <v>41120</v>
      </c>
      <c r="B4919" s="171">
        <v>2.2200000000000002</v>
      </c>
    </row>
    <row r="4920" spans="1:2" x14ac:dyDescent="0.2">
      <c r="A4920" s="170">
        <v>41121</v>
      </c>
      <c r="B4920" s="171">
        <v>2.21</v>
      </c>
    </row>
    <row r="4921" spans="1:2" x14ac:dyDescent="0.2">
      <c r="A4921" s="170">
        <v>41122</v>
      </c>
      <c r="B4921" s="171">
        <v>2.25</v>
      </c>
    </row>
    <row r="4922" spans="1:2" x14ac:dyDescent="0.2">
      <c r="A4922" s="170">
        <v>41123</v>
      </c>
      <c r="B4922" s="171">
        <v>2.2000000000000002</v>
      </c>
    </row>
    <row r="4923" spans="1:2" x14ac:dyDescent="0.2">
      <c r="A4923" s="170">
        <v>41124</v>
      </c>
      <c r="B4923" s="171">
        <v>2.2999999999999998</v>
      </c>
    </row>
    <row r="4924" spans="1:2" x14ac:dyDescent="0.2">
      <c r="A4924" s="170">
        <v>41127</v>
      </c>
      <c r="B4924" s="171">
        <v>2.29</v>
      </c>
    </row>
    <row r="4925" spans="1:2" x14ac:dyDescent="0.2">
      <c r="A4925" s="170">
        <v>41128</v>
      </c>
      <c r="B4925" s="171">
        <v>2.37</v>
      </c>
    </row>
    <row r="4926" spans="1:2" x14ac:dyDescent="0.2">
      <c r="A4926" s="170">
        <v>41129</v>
      </c>
      <c r="B4926" s="171">
        <v>2.39</v>
      </c>
    </row>
    <row r="4927" spans="1:2" x14ac:dyDescent="0.2">
      <c r="A4927" s="170">
        <v>41130</v>
      </c>
      <c r="B4927" s="171">
        <v>2.4</v>
      </c>
    </row>
    <row r="4928" spans="1:2" x14ac:dyDescent="0.2">
      <c r="A4928" s="170">
        <v>41131</v>
      </c>
      <c r="B4928" s="171">
        <v>2.37</v>
      </c>
    </row>
    <row r="4929" spans="1:2" x14ac:dyDescent="0.2">
      <c r="A4929" s="170">
        <v>41134</v>
      </c>
      <c r="B4929" s="171">
        <v>2.37</v>
      </c>
    </row>
    <row r="4930" spans="1:2" x14ac:dyDescent="0.2">
      <c r="A4930" s="170">
        <v>41135</v>
      </c>
      <c r="B4930" s="171">
        <v>2.4500000000000002</v>
      </c>
    </row>
    <row r="4931" spans="1:2" x14ac:dyDescent="0.2">
      <c r="A4931" s="170">
        <v>41136</v>
      </c>
      <c r="B4931" s="171">
        <v>2.5299999999999998</v>
      </c>
    </row>
    <row r="4932" spans="1:2" x14ac:dyDescent="0.2">
      <c r="A4932" s="170">
        <v>41137</v>
      </c>
      <c r="B4932" s="171">
        <v>2.57</v>
      </c>
    </row>
    <row r="4933" spans="1:2" x14ac:dyDescent="0.2">
      <c r="A4933" s="170">
        <v>41138</v>
      </c>
      <c r="B4933" s="171">
        <v>2.5499999999999998</v>
      </c>
    </row>
    <row r="4934" spans="1:2" x14ac:dyDescent="0.2">
      <c r="A4934" s="170">
        <v>41141</v>
      </c>
      <c r="B4934" s="171">
        <v>2.5499999999999998</v>
      </c>
    </row>
    <row r="4935" spans="1:2" x14ac:dyDescent="0.2">
      <c r="A4935" s="170">
        <v>41142</v>
      </c>
      <c r="B4935" s="171">
        <v>2.5299999999999998</v>
      </c>
    </row>
    <row r="4936" spans="1:2" x14ac:dyDescent="0.2">
      <c r="A4936" s="170">
        <v>41143</v>
      </c>
      <c r="B4936" s="171">
        <v>2.44</v>
      </c>
    </row>
    <row r="4937" spans="1:2" x14ac:dyDescent="0.2">
      <c r="A4937" s="170">
        <v>41144</v>
      </c>
      <c r="B4937" s="171">
        <v>2.41</v>
      </c>
    </row>
    <row r="4938" spans="1:2" x14ac:dyDescent="0.2">
      <c r="A4938" s="170">
        <v>41145</v>
      </c>
      <c r="B4938" s="171">
        <v>2.41</v>
      </c>
    </row>
    <row r="4939" spans="1:2" x14ac:dyDescent="0.2">
      <c r="A4939" s="170">
        <v>41148</v>
      </c>
      <c r="B4939" s="171">
        <v>2.38</v>
      </c>
    </row>
    <row r="4940" spans="1:2" x14ac:dyDescent="0.2">
      <c r="A4940" s="170">
        <v>41149</v>
      </c>
      <c r="B4940" s="171">
        <v>2.36</v>
      </c>
    </row>
    <row r="4941" spans="1:2" x14ac:dyDescent="0.2">
      <c r="A4941" s="170">
        <v>41150</v>
      </c>
      <c r="B4941" s="171">
        <v>2.38</v>
      </c>
    </row>
    <row r="4942" spans="1:2" x14ac:dyDescent="0.2">
      <c r="A4942" s="170">
        <v>41151</v>
      </c>
      <c r="B4942" s="171">
        <v>2.36</v>
      </c>
    </row>
    <row r="4943" spans="1:2" x14ac:dyDescent="0.2">
      <c r="A4943" s="170">
        <v>41152</v>
      </c>
      <c r="B4943" s="171">
        <v>2.29</v>
      </c>
    </row>
    <row r="4944" spans="1:2" x14ac:dyDescent="0.2">
      <c r="A4944" s="170">
        <v>41155</v>
      </c>
      <c r="B4944" s="171" t="e">
        <f>NA()</f>
        <v>#N/A</v>
      </c>
    </row>
    <row r="4945" spans="1:2" x14ac:dyDescent="0.2">
      <c r="A4945" s="170">
        <v>41156</v>
      </c>
      <c r="B4945" s="171">
        <v>2.2999999999999998</v>
      </c>
    </row>
    <row r="4946" spans="1:2" x14ac:dyDescent="0.2">
      <c r="A4946" s="170">
        <v>41157</v>
      </c>
      <c r="B4946" s="171">
        <v>2.3199999999999998</v>
      </c>
    </row>
    <row r="4947" spans="1:2" x14ac:dyDescent="0.2">
      <c r="A4947" s="170">
        <v>41158</v>
      </c>
      <c r="B4947" s="171">
        <v>2.41</v>
      </c>
    </row>
    <row r="4948" spans="1:2" x14ac:dyDescent="0.2">
      <c r="A4948" s="170">
        <v>41159</v>
      </c>
      <c r="B4948" s="171">
        <v>2.42</v>
      </c>
    </row>
    <row r="4949" spans="1:2" x14ac:dyDescent="0.2">
      <c r="A4949" s="170">
        <v>41162</v>
      </c>
      <c r="B4949" s="171">
        <v>2.4300000000000002</v>
      </c>
    </row>
    <row r="4950" spans="1:2" x14ac:dyDescent="0.2">
      <c r="A4950" s="170">
        <v>41163</v>
      </c>
      <c r="B4950" s="171">
        <v>2.44</v>
      </c>
    </row>
    <row r="4951" spans="1:2" x14ac:dyDescent="0.2">
      <c r="A4951" s="170">
        <v>41164</v>
      </c>
      <c r="B4951" s="171">
        <v>2.52</v>
      </c>
    </row>
    <row r="4952" spans="1:2" x14ac:dyDescent="0.2">
      <c r="A4952" s="170">
        <v>41165</v>
      </c>
      <c r="B4952" s="171">
        <v>2.5299999999999998</v>
      </c>
    </row>
    <row r="4953" spans="1:2" x14ac:dyDescent="0.2">
      <c r="A4953" s="170">
        <v>41166</v>
      </c>
      <c r="B4953" s="171">
        <v>2.68</v>
      </c>
    </row>
    <row r="4954" spans="1:2" x14ac:dyDescent="0.2">
      <c r="A4954" s="170">
        <v>41169</v>
      </c>
      <c r="B4954" s="171">
        <v>2.64</v>
      </c>
    </row>
    <row r="4955" spans="1:2" x14ac:dyDescent="0.2">
      <c r="A4955" s="170">
        <v>41170</v>
      </c>
      <c r="B4955" s="171">
        <v>2.61</v>
      </c>
    </row>
    <row r="4956" spans="1:2" x14ac:dyDescent="0.2">
      <c r="A4956" s="170">
        <v>41171</v>
      </c>
      <c r="B4956" s="171">
        <v>2.58</v>
      </c>
    </row>
    <row r="4957" spans="1:2" x14ac:dyDescent="0.2">
      <c r="A4957" s="170">
        <v>41172</v>
      </c>
      <c r="B4957" s="171">
        <v>2.58</v>
      </c>
    </row>
    <row r="4958" spans="1:2" x14ac:dyDescent="0.2">
      <c r="A4958" s="170">
        <v>41173</v>
      </c>
      <c r="B4958" s="171">
        <v>2.57</v>
      </c>
    </row>
    <row r="4959" spans="1:2" x14ac:dyDescent="0.2">
      <c r="A4959" s="170">
        <v>41176</v>
      </c>
      <c r="B4959" s="171">
        <v>2.5299999999999998</v>
      </c>
    </row>
    <row r="4960" spans="1:2" x14ac:dyDescent="0.2">
      <c r="A4960" s="170">
        <v>41177</v>
      </c>
      <c r="B4960" s="171">
        <v>2.4700000000000002</v>
      </c>
    </row>
    <row r="4961" spans="1:2" x14ac:dyDescent="0.2">
      <c r="A4961" s="170">
        <v>41178</v>
      </c>
      <c r="B4961" s="171">
        <v>2.4</v>
      </c>
    </row>
    <row r="4962" spans="1:2" x14ac:dyDescent="0.2">
      <c r="A4962" s="170">
        <v>41179</v>
      </c>
      <c r="B4962" s="171">
        <v>2.4300000000000002</v>
      </c>
    </row>
    <row r="4963" spans="1:2" x14ac:dyDescent="0.2">
      <c r="A4963" s="170">
        <v>41180</v>
      </c>
      <c r="B4963" s="171">
        <v>2.42</v>
      </c>
    </row>
    <row r="4964" spans="1:2" x14ac:dyDescent="0.2">
      <c r="A4964" s="170">
        <v>41183</v>
      </c>
      <c r="B4964" s="171">
        <v>2.41</v>
      </c>
    </row>
    <row r="4965" spans="1:2" x14ac:dyDescent="0.2">
      <c r="A4965" s="170">
        <v>41184</v>
      </c>
      <c r="B4965" s="171">
        <v>2.41</v>
      </c>
    </row>
    <row r="4966" spans="1:2" x14ac:dyDescent="0.2">
      <c r="A4966" s="170">
        <v>41185</v>
      </c>
      <c r="B4966" s="171">
        <v>2.42</v>
      </c>
    </row>
    <row r="4967" spans="1:2" x14ac:dyDescent="0.2">
      <c r="A4967" s="170">
        <v>41186</v>
      </c>
      <c r="B4967" s="171">
        <v>2.48</v>
      </c>
    </row>
    <row r="4968" spans="1:2" x14ac:dyDescent="0.2">
      <c r="A4968" s="170">
        <v>41187</v>
      </c>
      <c r="B4968" s="171">
        <v>2.5499999999999998</v>
      </c>
    </row>
    <row r="4969" spans="1:2" x14ac:dyDescent="0.2">
      <c r="A4969" s="170">
        <v>41190</v>
      </c>
      <c r="B4969" s="171" t="e">
        <f>NA()</f>
        <v>#N/A</v>
      </c>
    </row>
    <row r="4970" spans="1:2" x14ac:dyDescent="0.2">
      <c r="A4970" s="170">
        <v>41191</v>
      </c>
      <c r="B4970" s="171">
        <v>2.52</v>
      </c>
    </row>
    <row r="4971" spans="1:2" x14ac:dyDescent="0.2">
      <c r="A4971" s="170">
        <v>41192</v>
      </c>
      <c r="B4971" s="171">
        <v>2.48</v>
      </c>
    </row>
    <row r="4972" spans="1:2" x14ac:dyDescent="0.2">
      <c r="A4972" s="170">
        <v>41193</v>
      </c>
      <c r="B4972" s="171">
        <v>2.4500000000000002</v>
      </c>
    </row>
    <row r="4973" spans="1:2" x14ac:dyDescent="0.2">
      <c r="A4973" s="170">
        <v>41194</v>
      </c>
      <c r="B4973" s="171">
        <v>2.44</v>
      </c>
    </row>
    <row r="4974" spans="1:2" x14ac:dyDescent="0.2">
      <c r="A4974" s="170">
        <v>41197</v>
      </c>
      <c r="B4974" s="171">
        <v>2.4500000000000002</v>
      </c>
    </row>
    <row r="4975" spans="1:2" x14ac:dyDescent="0.2">
      <c r="A4975" s="170">
        <v>41198</v>
      </c>
      <c r="B4975" s="171">
        <v>2.5099999999999998</v>
      </c>
    </row>
    <row r="4976" spans="1:2" x14ac:dyDescent="0.2">
      <c r="A4976" s="170">
        <v>41199</v>
      </c>
      <c r="B4976" s="171">
        <v>2.6</v>
      </c>
    </row>
    <row r="4977" spans="1:2" x14ac:dyDescent="0.2">
      <c r="A4977" s="170">
        <v>41200</v>
      </c>
      <c r="B4977" s="171">
        <v>2.63</v>
      </c>
    </row>
    <row r="4978" spans="1:2" x14ac:dyDescent="0.2">
      <c r="A4978" s="170">
        <v>41201</v>
      </c>
      <c r="B4978" s="171">
        <v>2.5499999999999998</v>
      </c>
    </row>
    <row r="4979" spans="1:2" x14ac:dyDescent="0.2">
      <c r="A4979" s="170">
        <v>41204</v>
      </c>
      <c r="B4979" s="171">
        <v>2.57</v>
      </c>
    </row>
    <row r="4980" spans="1:2" x14ac:dyDescent="0.2">
      <c r="A4980" s="170">
        <v>41205</v>
      </c>
      <c r="B4980" s="171">
        <v>2.5299999999999998</v>
      </c>
    </row>
    <row r="4981" spans="1:2" x14ac:dyDescent="0.2">
      <c r="A4981" s="170">
        <v>41206</v>
      </c>
      <c r="B4981" s="171">
        <v>2.5499999999999998</v>
      </c>
    </row>
    <row r="4982" spans="1:2" x14ac:dyDescent="0.2">
      <c r="A4982" s="170">
        <v>41207</v>
      </c>
      <c r="B4982" s="171">
        <v>2.6</v>
      </c>
    </row>
    <row r="4983" spans="1:2" x14ac:dyDescent="0.2">
      <c r="A4983" s="170">
        <v>41208</v>
      </c>
      <c r="B4983" s="171">
        <v>2.5299999999999998</v>
      </c>
    </row>
    <row r="4984" spans="1:2" x14ac:dyDescent="0.2">
      <c r="A4984" s="170">
        <v>41211</v>
      </c>
      <c r="B4984" s="171">
        <v>2.48</v>
      </c>
    </row>
    <row r="4985" spans="1:2" x14ac:dyDescent="0.2">
      <c r="A4985" s="170">
        <v>41212</v>
      </c>
      <c r="B4985" s="171" t="e">
        <f>NA()</f>
        <v>#N/A</v>
      </c>
    </row>
    <row r="4986" spans="1:2" x14ac:dyDescent="0.2">
      <c r="A4986" s="170">
        <v>41213</v>
      </c>
      <c r="B4986" s="171">
        <v>2.46</v>
      </c>
    </row>
    <row r="4987" spans="1:2" x14ac:dyDescent="0.2">
      <c r="A4987" s="170">
        <v>41214</v>
      </c>
      <c r="B4987" s="171">
        <v>2.5</v>
      </c>
    </row>
    <row r="4988" spans="1:2" x14ac:dyDescent="0.2">
      <c r="A4988" s="170">
        <v>41215</v>
      </c>
      <c r="B4988" s="171">
        <v>2.5099999999999998</v>
      </c>
    </row>
    <row r="4989" spans="1:2" x14ac:dyDescent="0.2">
      <c r="A4989" s="170">
        <v>41218</v>
      </c>
      <c r="B4989" s="171">
        <v>2.4700000000000002</v>
      </c>
    </row>
    <row r="4990" spans="1:2" x14ac:dyDescent="0.2">
      <c r="A4990" s="170">
        <v>41219</v>
      </c>
      <c r="B4990" s="171">
        <v>2.52</v>
      </c>
    </row>
    <row r="4991" spans="1:2" x14ac:dyDescent="0.2">
      <c r="A4991" s="170">
        <v>41220</v>
      </c>
      <c r="B4991" s="171">
        <v>2.42</v>
      </c>
    </row>
    <row r="4992" spans="1:2" x14ac:dyDescent="0.2">
      <c r="A4992" s="170">
        <v>41221</v>
      </c>
      <c r="B4992" s="171">
        <v>2.35</v>
      </c>
    </row>
    <row r="4993" spans="1:2" x14ac:dyDescent="0.2">
      <c r="A4993" s="170">
        <v>41222</v>
      </c>
      <c r="B4993" s="171">
        <v>2.34</v>
      </c>
    </row>
    <row r="4994" spans="1:2" x14ac:dyDescent="0.2">
      <c r="A4994" s="170">
        <v>41225</v>
      </c>
      <c r="B4994" s="171" t="e">
        <f>NA()</f>
        <v>#N/A</v>
      </c>
    </row>
    <row r="4995" spans="1:2" x14ac:dyDescent="0.2">
      <c r="A4995" s="170">
        <v>41226</v>
      </c>
      <c r="B4995" s="171">
        <v>2.31</v>
      </c>
    </row>
    <row r="4996" spans="1:2" x14ac:dyDescent="0.2">
      <c r="A4996" s="170">
        <v>41227</v>
      </c>
      <c r="B4996" s="171">
        <v>2.31</v>
      </c>
    </row>
    <row r="4997" spans="1:2" x14ac:dyDescent="0.2">
      <c r="A4997" s="170">
        <v>41228</v>
      </c>
      <c r="B4997" s="171">
        <v>2.2999999999999998</v>
      </c>
    </row>
    <row r="4998" spans="1:2" x14ac:dyDescent="0.2">
      <c r="A4998" s="170">
        <v>41229</v>
      </c>
      <c r="B4998" s="171">
        <v>2.31</v>
      </c>
    </row>
    <row r="4999" spans="1:2" x14ac:dyDescent="0.2">
      <c r="A4999" s="170">
        <v>41232</v>
      </c>
      <c r="B4999" s="171">
        <v>2.34</v>
      </c>
    </row>
    <row r="5000" spans="1:2" x14ac:dyDescent="0.2">
      <c r="A5000" s="170">
        <v>41233</v>
      </c>
      <c r="B5000" s="171">
        <v>2.4</v>
      </c>
    </row>
    <row r="5001" spans="1:2" x14ac:dyDescent="0.2">
      <c r="A5001" s="170">
        <v>41234</v>
      </c>
      <c r="B5001" s="171">
        <v>2.42</v>
      </c>
    </row>
    <row r="5002" spans="1:2" x14ac:dyDescent="0.2">
      <c r="A5002" s="170">
        <v>41235</v>
      </c>
      <c r="B5002" s="171" t="e">
        <f>NA()</f>
        <v>#N/A</v>
      </c>
    </row>
    <row r="5003" spans="1:2" x14ac:dyDescent="0.2">
      <c r="A5003" s="170">
        <v>41236</v>
      </c>
      <c r="B5003" s="171">
        <v>2.42</v>
      </c>
    </row>
    <row r="5004" spans="1:2" x14ac:dyDescent="0.2">
      <c r="A5004" s="170">
        <v>41239</v>
      </c>
      <c r="B5004" s="171">
        <v>2.39</v>
      </c>
    </row>
    <row r="5005" spans="1:2" x14ac:dyDescent="0.2">
      <c r="A5005" s="170">
        <v>41240</v>
      </c>
      <c r="B5005" s="171">
        <v>2.38</v>
      </c>
    </row>
    <row r="5006" spans="1:2" x14ac:dyDescent="0.2">
      <c r="A5006" s="170">
        <v>41241</v>
      </c>
      <c r="B5006" s="171">
        <v>2.36</v>
      </c>
    </row>
    <row r="5007" spans="1:2" x14ac:dyDescent="0.2">
      <c r="A5007" s="170">
        <v>41242</v>
      </c>
      <c r="B5007" s="171">
        <v>2.37</v>
      </c>
    </row>
    <row r="5008" spans="1:2" x14ac:dyDescent="0.2">
      <c r="A5008" s="170">
        <v>41243</v>
      </c>
      <c r="B5008" s="171">
        <v>2.37</v>
      </c>
    </row>
    <row r="5009" spans="1:2" x14ac:dyDescent="0.2">
      <c r="A5009" s="170">
        <v>41246</v>
      </c>
      <c r="B5009" s="171">
        <v>2.37</v>
      </c>
    </row>
    <row r="5010" spans="1:2" x14ac:dyDescent="0.2">
      <c r="A5010" s="170">
        <v>41247</v>
      </c>
      <c r="B5010" s="171">
        <v>2.36</v>
      </c>
    </row>
    <row r="5011" spans="1:2" x14ac:dyDescent="0.2">
      <c r="A5011" s="170">
        <v>41248</v>
      </c>
      <c r="B5011" s="171">
        <v>2.35</v>
      </c>
    </row>
    <row r="5012" spans="1:2" x14ac:dyDescent="0.2">
      <c r="A5012" s="170">
        <v>41249</v>
      </c>
      <c r="B5012" s="171">
        <v>2.33</v>
      </c>
    </row>
    <row r="5013" spans="1:2" x14ac:dyDescent="0.2">
      <c r="A5013" s="170">
        <v>41250</v>
      </c>
      <c r="B5013" s="171">
        <v>2.39</v>
      </c>
    </row>
    <row r="5014" spans="1:2" x14ac:dyDescent="0.2">
      <c r="A5014" s="170">
        <v>41253</v>
      </c>
      <c r="B5014" s="171">
        <v>2.38</v>
      </c>
    </row>
    <row r="5015" spans="1:2" x14ac:dyDescent="0.2">
      <c r="A5015" s="170">
        <v>41254</v>
      </c>
      <c r="B5015" s="171">
        <v>2.41</v>
      </c>
    </row>
    <row r="5016" spans="1:2" x14ac:dyDescent="0.2">
      <c r="A5016" s="170">
        <v>41255</v>
      </c>
      <c r="B5016" s="171">
        <v>2.48</v>
      </c>
    </row>
    <row r="5017" spans="1:2" x14ac:dyDescent="0.2">
      <c r="A5017" s="170">
        <v>41256</v>
      </c>
      <c r="B5017" s="171">
        <v>2.4900000000000002</v>
      </c>
    </row>
    <row r="5018" spans="1:2" x14ac:dyDescent="0.2">
      <c r="A5018" s="170">
        <v>41257</v>
      </c>
      <c r="B5018" s="171">
        <v>2.46</v>
      </c>
    </row>
    <row r="5019" spans="1:2" x14ac:dyDescent="0.2">
      <c r="A5019" s="170">
        <v>41260</v>
      </c>
      <c r="B5019" s="171">
        <v>2.5299999999999998</v>
      </c>
    </row>
    <row r="5020" spans="1:2" x14ac:dyDescent="0.2">
      <c r="A5020" s="170">
        <v>41261</v>
      </c>
      <c r="B5020" s="171">
        <v>2.59</v>
      </c>
    </row>
    <row r="5021" spans="1:2" x14ac:dyDescent="0.2">
      <c r="A5021" s="170">
        <v>41262</v>
      </c>
      <c r="B5021" s="171">
        <v>2.58</v>
      </c>
    </row>
    <row r="5022" spans="1:2" x14ac:dyDescent="0.2">
      <c r="A5022" s="170">
        <v>41263</v>
      </c>
      <c r="B5022" s="171">
        <v>2.57</v>
      </c>
    </row>
    <row r="5023" spans="1:2" x14ac:dyDescent="0.2">
      <c r="A5023" s="170">
        <v>41264</v>
      </c>
      <c r="B5023" s="171">
        <v>2.52</v>
      </c>
    </row>
    <row r="5024" spans="1:2" x14ac:dyDescent="0.2">
      <c r="A5024" s="170">
        <v>41267</v>
      </c>
      <c r="B5024" s="171">
        <v>2.5299999999999998</v>
      </c>
    </row>
    <row r="5025" spans="1:2" x14ac:dyDescent="0.2">
      <c r="A5025" s="170">
        <v>41268</v>
      </c>
      <c r="B5025" s="171" t="e">
        <f>NA()</f>
        <v>#N/A</v>
      </c>
    </row>
    <row r="5026" spans="1:2" x14ac:dyDescent="0.2">
      <c r="A5026" s="170">
        <v>41269</v>
      </c>
      <c r="B5026" s="171">
        <v>2.52</v>
      </c>
    </row>
    <row r="5027" spans="1:2" x14ac:dyDescent="0.2">
      <c r="A5027" s="170">
        <v>41270</v>
      </c>
      <c r="B5027" s="171">
        <v>2.48</v>
      </c>
    </row>
    <row r="5028" spans="1:2" x14ac:dyDescent="0.2">
      <c r="A5028" s="170">
        <v>41271</v>
      </c>
      <c r="B5028" s="171">
        <v>2.4700000000000002</v>
      </c>
    </row>
    <row r="5029" spans="1:2" x14ac:dyDescent="0.2">
      <c r="A5029" s="170">
        <v>41274</v>
      </c>
      <c r="B5029" s="171">
        <v>2.54</v>
      </c>
    </row>
    <row r="5030" spans="1:2" x14ac:dyDescent="0.2">
      <c r="A5030" s="170">
        <v>41275</v>
      </c>
      <c r="B5030" s="171" t="e">
        <f>NA()</f>
        <v>#N/A</v>
      </c>
    </row>
    <row r="5031" spans="1:2" x14ac:dyDescent="0.2">
      <c r="A5031" s="170">
        <v>41276</v>
      </c>
      <c r="B5031" s="171">
        <v>2.63</v>
      </c>
    </row>
    <row r="5032" spans="1:2" x14ac:dyDescent="0.2">
      <c r="A5032" s="170">
        <v>41277</v>
      </c>
      <c r="B5032" s="171">
        <v>2.7</v>
      </c>
    </row>
    <row r="5033" spans="1:2" x14ac:dyDescent="0.2">
      <c r="A5033" s="170">
        <v>41278</v>
      </c>
      <c r="B5033" s="171">
        <v>2.7</v>
      </c>
    </row>
    <row r="5034" spans="1:2" x14ac:dyDescent="0.2">
      <c r="A5034" s="170">
        <v>41281</v>
      </c>
      <c r="B5034" s="171">
        <v>2.7</v>
      </c>
    </row>
    <row r="5035" spans="1:2" x14ac:dyDescent="0.2">
      <c r="A5035" s="170">
        <v>41282</v>
      </c>
      <c r="B5035" s="171">
        <v>2.66</v>
      </c>
    </row>
    <row r="5036" spans="1:2" x14ac:dyDescent="0.2">
      <c r="A5036" s="170">
        <v>41283</v>
      </c>
      <c r="B5036" s="171">
        <v>2.65</v>
      </c>
    </row>
    <row r="5037" spans="1:2" x14ac:dyDescent="0.2">
      <c r="A5037" s="170">
        <v>41284</v>
      </c>
      <c r="B5037" s="171">
        <v>2.68</v>
      </c>
    </row>
    <row r="5038" spans="1:2" x14ac:dyDescent="0.2">
      <c r="A5038" s="170">
        <v>41285</v>
      </c>
      <c r="B5038" s="171">
        <v>2.65</v>
      </c>
    </row>
    <row r="5039" spans="1:2" x14ac:dyDescent="0.2">
      <c r="A5039" s="170">
        <v>41288</v>
      </c>
      <c r="B5039" s="171">
        <v>2.65</v>
      </c>
    </row>
    <row r="5040" spans="1:2" x14ac:dyDescent="0.2">
      <c r="A5040" s="170">
        <v>41289</v>
      </c>
      <c r="B5040" s="171">
        <v>2.62</v>
      </c>
    </row>
    <row r="5041" spans="1:2" x14ac:dyDescent="0.2">
      <c r="A5041" s="170">
        <v>41290</v>
      </c>
      <c r="B5041" s="171">
        <v>2.61</v>
      </c>
    </row>
    <row r="5042" spans="1:2" x14ac:dyDescent="0.2">
      <c r="A5042" s="170">
        <v>41291</v>
      </c>
      <c r="B5042" s="171">
        <v>2.66</v>
      </c>
    </row>
    <row r="5043" spans="1:2" x14ac:dyDescent="0.2">
      <c r="A5043" s="170">
        <v>41292</v>
      </c>
      <c r="B5043" s="171">
        <v>2.63</v>
      </c>
    </row>
    <row r="5044" spans="1:2" x14ac:dyDescent="0.2">
      <c r="A5044" s="170">
        <v>41295</v>
      </c>
      <c r="B5044" s="171" t="e">
        <f>NA()</f>
        <v>#N/A</v>
      </c>
    </row>
    <row r="5045" spans="1:2" x14ac:dyDescent="0.2">
      <c r="A5045" s="170">
        <v>41296</v>
      </c>
      <c r="B5045" s="171">
        <v>2.62</v>
      </c>
    </row>
    <row r="5046" spans="1:2" x14ac:dyDescent="0.2">
      <c r="A5046" s="170">
        <v>41297</v>
      </c>
      <c r="B5046" s="171">
        <v>2.62</v>
      </c>
    </row>
    <row r="5047" spans="1:2" x14ac:dyDescent="0.2">
      <c r="A5047" s="170">
        <v>41298</v>
      </c>
      <c r="B5047" s="171">
        <v>2.64</v>
      </c>
    </row>
    <row r="5048" spans="1:2" x14ac:dyDescent="0.2">
      <c r="A5048" s="170">
        <v>41299</v>
      </c>
      <c r="B5048" s="171">
        <v>2.75</v>
      </c>
    </row>
    <row r="5049" spans="1:2" x14ac:dyDescent="0.2">
      <c r="A5049" s="170">
        <v>41302</v>
      </c>
      <c r="B5049" s="171">
        <v>2.76</v>
      </c>
    </row>
    <row r="5050" spans="1:2" x14ac:dyDescent="0.2">
      <c r="A5050" s="170">
        <v>41303</v>
      </c>
      <c r="B5050" s="171">
        <v>2.79</v>
      </c>
    </row>
    <row r="5051" spans="1:2" x14ac:dyDescent="0.2">
      <c r="A5051" s="170">
        <v>41304</v>
      </c>
      <c r="B5051" s="171">
        <v>2.8</v>
      </c>
    </row>
    <row r="5052" spans="1:2" x14ac:dyDescent="0.2">
      <c r="A5052" s="170">
        <v>41305</v>
      </c>
      <c r="B5052" s="171">
        <v>2.79</v>
      </c>
    </row>
    <row r="5053" spans="1:2" x14ac:dyDescent="0.2">
      <c r="A5053" s="170">
        <v>41306</v>
      </c>
      <c r="B5053" s="171">
        <v>2.83</v>
      </c>
    </row>
    <row r="5054" spans="1:2" x14ac:dyDescent="0.2">
      <c r="A5054" s="170">
        <v>41309</v>
      </c>
      <c r="B5054" s="171">
        <v>2.79</v>
      </c>
    </row>
    <row r="5055" spans="1:2" x14ac:dyDescent="0.2">
      <c r="A5055" s="170">
        <v>41310</v>
      </c>
      <c r="B5055" s="171">
        <v>2.83</v>
      </c>
    </row>
    <row r="5056" spans="1:2" x14ac:dyDescent="0.2">
      <c r="A5056" s="170">
        <v>41311</v>
      </c>
      <c r="B5056" s="171">
        <v>2.79</v>
      </c>
    </row>
    <row r="5057" spans="1:2" x14ac:dyDescent="0.2">
      <c r="A5057" s="170">
        <v>41312</v>
      </c>
      <c r="B5057" s="171">
        <v>2.78</v>
      </c>
    </row>
    <row r="5058" spans="1:2" x14ac:dyDescent="0.2">
      <c r="A5058" s="170">
        <v>41313</v>
      </c>
      <c r="B5058" s="171">
        <v>2.79</v>
      </c>
    </row>
    <row r="5059" spans="1:2" x14ac:dyDescent="0.2">
      <c r="A5059" s="170">
        <v>41316</v>
      </c>
      <c r="B5059" s="171">
        <v>2.78</v>
      </c>
    </row>
    <row r="5060" spans="1:2" x14ac:dyDescent="0.2">
      <c r="A5060" s="170">
        <v>41317</v>
      </c>
      <c r="B5060" s="171">
        <v>2.81</v>
      </c>
    </row>
    <row r="5061" spans="1:2" x14ac:dyDescent="0.2">
      <c r="A5061" s="170">
        <v>41318</v>
      </c>
      <c r="B5061" s="171">
        <v>2.86</v>
      </c>
    </row>
    <row r="5062" spans="1:2" x14ac:dyDescent="0.2">
      <c r="A5062" s="170">
        <v>41319</v>
      </c>
      <c r="B5062" s="171">
        <v>2.79</v>
      </c>
    </row>
    <row r="5063" spans="1:2" x14ac:dyDescent="0.2">
      <c r="A5063" s="170">
        <v>41320</v>
      </c>
      <c r="B5063" s="171">
        <v>2.8</v>
      </c>
    </row>
    <row r="5064" spans="1:2" x14ac:dyDescent="0.2">
      <c r="A5064" s="170">
        <v>41323</v>
      </c>
      <c r="B5064" s="171" t="e">
        <f>NA()</f>
        <v>#N/A</v>
      </c>
    </row>
    <row r="5065" spans="1:2" x14ac:dyDescent="0.2">
      <c r="A5065" s="170">
        <v>41324</v>
      </c>
      <c r="B5065" s="171">
        <v>2.83</v>
      </c>
    </row>
    <row r="5066" spans="1:2" x14ac:dyDescent="0.2">
      <c r="A5066" s="170">
        <v>41325</v>
      </c>
      <c r="B5066" s="171">
        <v>2.82</v>
      </c>
    </row>
    <row r="5067" spans="1:2" x14ac:dyDescent="0.2">
      <c r="A5067" s="170">
        <v>41326</v>
      </c>
      <c r="B5067" s="171">
        <v>2.79</v>
      </c>
    </row>
    <row r="5068" spans="1:2" x14ac:dyDescent="0.2">
      <c r="A5068" s="170">
        <v>41327</v>
      </c>
      <c r="B5068" s="171">
        <v>2.77</v>
      </c>
    </row>
    <row r="5069" spans="1:2" x14ac:dyDescent="0.2">
      <c r="A5069" s="170">
        <v>41330</v>
      </c>
      <c r="B5069" s="171">
        <v>2.69</v>
      </c>
    </row>
    <row r="5070" spans="1:2" x14ac:dyDescent="0.2">
      <c r="A5070" s="170">
        <v>41331</v>
      </c>
      <c r="B5070" s="171">
        <v>2.69</v>
      </c>
    </row>
    <row r="5071" spans="1:2" x14ac:dyDescent="0.2">
      <c r="A5071" s="170">
        <v>41332</v>
      </c>
      <c r="B5071" s="171">
        <v>2.72</v>
      </c>
    </row>
    <row r="5072" spans="1:2" x14ac:dyDescent="0.2">
      <c r="A5072" s="170">
        <v>41333</v>
      </c>
      <c r="B5072" s="171">
        <v>2.71</v>
      </c>
    </row>
    <row r="5073" spans="1:2" x14ac:dyDescent="0.2">
      <c r="A5073" s="170">
        <v>41334</v>
      </c>
      <c r="B5073" s="171">
        <v>2.68</v>
      </c>
    </row>
    <row r="5074" spans="1:2" x14ac:dyDescent="0.2">
      <c r="A5074" s="170">
        <v>41337</v>
      </c>
      <c r="B5074" s="171">
        <v>2.7</v>
      </c>
    </row>
    <row r="5075" spans="1:2" x14ac:dyDescent="0.2">
      <c r="A5075" s="170">
        <v>41338</v>
      </c>
      <c r="B5075" s="171">
        <v>2.72</v>
      </c>
    </row>
    <row r="5076" spans="1:2" x14ac:dyDescent="0.2">
      <c r="A5076" s="170">
        <v>41339</v>
      </c>
      <c r="B5076" s="171">
        <v>2.77</v>
      </c>
    </row>
    <row r="5077" spans="1:2" x14ac:dyDescent="0.2">
      <c r="A5077" s="170">
        <v>41340</v>
      </c>
      <c r="B5077" s="171">
        <v>2.82</v>
      </c>
    </row>
    <row r="5078" spans="1:2" x14ac:dyDescent="0.2">
      <c r="A5078" s="170">
        <v>41341</v>
      </c>
      <c r="B5078" s="171">
        <v>2.89</v>
      </c>
    </row>
    <row r="5079" spans="1:2" x14ac:dyDescent="0.2">
      <c r="A5079" s="170">
        <v>41344</v>
      </c>
      <c r="B5079" s="171">
        <v>2.89</v>
      </c>
    </row>
    <row r="5080" spans="1:2" x14ac:dyDescent="0.2">
      <c r="A5080" s="170">
        <v>41345</v>
      </c>
      <c r="B5080" s="171">
        <v>2.85</v>
      </c>
    </row>
    <row r="5081" spans="1:2" x14ac:dyDescent="0.2">
      <c r="A5081" s="170">
        <v>41346</v>
      </c>
      <c r="B5081" s="171">
        <v>2.85</v>
      </c>
    </row>
    <row r="5082" spans="1:2" x14ac:dyDescent="0.2">
      <c r="A5082" s="170">
        <v>41347</v>
      </c>
      <c r="B5082" s="171">
        <v>2.87</v>
      </c>
    </row>
    <row r="5083" spans="1:2" x14ac:dyDescent="0.2">
      <c r="A5083" s="170">
        <v>41348</v>
      </c>
      <c r="B5083" s="171">
        <v>2.85</v>
      </c>
    </row>
    <row r="5084" spans="1:2" x14ac:dyDescent="0.2">
      <c r="A5084" s="170">
        <v>41351</v>
      </c>
      <c r="B5084" s="171">
        <v>2.79</v>
      </c>
    </row>
    <row r="5085" spans="1:2" x14ac:dyDescent="0.2">
      <c r="A5085" s="170">
        <v>41352</v>
      </c>
      <c r="B5085" s="171">
        <v>2.75</v>
      </c>
    </row>
    <row r="5086" spans="1:2" x14ac:dyDescent="0.2">
      <c r="A5086" s="170">
        <v>41353</v>
      </c>
      <c r="B5086" s="171">
        <v>2.8</v>
      </c>
    </row>
    <row r="5087" spans="1:2" x14ac:dyDescent="0.2">
      <c r="A5087" s="170">
        <v>41354</v>
      </c>
      <c r="B5087" s="171">
        <v>2.77</v>
      </c>
    </row>
    <row r="5088" spans="1:2" x14ac:dyDescent="0.2">
      <c r="A5088" s="170">
        <v>41355</v>
      </c>
      <c r="B5088" s="171">
        <v>2.75</v>
      </c>
    </row>
    <row r="5089" spans="1:2" x14ac:dyDescent="0.2">
      <c r="A5089" s="170">
        <v>41358</v>
      </c>
      <c r="B5089" s="171">
        <v>2.76</v>
      </c>
    </row>
    <row r="5090" spans="1:2" x14ac:dyDescent="0.2">
      <c r="A5090" s="170">
        <v>41359</v>
      </c>
      <c r="B5090" s="171">
        <v>2.75</v>
      </c>
    </row>
    <row r="5091" spans="1:2" x14ac:dyDescent="0.2">
      <c r="A5091" s="170">
        <v>41360</v>
      </c>
      <c r="B5091" s="171">
        <v>2.71</v>
      </c>
    </row>
    <row r="5092" spans="1:2" x14ac:dyDescent="0.2">
      <c r="A5092" s="170">
        <v>41361</v>
      </c>
      <c r="B5092" s="171">
        <v>2.71</v>
      </c>
    </row>
    <row r="5093" spans="1:2" x14ac:dyDescent="0.2">
      <c r="A5093" s="170">
        <v>41362</v>
      </c>
      <c r="B5093" s="171" t="e">
        <f>NA()</f>
        <v>#N/A</v>
      </c>
    </row>
    <row r="5094" spans="1:2" x14ac:dyDescent="0.2">
      <c r="A5094" s="170">
        <v>41365</v>
      </c>
      <c r="B5094" s="171">
        <v>2.7</v>
      </c>
    </row>
    <row r="5095" spans="1:2" x14ac:dyDescent="0.2">
      <c r="A5095" s="170">
        <v>41366</v>
      </c>
      <c r="B5095" s="171">
        <v>2.72</v>
      </c>
    </row>
    <row r="5096" spans="1:2" x14ac:dyDescent="0.2">
      <c r="A5096" s="170">
        <v>41367</v>
      </c>
      <c r="B5096" s="171">
        <v>2.66</v>
      </c>
    </row>
    <row r="5097" spans="1:2" x14ac:dyDescent="0.2">
      <c r="A5097" s="170">
        <v>41368</v>
      </c>
      <c r="B5097" s="171">
        <v>2.6</v>
      </c>
    </row>
    <row r="5098" spans="1:2" x14ac:dyDescent="0.2">
      <c r="A5098" s="170">
        <v>41369</v>
      </c>
      <c r="B5098" s="171">
        <v>2.5</v>
      </c>
    </row>
    <row r="5099" spans="1:2" x14ac:dyDescent="0.2">
      <c r="A5099" s="170">
        <v>41372</v>
      </c>
      <c r="B5099" s="171">
        <v>2.54</v>
      </c>
    </row>
    <row r="5100" spans="1:2" x14ac:dyDescent="0.2">
      <c r="A5100" s="170">
        <v>41373</v>
      </c>
      <c r="B5100" s="171">
        <v>2.57</v>
      </c>
    </row>
    <row r="5101" spans="1:2" x14ac:dyDescent="0.2">
      <c r="A5101" s="170">
        <v>41374</v>
      </c>
      <c r="B5101" s="171">
        <v>2.63</v>
      </c>
    </row>
    <row r="5102" spans="1:2" x14ac:dyDescent="0.2">
      <c r="A5102" s="170">
        <v>41375</v>
      </c>
      <c r="B5102" s="171">
        <v>2.62</v>
      </c>
    </row>
    <row r="5103" spans="1:2" x14ac:dyDescent="0.2">
      <c r="A5103" s="170">
        <v>41376</v>
      </c>
      <c r="B5103" s="171">
        <v>2.54</v>
      </c>
    </row>
    <row r="5104" spans="1:2" x14ac:dyDescent="0.2">
      <c r="A5104" s="170">
        <v>41379</v>
      </c>
      <c r="B5104" s="171">
        <v>2.5</v>
      </c>
    </row>
    <row r="5105" spans="1:2" x14ac:dyDescent="0.2">
      <c r="A5105" s="170">
        <v>41380</v>
      </c>
      <c r="B5105" s="171">
        <v>2.5299999999999998</v>
      </c>
    </row>
    <row r="5106" spans="1:2" x14ac:dyDescent="0.2">
      <c r="A5106" s="170">
        <v>41381</v>
      </c>
      <c r="B5106" s="171">
        <v>2.5099999999999998</v>
      </c>
    </row>
    <row r="5107" spans="1:2" x14ac:dyDescent="0.2">
      <c r="A5107" s="170">
        <v>41382</v>
      </c>
      <c r="B5107" s="171">
        <v>2.4900000000000002</v>
      </c>
    </row>
    <row r="5108" spans="1:2" x14ac:dyDescent="0.2">
      <c r="A5108" s="170">
        <v>41383</v>
      </c>
      <c r="B5108" s="171">
        <v>2.5</v>
      </c>
    </row>
    <row r="5109" spans="1:2" x14ac:dyDescent="0.2">
      <c r="A5109" s="170">
        <v>41386</v>
      </c>
      <c r="B5109" s="171">
        <v>2.5</v>
      </c>
    </row>
    <row r="5110" spans="1:2" x14ac:dyDescent="0.2">
      <c r="A5110" s="170">
        <v>41387</v>
      </c>
      <c r="B5110" s="171">
        <v>2.52</v>
      </c>
    </row>
    <row r="5111" spans="1:2" x14ac:dyDescent="0.2">
      <c r="A5111" s="170">
        <v>41388</v>
      </c>
      <c r="B5111" s="171">
        <v>2.5</v>
      </c>
    </row>
    <row r="5112" spans="1:2" x14ac:dyDescent="0.2">
      <c r="A5112" s="170">
        <v>41389</v>
      </c>
      <c r="B5112" s="171">
        <v>2.52</v>
      </c>
    </row>
    <row r="5113" spans="1:2" x14ac:dyDescent="0.2">
      <c r="A5113" s="170">
        <v>41390</v>
      </c>
      <c r="B5113" s="171">
        <v>2.4700000000000002</v>
      </c>
    </row>
    <row r="5114" spans="1:2" x14ac:dyDescent="0.2">
      <c r="A5114" s="170">
        <v>41393</v>
      </c>
      <c r="B5114" s="171">
        <v>2.4900000000000002</v>
      </c>
    </row>
    <row r="5115" spans="1:2" x14ac:dyDescent="0.2">
      <c r="A5115" s="170">
        <v>41394</v>
      </c>
      <c r="B5115" s="171">
        <v>2.4900000000000002</v>
      </c>
    </row>
    <row r="5116" spans="1:2" x14ac:dyDescent="0.2">
      <c r="A5116" s="170">
        <v>41395</v>
      </c>
      <c r="B5116" s="171">
        <v>2.44</v>
      </c>
    </row>
    <row r="5117" spans="1:2" x14ac:dyDescent="0.2">
      <c r="A5117" s="170">
        <v>41396</v>
      </c>
      <c r="B5117" s="171">
        <v>2.44</v>
      </c>
    </row>
    <row r="5118" spans="1:2" x14ac:dyDescent="0.2">
      <c r="A5118" s="170">
        <v>41397</v>
      </c>
      <c r="B5118" s="171">
        <v>2.58</v>
      </c>
    </row>
    <row r="5119" spans="1:2" x14ac:dyDescent="0.2">
      <c r="A5119" s="170">
        <v>41400</v>
      </c>
      <c r="B5119" s="171">
        <v>2.6</v>
      </c>
    </row>
    <row r="5120" spans="1:2" x14ac:dyDescent="0.2">
      <c r="A5120" s="170">
        <v>41401</v>
      </c>
      <c r="B5120" s="171">
        <v>2.62</v>
      </c>
    </row>
    <row r="5121" spans="1:2" x14ac:dyDescent="0.2">
      <c r="A5121" s="170">
        <v>41402</v>
      </c>
      <c r="B5121" s="171">
        <v>2.61</v>
      </c>
    </row>
    <row r="5122" spans="1:2" x14ac:dyDescent="0.2">
      <c r="A5122" s="170">
        <v>41403</v>
      </c>
      <c r="B5122" s="171">
        <v>2.6</v>
      </c>
    </row>
    <row r="5123" spans="1:2" x14ac:dyDescent="0.2">
      <c r="A5123" s="170">
        <v>41404</v>
      </c>
      <c r="B5123" s="171">
        <v>2.7</v>
      </c>
    </row>
    <row r="5124" spans="1:2" x14ac:dyDescent="0.2">
      <c r="A5124" s="170">
        <v>41407</v>
      </c>
      <c r="B5124" s="171">
        <v>2.73</v>
      </c>
    </row>
    <row r="5125" spans="1:2" x14ac:dyDescent="0.2">
      <c r="A5125" s="170">
        <v>41408</v>
      </c>
      <c r="B5125" s="171">
        <v>2.77</v>
      </c>
    </row>
    <row r="5126" spans="1:2" x14ac:dyDescent="0.2">
      <c r="A5126" s="170">
        <v>41409</v>
      </c>
      <c r="B5126" s="171">
        <v>2.76</v>
      </c>
    </row>
    <row r="5127" spans="1:2" x14ac:dyDescent="0.2">
      <c r="A5127" s="170">
        <v>41410</v>
      </c>
      <c r="B5127" s="171">
        <v>2.69</v>
      </c>
    </row>
    <row r="5128" spans="1:2" x14ac:dyDescent="0.2">
      <c r="A5128" s="170">
        <v>41411</v>
      </c>
      <c r="B5128" s="171">
        <v>2.77</v>
      </c>
    </row>
    <row r="5129" spans="1:2" x14ac:dyDescent="0.2">
      <c r="A5129" s="170">
        <v>41414</v>
      </c>
      <c r="B5129" s="171">
        <v>2.79</v>
      </c>
    </row>
    <row r="5130" spans="1:2" x14ac:dyDescent="0.2">
      <c r="A5130" s="170">
        <v>41415</v>
      </c>
      <c r="B5130" s="171">
        <v>2.75</v>
      </c>
    </row>
    <row r="5131" spans="1:2" x14ac:dyDescent="0.2">
      <c r="A5131" s="170">
        <v>41416</v>
      </c>
      <c r="B5131" s="171">
        <v>2.83</v>
      </c>
    </row>
    <row r="5132" spans="1:2" x14ac:dyDescent="0.2">
      <c r="A5132" s="170">
        <v>41417</v>
      </c>
      <c r="B5132" s="171">
        <v>2.82</v>
      </c>
    </row>
    <row r="5133" spans="1:2" x14ac:dyDescent="0.2">
      <c r="A5133" s="170">
        <v>41418</v>
      </c>
      <c r="B5133" s="171">
        <v>2.8</v>
      </c>
    </row>
    <row r="5134" spans="1:2" x14ac:dyDescent="0.2">
      <c r="A5134" s="170">
        <v>41421</v>
      </c>
      <c r="B5134" s="171" t="e">
        <f>NA()</f>
        <v>#N/A</v>
      </c>
    </row>
    <row r="5135" spans="1:2" x14ac:dyDescent="0.2">
      <c r="A5135" s="170">
        <v>41422</v>
      </c>
      <c r="B5135" s="171">
        <v>2.95</v>
      </c>
    </row>
    <row r="5136" spans="1:2" x14ac:dyDescent="0.2">
      <c r="A5136" s="170">
        <v>41423</v>
      </c>
      <c r="B5136" s="171">
        <v>2.91</v>
      </c>
    </row>
    <row r="5137" spans="1:2" x14ac:dyDescent="0.2">
      <c r="A5137" s="170">
        <v>41424</v>
      </c>
      <c r="B5137" s="171">
        <v>2.92</v>
      </c>
    </row>
    <row r="5138" spans="1:2" x14ac:dyDescent="0.2">
      <c r="A5138" s="170">
        <v>41425</v>
      </c>
      <c r="B5138" s="171">
        <v>2.95</v>
      </c>
    </row>
    <row r="5139" spans="1:2" x14ac:dyDescent="0.2">
      <c r="A5139" s="170">
        <v>41428</v>
      </c>
      <c r="B5139" s="171">
        <v>2.92</v>
      </c>
    </row>
    <row r="5140" spans="1:2" x14ac:dyDescent="0.2">
      <c r="A5140" s="170">
        <v>41429</v>
      </c>
      <c r="B5140" s="171">
        <v>2.95</v>
      </c>
    </row>
    <row r="5141" spans="1:2" x14ac:dyDescent="0.2">
      <c r="A5141" s="170">
        <v>41430</v>
      </c>
      <c r="B5141" s="171">
        <v>2.9</v>
      </c>
    </row>
    <row r="5142" spans="1:2" x14ac:dyDescent="0.2">
      <c r="A5142" s="170">
        <v>41431</v>
      </c>
      <c r="B5142" s="171">
        <v>2.89</v>
      </c>
    </row>
    <row r="5143" spans="1:2" x14ac:dyDescent="0.2">
      <c r="A5143" s="170">
        <v>41432</v>
      </c>
      <c r="B5143" s="171">
        <v>2.98</v>
      </c>
    </row>
    <row r="5144" spans="1:2" x14ac:dyDescent="0.2">
      <c r="A5144" s="170">
        <v>41435</v>
      </c>
      <c r="B5144" s="171">
        <v>3.03</v>
      </c>
    </row>
    <row r="5145" spans="1:2" x14ac:dyDescent="0.2">
      <c r="A5145" s="170">
        <v>41436</v>
      </c>
      <c r="B5145" s="171">
        <v>3</v>
      </c>
    </row>
    <row r="5146" spans="1:2" x14ac:dyDescent="0.2">
      <c r="A5146" s="170">
        <v>41437</v>
      </c>
      <c r="B5146" s="171">
        <v>3.04</v>
      </c>
    </row>
    <row r="5147" spans="1:2" x14ac:dyDescent="0.2">
      <c r="A5147" s="170">
        <v>41438</v>
      </c>
      <c r="B5147" s="171">
        <v>2.99</v>
      </c>
    </row>
    <row r="5148" spans="1:2" x14ac:dyDescent="0.2">
      <c r="A5148" s="170">
        <v>41439</v>
      </c>
      <c r="B5148" s="171">
        <v>2.95</v>
      </c>
    </row>
    <row r="5149" spans="1:2" x14ac:dyDescent="0.2">
      <c r="A5149" s="170">
        <v>41442</v>
      </c>
      <c r="B5149" s="171">
        <v>3.01</v>
      </c>
    </row>
    <row r="5150" spans="1:2" x14ac:dyDescent="0.2">
      <c r="A5150" s="170">
        <v>41443</v>
      </c>
      <c r="B5150" s="171">
        <v>3</v>
      </c>
    </row>
    <row r="5151" spans="1:2" x14ac:dyDescent="0.2">
      <c r="A5151" s="170">
        <v>41444</v>
      </c>
      <c r="B5151" s="171">
        <v>3.09</v>
      </c>
    </row>
    <row r="5152" spans="1:2" x14ac:dyDescent="0.2">
      <c r="A5152" s="170">
        <v>41445</v>
      </c>
      <c r="B5152" s="171">
        <v>3.18</v>
      </c>
    </row>
    <row r="5153" spans="1:2" x14ac:dyDescent="0.2">
      <c r="A5153" s="170">
        <v>41446</v>
      </c>
      <c r="B5153" s="171">
        <v>3.26</v>
      </c>
    </row>
    <row r="5154" spans="1:2" x14ac:dyDescent="0.2">
      <c r="A5154" s="170">
        <v>41449</v>
      </c>
      <c r="B5154" s="171">
        <v>3.27</v>
      </c>
    </row>
    <row r="5155" spans="1:2" x14ac:dyDescent="0.2">
      <c r="A5155" s="170">
        <v>41450</v>
      </c>
      <c r="B5155" s="171">
        <v>3.31</v>
      </c>
    </row>
    <row r="5156" spans="1:2" x14ac:dyDescent="0.2">
      <c r="A5156" s="170">
        <v>41451</v>
      </c>
      <c r="B5156" s="171">
        <v>3.27</v>
      </c>
    </row>
    <row r="5157" spans="1:2" x14ac:dyDescent="0.2">
      <c r="A5157" s="170">
        <v>41452</v>
      </c>
      <c r="B5157" s="171">
        <v>3.22</v>
      </c>
    </row>
    <row r="5158" spans="1:2" x14ac:dyDescent="0.2">
      <c r="A5158" s="170">
        <v>41453</v>
      </c>
      <c r="B5158" s="171">
        <v>3.22</v>
      </c>
    </row>
    <row r="5159" spans="1:2" x14ac:dyDescent="0.2">
      <c r="A5159" s="170">
        <v>41456</v>
      </c>
      <c r="B5159" s="171">
        <v>3.19</v>
      </c>
    </row>
    <row r="5160" spans="1:2" x14ac:dyDescent="0.2">
      <c r="A5160" s="170">
        <v>41457</v>
      </c>
      <c r="B5160" s="171">
        <v>3.18</v>
      </c>
    </row>
    <row r="5161" spans="1:2" x14ac:dyDescent="0.2">
      <c r="A5161" s="170">
        <v>41458</v>
      </c>
      <c r="B5161" s="171">
        <v>3.22</v>
      </c>
    </row>
    <row r="5162" spans="1:2" x14ac:dyDescent="0.2">
      <c r="A5162" s="170">
        <v>41459</v>
      </c>
      <c r="B5162" s="171" t="e">
        <f>NA()</f>
        <v>#N/A</v>
      </c>
    </row>
    <row r="5163" spans="1:2" x14ac:dyDescent="0.2">
      <c r="A5163" s="170">
        <v>41460</v>
      </c>
      <c r="B5163" s="171">
        <v>3.41</v>
      </c>
    </row>
    <row r="5164" spans="1:2" x14ac:dyDescent="0.2">
      <c r="A5164" s="170">
        <v>41463</v>
      </c>
      <c r="B5164" s="171">
        <v>3.35</v>
      </c>
    </row>
    <row r="5165" spans="1:2" x14ac:dyDescent="0.2">
      <c r="A5165" s="170">
        <v>41464</v>
      </c>
      <c r="B5165" s="171">
        <v>3.36</v>
      </c>
    </row>
    <row r="5166" spans="1:2" x14ac:dyDescent="0.2">
      <c r="A5166" s="170">
        <v>41465</v>
      </c>
      <c r="B5166" s="171">
        <v>3.4</v>
      </c>
    </row>
    <row r="5167" spans="1:2" x14ac:dyDescent="0.2">
      <c r="A5167" s="170">
        <v>41466</v>
      </c>
      <c r="B5167" s="171">
        <v>3.33</v>
      </c>
    </row>
    <row r="5168" spans="1:2" x14ac:dyDescent="0.2">
      <c r="A5168" s="170">
        <v>41467</v>
      </c>
      <c r="B5168" s="171">
        <v>3.34</v>
      </c>
    </row>
    <row r="5169" spans="1:2" x14ac:dyDescent="0.2">
      <c r="A5169" s="170">
        <v>41470</v>
      </c>
      <c r="B5169" s="171">
        <v>3.3</v>
      </c>
    </row>
    <row r="5170" spans="1:2" x14ac:dyDescent="0.2">
      <c r="A5170" s="170">
        <v>41471</v>
      </c>
      <c r="B5170" s="171">
        <v>3.28</v>
      </c>
    </row>
    <row r="5171" spans="1:2" x14ac:dyDescent="0.2">
      <c r="A5171" s="170">
        <v>41472</v>
      </c>
      <c r="B5171" s="171">
        <v>3.27</v>
      </c>
    </row>
    <row r="5172" spans="1:2" x14ac:dyDescent="0.2">
      <c r="A5172" s="170">
        <v>41473</v>
      </c>
      <c r="B5172" s="171">
        <v>3.32</v>
      </c>
    </row>
    <row r="5173" spans="1:2" x14ac:dyDescent="0.2">
      <c r="A5173" s="170">
        <v>41474</v>
      </c>
      <c r="B5173" s="171">
        <v>3.25</v>
      </c>
    </row>
    <row r="5174" spans="1:2" x14ac:dyDescent="0.2">
      <c r="A5174" s="170">
        <v>41477</v>
      </c>
      <c r="B5174" s="171">
        <v>3.25</v>
      </c>
    </row>
    <row r="5175" spans="1:2" x14ac:dyDescent="0.2">
      <c r="A5175" s="170">
        <v>41478</v>
      </c>
      <c r="B5175" s="171">
        <v>3.27</v>
      </c>
    </row>
    <row r="5176" spans="1:2" x14ac:dyDescent="0.2">
      <c r="A5176" s="170">
        <v>41479</v>
      </c>
      <c r="B5176" s="171">
        <v>3.34</v>
      </c>
    </row>
    <row r="5177" spans="1:2" x14ac:dyDescent="0.2">
      <c r="A5177" s="170">
        <v>41480</v>
      </c>
      <c r="B5177" s="171">
        <v>3.34</v>
      </c>
    </row>
    <row r="5178" spans="1:2" x14ac:dyDescent="0.2">
      <c r="A5178" s="170">
        <v>41481</v>
      </c>
      <c r="B5178" s="171">
        <v>3.31</v>
      </c>
    </row>
    <row r="5179" spans="1:2" x14ac:dyDescent="0.2">
      <c r="A5179" s="170">
        <v>41484</v>
      </c>
      <c r="B5179" s="171">
        <v>3.35</v>
      </c>
    </row>
    <row r="5180" spans="1:2" x14ac:dyDescent="0.2">
      <c r="A5180" s="170">
        <v>41485</v>
      </c>
      <c r="B5180" s="171">
        <v>3.36</v>
      </c>
    </row>
    <row r="5181" spans="1:2" x14ac:dyDescent="0.2">
      <c r="A5181" s="170">
        <v>41486</v>
      </c>
      <c r="B5181" s="171">
        <v>3.34</v>
      </c>
    </row>
    <row r="5182" spans="1:2" x14ac:dyDescent="0.2">
      <c r="A5182" s="170">
        <v>41487</v>
      </c>
      <c r="B5182" s="171">
        <v>3.48</v>
      </c>
    </row>
    <row r="5183" spans="1:2" x14ac:dyDescent="0.2">
      <c r="A5183" s="170">
        <v>41488</v>
      </c>
      <c r="B5183" s="171">
        <v>3.39</v>
      </c>
    </row>
    <row r="5184" spans="1:2" x14ac:dyDescent="0.2">
      <c r="A5184" s="170">
        <v>41491</v>
      </c>
      <c r="B5184" s="171">
        <v>3.42</v>
      </c>
    </row>
    <row r="5185" spans="1:2" x14ac:dyDescent="0.2">
      <c r="A5185" s="170">
        <v>41492</v>
      </c>
      <c r="B5185" s="171">
        <v>3.42</v>
      </c>
    </row>
    <row r="5186" spans="1:2" x14ac:dyDescent="0.2">
      <c r="A5186" s="170">
        <v>41493</v>
      </c>
      <c r="B5186" s="171">
        <v>3.37</v>
      </c>
    </row>
    <row r="5187" spans="1:2" x14ac:dyDescent="0.2">
      <c r="A5187" s="170">
        <v>41494</v>
      </c>
      <c r="B5187" s="171">
        <v>3.37</v>
      </c>
    </row>
    <row r="5188" spans="1:2" x14ac:dyDescent="0.2">
      <c r="A5188" s="170">
        <v>41495</v>
      </c>
      <c r="B5188" s="171">
        <v>3.36</v>
      </c>
    </row>
    <row r="5189" spans="1:2" x14ac:dyDescent="0.2">
      <c r="A5189" s="170">
        <v>41498</v>
      </c>
      <c r="B5189" s="171">
        <v>3.39</v>
      </c>
    </row>
    <row r="5190" spans="1:2" x14ac:dyDescent="0.2">
      <c r="A5190" s="170">
        <v>41499</v>
      </c>
      <c r="B5190" s="171">
        <v>3.48</v>
      </c>
    </row>
    <row r="5191" spans="1:2" x14ac:dyDescent="0.2">
      <c r="A5191" s="170">
        <v>41500</v>
      </c>
      <c r="B5191" s="171">
        <v>3.48</v>
      </c>
    </row>
    <row r="5192" spans="1:2" x14ac:dyDescent="0.2">
      <c r="A5192" s="170">
        <v>41501</v>
      </c>
      <c r="B5192" s="171">
        <v>3.54</v>
      </c>
    </row>
    <row r="5193" spans="1:2" x14ac:dyDescent="0.2">
      <c r="A5193" s="170">
        <v>41502</v>
      </c>
      <c r="B5193" s="171">
        <v>3.61</v>
      </c>
    </row>
    <row r="5194" spans="1:2" x14ac:dyDescent="0.2">
      <c r="A5194" s="170">
        <v>41505</v>
      </c>
      <c r="B5194" s="171">
        <v>3.64</v>
      </c>
    </row>
    <row r="5195" spans="1:2" x14ac:dyDescent="0.2">
      <c r="A5195" s="170">
        <v>41506</v>
      </c>
      <c r="B5195" s="171">
        <v>3.59</v>
      </c>
    </row>
    <row r="5196" spans="1:2" x14ac:dyDescent="0.2">
      <c r="A5196" s="170">
        <v>41507</v>
      </c>
      <c r="B5196" s="171">
        <v>3.64</v>
      </c>
    </row>
    <row r="5197" spans="1:2" x14ac:dyDescent="0.2">
      <c r="A5197" s="170">
        <v>41508</v>
      </c>
      <c r="B5197" s="171">
        <v>3.63</v>
      </c>
    </row>
    <row r="5198" spans="1:2" x14ac:dyDescent="0.2">
      <c r="A5198" s="170">
        <v>41509</v>
      </c>
      <c r="B5198" s="171">
        <v>3.55</v>
      </c>
    </row>
    <row r="5199" spans="1:2" x14ac:dyDescent="0.2">
      <c r="A5199" s="170">
        <v>41512</v>
      </c>
      <c r="B5199" s="171">
        <v>3.52</v>
      </c>
    </row>
    <row r="5200" spans="1:2" x14ac:dyDescent="0.2">
      <c r="A5200" s="170">
        <v>41513</v>
      </c>
      <c r="B5200" s="171">
        <v>3.45</v>
      </c>
    </row>
    <row r="5201" spans="1:2" x14ac:dyDescent="0.2">
      <c r="A5201" s="170">
        <v>41514</v>
      </c>
      <c r="B5201" s="171">
        <v>3.5</v>
      </c>
    </row>
    <row r="5202" spans="1:2" x14ac:dyDescent="0.2">
      <c r="A5202" s="170">
        <v>41515</v>
      </c>
      <c r="B5202" s="171">
        <v>3.45</v>
      </c>
    </row>
    <row r="5203" spans="1:2" x14ac:dyDescent="0.2">
      <c r="A5203" s="170">
        <v>41516</v>
      </c>
      <c r="B5203" s="171">
        <v>3.46</v>
      </c>
    </row>
    <row r="5204" spans="1:2" x14ac:dyDescent="0.2">
      <c r="A5204" s="170">
        <v>41519</v>
      </c>
      <c r="B5204" s="171" t="e">
        <f>NA()</f>
        <v>#N/A</v>
      </c>
    </row>
    <row r="5205" spans="1:2" x14ac:dyDescent="0.2">
      <c r="A5205" s="170">
        <v>41520</v>
      </c>
      <c r="B5205" s="171">
        <v>3.54</v>
      </c>
    </row>
    <row r="5206" spans="1:2" x14ac:dyDescent="0.2">
      <c r="A5206" s="170">
        <v>41521</v>
      </c>
      <c r="B5206" s="171">
        <v>3.56</v>
      </c>
    </row>
    <row r="5207" spans="1:2" x14ac:dyDescent="0.2">
      <c r="A5207" s="170">
        <v>41522</v>
      </c>
      <c r="B5207" s="171">
        <v>3.64</v>
      </c>
    </row>
    <row r="5208" spans="1:2" x14ac:dyDescent="0.2">
      <c r="A5208" s="170">
        <v>41523</v>
      </c>
      <c r="B5208" s="171">
        <v>3.62</v>
      </c>
    </row>
    <row r="5209" spans="1:2" x14ac:dyDescent="0.2">
      <c r="A5209" s="170">
        <v>41526</v>
      </c>
      <c r="B5209" s="171">
        <v>3.6</v>
      </c>
    </row>
    <row r="5210" spans="1:2" x14ac:dyDescent="0.2">
      <c r="A5210" s="170">
        <v>41527</v>
      </c>
      <c r="B5210" s="171">
        <v>3.65</v>
      </c>
    </row>
    <row r="5211" spans="1:2" x14ac:dyDescent="0.2">
      <c r="A5211" s="170">
        <v>41528</v>
      </c>
      <c r="B5211" s="171">
        <v>3.61</v>
      </c>
    </row>
    <row r="5212" spans="1:2" x14ac:dyDescent="0.2">
      <c r="A5212" s="170">
        <v>41529</v>
      </c>
      <c r="B5212" s="171">
        <v>3.6</v>
      </c>
    </row>
    <row r="5213" spans="1:2" x14ac:dyDescent="0.2">
      <c r="A5213" s="170">
        <v>41530</v>
      </c>
      <c r="B5213" s="171">
        <v>3.59</v>
      </c>
    </row>
    <row r="5214" spans="1:2" x14ac:dyDescent="0.2">
      <c r="A5214" s="170">
        <v>41533</v>
      </c>
      <c r="B5214" s="171">
        <v>3.61</v>
      </c>
    </row>
    <row r="5215" spans="1:2" x14ac:dyDescent="0.2">
      <c r="A5215" s="170">
        <v>41534</v>
      </c>
      <c r="B5215" s="171">
        <v>3.57</v>
      </c>
    </row>
    <row r="5216" spans="1:2" x14ac:dyDescent="0.2">
      <c r="A5216" s="170">
        <v>41535</v>
      </c>
      <c r="B5216" s="171">
        <v>3.46</v>
      </c>
    </row>
    <row r="5217" spans="1:2" x14ac:dyDescent="0.2">
      <c r="A5217" s="170">
        <v>41536</v>
      </c>
      <c r="B5217" s="171">
        <v>3.52</v>
      </c>
    </row>
    <row r="5218" spans="1:2" x14ac:dyDescent="0.2">
      <c r="A5218" s="170">
        <v>41537</v>
      </c>
      <c r="B5218" s="171">
        <v>3.5</v>
      </c>
    </row>
    <row r="5219" spans="1:2" x14ac:dyDescent="0.2">
      <c r="A5219" s="170">
        <v>41540</v>
      </c>
      <c r="B5219" s="171">
        <v>3.46</v>
      </c>
    </row>
    <row r="5220" spans="1:2" x14ac:dyDescent="0.2">
      <c r="A5220" s="170">
        <v>41541</v>
      </c>
      <c r="B5220" s="171">
        <v>3.4</v>
      </c>
    </row>
    <row r="5221" spans="1:2" x14ac:dyDescent="0.2">
      <c r="A5221" s="170">
        <v>41542</v>
      </c>
      <c r="B5221" s="171">
        <v>3.37</v>
      </c>
    </row>
    <row r="5222" spans="1:2" x14ac:dyDescent="0.2">
      <c r="A5222" s="170">
        <v>41543</v>
      </c>
      <c r="B5222" s="171">
        <v>3.41</v>
      </c>
    </row>
    <row r="5223" spans="1:2" x14ac:dyDescent="0.2">
      <c r="A5223" s="170">
        <v>41544</v>
      </c>
      <c r="B5223" s="171">
        <v>3.4</v>
      </c>
    </row>
    <row r="5224" spans="1:2" x14ac:dyDescent="0.2">
      <c r="A5224" s="170">
        <v>41547</v>
      </c>
      <c r="B5224" s="171">
        <v>3.41</v>
      </c>
    </row>
    <row r="5225" spans="1:2" x14ac:dyDescent="0.2">
      <c r="A5225" s="170">
        <v>41548</v>
      </c>
      <c r="B5225" s="171">
        <v>3.43</v>
      </c>
    </row>
    <row r="5226" spans="1:2" x14ac:dyDescent="0.2">
      <c r="A5226" s="170">
        <v>41549</v>
      </c>
      <c r="B5226" s="171">
        <v>3.41</v>
      </c>
    </row>
    <row r="5227" spans="1:2" x14ac:dyDescent="0.2">
      <c r="A5227" s="170">
        <v>41550</v>
      </c>
      <c r="B5227" s="171">
        <v>3.4</v>
      </c>
    </row>
    <row r="5228" spans="1:2" x14ac:dyDescent="0.2">
      <c r="A5228" s="170">
        <v>41551</v>
      </c>
      <c r="B5228" s="171">
        <v>3.43</v>
      </c>
    </row>
    <row r="5229" spans="1:2" x14ac:dyDescent="0.2">
      <c r="A5229" s="170">
        <v>41554</v>
      </c>
      <c r="B5229" s="171">
        <v>3.41</v>
      </c>
    </row>
    <row r="5230" spans="1:2" x14ac:dyDescent="0.2">
      <c r="A5230" s="170">
        <v>41555</v>
      </c>
      <c r="B5230" s="171">
        <v>3.41</v>
      </c>
    </row>
    <row r="5231" spans="1:2" x14ac:dyDescent="0.2">
      <c r="A5231" s="170">
        <v>41556</v>
      </c>
      <c r="B5231" s="171">
        <v>3.43</v>
      </c>
    </row>
    <row r="5232" spans="1:2" x14ac:dyDescent="0.2">
      <c r="A5232" s="170">
        <v>41557</v>
      </c>
      <c r="B5232" s="171">
        <v>3.46</v>
      </c>
    </row>
    <row r="5233" spans="1:2" x14ac:dyDescent="0.2">
      <c r="A5233" s="170">
        <v>41558</v>
      </c>
      <c r="B5233" s="171">
        <v>3.45</v>
      </c>
    </row>
    <row r="5234" spans="1:2" x14ac:dyDescent="0.2">
      <c r="A5234" s="170">
        <v>41561</v>
      </c>
      <c r="B5234" s="171" t="e">
        <f>NA()</f>
        <v>#N/A</v>
      </c>
    </row>
    <row r="5235" spans="1:2" x14ac:dyDescent="0.2">
      <c r="A5235" s="170">
        <v>41562</v>
      </c>
      <c r="B5235" s="171">
        <v>3.5</v>
      </c>
    </row>
    <row r="5236" spans="1:2" x14ac:dyDescent="0.2">
      <c r="A5236" s="170">
        <v>41563</v>
      </c>
      <c r="B5236" s="171">
        <v>3.43</v>
      </c>
    </row>
    <row r="5237" spans="1:2" x14ac:dyDescent="0.2">
      <c r="A5237" s="170">
        <v>41564</v>
      </c>
      <c r="B5237" s="171">
        <v>3.36</v>
      </c>
    </row>
    <row r="5238" spans="1:2" x14ac:dyDescent="0.2">
      <c r="A5238" s="170">
        <v>41565</v>
      </c>
      <c r="B5238" s="171">
        <v>3.36</v>
      </c>
    </row>
    <row r="5239" spans="1:2" x14ac:dyDescent="0.2">
      <c r="A5239" s="170">
        <v>41568</v>
      </c>
      <c r="B5239" s="171">
        <v>3.39</v>
      </c>
    </row>
    <row r="5240" spans="1:2" x14ac:dyDescent="0.2">
      <c r="A5240" s="170">
        <v>41569</v>
      </c>
      <c r="B5240" s="171">
        <v>3.31</v>
      </c>
    </row>
    <row r="5241" spans="1:2" x14ac:dyDescent="0.2">
      <c r="A5241" s="170">
        <v>41570</v>
      </c>
      <c r="B5241" s="171">
        <v>3.29</v>
      </c>
    </row>
    <row r="5242" spans="1:2" x14ac:dyDescent="0.2">
      <c r="A5242" s="170">
        <v>41571</v>
      </c>
      <c r="B5242" s="171">
        <v>3.3</v>
      </c>
    </row>
    <row r="5243" spans="1:2" x14ac:dyDescent="0.2">
      <c r="A5243" s="170">
        <v>41572</v>
      </c>
      <c r="B5243" s="171">
        <v>3.3</v>
      </c>
    </row>
    <row r="5244" spans="1:2" x14ac:dyDescent="0.2">
      <c r="A5244" s="170">
        <v>41575</v>
      </c>
      <c r="B5244" s="171">
        <v>3.31</v>
      </c>
    </row>
    <row r="5245" spans="1:2" x14ac:dyDescent="0.2">
      <c r="A5245" s="170">
        <v>41576</v>
      </c>
      <c r="B5245" s="171">
        <v>3.31</v>
      </c>
    </row>
    <row r="5246" spans="1:2" x14ac:dyDescent="0.2">
      <c r="A5246" s="170">
        <v>41577</v>
      </c>
      <c r="B5246" s="171">
        <v>3.33</v>
      </c>
    </row>
    <row r="5247" spans="1:2" x14ac:dyDescent="0.2">
      <c r="A5247" s="170">
        <v>41578</v>
      </c>
      <c r="B5247" s="171">
        <v>3.33</v>
      </c>
    </row>
    <row r="5248" spans="1:2" x14ac:dyDescent="0.2">
      <c r="A5248" s="170">
        <v>41579</v>
      </c>
      <c r="B5248" s="171">
        <v>3.4</v>
      </c>
    </row>
    <row r="5249" spans="1:2" x14ac:dyDescent="0.2">
      <c r="A5249" s="170">
        <v>41582</v>
      </c>
      <c r="B5249" s="171">
        <v>3.4</v>
      </c>
    </row>
    <row r="5250" spans="1:2" x14ac:dyDescent="0.2">
      <c r="A5250" s="170">
        <v>41583</v>
      </c>
      <c r="B5250" s="171">
        <v>3.46</v>
      </c>
    </row>
    <row r="5251" spans="1:2" x14ac:dyDescent="0.2">
      <c r="A5251" s="170">
        <v>41584</v>
      </c>
      <c r="B5251" s="171">
        <v>3.46</v>
      </c>
    </row>
    <row r="5252" spans="1:2" x14ac:dyDescent="0.2">
      <c r="A5252" s="170">
        <v>41585</v>
      </c>
      <c r="B5252" s="171">
        <v>3.41</v>
      </c>
    </row>
    <row r="5253" spans="1:2" x14ac:dyDescent="0.2">
      <c r="A5253" s="170">
        <v>41586</v>
      </c>
      <c r="B5253" s="171">
        <v>3.55</v>
      </c>
    </row>
    <row r="5254" spans="1:2" x14ac:dyDescent="0.2">
      <c r="A5254" s="170">
        <v>41589</v>
      </c>
      <c r="B5254" s="171" t="e">
        <f>NA()</f>
        <v>#N/A</v>
      </c>
    </row>
    <row r="5255" spans="1:2" x14ac:dyDescent="0.2">
      <c r="A5255" s="170">
        <v>41590</v>
      </c>
      <c r="B5255" s="171">
        <v>3.57</v>
      </c>
    </row>
    <row r="5256" spans="1:2" x14ac:dyDescent="0.2">
      <c r="A5256" s="170">
        <v>41591</v>
      </c>
      <c r="B5256" s="171">
        <v>3.54</v>
      </c>
    </row>
    <row r="5257" spans="1:2" x14ac:dyDescent="0.2">
      <c r="A5257" s="170">
        <v>41592</v>
      </c>
      <c r="B5257" s="171">
        <v>3.49</v>
      </c>
    </row>
    <row r="5258" spans="1:2" x14ac:dyDescent="0.2">
      <c r="A5258" s="170">
        <v>41593</v>
      </c>
      <c r="B5258" s="171">
        <v>3.5</v>
      </c>
    </row>
    <row r="5259" spans="1:2" x14ac:dyDescent="0.2">
      <c r="A5259" s="170">
        <v>41596</v>
      </c>
      <c r="B5259" s="171">
        <v>3.46</v>
      </c>
    </row>
    <row r="5260" spans="1:2" x14ac:dyDescent="0.2">
      <c r="A5260" s="170">
        <v>41597</v>
      </c>
      <c r="B5260" s="171">
        <v>3.5</v>
      </c>
    </row>
    <row r="5261" spans="1:2" x14ac:dyDescent="0.2">
      <c r="A5261" s="170">
        <v>41598</v>
      </c>
      <c r="B5261" s="171">
        <v>3.61</v>
      </c>
    </row>
    <row r="5262" spans="1:2" x14ac:dyDescent="0.2">
      <c r="A5262" s="170">
        <v>41599</v>
      </c>
      <c r="B5262" s="171">
        <v>3.59</v>
      </c>
    </row>
    <row r="5263" spans="1:2" x14ac:dyDescent="0.2">
      <c r="A5263" s="170">
        <v>41600</v>
      </c>
      <c r="B5263" s="171">
        <v>3.54</v>
      </c>
    </row>
    <row r="5264" spans="1:2" x14ac:dyDescent="0.2">
      <c r="A5264" s="170">
        <v>41603</v>
      </c>
      <c r="B5264" s="171">
        <v>3.53</v>
      </c>
    </row>
    <row r="5265" spans="1:2" x14ac:dyDescent="0.2">
      <c r="A5265" s="170">
        <v>41604</v>
      </c>
      <c r="B5265" s="171">
        <v>3.5</v>
      </c>
    </row>
    <row r="5266" spans="1:2" x14ac:dyDescent="0.2">
      <c r="A5266" s="170">
        <v>41605</v>
      </c>
      <c r="B5266" s="171">
        <v>3.52</v>
      </c>
    </row>
    <row r="5267" spans="1:2" x14ac:dyDescent="0.2">
      <c r="A5267" s="170">
        <v>41606</v>
      </c>
      <c r="B5267" s="171" t="e">
        <f>NA()</f>
        <v>#N/A</v>
      </c>
    </row>
    <row r="5268" spans="1:2" x14ac:dyDescent="0.2">
      <c r="A5268" s="170">
        <v>41607</v>
      </c>
      <c r="B5268" s="171">
        <v>3.54</v>
      </c>
    </row>
    <row r="5269" spans="1:2" x14ac:dyDescent="0.2">
      <c r="A5269" s="170">
        <v>41610</v>
      </c>
      <c r="B5269" s="171">
        <v>3.58</v>
      </c>
    </row>
    <row r="5270" spans="1:2" x14ac:dyDescent="0.2">
      <c r="A5270" s="170">
        <v>41611</v>
      </c>
      <c r="B5270" s="171">
        <v>3.56</v>
      </c>
    </row>
    <row r="5271" spans="1:2" x14ac:dyDescent="0.2">
      <c r="A5271" s="170">
        <v>41612</v>
      </c>
      <c r="B5271" s="171">
        <v>3.63</v>
      </c>
    </row>
    <row r="5272" spans="1:2" x14ac:dyDescent="0.2">
      <c r="A5272" s="170">
        <v>41613</v>
      </c>
      <c r="B5272" s="171">
        <v>3.65</v>
      </c>
    </row>
    <row r="5273" spans="1:2" x14ac:dyDescent="0.2">
      <c r="A5273" s="170">
        <v>41614</v>
      </c>
      <c r="B5273" s="171">
        <v>3.63</v>
      </c>
    </row>
    <row r="5274" spans="1:2" x14ac:dyDescent="0.2">
      <c r="A5274" s="170">
        <v>41617</v>
      </c>
      <c r="B5274" s="171">
        <v>3.61</v>
      </c>
    </row>
    <row r="5275" spans="1:2" x14ac:dyDescent="0.2">
      <c r="A5275" s="170">
        <v>41618</v>
      </c>
      <c r="B5275" s="171">
        <v>3.56</v>
      </c>
    </row>
    <row r="5276" spans="1:2" x14ac:dyDescent="0.2">
      <c r="A5276" s="170">
        <v>41619</v>
      </c>
      <c r="B5276" s="171">
        <v>3.61</v>
      </c>
    </row>
    <row r="5277" spans="1:2" x14ac:dyDescent="0.2">
      <c r="A5277" s="170">
        <v>41620</v>
      </c>
      <c r="B5277" s="171">
        <v>3.63</v>
      </c>
    </row>
    <row r="5278" spans="1:2" x14ac:dyDescent="0.2">
      <c r="A5278" s="170">
        <v>41621</v>
      </c>
      <c r="B5278" s="171">
        <v>3.61</v>
      </c>
    </row>
    <row r="5279" spans="1:2" x14ac:dyDescent="0.2">
      <c r="A5279" s="170">
        <v>41624</v>
      </c>
      <c r="B5279" s="171">
        <v>3.63</v>
      </c>
    </row>
    <row r="5280" spans="1:2" x14ac:dyDescent="0.2">
      <c r="A5280" s="170">
        <v>41625</v>
      </c>
      <c r="B5280" s="171">
        <v>3.6</v>
      </c>
    </row>
    <row r="5281" spans="1:2" x14ac:dyDescent="0.2">
      <c r="A5281" s="170">
        <v>41626</v>
      </c>
      <c r="B5281" s="171">
        <v>3.63</v>
      </c>
    </row>
    <row r="5282" spans="1:2" x14ac:dyDescent="0.2">
      <c r="A5282" s="170">
        <v>41627</v>
      </c>
      <c r="B5282" s="171">
        <v>3.64</v>
      </c>
    </row>
    <row r="5283" spans="1:2" x14ac:dyDescent="0.2">
      <c r="A5283" s="170">
        <v>41628</v>
      </c>
      <c r="B5283" s="171">
        <v>3.57</v>
      </c>
    </row>
    <row r="5284" spans="1:2" x14ac:dyDescent="0.2">
      <c r="A5284" s="170">
        <v>41631</v>
      </c>
      <c r="B5284" s="171">
        <v>3.6</v>
      </c>
    </row>
    <row r="5285" spans="1:2" x14ac:dyDescent="0.2">
      <c r="A5285" s="170">
        <v>41632</v>
      </c>
      <c r="B5285" s="171">
        <v>3.66</v>
      </c>
    </row>
    <row r="5286" spans="1:2" x14ac:dyDescent="0.2">
      <c r="A5286" s="170">
        <v>41633</v>
      </c>
      <c r="B5286" s="171" t="e">
        <f>NA()</f>
        <v>#N/A</v>
      </c>
    </row>
    <row r="5287" spans="1:2" x14ac:dyDescent="0.2">
      <c r="A5287" s="170">
        <v>41634</v>
      </c>
      <c r="B5287" s="171">
        <v>3.68</v>
      </c>
    </row>
    <row r="5288" spans="1:2" x14ac:dyDescent="0.2">
      <c r="A5288" s="170">
        <v>41635</v>
      </c>
      <c r="B5288" s="171">
        <v>3.7</v>
      </c>
    </row>
    <row r="5289" spans="1:2" x14ac:dyDescent="0.2">
      <c r="A5289" s="170">
        <v>41638</v>
      </c>
      <c r="B5289" s="171">
        <v>3.66</v>
      </c>
    </row>
    <row r="5290" spans="1:2" x14ac:dyDescent="0.2">
      <c r="A5290" s="170">
        <v>41639</v>
      </c>
      <c r="B5290" s="171">
        <v>3.72</v>
      </c>
    </row>
    <row r="5291" spans="1:2" x14ac:dyDescent="0.2">
      <c r="A5291" s="170">
        <v>41640</v>
      </c>
      <c r="B5291" s="171" t="e">
        <f>NA()</f>
        <v>#N/A</v>
      </c>
    </row>
    <row r="5292" spans="1:2" x14ac:dyDescent="0.2">
      <c r="A5292" s="170">
        <v>41641</v>
      </c>
      <c r="B5292" s="171">
        <v>3.68</v>
      </c>
    </row>
    <row r="5293" spans="1:2" x14ac:dyDescent="0.2">
      <c r="A5293" s="170">
        <v>41642</v>
      </c>
      <c r="B5293" s="171">
        <v>3.69</v>
      </c>
    </row>
    <row r="5294" spans="1:2" x14ac:dyDescent="0.2">
      <c r="A5294" s="170">
        <v>41645</v>
      </c>
      <c r="B5294" s="171">
        <v>3.66</v>
      </c>
    </row>
    <row r="5295" spans="1:2" x14ac:dyDescent="0.2">
      <c r="A5295" s="170">
        <v>41646</v>
      </c>
      <c r="B5295" s="171">
        <v>3.64</v>
      </c>
    </row>
    <row r="5296" spans="1:2" x14ac:dyDescent="0.2">
      <c r="A5296" s="170">
        <v>41647</v>
      </c>
      <c r="B5296" s="171">
        <v>3.67</v>
      </c>
    </row>
    <row r="5297" spans="1:2" x14ac:dyDescent="0.2">
      <c r="A5297" s="170">
        <v>41648</v>
      </c>
      <c r="B5297" s="171">
        <v>3.62</v>
      </c>
    </row>
    <row r="5298" spans="1:2" x14ac:dyDescent="0.2">
      <c r="A5298" s="170">
        <v>41649</v>
      </c>
      <c r="B5298" s="171">
        <v>3.54</v>
      </c>
    </row>
    <row r="5299" spans="1:2" x14ac:dyDescent="0.2">
      <c r="A5299" s="170">
        <v>41652</v>
      </c>
      <c r="B5299" s="171">
        <v>3.52</v>
      </c>
    </row>
    <row r="5300" spans="1:2" x14ac:dyDescent="0.2">
      <c r="A5300" s="170">
        <v>41653</v>
      </c>
      <c r="B5300" s="171">
        <v>3.54</v>
      </c>
    </row>
    <row r="5301" spans="1:2" x14ac:dyDescent="0.2">
      <c r="A5301" s="170">
        <v>41654</v>
      </c>
      <c r="B5301" s="171">
        <v>3.55</v>
      </c>
    </row>
    <row r="5302" spans="1:2" x14ac:dyDescent="0.2">
      <c r="A5302" s="170">
        <v>41655</v>
      </c>
      <c r="B5302" s="171">
        <v>3.52</v>
      </c>
    </row>
    <row r="5303" spans="1:2" x14ac:dyDescent="0.2">
      <c r="A5303" s="170">
        <v>41656</v>
      </c>
      <c r="B5303" s="171">
        <v>3.5</v>
      </c>
    </row>
    <row r="5304" spans="1:2" x14ac:dyDescent="0.2">
      <c r="A5304" s="170">
        <v>41659</v>
      </c>
      <c r="B5304" s="171" t="e">
        <f>NA()</f>
        <v>#N/A</v>
      </c>
    </row>
    <row r="5305" spans="1:2" x14ac:dyDescent="0.2">
      <c r="A5305" s="170">
        <v>41660</v>
      </c>
      <c r="B5305" s="171">
        <v>3.5</v>
      </c>
    </row>
    <row r="5306" spans="1:2" x14ac:dyDescent="0.2">
      <c r="A5306" s="170">
        <v>41661</v>
      </c>
      <c r="B5306" s="171">
        <v>3.52</v>
      </c>
    </row>
    <row r="5307" spans="1:2" x14ac:dyDescent="0.2">
      <c r="A5307" s="170">
        <v>41662</v>
      </c>
      <c r="B5307" s="171">
        <v>3.44</v>
      </c>
    </row>
    <row r="5308" spans="1:2" x14ac:dyDescent="0.2">
      <c r="A5308" s="170">
        <v>41663</v>
      </c>
      <c r="B5308" s="171">
        <v>3.4</v>
      </c>
    </row>
    <row r="5309" spans="1:2" x14ac:dyDescent="0.2">
      <c r="A5309" s="170">
        <v>41666</v>
      </c>
      <c r="B5309" s="171">
        <v>3.43</v>
      </c>
    </row>
    <row r="5310" spans="1:2" x14ac:dyDescent="0.2">
      <c r="A5310" s="170">
        <v>41667</v>
      </c>
      <c r="B5310" s="171">
        <v>3.43</v>
      </c>
    </row>
    <row r="5311" spans="1:2" x14ac:dyDescent="0.2">
      <c r="A5311" s="170">
        <v>41668</v>
      </c>
      <c r="B5311" s="171">
        <v>3.36</v>
      </c>
    </row>
    <row r="5312" spans="1:2" x14ac:dyDescent="0.2">
      <c r="A5312" s="170">
        <v>41669</v>
      </c>
      <c r="B5312" s="171">
        <v>3.4</v>
      </c>
    </row>
    <row r="5313" spans="1:2" x14ac:dyDescent="0.2">
      <c r="A5313" s="170">
        <v>41670</v>
      </c>
      <c r="B5313" s="171">
        <v>3.35</v>
      </c>
    </row>
    <row r="5314" spans="1:2" x14ac:dyDescent="0.2">
      <c r="A5314" s="170">
        <v>41673</v>
      </c>
      <c r="B5314" s="171">
        <v>3.29</v>
      </c>
    </row>
    <row r="5315" spans="1:2" x14ac:dyDescent="0.2">
      <c r="A5315" s="170">
        <v>41674</v>
      </c>
      <c r="B5315" s="171">
        <v>3.33</v>
      </c>
    </row>
    <row r="5316" spans="1:2" x14ac:dyDescent="0.2">
      <c r="A5316" s="170">
        <v>41675</v>
      </c>
      <c r="B5316" s="171">
        <v>3.4</v>
      </c>
    </row>
    <row r="5317" spans="1:2" x14ac:dyDescent="0.2">
      <c r="A5317" s="170">
        <v>41676</v>
      </c>
      <c r="B5317" s="171">
        <v>3.42</v>
      </c>
    </row>
    <row r="5318" spans="1:2" x14ac:dyDescent="0.2">
      <c r="A5318" s="170">
        <v>41677</v>
      </c>
      <c r="B5318" s="171">
        <v>3.39</v>
      </c>
    </row>
    <row r="5319" spans="1:2" x14ac:dyDescent="0.2">
      <c r="A5319" s="170">
        <v>41680</v>
      </c>
      <c r="B5319" s="171">
        <v>3.38</v>
      </c>
    </row>
    <row r="5320" spans="1:2" x14ac:dyDescent="0.2">
      <c r="A5320" s="170">
        <v>41681</v>
      </c>
      <c r="B5320" s="171">
        <v>3.42</v>
      </c>
    </row>
    <row r="5321" spans="1:2" x14ac:dyDescent="0.2">
      <c r="A5321" s="170">
        <v>41682</v>
      </c>
      <c r="B5321" s="171">
        <v>3.45</v>
      </c>
    </row>
    <row r="5322" spans="1:2" x14ac:dyDescent="0.2">
      <c r="A5322" s="170">
        <v>41683</v>
      </c>
      <c r="B5322" s="171">
        <v>3.4</v>
      </c>
    </row>
    <row r="5323" spans="1:2" x14ac:dyDescent="0.2">
      <c r="A5323" s="170">
        <v>41684</v>
      </c>
      <c r="B5323" s="171">
        <v>3.41</v>
      </c>
    </row>
    <row r="5324" spans="1:2" x14ac:dyDescent="0.2">
      <c r="A5324" s="170">
        <v>41687</v>
      </c>
      <c r="B5324" s="171" t="e">
        <f>NA()</f>
        <v>#N/A</v>
      </c>
    </row>
    <row r="5325" spans="1:2" x14ac:dyDescent="0.2">
      <c r="A5325" s="170">
        <v>41688</v>
      </c>
      <c r="B5325" s="171">
        <v>3.4</v>
      </c>
    </row>
    <row r="5326" spans="1:2" x14ac:dyDescent="0.2">
      <c r="A5326" s="170">
        <v>41689</v>
      </c>
      <c r="B5326" s="171">
        <v>3.42</v>
      </c>
    </row>
    <row r="5327" spans="1:2" x14ac:dyDescent="0.2">
      <c r="A5327" s="170">
        <v>41690</v>
      </c>
      <c r="B5327" s="171">
        <v>3.44</v>
      </c>
    </row>
    <row r="5328" spans="1:2" x14ac:dyDescent="0.2">
      <c r="A5328" s="170">
        <v>41691</v>
      </c>
      <c r="B5328" s="171">
        <v>3.41</v>
      </c>
    </row>
    <row r="5329" spans="1:2" x14ac:dyDescent="0.2">
      <c r="A5329" s="170">
        <v>41694</v>
      </c>
      <c r="B5329" s="171">
        <v>3.42</v>
      </c>
    </row>
    <row r="5330" spans="1:2" x14ac:dyDescent="0.2">
      <c r="A5330" s="170">
        <v>41695</v>
      </c>
      <c r="B5330" s="171">
        <v>3.37</v>
      </c>
    </row>
    <row r="5331" spans="1:2" x14ac:dyDescent="0.2">
      <c r="A5331" s="170">
        <v>41696</v>
      </c>
      <c r="B5331" s="171">
        <v>3.34</v>
      </c>
    </row>
    <row r="5332" spans="1:2" x14ac:dyDescent="0.2">
      <c r="A5332" s="170">
        <v>41697</v>
      </c>
      <c r="B5332" s="171">
        <v>3.31</v>
      </c>
    </row>
    <row r="5333" spans="1:2" x14ac:dyDescent="0.2">
      <c r="A5333" s="170">
        <v>41698</v>
      </c>
      <c r="B5333" s="171">
        <v>3.31</v>
      </c>
    </row>
    <row r="5334" spans="1:2" x14ac:dyDescent="0.2">
      <c r="A5334" s="170">
        <v>41701</v>
      </c>
      <c r="B5334" s="171">
        <v>3.27</v>
      </c>
    </row>
    <row r="5335" spans="1:2" x14ac:dyDescent="0.2">
      <c r="A5335" s="170">
        <v>41702</v>
      </c>
      <c r="B5335" s="171">
        <v>3.36</v>
      </c>
    </row>
    <row r="5336" spans="1:2" x14ac:dyDescent="0.2">
      <c r="A5336" s="170">
        <v>41703</v>
      </c>
      <c r="B5336" s="171">
        <v>3.36</v>
      </c>
    </row>
    <row r="5337" spans="1:2" x14ac:dyDescent="0.2">
      <c r="A5337" s="170">
        <v>41704</v>
      </c>
      <c r="B5337" s="171">
        <v>3.4</v>
      </c>
    </row>
    <row r="5338" spans="1:2" x14ac:dyDescent="0.2">
      <c r="A5338" s="170">
        <v>41705</v>
      </c>
      <c r="B5338" s="171">
        <v>3.45</v>
      </c>
    </row>
    <row r="5339" spans="1:2" x14ac:dyDescent="0.2">
      <c r="A5339" s="170">
        <v>41708</v>
      </c>
      <c r="B5339" s="171">
        <v>3.45</v>
      </c>
    </row>
    <row r="5340" spans="1:2" x14ac:dyDescent="0.2">
      <c r="A5340" s="170">
        <v>41709</v>
      </c>
      <c r="B5340" s="171">
        <v>3.43</v>
      </c>
    </row>
    <row r="5341" spans="1:2" x14ac:dyDescent="0.2">
      <c r="A5341" s="170">
        <v>41710</v>
      </c>
      <c r="B5341" s="171">
        <v>3.38</v>
      </c>
    </row>
    <row r="5342" spans="1:2" x14ac:dyDescent="0.2">
      <c r="A5342" s="170">
        <v>41711</v>
      </c>
      <c r="B5342" s="171">
        <v>3.31</v>
      </c>
    </row>
    <row r="5343" spans="1:2" x14ac:dyDescent="0.2">
      <c r="A5343" s="170">
        <v>41712</v>
      </c>
      <c r="B5343" s="171">
        <v>3.3</v>
      </c>
    </row>
    <row r="5344" spans="1:2" x14ac:dyDescent="0.2">
      <c r="A5344" s="170">
        <v>41715</v>
      </c>
      <c r="B5344" s="171">
        <v>3.34</v>
      </c>
    </row>
    <row r="5345" spans="1:2" x14ac:dyDescent="0.2">
      <c r="A5345" s="170">
        <v>41716</v>
      </c>
      <c r="B5345" s="171">
        <v>3.33</v>
      </c>
    </row>
    <row r="5346" spans="1:2" x14ac:dyDescent="0.2">
      <c r="A5346" s="170">
        <v>41717</v>
      </c>
      <c r="B5346" s="171">
        <v>3.39</v>
      </c>
    </row>
    <row r="5347" spans="1:2" x14ac:dyDescent="0.2">
      <c r="A5347" s="170">
        <v>41718</v>
      </c>
      <c r="B5347" s="171">
        <v>3.4</v>
      </c>
    </row>
    <row r="5348" spans="1:2" x14ac:dyDescent="0.2">
      <c r="A5348" s="170">
        <v>41719</v>
      </c>
      <c r="B5348" s="171">
        <v>3.34</v>
      </c>
    </row>
    <row r="5349" spans="1:2" x14ac:dyDescent="0.2">
      <c r="A5349" s="170">
        <v>41722</v>
      </c>
      <c r="B5349" s="171">
        <v>3.31</v>
      </c>
    </row>
    <row r="5350" spans="1:2" x14ac:dyDescent="0.2">
      <c r="A5350" s="170">
        <v>41723</v>
      </c>
      <c r="B5350" s="171">
        <v>3.32</v>
      </c>
    </row>
    <row r="5351" spans="1:2" x14ac:dyDescent="0.2">
      <c r="A5351" s="170">
        <v>41724</v>
      </c>
      <c r="B5351" s="171">
        <v>3.29</v>
      </c>
    </row>
    <row r="5352" spans="1:2" x14ac:dyDescent="0.2">
      <c r="A5352" s="170">
        <v>41725</v>
      </c>
      <c r="B5352" s="171">
        <v>3.25</v>
      </c>
    </row>
    <row r="5353" spans="1:2" x14ac:dyDescent="0.2">
      <c r="A5353" s="170">
        <v>41726</v>
      </c>
      <c r="B5353" s="171">
        <v>3.29</v>
      </c>
    </row>
    <row r="5354" spans="1:2" x14ac:dyDescent="0.2">
      <c r="A5354" s="170">
        <v>41729</v>
      </c>
      <c r="B5354" s="171">
        <v>3.31</v>
      </c>
    </row>
    <row r="5355" spans="1:2" x14ac:dyDescent="0.2">
      <c r="A5355" s="170">
        <v>41730</v>
      </c>
      <c r="B5355" s="171">
        <v>3.35</v>
      </c>
    </row>
    <row r="5356" spans="1:2" x14ac:dyDescent="0.2">
      <c r="A5356" s="170">
        <v>41731</v>
      </c>
      <c r="B5356" s="171">
        <v>3.4</v>
      </c>
    </row>
    <row r="5357" spans="1:2" x14ac:dyDescent="0.2">
      <c r="A5357" s="170">
        <v>41732</v>
      </c>
      <c r="B5357" s="171">
        <v>3.38</v>
      </c>
    </row>
    <row r="5358" spans="1:2" x14ac:dyDescent="0.2">
      <c r="A5358" s="170">
        <v>41733</v>
      </c>
      <c r="B5358" s="171">
        <v>3.33</v>
      </c>
    </row>
    <row r="5359" spans="1:2" x14ac:dyDescent="0.2">
      <c r="A5359" s="170">
        <v>41736</v>
      </c>
      <c r="B5359" s="171">
        <v>3.3</v>
      </c>
    </row>
    <row r="5360" spans="1:2" x14ac:dyDescent="0.2">
      <c r="A5360" s="170">
        <v>41737</v>
      </c>
      <c r="B5360" s="171">
        <v>3.28</v>
      </c>
    </row>
    <row r="5361" spans="1:2" x14ac:dyDescent="0.2">
      <c r="A5361" s="170">
        <v>41738</v>
      </c>
      <c r="B5361" s="171">
        <v>3.31</v>
      </c>
    </row>
    <row r="5362" spans="1:2" x14ac:dyDescent="0.2">
      <c r="A5362" s="170">
        <v>41739</v>
      </c>
      <c r="B5362" s="171">
        <v>3.24</v>
      </c>
    </row>
    <row r="5363" spans="1:2" x14ac:dyDescent="0.2">
      <c r="A5363" s="170">
        <v>41740</v>
      </c>
      <c r="B5363" s="171">
        <v>3.22</v>
      </c>
    </row>
    <row r="5364" spans="1:2" x14ac:dyDescent="0.2">
      <c r="A5364" s="170">
        <v>41743</v>
      </c>
      <c r="B5364" s="171">
        <v>3.23</v>
      </c>
    </row>
    <row r="5365" spans="1:2" x14ac:dyDescent="0.2">
      <c r="A5365" s="170">
        <v>41744</v>
      </c>
      <c r="B5365" s="171">
        <v>3.2</v>
      </c>
    </row>
    <row r="5366" spans="1:2" x14ac:dyDescent="0.2">
      <c r="A5366" s="170">
        <v>41745</v>
      </c>
      <c r="B5366" s="171">
        <v>3.2</v>
      </c>
    </row>
    <row r="5367" spans="1:2" x14ac:dyDescent="0.2">
      <c r="A5367" s="170">
        <v>41746</v>
      </c>
      <c r="B5367" s="171">
        <v>3.27</v>
      </c>
    </row>
    <row r="5368" spans="1:2" x14ac:dyDescent="0.2">
      <c r="A5368" s="170">
        <v>41747</v>
      </c>
      <c r="B5368" s="171" t="e">
        <f>NA()</f>
        <v>#N/A</v>
      </c>
    </row>
    <row r="5369" spans="1:2" x14ac:dyDescent="0.2">
      <c r="A5369" s="170">
        <v>41750</v>
      </c>
      <c r="B5369" s="171">
        <v>3.27</v>
      </c>
    </row>
    <row r="5370" spans="1:2" x14ac:dyDescent="0.2">
      <c r="A5370" s="170">
        <v>41751</v>
      </c>
      <c r="B5370" s="171">
        <v>3.25</v>
      </c>
    </row>
    <row r="5371" spans="1:2" x14ac:dyDescent="0.2">
      <c r="A5371" s="170">
        <v>41752</v>
      </c>
      <c r="B5371" s="171">
        <v>3.22</v>
      </c>
    </row>
    <row r="5372" spans="1:2" x14ac:dyDescent="0.2">
      <c r="A5372" s="170">
        <v>41753</v>
      </c>
      <c r="B5372" s="171">
        <v>3.22</v>
      </c>
    </row>
    <row r="5373" spans="1:2" x14ac:dyDescent="0.2">
      <c r="A5373" s="170">
        <v>41754</v>
      </c>
      <c r="B5373" s="171">
        <v>3.2</v>
      </c>
    </row>
    <row r="5374" spans="1:2" x14ac:dyDescent="0.2">
      <c r="A5374" s="170">
        <v>41757</v>
      </c>
      <c r="B5374" s="171">
        <v>3.23</v>
      </c>
    </row>
    <row r="5375" spans="1:2" x14ac:dyDescent="0.2">
      <c r="A5375" s="170">
        <v>41758</v>
      </c>
      <c r="B5375" s="171">
        <v>3.25</v>
      </c>
    </row>
    <row r="5376" spans="1:2" x14ac:dyDescent="0.2">
      <c r="A5376" s="170">
        <v>41759</v>
      </c>
      <c r="B5376" s="171">
        <v>3.22</v>
      </c>
    </row>
    <row r="5377" spans="1:2" x14ac:dyDescent="0.2">
      <c r="A5377" s="170">
        <v>41760</v>
      </c>
      <c r="B5377" s="171">
        <v>3.16</v>
      </c>
    </row>
    <row r="5378" spans="1:2" x14ac:dyDescent="0.2">
      <c r="A5378" s="170">
        <v>41761</v>
      </c>
      <c r="B5378" s="171">
        <v>3.12</v>
      </c>
    </row>
    <row r="5379" spans="1:2" x14ac:dyDescent="0.2">
      <c r="A5379" s="170">
        <v>41764</v>
      </c>
      <c r="B5379" s="171">
        <v>3.16</v>
      </c>
    </row>
    <row r="5380" spans="1:2" x14ac:dyDescent="0.2">
      <c r="A5380" s="170">
        <v>41765</v>
      </c>
      <c r="B5380" s="171">
        <v>3.13</v>
      </c>
    </row>
    <row r="5381" spans="1:2" x14ac:dyDescent="0.2">
      <c r="A5381" s="170">
        <v>41766</v>
      </c>
      <c r="B5381" s="171">
        <v>3.12</v>
      </c>
    </row>
    <row r="5382" spans="1:2" x14ac:dyDescent="0.2">
      <c r="A5382" s="170">
        <v>41767</v>
      </c>
      <c r="B5382" s="171">
        <v>3.17</v>
      </c>
    </row>
    <row r="5383" spans="1:2" x14ac:dyDescent="0.2">
      <c r="A5383" s="170">
        <v>41768</v>
      </c>
      <c r="B5383" s="171">
        <v>3.18</v>
      </c>
    </row>
    <row r="5384" spans="1:2" x14ac:dyDescent="0.2">
      <c r="A5384" s="170">
        <v>41771</v>
      </c>
      <c r="B5384" s="171">
        <v>3.21</v>
      </c>
    </row>
    <row r="5385" spans="1:2" x14ac:dyDescent="0.2">
      <c r="A5385" s="170">
        <v>41772</v>
      </c>
      <c r="B5385" s="171">
        <v>3.17</v>
      </c>
    </row>
    <row r="5386" spans="1:2" x14ac:dyDescent="0.2">
      <c r="A5386" s="170">
        <v>41773</v>
      </c>
      <c r="B5386" s="171">
        <v>3.09</v>
      </c>
    </row>
    <row r="5387" spans="1:2" x14ac:dyDescent="0.2">
      <c r="A5387" s="170">
        <v>41774</v>
      </c>
      <c r="B5387" s="171">
        <v>3.05</v>
      </c>
    </row>
    <row r="5388" spans="1:2" x14ac:dyDescent="0.2">
      <c r="A5388" s="170">
        <v>41775</v>
      </c>
      <c r="B5388" s="171">
        <v>3.07</v>
      </c>
    </row>
    <row r="5389" spans="1:2" x14ac:dyDescent="0.2">
      <c r="A5389" s="170">
        <v>41778</v>
      </c>
      <c r="B5389" s="171">
        <v>3.11</v>
      </c>
    </row>
    <row r="5390" spans="1:2" x14ac:dyDescent="0.2">
      <c r="A5390" s="170">
        <v>41779</v>
      </c>
      <c r="B5390" s="171">
        <v>3.1</v>
      </c>
    </row>
    <row r="5391" spans="1:2" x14ac:dyDescent="0.2">
      <c r="A5391" s="170">
        <v>41780</v>
      </c>
      <c r="B5391" s="171">
        <v>3.13</v>
      </c>
    </row>
    <row r="5392" spans="1:2" x14ac:dyDescent="0.2">
      <c r="A5392" s="170">
        <v>41781</v>
      </c>
      <c r="B5392" s="171">
        <v>3.15</v>
      </c>
    </row>
    <row r="5393" spans="1:2" x14ac:dyDescent="0.2">
      <c r="A5393" s="170">
        <v>41782</v>
      </c>
      <c r="B5393" s="171">
        <v>3.12</v>
      </c>
    </row>
    <row r="5394" spans="1:2" x14ac:dyDescent="0.2">
      <c r="A5394" s="170">
        <v>41785</v>
      </c>
      <c r="B5394" s="171" t="e">
        <f>NA()</f>
        <v>#N/A</v>
      </c>
    </row>
    <row r="5395" spans="1:2" x14ac:dyDescent="0.2">
      <c r="A5395" s="170">
        <v>41786</v>
      </c>
      <c r="B5395" s="171">
        <v>3.09</v>
      </c>
    </row>
    <row r="5396" spans="1:2" x14ac:dyDescent="0.2">
      <c r="A5396" s="170">
        <v>41787</v>
      </c>
      <c r="B5396" s="171">
        <v>3.01</v>
      </c>
    </row>
    <row r="5397" spans="1:2" x14ac:dyDescent="0.2">
      <c r="A5397" s="170">
        <v>41788</v>
      </c>
      <c r="B5397" s="171">
        <v>3.03</v>
      </c>
    </row>
    <row r="5398" spans="1:2" x14ac:dyDescent="0.2">
      <c r="A5398" s="170">
        <v>41789</v>
      </c>
      <c r="B5398" s="171">
        <v>3.05</v>
      </c>
    </row>
    <row r="5399" spans="1:2" x14ac:dyDescent="0.2">
      <c r="A5399" s="170">
        <v>41792</v>
      </c>
      <c r="B5399" s="171">
        <v>3.1</v>
      </c>
    </row>
    <row r="5400" spans="1:2" x14ac:dyDescent="0.2">
      <c r="A5400" s="170">
        <v>41793</v>
      </c>
      <c r="B5400" s="171">
        <v>3.17</v>
      </c>
    </row>
    <row r="5401" spans="1:2" x14ac:dyDescent="0.2">
      <c r="A5401" s="170">
        <v>41794</v>
      </c>
      <c r="B5401" s="171">
        <v>3.18</v>
      </c>
    </row>
    <row r="5402" spans="1:2" x14ac:dyDescent="0.2">
      <c r="A5402" s="170">
        <v>41795</v>
      </c>
      <c r="B5402" s="171">
        <v>3.17</v>
      </c>
    </row>
    <row r="5403" spans="1:2" x14ac:dyDescent="0.2">
      <c r="A5403" s="170">
        <v>41796</v>
      </c>
      <c r="B5403" s="171">
        <v>3.17</v>
      </c>
    </row>
    <row r="5404" spans="1:2" x14ac:dyDescent="0.2">
      <c r="A5404" s="170">
        <v>41799</v>
      </c>
      <c r="B5404" s="171">
        <v>3.18</v>
      </c>
    </row>
    <row r="5405" spans="1:2" x14ac:dyDescent="0.2">
      <c r="A5405" s="170">
        <v>41800</v>
      </c>
      <c r="B5405" s="171">
        <v>3.2</v>
      </c>
    </row>
    <row r="5406" spans="1:2" x14ac:dyDescent="0.2">
      <c r="A5406" s="170">
        <v>41801</v>
      </c>
      <c r="B5406" s="171">
        <v>3.2</v>
      </c>
    </row>
    <row r="5407" spans="1:2" x14ac:dyDescent="0.2">
      <c r="A5407" s="170">
        <v>41802</v>
      </c>
      <c r="B5407" s="171">
        <v>3.14</v>
      </c>
    </row>
    <row r="5408" spans="1:2" x14ac:dyDescent="0.2">
      <c r="A5408" s="170">
        <v>41803</v>
      </c>
      <c r="B5408" s="171">
        <v>3.14</v>
      </c>
    </row>
    <row r="5409" spans="1:2" x14ac:dyDescent="0.2">
      <c r="A5409" s="170">
        <v>41806</v>
      </c>
      <c r="B5409" s="171">
        <v>3.14</v>
      </c>
    </row>
    <row r="5410" spans="1:2" x14ac:dyDescent="0.2">
      <c r="A5410" s="170">
        <v>41807</v>
      </c>
      <c r="B5410" s="171">
        <v>3.19</v>
      </c>
    </row>
    <row r="5411" spans="1:2" x14ac:dyDescent="0.2">
      <c r="A5411" s="170">
        <v>41808</v>
      </c>
      <c r="B5411" s="171">
        <v>3.16</v>
      </c>
    </row>
    <row r="5412" spans="1:2" x14ac:dyDescent="0.2">
      <c r="A5412" s="170">
        <v>41809</v>
      </c>
      <c r="B5412" s="171">
        <v>3.2</v>
      </c>
    </row>
    <row r="5413" spans="1:2" x14ac:dyDescent="0.2">
      <c r="A5413" s="170">
        <v>41810</v>
      </c>
      <c r="B5413" s="171">
        <v>3.18</v>
      </c>
    </row>
    <row r="5414" spans="1:2" x14ac:dyDescent="0.2">
      <c r="A5414" s="170">
        <v>41813</v>
      </c>
      <c r="B5414" s="171">
        <v>3.18</v>
      </c>
    </row>
    <row r="5415" spans="1:2" x14ac:dyDescent="0.2">
      <c r="A5415" s="170">
        <v>41814</v>
      </c>
      <c r="B5415" s="171">
        <v>3.14</v>
      </c>
    </row>
    <row r="5416" spans="1:2" x14ac:dyDescent="0.2">
      <c r="A5416" s="170">
        <v>41815</v>
      </c>
      <c r="B5416" s="171">
        <v>3.12</v>
      </c>
    </row>
    <row r="5417" spans="1:2" x14ac:dyDescent="0.2">
      <c r="A5417" s="170">
        <v>41816</v>
      </c>
      <c r="B5417" s="171">
        <v>3.08</v>
      </c>
    </row>
    <row r="5418" spans="1:2" x14ac:dyDescent="0.2">
      <c r="A5418" s="170">
        <v>41817</v>
      </c>
      <c r="B5418" s="171">
        <v>3.1</v>
      </c>
    </row>
    <row r="5419" spans="1:2" x14ac:dyDescent="0.2">
      <c r="A5419" s="170">
        <v>41820</v>
      </c>
      <c r="B5419" s="171">
        <v>3.08</v>
      </c>
    </row>
    <row r="5420" spans="1:2" x14ac:dyDescent="0.2">
      <c r="A5420" s="170">
        <v>41821</v>
      </c>
      <c r="B5420" s="171">
        <v>3.13</v>
      </c>
    </row>
    <row r="5421" spans="1:2" x14ac:dyDescent="0.2">
      <c r="A5421" s="170">
        <v>41822</v>
      </c>
      <c r="B5421" s="171">
        <v>3.2</v>
      </c>
    </row>
    <row r="5422" spans="1:2" x14ac:dyDescent="0.2">
      <c r="A5422" s="170">
        <v>41823</v>
      </c>
      <c r="B5422" s="171">
        <v>3.21</v>
      </c>
    </row>
    <row r="5423" spans="1:2" x14ac:dyDescent="0.2">
      <c r="A5423" s="170">
        <v>41824</v>
      </c>
      <c r="B5423" s="171" t="e">
        <f>NA()</f>
        <v>#N/A</v>
      </c>
    </row>
    <row r="5424" spans="1:2" x14ac:dyDescent="0.2">
      <c r="A5424" s="170">
        <v>41827</v>
      </c>
      <c r="B5424" s="171">
        <v>3.17</v>
      </c>
    </row>
    <row r="5425" spans="1:2" x14ac:dyDescent="0.2">
      <c r="A5425" s="170">
        <v>41828</v>
      </c>
      <c r="B5425" s="171">
        <v>3.12</v>
      </c>
    </row>
    <row r="5426" spans="1:2" x14ac:dyDescent="0.2">
      <c r="A5426" s="170">
        <v>41829</v>
      </c>
      <c r="B5426" s="171">
        <v>3.1</v>
      </c>
    </row>
    <row r="5427" spans="1:2" x14ac:dyDescent="0.2">
      <c r="A5427" s="170">
        <v>41830</v>
      </c>
      <c r="B5427" s="171">
        <v>3.1</v>
      </c>
    </row>
    <row r="5428" spans="1:2" x14ac:dyDescent="0.2">
      <c r="A5428" s="170">
        <v>41831</v>
      </c>
      <c r="B5428" s="171">
        <v>3.07</v>
      </c>
    </row>
    <row r="5429" spans="1:2" x14ac:dyDescent="0.2">
      <c r="A5429" s="170">
        <v>41834</v>
      </c>
      <c r="B5429" s="171">
        <v>3.1</v>
      </c>
    </row>
    <row r="5430" spans="1:2" x14ac:dyDescent="0.2">
      <c r="A5430" s="170">
        <v>41835</v>
      </c>
      <c r="B5430" s="171">
        <v>3.1</v>
      </c>
    </row>
    <row r="5431" spans="1:2" x14ac:dyDescent="0.2">
      <c r="A5431" s="170">
        <v>41836</v>
      </c>
      <c r="B5431" s="171">
        <v>3.08</v>
      </c>
    </row>
    <row r="5432" spans="1:2" x14ac:dyDescent="0.2">
      <c r="A5432" s="170">
        <v>41837</v>
      </c>
      <c r="B5432" s="171">
        <v>3.01</v>
      </c>
    </row>
    <row r="5433" spans="1:2" x14ac:dyDescent="0.2">
      <c r="A5433" s="170">
        <v>41838</v>
      </c>
      <c r="B5433" s="171">
        <v>3.03</v>
      </c>
    </row>
    <row r="5434" spans="1:2" x14ac:dyDescent="0.2">
      <c r="A5434" s="170">
        <v>41841</v>
      </c>
      <c r="B5434" s="171">
        <v>3.01</v>
      </c>
    </row>
    <row r="5435" spans="1:2" x14ac:dyDescent="0.2">
      <c r="A5435" s="170">
        <v>41842</v>
      </c>
      <c r="B5435" s="171">
        <v>3</v>
      </c>
    </row>
    <row r="5436" spans="1:2" x14ac:dyDescent="0.2">
      <c r="A5436" s="170">
        <v>41843</v>
      </c>
      <c r="B5436" s="171">
        <v>3</v>
      </c>
    </row>
    <row r="5437" spans="1:2" x14ac:dyDescent="0.2">
      <c r="A5437" s="170">
        <v>41844</v>
      </c>
      <c r="B5437" s="171">
        <v>3.04</v>
      </c>
    </row>
    <row r="5438" spans="1:2" x14ac:dyDescent="0.2">
      <c r="A5438" s="170">
        <v>41845</v>
      </c>
      <c r="B5438" s="171">
        <v>2.99</v>
      </c>
    </row>
    <row r="5439" spans="1:2" x14ac:dyDescent="0.2">
      <c r="A5439" s="170">
        <v>41848</v>
      </c>
      <c r="B5439" s="171">
        <v>3.01</v>
      </c>
    </row>
    <row r="5440" spans="1:2" x14ac:dyDescent="0.2">
      <c r="A5440" s="170">
        <v>41849</v>
      </c>
      <c r="B5440" s="171">
        <v>2.97</v>
      </c>
    </row>
    <row r="5441" spans="1:2" x14ac:dyDescent="0.2">
      <c r="A5441" s="170">
        <v>41850</v>
      </c>
      <c r="B5441" s="171">
        <v>3.06</v>
      </c>
    </row>
    <row r="5442" spans="1:2" x14ac:dyDescent="0.2">
      <c r="A5442" s="170">
        <v>41851</v>
      </c>
      <c r="B5442" s="171">
        <v>3.07</v>
      </c>
    </row>
    <row r="5443" spans="1:2" x14ac:dyDescent="0.2">
      <c r="A5443" s="170">
        <v>41852</v>
      </c>
      <c r="B5443" s="171">
        <v>3.03</v>
      </c>
    </row>
    <row r="5444" spans="1:2" x14ac:dyDescent="0.2">
      <c r="A5444" s="170">
        <v>41855</v>
      </c>
      <c r="B5444" s="171">
        <v>3.04</v>
      </c>
    </row>
    <row r="5445" spans="1:2" x14ac:dyDescent="0.2">
      <c r="A5445" s="170">
        <v>41856</v>
      </c>
      <c r="B5445" s="171">
        <v>3.02</v>
      </c>
    </row>
    <row r="5446" spans="1:2" x14ac:dyDescent="0.2">
      <c r="A5446" s="170">
        <v>41857</v>
      </c>
      <c r="B5446" s="171">
        <v>3.01</v>
      </c>
    </row>
    <row r="5447" spans="1:2" x14ac:dyDescent="0.2">
      <c r="A5447" s="170">
        <v>41858</v>
      </c>
      <c r="B5447" s="171">
        <v>2.97</v>
      </c>
    </row>
    <row r="5448" spans="1:2" x14ac:dyDescent="0.2">
      <c r="A5448" s="170">
        <v>41859</v>
      </c>
      <c r="B5448" s="171">
        <v>2.97</v>
      </c>
    </row>
    <row r="5449" spans="1:2" x14ac:dyDescent="0.2">
      <c r="A5449" s="170">
        <v>41862</v>
      </c>
      <c r="B5449" s="171">
        <v>2.97</v>
      </c>
    </row>
    <row r="5450" spans="1:2" x14ac:dyDescent="0.2">
      <c r="A5450" s="170">
        <v>41863</v>
      </c>
      <c r="B5450" s="171">
        <v>3</v>
      </c>
    </row>
    <row r="5451" spans="1:2" x14ac:dyDescent="0.2">
      <c r="A5451" s="170">
        <v>41864</v>
      </c>
      <c r="B5451" s="171">
        <v>2.97</v>
      </c>
    </row>
    <row r="5452" spans="1:2" x14ac:dyDescent="0.2">
      <c r="A5452" s="170">
        <v>41865</v>
      </c>
      <c r="B5452" s="171">
        <v>2.93</v>
      </c>
    </row>
    <row r="5453" spans="1:2" x14ac:dyDescent="0.2">
      <c r="A5453" s="170">
        <v>41866</v>
      </c>
      <c r="B5453" s="171">
        <v>2.86</v>
      </c>
    </row>
    <row r="5454" spans="1:2" x14ac:dyDescent="0.2">
      <c r="A5454" s="170">
        <v>41869</v>
      </c>
      <c r="B5454" s="171">
        <v>2.92</v>
      </c>
    </row>
    <row r="5455" spans="1:2" x14ac:dyDescent="0.2">
      <c r="A5455" s="170">
        <v>41870</v>
      </c>
      <c r="B5455" s="171">
        <v>2.94</v>
      </c>
    </row>
    <row r="5456" spans="1:2" x14ac:dyDescent="0.2">
      <c r="A5456" s="170">
        <v>41871</v>
      </c>
      <c r="B5456" s="171">
        <v>2.95</v>
      </c>
    </row>
    <row r="5457" spans="1:2" x14ac:dyDescent="0.2">
      <c r="A5457" s="170">
        <v>41872</v>
      </c>
      <c r="B5457" s="171">
        <v>2.92</v>
      </c>
    </row>
    <row r="5458" spans="1:2" x14ac:dyDescent="0.2">
      <c r="A5458" s="170">
        <v>41873</v>
      </c>
      <c r="B5458" s="171">
        <v>2.9</v>
      </c>
    </row>
    <row r="5459" spans="1:2" x14ac:dyDescent="0.2">
      <c r="A5459" s="170">
        <v>41876</v>
      </c>
      <c r="B5459" s="171">
        <v>2.88</v>
      </c>
    </row>
    <row r="5460" spans="1:2" x14ac:dyDescent="0.2">
      <c r="A5460" s="170">
        <v>41877</v>
      </c>
      <c r="B5460" s="171">
        <v>2.89</v>
      </c>
    </row>
    <row r="5461" spans="1:2" x14ac:dyDescent="0.2">
      <c r="A5461" s="170">
        <v>41878</v>
      </c>
      <c r="B5461" s="171">
        <v>2.85</v>
      </c>
    </row>
    <row r="5462" spans="1:2" x14ac:dyDescent="0.2">
      <c r="A5462" s="170">
        <v>41879</v>
      </c>
      <c r="B5462" s="171">
        <v>2.82</v>
      </c>
    </row>
    <row r="5463" spans="1:2" x14ac:dyDescent="0.2">
      <c r="A5463" s="170">
        <v>41880</v>
      </c>
      <c r="B5463" s="171">
        <v>2.83</v>
      </c>
    </row>
    <row r="5464" spans="1:2" x14ac:dyDescent="0.2">
      <c r="A5464" s="170">
        <v>41883</v>
      </c>
      <c r="B5464" s="171" t="e">
        <f>NA()</f>
        <v>#N/A</v>
      </c>
    </row>
    <row r="5465" spans="1:2" x14ac:dyDescent="0.2">
      <c r="A5465" s="170">
        <v>41884</v>
      </c>
      <c r="B5465" s="171">
        <v>2.91</v>
      </c>
    </row>
    <row r="5466" spans="1:2" x14ac:dyDescent="0.2">
      <c r="A5466" s="170">
        <v>41885</v>
      </c>
      <c r="B5466" s="171">
        <v>2.9</v>
      </c>
    </row>
    <row r="5467" spans="1:2" x14ac:dyDescent="0.2">
      <c r="A5467" s="170">
        <v>41886</v>
      </c>
      <c r="B5467" s="171">
        <v>2.95</v>
      </c>
    </row>
    <row r="5468" spans="1:2" x14ac:dyDescent="0.2">
      <c r="A5468" s="170">
        <v>41887</v>
      </c>
      <c r="B5468" s="171">
        <v>2.97</v>
      </c>
    </row>
    <row r="5469" spans="1:2" x14ac:dyDescent="0.2">
      <c r="A5469" s="170">
        <v>41890</v>
      </c>
      <c r="B5469" s="171">
        <v>2.97</v>
      </c>
    </row>
    <row r="5470" spans="1:2" x14ac:dyDescent="0.2">
      <c r="A5470" s="170">
        <v>41891</v>
      </c>
      <c r="B5470" s="171">
        <v>2.97</v>
      </c>
    </row>
    <row r="5471" spans="1:2" x14ac:dyDescent="0.2">
      <c r="A5471" s="170">
        <v>41892</v>
      </c>
      <c r="B5471" s="171">
        <v>3.01</v>
      </c>
    </row>
    <row r="5472" spans="1:2" x14ac:dyDescent="0.2">
      <c r="A5472" s="170">
        <v>41893</v>
      </c>
      <c r="B5472" s="171">
        <v>3.02</v>
      </c>
    </row>
    <row r="5473" spans="1:2" x14ac:dyDescent="0.2">
      <c r="A5473" s="170">
        <v>41894</v>
      </c>
      <c r="B5473" s="171">
        <v>3.1</v>
      </c>
    </row>
    <row r="5474" spans="1:2" x14ac:dyDescent="0.2">
      <c r="A5474" s="170">
        <v>41897</v>
      </c>
      <c r="B5474" s="171">
        <v>3.09</v>
      </c>
    </row>
    <row r="5475" spans="1:2" x14ac:dyDescent="0.2">
      <c r="A5475" s="170">
        <v>41898</v>
      </c>
      <c r="B5475" s="171">
        <v>3.11</v>
      </c>
    </row>
    <row r="5476" spans="1:2" x14ac:dyDescent="0.2">
      <c r="A5476" s="170">
        <v>41899</v>
      </c>
      <c r="B5476" s="171">
        <v>3.12</v>
      </c>
    </row>
    <row r="5477" spans="1:2" x14ac:dyDescent="0.2">
      <c r="A5477" s="170">
        <v>41900</v>
      </c>
      <c r="B5477" s="171">
        <v>3.12</v>
      </c>
    </row>
    <row r="5478" spans="1:2" x14ac:dyDescent="0.2">
      <c r="A5478" s="170">
        <v>41901</v>
      </c>
      <c r="B5478" s="171">
        <v>3.05</v>
      </c>
    </row>
    <row r="5479" spans="1:2" x14ac:dyDescent="0.2">
      <c r="A5479" s="170">
        <v>41904</v>
      </c>
      <c r="B5479" s="171">
        <v>3.04</v>
      </c>
    </row>
    <row r="5480" spans="1:2" x14ac:dyDescent="0.2">
      <c r="A5480" s="170">
        <v>41905</v>
      </c>
      <c r="B5480" s="171">
        <v>3.01</v>
      </c>
    </row>
    <row r="5481" spans="1:2" x14ac:dyDescent="0.2">
      <c r="A5481" s="170">
        <v>41906</v>
      </c>
      <c r="B5481" s="171">
        <v>3.04</v>
      </c>
    </row>
    <row r="5482" spans="1:2" x14ac:dyDescent="0.2">
      <c r="A5482" s="170">
        <v>41907</v>
      </c>
      <c r="B5482" s="171">
        <v>2.98</v>
      </c>
    </row>
    <row r="5483" spans="1:2" x14ac:dyDescent="0.2">
      <c r="A5483" s="170">
        <v>41908</v>
      </c>
      <c r="B5483" s="171">
        <v>2.99</v>
      </c>
    </row>
    <row r="5484" spans="1:2" x14ac:dyDescent="0.2">
      <c r="A5484" s="170">
        <v>41911</v>
      </c>
      <c r="B5484" s="171">
        <v>2.95</v>
      </c>
    </row>
    <row r="5485" spans="1:2" x14ac:dyDescent="0.2">
      <c r="A5485" s="170">
        <v>41912</v>
      </c>
      <c r="B5485" s="171">
        <v>2.98</v>
      </c>
    </row>
    <row r="5486" spans="1:2" x14ac:dyDescent="0.2">
      <c r="A5486" s="170">
        <v>41913</v>
      </c>
      <c r="B5486" s="171">
        <v>2.87</v>
      </c>
    </row>
    <row r="5487" spans="1:2" x14ac:dyDescent="0.2">
      <c r="A5487" s="170">
        <v>41914</v>
      </c>
      <c r="B5487" s="171">
        <v>2.9</v>
      </c>
    </row>
    <row r="5488" spans="1:2" x14ac:dyDescent="0.2">
      <c r="A5488" s="170">
        <v>41915</v>
      </c>
      <c r="B5488" s="171">
        <v>2.89</v>
      </c>
    </row>
    <row r="5489" spans="1:2" x14ac:dyDescent="0.2">
      <c r="A5489" s="170">
        <v>41918</v>
      </c>
      <c r="B5489" s="171">
        <v>2.88</v>
      </c>
    </row>
    <row r="5490" spans="1:2" x14ac:dyDescent="0.2">
      <c r="A5490" s="170">
        <v>41919</v>
      </c>
      <c r="B5490" s="171">
        <v>2.81</v>
      </c>
    </row>
    <row r="5491" spans="1:2" x14ac:dyDescent="0.2">
      <c r="A5491" s="170">
        <v>41920</v>
      </c>
      <c r="B5491" s="171">
        <v>2.82</v>
      </c>
    </row>
    <row r="5492" spans="1:2" x14ac:dyDescent="0.2">
      <c r="A5492" s="170">
        <v>41921</v>
      </c>
      <c r="B5492" s="171">
        <v>2.81</v>
      </c>
    </row>
    <row r="5493" spans="1:2" x14ac:dyDescent="0.2">
      <c r="A5493" s="170">
        <v>41922</v>
      </c>
      <c r="B5493" s="171">
        <v>2.77</v>
      </c>
    </row>
    <row r="5494" spans="1:2" x14ac:dyDescent="0.2">
      <c r="A5494" s="170">
        <v>41925</v>
      </c>
      <c r="B5494" s="171" t="e">
        <f>NA()</f>
        <v>#N/A</v>
      </c>
    </row>
    <row r="5495" spans="1:2" x14ac:dyDescent="0.2">
      <c r="A5495" s="170">
        <v>41926</v>
      </c>
      <c r="B5495" s="171">
        <v>2.68</v>
      </c>
    </row>
    <row r="5496" spans="1:2" x14ac:dyDescent="0.2">
      <c r="A5496" s="170">
        <v>41927</v>
      </c>
      <c r="B5496" s="171">
        <v>2.64</v>
      </c>
    </row>
    <row r="5497" spans="1:2" x14ac:dyDescent="0.2">
      <c r="A5497" s="170">
        <v>41928</v>
      </c>
      <c r="B5497" s="171">
        <v>2.66</v>
      </c>
    </row>
    <row r="5498" spans="1:2" x14ac:dyDescent="0.2">
      <c r="A5498" s="170">
        <v>41929</v>
      </c>
      <c r="B5498" s="171">
        <v>2.7</v>
      </c>
    </row>
    <row r="5499" spans="1:2" x14ac:dyDescent="0.2">
      <c r="A5499" s="170">
        <v>41932</v>
      </c>
      <c r="B5499" s="171">
        <v>2.68</v>
      </c>
    </row>
    <row r="5500" spans="1:2" x14ac:dyDescent="0.2">
      <c r="A5500" s="170">
        <v>41933</v>
      </c>
      <c r="B5500" s="171">
        <v>2.72</v>
      </c>
    </row>
    <row r="5501" spans="1:2" x14ac:dyDescent="0.2">
      <c r="A5501" s="170">
        <v>41934</v>
      </c>
      <c r="B5501" s="171">
        <v>2.73</v>
      </c>
    </row>
    <row r="5502" spans="1:2" x14ac:dyDescent="0.2">
      <c r="A5502" s="170">
        <v>41935</v>
      </c>
      <c r="B5502" s="171">
        <v>2.77</v>
      </c>
    </row>
    <row r="5503" spans="1:2" x14ac:dyDescent="0.2">
      <c r="A5503" s="170">
        <v>41936</v>
      </c>
      <c r="B5503" s="171">
        <v>2.77</v>
      </c>
    </row>
    <row r="5504" spans="1:2" x14ac:dyDescent="0.2">
      <c r="A5504" s="170">
        <v>41939</v>
      </c>
      <c r="B5504" s="171">
        <v>2.75</v>
      </c>
    </row>
    <row r="5505" spans="1:2" x14ac:dyDescent="0.2">
      <c r="A5505" s="170">
        <v>41940</v>
      </c>
      <c r="B5505" s="171">
        <v>2.79</v>
      </c>
    </row>
    <row r="5506" spans="1:2" x14ac:dyDescent="0.2">
      <c r="A5506" s="170">
        <v>41941</v>
      </c>
      <c r="B5506" s="171">
        <v>2.79</v>
      </c>
    </row>
    <row r="5507" spans="1:2" x14ac:dyDescent="0.2">
      <c r="A5507" s="170">
        <v>41942</v>
      </c>
      <c r="B5507" s="171">
        <v>2.77</v>
      </c>
    </row>
    <row r="5508" spans="1:2" x14ac:dyDescent="0.2">
      <c r="A5508" s="170">
        <v>41943</v>
      </c>
      <c r="B5508" s="171">
        <v>2.81</v>
      </c>
    </row>
    <row r="5509" spans="1:2" x14ac:dyDescent="0.2">
      <c r="A5509" s="170">
        <v>41946</v>
      </c>
      <c r="B5509" s="171">
        <v>2.8</v>
      </c>
    </row>
    <row r="5510" spans="1:2" x14ac:dyDescent="0.2">
      <c r="A5510" s="170">
        <v>41947</v>
      </c>
      <c r="B5510" s="171">
        <v>2.78</v>
      </c>
    </row>
    <row r="5511" spans="1:2" x14ac:dyDescent="0.2">
      <c r="A5511" s="170">
        <v>41948</v>
      </c>
      <c r="B5511" s="171">
        <v>2.79</v>
      </c>
    </row>
    <row r="5512" spans="1:2" x14ac:dyDescent="0.2">
      <c r="A5512" s="170">
        <v>41949</v>
      </c>
      <c r="B5512" s="171">
        <v>2.83</v>
      </c>
    </row>
    <row r="5513" spans="1:2" x14ac:dyDescent="0.2">
      <c r="A5513" s="170">
        <v>41950</v>
      </c>
      <c r="B5513" s="171">
        <v>2.76</v>
      </c>
    </row>
    <row r="5514" spans="1:2" x14ac:dyDescent="0.2">
      <c r="A5514" s="170">
        <v>41953</v>
      </c>
      <c r="B5514" s="171">
        <v>2.81</v>
      </c>
    </row>
    <row r="5515" spans="1:2" x14ac:dyDescent="0.2">
      <c r="A5515" s="170">
        <v>41954</v>
      </c>
      <c r="B5515" s="171" t="e">
        <f>NA()</f>
        <v>#N/A</v>
      </c>
    </row>
    <row r="5516" spans="1:2" x14ac:dyDescent="0.2">
      <c r="A5516" s="170">
        <v>41955</v>
      </c>
      <c r="B5516" s="171">
        <v>2.81</v>
      </c>
    </row>
    <row r="5517" spans="1:2" x14ac:dyDescent="0.2">
      <c r="A5517" s="170">
        <v>41956</v>
      </c>
      <c r="B5517" s="171">
        <v>2.8</v>
      </c>
    </row>
    <row r="5518" spans="1:2" x14ac:dyDescent="0.2">
      <c r="A5518" s="170">
        <v>41957</v>
      </c>
      <c r="B5518" s="171">
        <v>2.77</v>
      </c>
    </row>
    <row r="5519" spans="1:2" x14ac:dyDescent="0.2">
      <c r="A5519" s="170">
        <v>41960</v>
      </c>
      <c r="B5519" s="171">
        <v>2.79</v>
      </c>
    </row>
    <row r="5520" spans="1:2" x14ac:dyDescent="0.2">
      <c r="A5520" s="170">
        <v>41961</v>
      </c>
      <c r="B5520" s="171">
        <v>2.77</v>
      </c>
    </row>
    <row r="5521" spans="1:2" x14ac:dyDescent="0.2">
      <c r="A5521" s="170">
        <v>41962</v>
      </c>
      <c r="B5521" s="171">
        <v>2.8</v>
      </c>
    </row>
    <row r="5522" spans="1:2" x14ac:dyDescent="0.2">
      <c r="A5522" s="170">
        <v>41963</v>
      </c>
      <c r="B5522" s="171">
        <v>2.78</v>
      </c>
    </row>
    <row r="5523" spans="1:2" x14ac:dyDescent="0.2">
      <c r="A5523" s="170">
        <v>41964</v>
      </c>
      <c r="B5523" s="171">
        <v>2.75</v>
      </c>
    </row>
    <row r="5524" spans="1:2" x14ac:dyDescent="0.2">
      <c r="A5524" s="170">
        <v>41967</v>
      </c>
      <c r="B5524" s="171">
        <v>2.74</v>
      </c>
    </row>
    <row r="5525" spans="1:2" x14ac:dyDescent="0.2">
      <c r="A5525" s="170">
        <v>41968</v>
      </c>
      <c r="B5525" s="171">
        <v>2.69</v>
      </c>
    </row>
    <row r="5526" spans="1:2" x14ac:dyDescent="0.2">
      <c r="A5526" s="170">
        <v>41969</v>
      </c>
      <c r="B5526" s="171">
        <v>2.67</v>
      </c>
    </row>
    <row r="5527" spans="1:2" x14ac:dyDescent="0.2">
      <c r="A5527" s="170">
        <v>41970</v>
      </c>
      <c r="B5527" s="171" t="e">
        <f>NA()</f>
        <v>#N/A</v>
      </c>
    </row>
    <row r="5528" spans="1:2" x14ac:dyDescent="0.2">
      <c r="A5528" s="170">
        <v>41971</v>
      </c>
      <c r="B5528" s="171">
        <v>2.62</v>
      </c>
    </row>
    <row r="5529" spans="1:2" x14ac:dyDescent="0.2">
      <c r="A5529" s="170">
        <v>41974</v>
      </c>
      <c r="B5529" s="171">
        <v>2.66</v>
      </c>
    </row>
    <row r="5530" spans="1:2" x14ac:dyDescent="0.2">
      <c r="A5530" s="170">
        <v>41975</v>
      </c>
      <c r="B5530" s="171">
        <v>2.72</v>
      </c>
    </row>
    <row r="5531" spans="1:2" x14ac:dyDescent="0.2">
      <c r="A5531" s="170">
        <v>41976</v>
      </c>
      <c r="B5531" s="171">
        <v>2.71</v>
      </c>
    </row>
    <row r="5532" spans="1:2" x14ac:dyDescent="0.2">
      <c r="A5532" s="170">
        <v>41977</v>
      </c>
      <c r="B5532" s="171">
        <v>2.66</v>
      </c>
    </row>
    <row r="5533" spans="1:2" x14ac:dyDescent="0.2">
      <c r="A5533" s="170">
        <v>41978</v>
      </c>
      <c r="B5533" s="171">
        <v>2.69</v>
      </c>
    </row>
    <row r="5534" spans="1:2" x14ac:dyDescent="0.2">
      <c r="A5534" s="170">
        <v>41981</v>
      </c>
      <c r="B5534" s="171">
        <v>2.62</v>
      </c>
    </row>
    <row r="5535" spans="1:2" x14ac:dyDescent="0.2">
      <c r="A5535" s="170">
        <v>41982</v>
      </c>
      <c r="B5535" s="171">
        <v>2.58</v>
      </c>
    </row>
    <row r="5536" spans="1:2" x14ac:dyDescent="0.2">
      <c r="A5536" s="170">
        <v>41983</v>
      </c>
      <c r="B5536" s="171">
        <v>2.54</v>
      </c>
    </row>
    <row r="5537" spans="1:2" x14ac:dyDescent="0.2">
      <c r="A5537" s="170">
        <v>41984</v>
      </c>
      <c r="B5537" s="171">
        <v>2.54</v>
      </c>
    </row>
    <row r="5538" spans="1:2" x14ac:dyDescent="0.2">
      <c r="A5538" s="170">
        <v>41985</v>
      </c>
      <c r="B5538" s="171">
        <v>2.4500000000000002</v>
      </c>
    </row>
    <row r="5539" spans="1:2" x14ac:dyDescent="0.2">
      <c r="A5539" s="170">
        <v>41988</v>
      </c>
      <c r="B5539" s="171">
        <v>2.4500000000000002</v>
      </c>
    </row>
    <row r="5540" spans="1:2" x14ac:dyDescent="0.2">
      <c r="A5540" s="170">
        <v>41989</v>
      </c>
      <c r="B5540" s="171">
        <v>2.4</v>
      </c>
    </row>
    <row r="5541" spans="1:2" x14ac:dyDescent="0.2">
      <c r="A5541" s="170">
        <v>41990</v>
      </c>
      <c r="B5541" s="171">
        <v>2.46</v>
      </c>
    </row>
    <row r="5542" spans="1:2" x14ac:dyDescent="0.2">
      <c r="A5542" s="170">
        <v>41991</v>
      </c>
      <c r="B5542" s="171">
        <v>2.54</v>
      </c>
    </row>
    <row r="5543" spans="1:2" x14ac:dyDescent="0.2">
      <c r="A5543" s="170">
        <v>41992</v>
      </c>
      <c r="B5543" s="171">
        <v>2.48</v>
      </c>
    </row>
    <row r="5544" spans="1:2" x14ac:dyDescent="0.2">
      <c r="A5544" s="170">
        <v>41995</v>
      </c>
      <c r="B5544" s="171">
        <v>2.4700000000000002</v>
      </c>
    </row>
    <row r="5545" spans="1:2" x14ac:dyDescent="0.2">
      <c r="A5545" s="170">
        <v>41996</v>
      </c>
      <c r="B5545" s="171">
        <v>2.57</v>
      </c>
    </row>
    <row r="5546" spans="1:2" x14ac:dyDescent="0.2">
      <c r="A5546" s="170">
        <v>41997</v>
      </c>
      <c r="B5546" s="171">
        <v>2.56</v>
      </c>
    </row>
    <row r="5547" spans="1:2" x14ac:dyDescent="0.2">
      <c r="A5547" s="170">
        <v>41998</v>
      </c>
      <c r="B5547" s="171" t="e">
        <f>NA()</f>
        <v>#N/A</v>
      </c>
    </row>
    <row r="5548" spans="1:2" x14ac:dyDescent="0.2">
      <c r="A5548" s="170">
        <v>41999</v>
      </c>
      <c r="B5548" s="171">
        <v>2.54</v>
      </c>
    </row>
    <row r="5549" spans="1:2" x14ac:dyDescent="0.2">
      <c r="A5549" s="170">
        <v>42002</v>
      </c>
      <c r="B5549" s="171">
        <v>2.5099999999999998</v>
      </c>
    </row>
    <row r="5550" spans="1:2" x14ac:dyDescent="0.2">
      <c r="A5550" s="170">
        <v>42003</v>
      </c>
      <c r="B5550" s="171">
        <v>2.4900000000000002</v>
      </c>
    </row>
    <row r="5551" spans="1:2" x14ac:dyDescent="0.2">
      <c r="A5551" s="170">
        <v>42004</v>
      </c>
      <c r="B5551" s="171">
        <v>2.4700000000000002</v>
      </c>
    </row>
    <row r="5552" spans="1:2" x14ac:dyDescent="0.2">
      <c r="A5552" s="170">
        <v>42005</v>
      </c>
      <c r="B5552" s="171" t="e">
        <f>NA()</f>
        <v>#N/A</v>
      </c>
    </row>
    <row r="5553" spans="1:2" x14ac:dyDescent="0.2">
      <c r="A5553" s="170">
        <v>42006</v>
      </c>
      <c r="B5553" s="171">
        <v>2.41</v>
      </c>
    </row>
    <row r="5554" spans="1:2" x14ac:dyDescent="0.2">
      <c r="A5554" s="170">
        <v>42009</v>
      </c>
      <c r="B5554" s="171">
        <v>2.3199999999999998</v>
      </c>
    </row>
    <row r="5555" spans="1:2" x14ac:dyDescent="0.2">
      <c r="A5555" s="170">
        <v>42010</v>
      </c>
      <c r="B5555" s="171">
        <v>2.25</v>
      </c>
    </row>
    <row r="5556" spans="1:2" x14ac:dyDescent="0.2">
      <c r="A5556" s="170">
        <v>42011</v>
      </c>
      <c r="B5556" s="171">
        <v>2.25</v>
      </c>
    </row>
    <row r="5557" spans="1:2" x14ac:dyDescent="0.2">
      <c r="A5557" s="170">
        <v>42012</v>
      </c>
      <c r="B5557" s="171">
        <v>2.33</v>
      </c>
    </row>
    <row r="5558" spans="1:2" x14ac:dyDescent="0.2">
      <c r="A5558" s="170">
        <v>42013</v>
      </c>
      <c r="B5558" s="171">
        <v>2.29</v>
      </c>
    </row>
    <row r="5559" spans="1:2" x14ac:dyDescent="0.2">
      <c r="A5559" s="170">
        <v>42016</v>
      </c>
      <c r="B5559" s="171">
        <v>2.23</v>
      </c>
    </row>
    <row r="5560" spans="1:2" x14ac:dyDescent="0.2">
      <c r="A5560" s="170">
        <v>42017</v>
      </c>
      <c r="B5560" s="171">
        <v>2.2400000000000002</v>
      </c>
    </row>
    <row r="5561" spans="1:2" x14ac:dyDescent="0.2">
      <c r="A5561" s="170">
        <v>42018</v>
      </c>
      <c r="B5561" s="171">
        <v>2.2000000000000002</v>
      </c>
    </row>
    <row r="5562" spans="1:2" x14ac:dyDescent="0.2">
      <c r="A5562" s="170">
        <v>42019</v>
      </c>
      <c r="B5562" s="171">
        <v>2.12</v>
      </c>
    </row>
    <row r="5563" spans="1:2" x14ac:dyDescent="0.2">
      <c r="A5563" s="170">
        <v>42020</v>
      </c>
      <c r="B5563" s="171">
        <v>2.17</v>
      </c>
    </row>
    <row r="5564" spans="1:2" x14ac:dyDescent="0.2">
      <c r="A5564" s="170">
        <v>42023</v>
      </c>
      <c r="B5564" s="171" t="e">
        <f>NA()</f>
        <v>#N/A</v>
      </c>
    </row>
    <row r="5565" spans="1:2" x14ac:dyDescent="0.2">
      <c r="A5565" s="170">
        <v>42024</v>
      </c>
      <c r="B5565" s="171">
        <v>2.15</v>
      </c>
    </row>
    <row r="5566" spans="1:2" x14ac:dyDescent="0.2">
      <c r="A5566" s="170">
        <v>42025</v>
      </c>
      <c r="B5566" s="171">
        <v>2.2000000000000002</v>
      </c>
    </row>
    <row r="5567" spans="1:2" x14ac:dyDescent="0.2">
      <c r="A5567" s="170">
        <v>42026</v>
      </c>
      <c r="B5567" s="171">
        <v>2.21</v>
      </c>
    </row>
    <row r="5568" spans="1:2" x14ac:dyDescent="0.2">
      <c r="A5568" s="170">
        <v>42027</v>
      </c>
      <c r="B5568" s="171">
        <v>2.12</v>
      </c>
    </row>
    <row r="5569" spans="1:2" x14ac:dyDescent="0.2">
      <c r="A5569" s="170">
        <v>42030</v>
      </c>
      <c r="B5569" s="171">
        <v>2.14</v>
      </c>
    </row>
    <row r="5570" spans="1:2" x14ac:dyDescent="0.2">
      <c r="A5570" s="170">
        <v>42031</v>
      </c>
      <c r="B5570" s="171">
        <v>2.15</v>
      </c>
    </row>
    <row r="5571" spans="1:2" x14ac:dyDescent="0.2">
      <c r="A5571" s="170">
        <v>42032</v>
      </c>
      <c r="B5571" s="171">
        <v>2.0499999999999998</v>
      </c>
    </row>
    <row r="5572" spans="1:2" x14ac:dyDescent="0.2">
      <c r="A5572" s="170">
        <v>42033</v>
      </c>
      <c r="B5572" s="171">
        <v>2.11</v>
      </c>
    </row>
    <row r="5573" spans="1:2" x14ac:dyDescent="0.2">
      <c r="A5573" s="170">
        <v>42034</v>
      </c>
      <c r="B5573" s="171">
        <v>2.04</v>
      </c>
    </row>
    <row r="5574" spans="1:2" x14ac:dyDescent="0.2">
      <c r="A5574" s="170">
        <v>42037</v>
      </c>
      <c r="B5574" s="171">
        <v>2.0699999999999998</v>
      </c>
    </row>
    <row r="5575" spans="1:2" x14ac:dyDescent="0.2">
      <c r="A5575" s="170">
        <v>42038</v>
      </c>
      <c r="B5575" s="171">
        <v>2.16</v>
      </c>
    </row>
    <row r="5576" spans="1:2" x14ac:dyDescent="0.2">
      <c r="A5576" s="170">
        <v>42039</v>
      </c>
      <c r="B5576" s="171">
        <v>2.17</v>
      </c>
    </row>
    <row r="5577" spans="1:2" x14ac:dyDescent="0.2">
      <c r="A5577" s="170">
        <v>42040</v>
      </c>
      <c r="B5577" s="171">
        <v>2.2000000000000002</v>
      </c>
    </row>
    <row r="5578" spans="1:2" x14ac:dyDescent="0.2">
      <c r="A5578" s="170">
        <v>42041</v>
      </c>
      <c r="B5578" s="171">
        <v>2.2799999999999998</v>
      </c>
    </row>
    <row r="5579" spans="1:2" x14ac:dyDescent="0.2">
      <c r="A5579" s="170">
        <v>42044</v>
      </c>
      <c r="B5579" s="171">
        <v>2.2799999999999998</v>
      </c>
    </row>
    <row r="5580" spans="1:2" x14ac:dyDescent="0.2">
      <c r="A5580" s="170">
        <v>42045</v>
      </c>
      <c r="B5580" s="171">
        <v>2.33</v>
      </c>
    </row>
    <row r="5581" spans="1:2" x14ac:dyDescent="0.2">
      <c r="A5581" s="170">
        <v>42046</v>
      </c>
      <c r="B5581" s="171">
        <v>2.33</v>
      </c>
    </row>
    <row r="5582" spans="1:2" x14ac:dyDescent="0.2">
      <c r="A5582" s="170">
        <v>42047</v>
      </c>
      <c r="B5582" s="171">
        <v>2.33</v>
      </c>
    </row>
    <row r="5583" spans="1:2" x14ac:dyDescent="0.2">
      <c r="A5583" s="170">
        <v>42048</v>
      </c>
      <c r="B5583" s="171">
        <v>2.39</v>
      </c>
    </row>
    <row r="5584" spans="1:2" x14ac:dyDescent="0.2">
      <c r="A5584" s="170">
        <v>42051</v>
      </c>
      <c r="B5584" s="171" t="e">
        <f>NA()</f>
        <v>#N/A</v>
      </c>
    </row>
    <row r="5585" spans="1:2" x14ac:dyDescent="0.2">
      <c r="A5585" s="170">
        <v>42052</v>
      </c>
      <c r="B5585" s="171">
        <v>2.4900000000000002</v>
      </c>
    </row>
    <row r="5586" spans="1:2" x14ac:dyDescent="0.2">
      <c r="A5586" s="170">
        <v>42053</v>
      </c>
      <c r="B5586" s="171">
        <v>2.46</v>
      </c>
    </row>
    <row r="5587" spans="1:2" x14ac:dyDescent="0.2">
      <c r="A5587" s="170">
        <v>42054</v>
      </c>
      <c r="B5587" s="171">
        <v>2.5</v>
      </c>
    </row>
    <row r="5588" spans="1:2" x14ac:dyDescent="0.2">
      <c r="A5588" s="170">
        <v>42055</v>
      </c>
      <c r="B5588" s="171">
        <v>2.5</v>
      </c>
    </row>
    <row r="5589" spans="1:2" x14ac:dyDescent="0.2">
      <c r="A5589" s="170">
        <v>42058</v>
      </c>
      <c r="B5589" s="171">
        <v>2.44</v>
      </c>
    </row>
    <row r="5590" spans="1:2" x14ac:dyDescent="0.2">
      <c r="A5590" s="170">
        <v>42059</v>
      </c>
      <c r="B5590" s="171">
        <v>2.38</v>
      </c>
    </row>
    <row r="5591" spans="1:2" x14ac:dyDescent="0.2">
      <c r="A5591" s="170">
        <v>42060</v>
      </c>
      <c r="B5591" s="171">
        <v>2.35</v>
      </c>
    </row>
    <row r="5592" spans="1:2" x14ac:dyDescent="0.2">
      <c r="A5592" s="170">
        <v>42061</v>
      </c>
      <c r="B5592" s="171">
        <v>2.39</v>
      </c>
    </row>
    <row r="5593" spans="1:2" x14ac:dyDescent="0.2">
      <c r="A5593" s="170">
        <v>42062</v>
      </c>
      <c r="B5593" s="171">
        <v>2.38</v>
      </c>
    </row>
    <row r="5594" spans="1:2" x14ac:dyDescent="0.2">
      <c r="A5594" s="170">
        <v>42065</v>
      </c>
      <c r="B5594" s="171">
        <v>2.46</v>
      </c>
    </row>
    <row r="5595" spans="1:2" x14ac:dyDescent="0.2">
      <c r="A5595" s="170">
        <v>42066</v>
      </c>
      <c r="B5595" s="171">
        <v>2.4900000000000002</v>
      </c>
    </row>
    <row r="5596" spans="1:2" x14ac:dyDescent="0.2">
      <c r="A5596" s="170">
        <v>42067</v>
      </c>
      <c r="B5596" s="171">
        <v>2.4900000000000002</v>
      </c>
    </row>
    <row r="5597" spans="1:2" x14ac:dyDescent="0.2">
      <c r="A5597" s="170">
        <v>42068</v>
      </c>
      <c r="B5597" s="171">
        <v>2.4900000000000002</v>
      </c>
    </row>
    <row r="5598" spans="1:2" x14ac:dyDescent="0.2">
      <c r="A5598" s="170">
        <v>42069</v>
      </c>
      <c r="B5598" s="171">
        <v>2.63</v>
      </c>
    </row>
    <row r="5599" spans="1:2" x14ac:dyDescent="0.2">
      <c r="A5599" s="170">
        <v>42072</v>
      </c>
      <c r="B5599" s="171">
        <v>2.58</v>
      </c>
    </row>
    <row r="5600" spans="1:2" x14ac:dyDescent="0.2">
      <c r="A5600" s="170">
        <v>42073</v>
      </c>
      <c r="B5600" s="171">
        <v>2.5099999999999998</v>
      </c>
    </row>
    <row r="5601" spans="1:2" x14ac:dyDescent="0.2">
      <c r="A5601" s="170">
        <v>42074</v>
      </c>
      <c r="B5601" s="171">
        <v>2.4700000000000002</v>
      </c>
    </row>
    <row r="5602" spans="1:2" x14ac:dyDescent="0.2">
      <c r="A5602" s="170">
        <v>42075</v>
      </c>
      <c r="B5602" s="171">
        <v>2.4700000000000002</v>
      </c>
    </row>
    <row r="5603" spans="1:2" x14ac:dyDescent="0.2">
      <c r="A5603" s="170">
        <v>42076</v>
      </c>
      <c r="B5603" s="171">
        <v>2.48</v>
      </c>
    </row>
    <row r="5604" spans="1:2" x14ac:dyDescent="0.2">
      <c r="A5604" s="170">
        <v>42079</v>
      </c>
      <c r="B5604" s="171">
        <v>2.4500000000000002</v>
      </c>
    </row>
    <row r="5605" spans="1:2" x14ac:dyDescent="0.2">
      <c r="A5605" s="170">
        <v>42080</v>
      </c>
      <c r="B5605" s="171">
        <v>2.4</v>
      </c>
    </row>
    <row r="5606" spans="1:2" x14ac:dyDescent="0.2">
      <c r="A5606" s="170">
        <v>42081</v>
      </c>
      <c r="B5606" s="171">
        <v>2.31</v>
      </c>
    </row>
    <row r="5607" spans="1:2" x14ac:dyDescent="0.2">
      <c r="A5607" s="170">
        <v>42082</v>
      </c>
      <c r="B5607" s="171">
        <v>2.33</v>
      </c>
    </row>
    <row r="5608" spans="1:2" x14ac:dyDescent="0.2">
      <c r="A5608" s="170">
        <v>42083</v>
      </c>
      <c r="B5608" s="171">
        <v>2.29</v>
      </c>
    </row>
    <row r="5609" spans="1:2" x14ac:dyDescent="0.2">
      <c r="A5609" s="170">
        <v>42086</v>
      </c>
      <c r="B5609" s="171">
        <v>2.29</v>
      </c>
    </row>
    <row r="5610" spans="1:2" x14ac:dyDescent="0.2">
      <c r="A5610" s="170">
        <v>42087</v>
      </c>
      <c r="B5610" s="171">
        <v>2.2400000000000002</v>
      </c>
    </row>
    <row r="5611" spans="1:2" x14ac:dyDescent="0.2">
      <c r="A5611" s="170">
        <v>42088</v>
      </c>
      <c r="B5611" s="171">
        <v>2.2799999999999998</v>
      </c>
    </row>
    <row r="5612" spans="1:2" x14ac:dyDescent="0.2">
      <c r="A5612" s="170">
        <v>42089</v>
      </c>
      <c r="B5612" s="171">
        <v>2.37</v>
      </c>
    </row>
    <row r="5613" spans="1:2" x14ac:dyDescent="0.2">
      <c r="A5613" s="170">
        <v>42090</v>
      </c>
      <c r="B5613" s="171">
        <v>2.29</v>
      </c>
    </row>
    <row r="5614" spans="1:2" x14ac:dyDescent="0.2">
      <c r="A5614" s="170">
        <v>42093</v>
      </c>
      <c r="B5614" s="171">
        <v>2.3199999999999998</v>
      </c>
    </row>
    <row r="5615" spans="1:2" x14ac:dyDescent="0.2">
      <c r="A5615" s="170">
        <v>42094</v>
      </c>
      <c r="B5615" s="171">
        <v>2.31</v>
      </c>
    </row>
    <row r="5616" spans="1:2" x14ac:dyDescent="0.2">
      <c r="A5616" s="170">
        <v>42095</v>
      </c>
      <c r="B5616" s="171">
        <v>2.23</v>
      </c>
    </row>
    <row r="5617" spans="1:2" x14ac:dyDescent="0.2">
      <c r="A5617" s="170">
        <v>42096</v>
      </c>
      <c r="B5617" s="171">
        <v>2.29</v>
      </c>
    </row>
    <row r="5618" spans="1:2" x14ac:dyDescent="0.2">
      <c r="A5618" s="170">
        <v>42097</v>
      </c>
      <c r="B5618" s="171">
        <v>2.2400000000000002</v>
      </c>
    </row>
    <row r="5619" spans="1:2" x14ac:dyDescent="0.2">
      <c r="A5619" s="170">
        <v>42100</v>
      </c>
      <c r="B5619" s="171">
        <v>2.31</v>
      </c>
    </row>
    <row r="5620" spans="1:2" x14ac:dyDescent="0.2">
      <c r="A5620" s="170">
        <v>42101</v>
      </c>
      <c r="B5620" s="171">
        <v>2.27</v>
      </c>
    </row>
    <row r="5621" spans="1:2" x14ac:dyDescent="0.2">
      <c r="A5621" s="170">
        <v>42102</v>
      </c>
      <c r="B5621" s="171">
        <v>2.2799999999999998</v>
      </c>
    </row>
    <row r="5622" spans="1:2" x14ac:dyDescent="0.2">
      <c r="A5622" s="170">
        <v>42103</v>
      </c>
      <c r="B5622" s="171">
        <v>2.35</v>
      </c>
    </row>
    <row r="5623" spans="1:2" x14ac:dyDescent="0.2">
      <c r="A5623" s="170">
        <v>42104</v>
      </c>
      <c r="B5623" s="171">
        <v>2.33</v>
      </c>
    </row>
    <row r="5624" spans="1:2" x14ac:dyDescent="0.2">
      <c r="A5624" s="170">
        <v>42107</v>
      </c>
      <c r="B5624" s="171">
        <v>2.33</v>
      </c>
    </row>
    <row r="5625" spans="1:2" x14ac:dyDescent="0.2">
      <c r="A5625" s="170">
        <v>42108</v>
      </c>
      <c r="B5625" s="171">
        <v>2.29</v>
      </c>
    </row>
    <row r="5626" spans="1:2" x14ac:dyDescent="0.2">
      <c r="A5626" s="170">
        <v>42109</v>
      </c>
      <c r="B5626" s="171">
        <v>2.2999999999999998</v>
      </c>
    </row>
    <row r="5627" spans="1:2" x14ac:dyDescent="0.2">
      <c r="A5627" s="170">
        <v>42110</v>
      </c>
      <c r="B5627" s="171">
        <v>2.31</v>
      </c>
    </row>
    <row r="5628" spans="1:2" x14ac:dyDescent="0.2">
      <c r="A5628" s="170">
        <v>42111</v>
      </c>
      <c r="B5628" s="171">
        <v>2.2599999999999998</v>
      </c>
    </row>
    <row r="5629" spans="1:2" x14ac:dyDescent="0.2">
      <c r="A5629" s="170">
        <v>42114</v>
      </c>
      <c r="B5629" s="171">
        <v>2.31</v>
      </c>
    </row>
    <row r="5630" spans="1:2" x14ac:dyDescent="0.2">
      <c r="A5630" s="170">
        <v>42115</v>
      </c>
      <c r="B5630" s="171">
        <v>2.33</v>
      </c>
    </row>
    <row r="5631" spans="1:2" x14ac:dyDescent="0.2">
      <c r="A5631" s="170">
        <v>42116</v>
      </c>
      <c r="B5631" s="171">
        <v>2.42</v>
      </c>
    </row>
    <row r="5632" spans="1:2" x14ac:dyDescent="0.2">
      <c r="A5632" s="170">
        <v>42117</v>
      </c>
      <c r="B5632" s="171">
        <v>2.38</v>
      </c>
    </row>
    <row r="5633" spans="1:2" x14ac:dyDescent="0.2">
      <c r="A5633" s="170">
        <v>42118</v>
      </c>
      <c r="B5633" s="171">
        <v>2.36</v>
      </c>
    </row>
    <row r="5634" spans="1:2" x14ac:dyDescent="0.2">
      <c r="A5634" s="170">
        <v>42121</v>
      </c>
      <c r="B5634" s="171">
        <v>2.36</v>
      </c>
    </row>
    <row r="5635" spans="1:2" x14ac:dyDescent="0.2">
      <c r="A5635" s="170">
        <v>42122</v>
      </c>
      <c r="B5635" s="171">
        <v>2.42</v>
      </c>
    </row>
    <row r="5636" spans="1:2" x14ac:dyDescent="0.2">
      <c r="A5636" s="170">
        <v>42123</v>
      </c>
      <c r="B5636" s="171">
        <v>2.4900000000000002</v>
      </c>
    </row>
    <row r="5637" spans="1:2" x14ac:dyDescent="0.2">
      <c r="A5637" s="170">
        <v>42124</v>
      </c>
      <c r="B5637" s="171">
        <v>2.4900000000000002</v>
      </c>
    </row>
    <row r="5638" spans="1:2" x14ac:dyDescent="0.2">
      <c r="A5638" s="170">
        <v>42125</v>
      </c>
      <c r="B5638" s="171">
        <v>2.57</v>
      </c>
    </row>
    <row r="5639" spans="1:2" x14ac:dyDescent="0.2">
      <c r="A5639" s="170">
        <v>42128</v>
      </c>
      <c r="B5639" s="171">
        <v>2.62</v>
      </c>
    </row>
    <row r="5640" spans="1:2" x14ac:dyDescent="0.2">
      <c r="A5640" s="170">
        <v>42129</v>
      </c>
      <c r="B5640" s="171">
        <v>2.64</v>
      </c>
    </row>
    <row r="5641" spans="1:2" x14ac:dyDescent="0.2">
      <c r="A5641" s="170">
        <v>42130</v>
      </c>
      <c r="B5641" s="171">
        <v>2.72</v>
      </c>
    </row>
    <row r="5642" spans="1:2" x14ac:dyDescent="0.2">
      <c r="A5642" s="170">
        <v>42131</v>
      </c>
      <c r="B5642" s="171">
        <v>2.63</v>
      </c>
    </row>
    <row r="5643" spans="1:2" x14ac:dyDescent="0.2">
      <c r="A5643" s="170">
        <v>42132</v>
      </c>
      <c r="B5643" s="171">
        <v>2.63</v>
      </c>
    </row>
    <row r="5644" spans="1:2" x14ac:dyDescent="0.2">
      <c r="A5644" s="170">
        <v>42135</v>
      </c>
      <c r="B5644" s="171">
        <v>2.76</v>
      </c>
    </row>
    <row r="5645" spans="1:2" x14ac:dyDescent="0.2">
      <c r="A5645" s="170">
        <v>42136</v>
      </c>
      <c r="B5645" s="171">
        <v>2.75</v>
      </c>
    </row>
    <row r="5646" spans="1:2" x14ac:dyDescent="0.2">
      <c r="A5646" s="170">
        <v>42137</v>
      </c>
      <c r="B5646" s="171">
        <v>2.79</v>
      </c>
    </row>
    <row r="5647" spans="1:2" x14ac:dyDescent="0.2">
      <c r="A5647" s="170">
        <v>42138</v>
      </c>
      <c r="B5647" s="171">
        <v>2.76</v>
      </c>
    </row>
    <row r="5648" spans="1:2" x14ac:dyDescent="0.2">
      <c r="A5648" s="170">
        <v>42139</v>
      </c>
      <c r="B5648" s="171">
        <v>2.66</v>
      </c>
    </row>
    <row r="5649" spans="1:2" x14ac:dyDescent="0.2">
      <c r="A5649" s="170">
        <v>42142</v>
      </c>
      <c r="B5649" s="171">
        <v>2.75</v>
      </c>
    </row>
    <row r="5650" spans="1:2" x14ac:dyDescent="0.2">
      <c r="A5650" s="170">
        <v>42143</v>
      </c>
      <c r="B5650" s="171">
        <v>2.79</v>
      </c>
    </row>
    <row r="5651" spans="1:2" x14ac:dyDescent="0.2">
      <c r="A5651" s="170">
        <v>42144</v>
      </c>
      <c r="B5651" s="171">
        <v>2.79</v>
      </c>
    </row>
    <row r="5652" spans="1:2" x14ac:dyDescent="0.2">
      <c r="A5652" s="170">
        <v>42145</v>
      </c>
      <c r="B5652" s="171">
        <v>2.71</v>
      </c>
    </row>
    <row r="5653" spans="1:2" x14ac:dyDescent="0.2">
      <c r="A5653" s="170">
        <v>42146</v>
      </c>
      <c r="B5653" s="171">
        <v>2.73</v>
      </c>
    </row>
    <row r="5654" spans="1:2" x14ac:dyDescent="0.2">
      <c r="A5654" s="170">
        <v>42149</v>
      </c>
      <c r="B5654" s="171" t="e">
        <f>NA()</f>
        <v>#N/A</v>
      </c>
    </row>
    <row r="5655" spans="1:2" x14ac:dyDescent="0.2">
      <c r="A5655" s="170">
        <v>42150</v>
      </c>
      <c r="B5655" s="171">
        <v>2.64</v>
      </c>
    </row>
    <row r="5656" spans="1:2" x14ac:dyDescent="0.2">
      <c r="A5656" s="170">
        <v>42151</v>
      </c>
      <c r="B5656" s="171">
        <v>2.63</v>
      </c>
    </row>
    <row r="5657" spans="1:2" x14ac:dyDescent="0.2">
      <c r="A5657" s="170">
        <v>42152</v>
      </c>
      <c r="B5657" s="171">
        <v>2.64</v>
      </c>
    </row>
    <row r="5658" spans="1:2" x14ac:dyDescent="0.2">
      <c r="A5658" s="170">
        <v>42153</v>
      </c>
      <c r="B5658" s="171">
        <v>2.63</v>
      </c>
    </row>
    <row r="5659" spans="1:2" x14ac:dyDescent="0.2">
      <c r="A5659" s="170">
        <v>42156</v>
      </c>
      <c r="B5659" s="171">
        <v>2.69</v>
      </c>
    </row>
    <row r="5660" spans="1:2" x14ac:dyDescent="0.2">
      <c r="A5660" s="170">
        <v>42157</v>
      </c>
      <c r="B5660" s="171">
        <v>2.77</v>
      </c>
    </row>
    <row r="5661" spans="1:2" x14ac:dyDescent="0.2">
      <c r="A5661" s="170">
        <v>42158</v>
      </c>
      <c r="B5661" s="171">
        <v>2.87</v>
      </c>
    </row>
    <row r="5662" spans="1:2" x14ac:dyDescent="0.2">
      <c r="A5662" s="170">
        <v>42159</v>
      </c>
      <c r="B5662" s="171">
        <v>2.78</v>
      </c>
    </row>
    <row r="5663" spans="1:2" x14ac:dyDescent="0.2">
      <c r="A5663" s="170">
        <v>42160</v>
      </c>
      <c r="B5663" s="171">
        <v>2.87</v>
      </c>
    </row>
    <row r="5664" spans="1:2" x14ac:dyDescent="0.2">
      <c r="A5664" s="170">
        <v>42163</v>
      </c>
      <c r="B5664" s="171">
        <v>2.86</v>
      </c>
    </row>
    <row r="5665" spans="1:2" x14ac:dyDescent="0.2">
      <c r="A5665" s="170">
        <v>42164</v>
      </c>
      <c r="B5665" s="171">
        <v>2.89</v>
      </c>
    </row>
    <row r="5666" spans="1:2" x14ac:dyDescent="0.2">
      <c r="A5666" s="170">
        <v>42165</v>
      </c>
      <c r="B5666" s="171">
        <v>2.96</v>
      </c>
    </row>
    <row r="5667" spans="1:2" x14ac:dyDescent="0.2">
      <c r="A5667" s="170">
        <v>42166</v>
      </c>
      <c r="B5667" s="171">
        <v>2.84</v>
      </c>
    </row>
    <row r="5668" spans="1:2" x14ac:dyDescent="0.2">
      <c r="A5668" s="170">
        <v>42167</v>
      </c>
      <c r="B5668" s="171">
        <v>2.84</v>
      </c>
    </row>
    <row r="5669" spans="1:2" x14ac:dyDescent="0.2">
      <c r="A5669" s="170">
        <v>42170</v>
      </c>
      <c r="B5669" s="171">
        <v>2.83</v>
      </c>
    </row>
    <row r="5670" spans="1:2" x14ac:dyDescent="0.2">
      <c r="A5670" s="170">
        <v>42171</v>
      </c>
      <c r="B5670" s="171">
        <v>2.79</v>
      </c>
    </row>
    <row r="5671" spans="1:2" x14ac:dyDescent="0.2">
      <c r="A5671" s="170">
        <v>42172</v>
      </c>
      <c r="B5671" s="171">
        <v>2.82</v>
      </c>
    </row>
    <row r="5672" spans="1:2" x14ac:dyDescent="0.2">
      <c r="A5672" s="170">
        <v>42173</v>
      </c>
      <c r="B5672" s="171">
        <v>2.86</v>
      </c>
    </row>
    <row r="5673" spans="1:2" x14ac:dyDescent="0.2">
      <c r="A5673" s="170">
        <v>42174</v>
      </c>
      <c r="B5673" s="171">
        <v>2.76</v>
      </c>
    </row>
    <row r="5674" spans="1:2" x14ac:dyDescent="0.2">
      <c r="A5674" s="170">
        <v>42177</v>
      </c>
      <c r="B5674" s="171">
        <v>2.87</v>
      </c>
    </row>
    <row r="5675" spans="1:2" x14ac:dyDescent="0.2">
      <c r="A5675" s="170">
        <v>42178</v>
      </c>
      <c r="B5675" s="171">
        <v>2.92</v>
      </c>
    </row>
    <row r="5676" spans="1:2" x14ac:dyDescent="0.2">
      <c r="A5676" s="170">
        <v>42179</v>
      </c>
      <c r="B5676" s="171">
        <v>2.87</v>
      </c>
    </row>
    <row r="5677" spans="1:2" x14ac:dyDescent="0.2">
      <c r="A5677" s="170">
        <v>42180</v>
      </c>
      <c r="B5677" s="171">
        <v>2.88</v>
      </c>
    </row>
    <row r="5678" spans="1:2" x14ac:dyDescent="0.2">
      <c r="A5678" s="170">
        <v>42181</v>
      </c>
      <c r="B5678" s="171">
        <v>2.98</v>
      </c>
    </row>
    <row r="5679" spans="1:2" x14ac:dyDescent="0.2">
      <c r="A5679" s="170">
        <v>42184</v>
      </c>
      <c r="B5679" s="171">
        <v>2.82</v>
      </c>
    </row>
    <row r="5680" spans="1:2" x14ac:dyDescent="0.2">
      <c r="A5680" s="170">
        <v>42185</v>
      </c>
      <c r="B5680" s="171">
        <v>2.83</v>
      </c>
    </row>
    <row r="5681" spans="1:2" x14ac:dyDescent="0.2">
      <c r="A5681" s="170">
        <v>42186</v>
      </c>
      <c r="B5681" s="171">
        <v>2.92</v>
      </c>
    </row>
    <row r="5682" spans="1:2" x14ac:dyDescent="0.2">
      <c r="A5682" s="170">
        <v>42187</v>
      </c>
      <c r="B5682" s="171">
        <v>2.9</v>
      </c>
    </row>
    <row r="5683" spans="1:2" x14ac:dyDescent="0.2">
      <c r="A5683" s="170">
        <v>42188</v>
      </c>
      <c r="B5683" s="171" t="e">
        <f>NA()</f>
        <v>#N/A</v>
      </c>
    </row>
    <row r="5684" spans="1:2" x14ac:dyDescent="0.2">
      <c r="A5684" s="170">
        <v>42191</v>
      </c>
      <c r="B5684" s="171">
        <v>2.78</v>
      </c>
    </row>
    <row r="5685" spans="1:2" x14ac:dyDescent="0.2">
      <c r="A5685" s="170">
        <v>42192</v>
      </c>
      <c r="B5685" s="171">
        <v>2.74</v>
      </c>
    </row>
    <row r="5686" spans="1:2" x14ac:dyDescent="0.2">
      <c r="A5686" s="170">
        <v>42193</v>
      </c>
      <c r="B5686" s="171">
        <v>2.69</v>
      </c>
    </row>
    <row r="5687" spans="1:2" x14ac:dyDescent="0.2">
      <c r="A5687" s="170">
        <v>42194</v>
      </c>
      <c r="B5687" s="171">
        <v>2.8</v>
      </c>
    </row>
    <row r="5688" spans="1:2" x14ac:dyDescent="0.2">
      <c r="A5688" s="170">
        <v>42195</v>
      </c>
      <c r="B5688" s="171">
        <v>2.91</v>
      </c>
    </row>
    <row r="5689" spans="1:2" x14ac:dyDescent="0.2">
      <c r="A5689" s="170">
        <v>42198</v>
      </c>
      <c r="B5689" s="171">
        <v>2.92</v>
      </c>
    </row>
    <row r="5690" spans="1:2" x14ac:dyDescent="0.2">
      <c r="A5690" s="170">
        <v>42199</v>
      </c>
      <c r="B5690" s="171">
        <v>2.9</v>
      </c>
    </row>
    <row r="5691" spans="1:2" x14ac:dyDescent="0.2">
      <c r="A5691" s="170">
        <v>42200</v>
      </c>
      <c r="B5691" s="171">
        <v>2.83</v>
      </c>
    </row>
    <row r="5692" spans="1:2" x14ac:dyDescent="0.2">
      <c r="A5692" s="170">
        <v>42201</v>
      </c>
      <c r="B5692" s="171">
        <v>2.81</v>
      </c>
    </row>
    <row r="5693" spans="1:2" x14ac:dyDescent="0.2">
      <c r="A5693" s="170">
        <v>42202</v>
      </c>
      <c r="B5693" s="171">
        <v>2.77</v>
      </c>
    </row>
    <row r="5694" spans="1:2" x14ac:dyDescent="0.2">
      <c r="A5694" s="170">
        <v>42205</v>
      </c>
      <c r="B5694" s="171">
        <v>2.79</v>
      </c>
    </row>
    <row r="5695" spans="1:2" x14ac:dyDescent="0.2">
      <c r="A5695" s="170">
        <v>42206</v>
      </c>
      <c r="B5695" s="171">
        <v>2.77</v>
      </c>
    </row>
    <row r="5696" spans="1:2" x14ac:dyDescent="0.2">
      <c r="A5696" s="170">
        <v>42207</v>
      </c>
      <c r="B5696" s="171">
        <v>2.73</v>
      </c>
    </row>
    <row r="5697" spans="1:2" x14ac:dyDescent="0.2">
      <c r="A5697" s="170">
        <v>42208</v>
      </c>
      <c r="B5697" s="171">
        <v>2.67</v>
      </c>
    </row>
    <row r="5698" spans="1:2" x14ac:dyDescent="0.2">
      <c r="A5698" s="170">
        <v>42209</v>
      </c>
      <c r="B5698" s="171">
        <v>2.67</v>
      </c>
    </row>
    <row r="5699" spans="1:2" x14ac:dyDescent="0.2">
      <c r="A5699" s="170">
        <v>42212</v>
      </c>
      <c r="B5699" s="171">
        <v>2.64</v>
      </c>
    </row>
    <row r="5700" spans="1:2" x14ac:dyDescent="0.2">
      <c r="A5700" s="170">
        <v>42213</v>
      </c>
      <c r="B5700" s="171">
        <v>2.66</v>
      </c>
    </row>
    <row r="5701" spans="1:2" x14ac:dyDescent="0.2">
      <c r="A5701" s="170">
        <v>42214</v>
      </c>
      <c r="B5701" s="171">
        <v>2.69</v>
      </c>
    </row>
    <row r="5702" spans="1:2" x14ac:dyDescent="0.2">
      <c r="A5702" s="170">
        <v>42215</v>
      </c>
      <c r="B5702" s="171">
        <v>2.66</v>
      </c>
    </row>
    <row r="5703" spans="1:2" x14ac:dyDescent="0.2">
      <c r="A5703" s="170">
        <v>42216</v>
      </c>
      <c r="B5703" s="171">
        <v>2.61</v>
      </c>
    </row>
    <row r="5704" spans="1:2" x14ac:dyDescent="0.2">
      <c r="A5704" s="170">
        <v>42219</v>
      </c>
      <c r="B5704" s="171">
        <v>2.5499999999999998</v>
      </c>
    </row>
    <row r="5705" spans="1:2" x14ac:dyDescent="0.2">
      <c r="A5705" s="170">
        <v>42220</v>
      </c>
      <c r="B5705" s="171">
        <v>2.59</v>
      </c>
    </row>
    <row r="5706" spans="1:2" x14ac:dyDescent="0.2">
      <c r="A5706" s="170">
        <v>42221</v>
      </c>
      <c r="B5706" s="171">
        <v>2.64</v>
      </c>
    </row>
    <row r="5707" spans="1:2" x14ac:dyDescent="0.2">
      <c r="A5707" s="170">
        <v>42222</v>
      </c>
      <c r="B5707" s="171">
        <v>2.59</v>
      </c>
    </row>
    <row r="5708" spans="1:2" x14ac:dyDescent="0.2">
      <c r="A5708" s="170">
        <v>42223</v>
      </c>
      <c r="B5708" s="171">
        <v>2.52</v>
      </c>
    </row>
    <row r="5709" spans="1:2" x14ac:dyDescent="0.2">
      <c r="A5709" s="170">
        <v>42226</v>
      </c>
      <c r="B5709" s="171">
        <v>2.58</v>
      </c>
    </row>
    <row r="5710" spans="1:2" x14ac:dyDescent="0.2">
      <c r="A5710" s="170">
        <v>42227</v>
      </c>
      <c r="B5710" s="171">
        <v>2.5</v>
      </c>
    </row>
    <row r="5711" spans="1:2" x14ac:dyDescent="0.2">
      <c r="A5711" s="170">
        <v>42228</v>
      </c>
      <c r="B5711" s="171">
        <v>2.52</v>
      </c>
    </row>
    <row r="5712" spans="1:2" x14ac:dyDescent="0.2">
      <c r="A5712" s="170">
        <v>42229</v>
      </c>
      <c r="B5712" s="171">
        <v>2.54</v>
      </c>
    </row>
    <row r="5713" spans="1:2" x14ac:dyDescent="0.2">
      <c r="A5713" s="170">
        <v>42230</v>
      </c>
      <c r="B5713" s="171">
        <v>2.54</v>
      </c>
    </row>
    <row r="5714" spans="1:2" x14ac:dyDescent="0.2">
      <c r="A5714" s="170">
        <v>42233</v>
      </c>
      <c r="B5714" s="171">
        <v>2.5099999999999998</v>
      </c>
    </row>
    <row r="5715" spans="1:2" x14ac:dyDescent="0.2">
      <c r="A5715" s="170">
        <v>42234</v>
      </c>
      <c r="B5715" s="171">
        <v>2.56</v>
      </c>
    </row>
    <row r="5716" spans="1:2" x14ac:dyDescent="0.2">
      <c r="A5716" s="170">
        <v>42235</v>
      </c>
      <c r="B5716" s="171">
        <v>2.4900000000000002</v>
      </c>
    </row>
    <row r="5717" spans="1:2" x14ac:dyDescent="0.2">
      <c r="A5717" s="170">
        <v>42236</v>
      </c>
      <c r="B5717" s="171">
        <v>2.4500000000000002</v>
      </c>
    </row>
    <row r="5718" spans="1:2" x14ac:dyDescent="0.2">
      <c r="A5718" s="170">
        <v>42237</v>
      </c>
      <c r="B5718" s="171">
        <v>2.44</v>
      </c>
    </row>
    <row r="5719" spans="1:2" x14ac:dyDescent="0.2">
      <c r="A5719" s="170">
        <v>42240</v>
      </c>
      <c r="B5719" s="171">
        <v>2.42</v>
      </c>
    </row>
    <row r="5720" spans="1:2" x14ac:dyDescent="0.2">
      <c r="A5720" s="170">
        <v>42241</v>
      </c>
      <c r="B5720" s="171">
        <v>2.54</v>
      </c>
    </row>
    <row r="5721" spans="1:2" x14ac:dyDescent="0.2">
      <c r="A5721" s="170">
        <v>42242</v>
      </c>
      <c r="B5721" s="171">
        <v>2.64</v>
      </c>
    </row>
    <row r="5722" spans="1:2" x14ac:dyDescent="0.2">
      <c r="A5722" s="170">
        <v>42243</v>
      </c>
      <c r="B5722" s="171">
        <v>2.61</v>
      </c>
    </row>
    <row r="5723" spans="1:2" x14ac:dyDescent="0.2">
      <c r="A5723" s="170">
        <v>42244</v>
      </c>
      <c r="B5723" s="171">
        <v>2.61</v>
      </c>
    </row>
    <row r="5724" spans="1:2" x14ac:dyDescent="0.2">
      <c r="A5724" s="170">
        <v>42247</v>
      </c>
      <c r="B5724" s="171">
        <v>2.64</v>
      </c>
    </row>
    <row r="5725" spans="1:2" x14ac:dyDescent="0.2">
      <c r="A5725" s="170">
        <v>42248</v>
      </c>
      <c r="B5725" s="171">
        <v>2.62</v>
      </c>
    </row>
    <row r="5726" spans="1:2" x14ac:dyDescent="0.2">
      <c r="A5726" s="170">
        <v>42249</v>
      </c>
      <c r="B5726" s="171">
        <v>2.66</v>
      </c>
    </row>
    <row r="5727" spans="1:2" x14ac:dyDescent="0.2">
      <c r="A5727" s="170">
        <v>42250</v>
      </c>
      <c r="B5727" s="171">
        <v>2.64</v>
      </c>
    </row>
    <row r="5728" spans="1:2" x14ac:dyDescent="0.2">
      <c r="A5728" s="170">
        <v>42251</v>
      </c>
      <c r="B5728" s="171">
        <v>2.58</v>
      </c>
    </row>
    <row r="5729" spans="1:2" x14ac:dyDescent="0.2">
      <c r="A5729" s="170">
        <v>42254</v>
      </c>
      <c r="B5729" s="171" t="e">
        <f>NA()</f>
        <v>#N/A</v>
      </c>
    </row>
    <row r="5730" spans="1:2" x14ac:dyDescent="0.2">
      <c r="A5730" s="170">
        <v>42255</v>
      </c>
      <c r="B5730" s="171">
        <v>2.66</v>
      </c>
    </row>
    <row r="5731" spans="1:2" x14ac:dyDescent="0.2">
      <c r="A5731" s="170">
        <v>42256</v>
      </c>
      <c r="B5731" s="171">
        <v>2.64</v>
      </c>
    </row>
    <row r="5732" spans="1:2" x14ac:dyDescent="0.2">
      <c r="A5732" s="170">
        <v>42257</v>
      </c>
      <c r="B5732" s="171">
        <v>2.66</v>
      </c>
    </row>
    <row r="5733" spans="1:2" x14ac:dyDescent="0.2">
      <c r="A5733" s="170">
        <v>42258</v>
      </c>
      <c r="B5733" s="171">
        <v>2.63</v>
      </c>
    </row>
    <row r="5734" spans="1:2" x14ac:dyDescent="0.2">
      <c r="A5734" s="170">
        <v>42261</v>
      </c>
      <c r="B5734" s="171">
        <v>2.62</v>
      </c>
    </row>
    <row r="5735" spans="1:2" x14ac:dyDescent="0.2">
      <c r="A5735" s="170">
        <v>42262</v>
      </c>
      <c r="B5735" s="171">
        <v>2.73</v>
      </c>
    </row>
    <row r="5736" spans="1:2" x14ac:dyDescent="0.2">
      <c r="A5736" s="170">
        <v>42263</v>
      </c>
      <c r="B5736" s="171">
        <v>2.75</v>
      </c>
    </row>
    <row r="5737" spans="1:2" x14ac:dyDescent="0.2">
      <c r="A5737" s="170">
        <v>42264</v>
      </c>
      <c r="B5737" s="171">
        <v>2.69</v>
      </c>
    </row>
    <row r="5738" spans="1:2" x14ac:dyDescent="0.2">
      <c r="A5738" s="170">
        <v>42265</v>
      </c>
      <c r="B5738" s="171">
        <v>2.58</v>
      </c>
    </row>
    <row r="5739" spans="1:2" x14ac:dyDescent="0.2">
      <c r="A5739" s="170">
        <v>42268</v>
      </c>
      <c r="B5739" s="171">
        <v>2.67</v>
      </c>
    </row>
    <row r="5740" spans="1:2" x14ac:dyDescent="0.2">
      <c r="A5740" s="170">
        <v>42269</v>
      </c>
      <c r="B5740" s="171">
        <v>2.6</v>
      </c>
    </row>
    <row r="5741" spans="1:2" x14ac:dyDescent="0.2">
      <c r="A5741" s="170">
        <v>42270</v>
      </c>
      <c r="B5741" s="171">
        <v>2.6</v>
      </c>
    </row>
    <row r="5742" spans="1:2" x14ac:dyDescent="0.2">
      <c r="A5742" s="170">
        <v>42271</v>
      </c>
      <c r="B5742" s="171">
        <v>2.5499999999999998</v>
      </c>
    </row>
    <row r="5743" spans="1:2" x14ac:dyDescent="0.2">
      <c r="A5743" s="170">
        <v>42272</v>
      </c>
      <c r="B5743" s="171">
        <v>2.6</v>
      </c>
    </row>
    <row r="5744" spans="1:2" x14ac:dyDescent="0.2">
      <c r="A5744" s="170">
        <v>42275</v>
      </c>
      <c r="B5744" s="171">
        <v>2.5099999999999998</v>
      </c>
    </row>
    <row r="5745" spans="1:2" x14ac:dyDescent="0.2">
      <c r="A5745" s="170">
        <v>42276</v>
      </c>
      <c r="B5745" s="171">
        <v>2.48</v>
      </c>
    </row>
    <row r="5746" spans="1:2" x14ac:dyDescent="0.2">
      <c r="A5746" s="170">
        <v>42277</v>
      </c>
      <c r="B5746" s="171">
        <v>2.5099999999999998</v>
      </c>
    </row>
    <row r="5747" spans="1:2" x14ac:dyDescent="0.2">
      <c r="A5747" s="170">
        <v>42278</v>
      </c>
      <c r="B5747" s="171">
        <v>2.4900000000000002</v>
      </c>
    </row>
    <row r="5748" spans="1:2" x14ac:dyDescent="0.2">
      <c r="A5748" s="170">
        <v>42279</v>
      </c>
      <c r="B5748" s="171">
        <v>2.44</v>
      </c>
    </row>
    <row r="5749" spans="1:2" x14ac:dyDescent="0.2">
      <c r="A5749" s="170">
        <v>42282</v>
      </c>
      <c r="B5749" s="171">
        <v>2.52</v>
      </c>
    </row>
    <row r="5750" spans="1:2" x14ac:dyDescent="0.2">
      <c r="A5750" s="170">
        <v>42283</v>
      </c>
      <c r="B5750" s="171">
        <v>2.5</v>
      </c>
    </row>
    <row r="5751" spans="1:2" x14ac:dyDescent="0.2">
      <c r="A5751" s="170">
        <v>42284</v>
      </c>
      <c r="B5751" s="171">
        <v>2.5099999999999998</v>
      </c>
    </row>
    <row r="5752" spans="1:2" x14ac:dyDescent="0.2">
      <c r="A5752" s="170">
        <v>42285</v>
      </c>
      <c r="B5752" s="171">
        <v>2.56</v>
      </c>
    </row>
    <row r="5753" spans="1:2" x14ac:dyDescent="0.2">
      <c r="A5753" s="170">
        <v>42286</v>
      </c>
      <c r="B5753" s="171">
        <v>2.5499999999999998</v>
      </c>
    </row>
    <row r="5754" spans="1:2" x14ac:dyDescent="0.2">
      <c r="A5754" s="170">
        <v>42289</v>
      </c>
      <c r="B5754" s="171" t="e">
        <f>NA()</f>
        <v>#N/A</v>
      </c>
    </row>
    <row r="5755" spans="1:2" x14ac:dyDescent="0.2">
      <c r="A5755" s="170">
        <v>42290</v>
      </c>
      <c r="B5755" s="171">
        <v>2.4900000000000002</v>
      </c>
    </row>
    <row r="5756" spans="1:2" x14ac:dyDescent="0.2">
      <c r="A5756" s="170">
        <v>42291</v>
      </c>
      <c r="B5756" s="171">
        <v>2.42</v>
      </c>
    </row>
    <row r="5757" spans="1:2" x14ac:dyDescent="0.2">
      <c r="A5757" s="170">
        <v>42292</v>
      </c>
      <c r="B5757" s="171">
        <v>2.46</v>
      </c>
    </row>
    <row r="5758" spans="1:2" x14ac:dyDescent="0.2">
      <c r="A5758" s="170">
        <v>42293</v>
      </c>
      <c r="B5758" s="171">
        <v>2.46</v>
      </c>
    </row>
    <row r="5759" spans="1:2" x14ac:dyDescent="0.2">
      <c r="A5759" s="170">
        <v>42296</v>
      </c>
      <c r="B5759" s="171">
        <v>2.48</v>
      </c>
    </row>
    <row r="5760" spans="1:2" x14ac:dyDescent="0.2">
      <c r="A5760" s="170">
        <v>42297</v>
      </c>
      <c r="B5760" s="171">
        <v>2.5299999999999998</v>
      </c>
    </row>
    <row r="5761" spans="1:2" x14ac:dyDescent="0.2">
      <c r="A5761" s="170">
        <v>42298</v>
      </c>
      <c r="B5761" s="171">
        <v>2.48</v>
      </c>
    </row>
    <row r="5762" spans="1:2" x14ac:dyDescent="0.2">
      <c r="A5762" s="170">
        <v>42299</v>
      </c>
      <c r="B5762" s="171">
        <v>2.48</v>
      </c>
    </row>
    <row r="5763" spans="1:2" x14ac:dyDescent="0.2">
      <c r="A5763" s="170">
        <v>42300</v>
      </c>
      <c r="B5763" s="171">
        <v>2.54</v>
      </c>
    </row>
    <row r="5764" spans="1:2" x14ac:dyDescent="0.2">
      <c r="A5764" s="170">
        <v>42303</v>
      </c>
      <c r="B5764" s="171">
        <v>2.5</v>
      </c>
    </row>
    <row r="5765" spans="1:2" x14ac:dyDescent="0.2">
      <c r="A5765" s="170">
        <v>42304</v>
      </c>
      <c r="B5765" s="171">
        <v>2.48</v>
      </c>
    </row>
    <row r="5766" spans="1:2" x14ac:dyDescent="0.2">
      <c r="A5766" s="170">
        <v>42305</v>
      </c>
      <c r="B5766" s="171">
        <v>2.5</v>
      </c>
    </row>
    <row r="5767" spans="1:2" x14ac:dyDescent="0.2">
      <c r="A5767" s="170">
        <v>42306</v>
      </c>
      <c r="B5767" s="171">
        <v>2.6</v>
      </c>
    </row>
    <row r="5768" spans="1:2" x14ac:dyDescent="0.2">
      <c r="A5768" s="170">
        <v>42307</v>
      </c>
      <c r="B5768" s="171">
        <v>2.57</v>
      </c>
    </row>
    <row r="5769" spans="1:2" x14ac:dyDescent="0.2">
      <c r="A5769" s="170">
        <v>42310</v>
      </c>
      <c r="B5769" s="171">
        <v>2.6</v>
      </c>
    </row>
    <row r="5770" spans="1:2" x14ac:dyDescent="0.2">
      <c r="A5770" s="170">
        <v>42311</v>
      </c>
      <c r="B5770" s="171">
        <v>2.65</v>
      </c>
    </row>
    <row r="5771" spans="1:2" x14ac:dyDescent="0.2">
      <c r="A5771" s="170">
        <v>42312</v>
      </c>
      <c r="B5771" s="171">
        <v>2.66</v>
      </c>
    </row>
    <row r="5772" spans="1:2" x14ac:dyDescent="0.2">
      <c r="A5772" s="170">
        <v>42313</v>
      </c>
      <c r="B5772" s="171">
        <v>2.68</v>
      </c>
    </row>
    <row r="5773" spans="1:2" x14ac:dyDescent="0.2">
      <c r="A5773" s="170">
        <v>42314</v>
      </c>
      <c r="B5773" s="171">
        <v>2.76</v>
      </c>
    </row>
    <row r="5774" spans="1:2" x14ac:dyDescent="0.2">
      <c r="A5774" s="170">
        <v>42317</v>
      </c>
      <c r="B5774" s="171">
        <v>2.79</v>
      </c>
    </row>
    <row r="5775" spans="1:2" x14ac:dyDescent="0.2">
      <c r="A5775" s="170">
        <v>42318</v>
      </c>
      <c r="B5775" s="171">
        <v>2.76</v>
      </c>
    </row>
    <row r="5776" spans="1:2" x14ac:dyDescent="0.2">
      <c r="A5776" s="170">
        <v>42319</v>
      </c>
      <c r="B5776" s="171" t="e">
        <f>NA()</f>
        <v>#N/A</v>
      </c>
    </row>
    <row r="5777" spans="1:2" x14ac:dyDescent="0.2">
      <c r="A5777" s="170">
        <v>42320</v>
      </c>
      <c r="B5777" s="171">
        <v>2.75</v>
      </c>
    </row>
    <row r="5778" spans="1:2" x14ac:dyDescent="0.2">
      <c r="A5778" s="170">
        <v>42321</v>
      </c>
      <c r="B5778" s="171">
        <v>2.72</v>
      </c>
    </row>
    <row r="5779" spans="1:2" x14ac:dyDescent="0.2">
      <c r="A5779" s="170">
        <v>42324</v>
      </c>
      <c r="B5779" s="171">
        <v>2.72</v>
      </c>
    </row>
    <row r="5780" spans="1:2" x14ac:dyDescent="0.2">
      <c r="A5780" s="170">
        <v>42325</v>
      </c>
      <c r="B5780" s="171">
        <v>2.69</v>
      </c>
    </row>
    <row r="5781" spans="1:2" x14ac:dyDescent="0.2">
      <c r="A5781" s="170">
        <v>42326</v>
      </c>
      <c r="B5781" s="171">
        <v>2.7</v>
      </c>
    </row>
    <row r="5782" spans="1:2" x14ac:dyDescent="0.2">
      <c r="A5782" s="170">
        <v>42327</v>
      </c>
      <c r="B5782" s="171">
        <v>2.66</v>
      </c>
    </row>
    <row r="5783" spans="1:2" x14ac:dyDescent="0.2">
      <c r="A5783" s="170">
        <v>42328</v>
      </c>
      <c r="B5783" s="171">
        <v>2.68</v>
      </c>
    </row>
    <row r="5784" spans="1:2" x14ac:dyDescent="0.2">
      <c r="A5784" s="170">
        <v>42331</v>
      </c>
      <c r="B5784" s="171">
        <v>2.66</v>
      </c>
    </row>
    <row r="5785" spans="1:2" x14ac:dyDescent="0.2">
      <c r="A5785" s="170">
        <v>42332</v>
      </c>
      <c r="B5785" s="171">
        <v>2.65</v>
      </c>
    </row>
    <row r="5786" spans="1:2" x14ac:dyDescent="0.2">
      <c r="A5786" s="170">
        <v>42333</v>
      </c>
      <c r="B5786" s="171">
        <v>2.64</v>
      </c>
    </row>
    <row r="5787" spans="1:2" x14ac:dyDescent="0.2">
      <c r="A5787" s="170">
        <v>42334</v>
      </c>
      <c r="B5787" s="171" t="e">
        <f>NA()</f>
        <v>#N/A</v>
      </c>
    </row>
    <row r="5788" spans="1:2" x14ac:dyDescent="0.2">
      <c r="A5788" s="170">
        <v>42335</v>
      </c>
      <c r="B5788" s="171">
        <v>2.64</v>
      </c>
    </row>
    <row r="5789" spans="1:2" x14ac:dyDescent="0.2">
      <c r="A5789" s="170">
        <v>42338</v>
      </c>
      <c r="B5789" s="171">
        <v>2.63</v>
      </c>
    </row>
    <row r="5790" spans="1:2" x14ac:dyDescent="0.2">
      <c r="A5790" s="170">
        <v>42339</v>
      </c>
      <c r="B5790" s="171">
        <v>2.5499999999999998</v>
      </c>
    </row>
    <row r="5791" spans="1:2" x14ac:dyDescent="0.2">
      <c r="A5791" s="170">
        <v>42340</v>
      </c>
      <c r="B5791" s="171">
        <v>2.5499999999999998</v>
      </c>
    </row>
    <row r="5792" spans="1:2" x14ac:dyDescent="0.2">
      <c r="A5792" s="170">
        <v>42341</v>
      </c>
      <c r="B5792" s="171">
        <v>2.72</v>
      </c>
    </row>
    <row r="5793" spans="1:2" x14ac:dyDescent="0.2">
      <c r="A5793" s="170">
        <v>42342</v>
      </c>
      <c r="B5793" s="171">
        <v>2.65</v>
      </c>
    </row>
    <row r="5794" spans="1:2" x14ac:dyDescent="0.2">
      <c r="A5794" s="170">
        <v>42345</v>
      </c>
      <c r="B5794" s="171">
        <v>2.59</v>
      </c>
    </row>
    <row r="5795" spans="1:2" x14ac:dyDescent="0.2">
      <c r="A5795" s="170">
        <v>42346</v>
      </c>
      <c r="B5795" s="171">
        <v>2.61</v>
      </c>
    </row>
    <row r="5796" spans="1:2" x14ac:dyDescent="0.2">
      <c r="A5796" s="170">
        <v>42347</v>
      </c>
      <c r="B5796" s="171">
        <v>2.59</v>
      </c>
    </row>
    <row r="5797" spans="1:2" x14ac:dyDescent="0.2">
      <c r="A5797" s="170">
        <v>42348</v>
      </c>
      <c r="B5797" s="171">
        <v>2.6</v>
      </c>
    </row>
    <row r="5798" spans="1:2" x14ac:dyDescent="0.2">
      <c r="A5798" s="170">
        <v>42349</v>
      </c>
      <c r="B5798" s="171">
        <v>2.4900000000000002</v>
      </c>
    </row>
    <row r="5799" spans="1:2" x14ac:dyDescent="0.2">
      <c r="A5799" s="170">
        <v>42352</v>
      </c>
      <c r="B5799" s="171">
        <v>2.59</v>
      </c>
    </row>
    <row r="5800" spans="1:2" x14ac:dyDescent="0.2">
      <c r="A5800" s="170">
        <v>42353</v>
      </c>
      <c r="B5800" s="171">
        <v>2.62</v>
      </c>
    </row>
    <row r="5801" spans="1:2" x14ac:dyDescent="0.2">
      <c r="A5801" s="170">
        <v>42354</v>
      </c>
      <c r="B5801" s="171">
        <v>2.65</v>
      </c>
    </row>
    <row r="5802" spans="1:2" x14ac:dyDescent="0.2">
      <c r="A5802" s="170">
        <v>42355</v>
      </c>
      <c r="B5802" s="171">
        <v>2.57</v>
      </c>
    </row>
    <row r="5803" spans="1:2" x14ac:dyDescent="0.2">
      <c r="A5803" s="170">
        <v>42356</v>
      </c>
      <c r="B5803" s="171">
        <v>2.54</v>
      </c>
    </row>
    <row r="5804" spans="1:2" x14ac:dyDescent="0.2">
      <c r="A5804" s="170">
        <v>42359</v>
      </c>
      <c r="B5804" s="171">
        <v>2.5499999999999998</v>
      </c>
    </row>
    <row r="5805" spans="1:2" x14ac:dyDescent="0.2">
      <c r="A5805" s="170">
        <v>42360</v>
      </c>
      <c r="B5805" s="171">
        <v>2.6</v>
      </c>
    </row>
    <row r="5806" spans="1:2" x14ac:dyDescent="0.2">
      <c r="A5806" s="170">
        <v>42361</v>
      </c>
      <c r="B5806" s="171">
        <v>2.64</v>
      </c>
    </row>
    <row r="5807" spans="1:2" x14ac:dyDescent="0.2">
      <c r="A5807" s="170">
        <v>42362</v>
      </c>
      <c r="B5807" s="171">
        <v>2.61</v>
      </c>
    </row>
    <row r="5808" spans="1:2" x14ac:dyDescent="0.2">
      <c r="A5808" s="170">
        <v>42363</v>
      </c>
      <c r="B5808" s="171" t="e">
        <f>NA()</f>
        <v>#N/A</v>
      </c>
    </row>
    <row r="5809" spans="1:2" x14ac:dyDescent="0.2">
      <c r="A5809" s="170">
        <v>42366</v>
      </c>
      <c r="B5809" s="171">
        <v>2.59</v>
      </c>
    </row>
    <row r="5810" spans="1:2" x14ac:dyDescent="0.2">
      <c r="A5810" s="170">
        <v>42367</v>
      </c>
      <c r="B5810" s="171">
        <v>2.69</v>
      </c>
    </row>
    <row r="5811" spans="1:2" x14ac:dyDescent="0.2">
      <c r="A5811" s="170">
        <v>42368</v>
      </c>
      <c r="B5811" s="171">
        <v>2.69</v>
      </c>
    </row>
    <row r="5812" spans="1:2" x14ac:dyDescent="0.2">
      <c r="A5812" s="170">
        <v>42369</v>
      </c>
      <c r="B5812" s="171">
        <v>2.67</v>
      </c>
    </row>
    <row r="5813" spans="1:2" x14ac:dyDescent="0.2">
      <c r="A5813" s="170">
        <v>42370</v>
      </c>
      <c r="B5813" s="171" t="e">
        <f>NA()</f>
        <v>#N/A</v>
      </c>
    </row>
    <row r="5814" spans="1:2" x14ac:dyDescent="0.2">
      <c r="A5814" s="170">
        <v>42373</v>
      </c>
      <c r="B5814" s="171">
        <v>2.64</v>
      </c>
    </row>
    <row r="5815" spans="1:2" x14ac:dyDescent="0.2">
      <c r="A5815" s="170">
        <v>42374</v>
      </c>
      <c r="B5815" s="171">
        <v>2.67</v>
      </c>
    </row>
    <row r="5816" spans="1:2" x14ac:dyDescent="0.2">
      <c r="A5816" s="170">
        <v>42375</v>
      </c>
      <c r="B5816" s="171">
        <v>2.59</v>
      </c>
    </row>
    <row r="5817" spans="1:2" x14ac:dyDescent="0.2">
      <c r="A5817" s="170">
        <v>42376</v>
      </c>
      <c r="B5817" s="171">
        <v>2.56</v>
      </c>
    </row>
    <row r="5818" spans="1:2" x14ac:dyDescent="0.2">
      <c r="A5818" s="170">
        <v>42377</v>
      </c>
      <c r="B5818" s="171">
        <v>2.5499999999999998</v>
      </c>
    </row>
    <row r="5819" spans="1:2" x14ac:dyDescent="0.2">
      <c r="A5819" s="170">
        <v>42380</v>
      </c>
      <c r="B5819" s="171">
        <v>2.59</v>
      </c>
    </row>
    <row r="5820" spans="1:2" x14ac:dyDescent="0.2">
      <c r="A5820" s="170">
        <v>42381</v>
      </c>
      <c r="B5820" s="171">
        <v>2.5099999999999998</v>
      </c>
    </row>
    <row r="5821" spans="1:2" x14ac:dyDescent="0.2">
      <c r="A5821" s="170">
        <v>42382</v>
      </c>
      <c r="B5821" s="171">
        <v>2.4700000000000002</v>
      </c>
    </row>
    <row r="5822" spans="1:2" x14ac:dyDescent="0.2">
      <c r="A5822" s="170">
        <v>42383</v>
      </c>
      <c r="B5822" s="171">
        <v>2.5099999999999998</v>
      </c>
    </row>
    <row r="5823" spans="1:2" x14ac:dyDescent="0.2">
      <c r="A5823" s="170">
        <v>42384</v>
      </c>
      <c r="B5823" s="171">
        <v>2.44</v>
      </c>
    </row>
    <row r="5824" spans="1:2" x14ac:dyDescent="0.2">
      <c r="A5824" s="170">
        <v>42387</v>
      </c>
      <c r="B5824" s="171" t="e">
        <f>NA()</f>
        <v>#N/A</v>
      </c>
    </row>
    <row r="5825" spans="1:2" x14ac:dyDescent="0.2">
      <c r="A5825" s="170">
        <v>42388</v>
      </c>
      <c r="B5825" s="171">
        <v>2.4500000000000002</v>
      </c>
    </row>
    <row r="5826" spans="1:2" x14ac:dyDescent="0.2">
      <c r="A5826" s="170">
        <v>42389</v>
      </c>
      <c r="B5826" s="171">
        <v>2.41</v>
      </c>
    </row>
    <row r="5827" spans="1:2" x14ac:dyDescent="0.2">
      <c r="A5827" s="170">
        <v>42390</v>
      </c>
      <c r="B5827" s="171">
        <v>2.42</v>
      </c>
    </row>
    <row r="5828" spans="1:2" x14ac:dyDescent="0.2">
      <c r="A5828" s="170">
        <v>42391</v>
      </c>
      <c r="B5828" s="171">
        <v>2.46</v>
      </c>
    </row>
    <row r="5829" spans="1:2" x14ac:dyDescent="0.2">
      <c r="A5829" s="170">
        <v>42394</v>
      </c>
      <c r="B5829" s="171">
        <v>2.42</v>
      </c>
    </row>
    <row r="5830" spans="1:2" x14ac:dyDescent="0.2">
      <c r="A5830" s="170">
        <v>42395</v>
      </c>
      <c r="B5830" s="171">
        <v>2.41</v>
      </c>
    </row>
    <row r="5831" spans="1:2" x14ac:dyDescent="0.2">
      <c r="A5831" s="170">
        <v>42396</v>
      </c>
      <c r="B5831" s="171">
        <v>2.42</v>
      </c>
    </row>
    <row r="5832" spans="1:2" x14ac:dyDescent="0.2">
      <c r="A5832" s="170">
        <v>42397</v>
      </c>
      <c r="B5832" s="171">
        <v>2.41</v>
      </c>
    </row>
    <row r="5833" spans="1:2" x14ac:dyDescent="0.2">
      <c r="A5833" s="170">
        <v>42398</v>
      </c>
      <c r="B5833" s="171">
        <v>2.36</v>
      </c>
    </row>
    <row r="5834" spans="1:2" x14ac:dyDescent="0.2">
      <c r="A5834" s="170">
        <v>42401</v>
      </c>
      <c r="B5834" s="171">
        <v>2.38</v>
      </c>
    </row>
    <row r="5835" spans="1:2" x14ac:dyDescent="0.2">
      <c r="A5835" s="170">
        <v>42402</v>
      </c>
      <c r="B5835" s="171">
        <v>2.27</v>
      </c>
    </row>
    <row r="5836" spans="1:2" x14ac:dyDescent="0.2">
      <c r="A5836" s="170">
        <v>42403</v>
      </c>
      <c r="B5836" s="171">
        <v>2.2999999999999998</v>
      </c>
    </row>
    <row r="5837" spans="1:2" x14ac:dyDescent="0.2">
      <c r="A5837" s="170">
        <v>42404</v>
      </c>
      <c r="B5837" s="171">
        <v>2.29</v>
      </c>
    </row>
    <row r="5838" spans="1:2" x14ac:dyDescent="0.2">
      <c r="A5838" s="170">
        <v>42405</v>
      </c>
      <c r="B5838" s="171">
        <v>2.27</v>
      </c>
    </row>
    <row r="5839" spans="1:2" x14ac:dyDescent="0.2">
      <c r="A5839" s="170">
        <v>42408</v>
      </c>
      <c r="B5839" s="171">
        <v>2.17</v>
      </c>
    </row>
    <row r="5840" spans="1:2" x14ac:dyDescent="0.2">
      <c r="A5840" s="170">
        <v>42409</v>
      </c>
      <c r="B5840" s="171">
        <v>2.16</v>
      </c>
    </row>
    <row r="5841" spans="1:2" x14ac:dyDescent="0.2">
      <c r="A5841" s="170">
        <v>42410</v>
      </c>
      <c r="B5841" s="171">
        <v>2.13</v>
      </c>
    </row>
    <row r="5842" spans="1:2" x14ac:dyDescent="0.2">
      <c r="A5842" s="170">
        <v>42411</v>
      </c>
      <c r="B5842" s="171">
        <v>2.06</v>
      </c>
    </row>
    <row r="5843" spans="1:2" x14ac:dyDescent="0.2">
      <c r="A5843" s="170">
        <v>42412</v>
      </c>
      <c r="B5843" s="171">
        <v>2.15</v>
      </c>
    </row>
    <row r="5844" spans="1:2" x14ac:dyDescent="0.2">
      <c r="A5844" s="170">
        <v>42415</v>
      </c>
      <c r="B5844" s="171" t="e">
        <f>NA()</f>
        <v>#N/A</v>
      </c>
    </row>
    <row r="5845" spans="1:2" x14ac:dyDescent="0.2">
      <c r="A5845" s="170">
        <v>42416</v>
      </c>
      <c r="B5845" s="171">
        <v>2.19</v>
      </c>
    </row>
    <row r="5846" spans="1:2" x14ac:dyDescent="0.2">
      <c r="A5846" s="170">
        <v>42417</v>
      </c>
      <c r="B5846" s="171">
        <v>2.2400000000000002</v>
      </c>
    </row>
    <row r="5847" spans="1:2" x14ac:dyDescent="0.2">
      <c r="A5847" s="170">
        <v>42418</v>
      </c>
      <c r="B5847" s="171">
        <v>2.17</v>
      </c>
    </row>
    <row r="5848" spans="1:2" x14ac:dyDescent="0.2">
      <c r="A5848" s="170">
        <v>42419</v>
      </c>
      <c r="B5848" s="171">
        <v>2.17</v>
      </c>
    </row>
    <row r="5849" spans="1:2" x14ac:dyDescent="0.2">
      <c r="A5849" s="170">
        <v>42422</v>
      </c>
      <c r="B5849" s="171">
        <v>2.1800000000000002</v>
      </c>
    </row>
    <row r="5850" spans="1:2" x14ac:dyDescent="0.2">
      <c r="A5850" s="170">
        <v>42423</v>
      </c>
      <c r="B5850" s="171">
        <v>2.16</v>
      </c>
    </row>
    <row r="5851" spans="1:2" x14ac:dyDescent="0.2">
      <c r="A5851" s="170">
        <v>42424</v>
      </c>
      <c r="B5851" s="171">
        <v>2.16</v>
      </c>
    </row>
    <row r="5852" spans="1:2" x14ac:dyDescent="0.2">
      <c r="A5852" s="170">
        <v>42425</v>
      </c>
      <c r="B5852" s="171">
        <v>2.14</v>
      </c>
    </row>
    <row r="5853" spans="1:2" x14ac:dyDescent="0.2">
      <c r="A5853" s="170">
        <v>42426</v>
      </c>
      <c r="B5853" s="171">
        <v>2.2000000000000002</v>
      </c>
    </row>
    <row r="5854" spans="1:2" x14ac:dyDescent="0.2">
      <c r="A5854" s="170">
        <v>42429</v>
      </c>
      <c r="B5854" s="171">
        <v>2.19</v>
      </c>
    </row>
    <row r="5855" spans="1:2" x14ac:dyDescent="0.2">
      <c r="A5855" s="170">
        <v>42430</v>
      </c>
      <c r="B5855" s="171">
        <v>2.2799999999999998</v>
      </c>
    </row>
    <row r="5856" spans="1:2" x14ac:dyDescent="0.2">
      <c r="A5856" s="170">
        <v>42431</v>
      </c>
      <c r="B5856" s="171">
        <v>2.27</v>
      </c>
    </row>
    <row r="5857" spans="1:2" x14ac:dyDescent="0.2">
      <c r="A5857" s="170">
        <v>42432</v>
      </c>
      <c r="B5857" s="171">
        <v>2.23</v>
      </c>
    </row>
    <row r="5858" spans="1:2" x14ac:dyDescent="0.2">
      <c r="A5858" s="170">
        <v>42433</v>
      </c>
      <c r="B5858" s="171">
        <v>2.29</v>
      </c>
    </row>
    <row r="5859" spans="1:2" x14ac:dyDescent="0.2">
      <c r="A5859" s="170">
        <v>42436</v>
      </c>
      <c r="B5859" s="171">
        <v>2.2999999999999998</v>
      </c>
    </row>
    <row r="5860" spans="1:2" x14ac:dyDescent="0.2">
      <c r="A5860" s="170">
        <v>42437</v>
      </c>
      <c r="B5860" s="171">
        <v>2.2200000000000002</v>
      </c>
    </row>
    <row r="5861" spans="1:2" x14ac:dyDescent="0.2">
      <c r="A5861" s="170">
        <v>42438</v>
      </c>
      <c r="B5861" s="171">
        <v>2.27</v>
      </c>
    </row>
    <row r="5862" spans="1:2" x14ac:dyDescent="0.2">
      <c r="A5862" s="170">
        <v>42439</v>
      </c>
      <c r="B5862" s="171">
        <v>2.29</v>
      </c>
    </row>
    <row r="5863" spans="1:2" x14ac:dyDescent="0.2">
      <c r="A5863" s="170">
        <v>42440</v>
      </c>
      <c r="B5863" s="171">
        <v>2.34</v>
      </c>
    </row>
    <row r="5864" spans="1:2" x14ac:dyDescent="0.2">
      <c r="A5864" s="170">
        <v>42443</v>
      </c>
      <c r="B5864" s="171">
        <v>2.33</v>
      </c>
    </row>
    <row r="5865" spans="1:2" x14ac:dyDescent="0.2">
      <c r="A5865" s="170">
        <v>42444</v>
      </c>
      <c r="B5865" s="171">
        <v>2.33</v>
      </c>
    </row>
    <row r="5866" spans="1:2" x14ac:dyDescent="0.2">
      <c r="A5866" s="170">
        <v>42445</v>
      </c>
      <c r="B5866" s="171">
        <v>2.3199999999999998</v>
      </c>
    </row>
    <row r="5867" spans="1:2" x14ac:dyDescent="0.2">
      <c r="A5867" s="170">
        <v>42446</v>
      </c>
      <c r="B5867" s="171">
        <v>2.2799999999999998</v>
      </c>
    </row>
    <row r="5868" spans="1:2" x14ac:dyDescent="0.2">
      <c r="A5868" s="170">
        <v>42447</v>
      </c>
      <c r="B5868" s="171">
        <v>2.2599999999999998</v>
      </c>
    </row>
    <row r="5869" spans="1:2" x14ac:dyDescent="0.2">
      <c r="A5869" s="170">
        <v>42450</v>
      </c>
      <c r="B5869" s="171">
        <v>2.31</v>
      </c>
    </row>
    <row r="5870" spans="1:2" x14ac:dyDescent="0.2">
      <c r="A5870" s="170">
        <v>42451</v>
      </c>
      <c r="B5870" s="171">
        <v>2.3199999999999998</v>
      </c>
    </row>
    <row r="5871" spans="1:2" x14ac:dyDescent="0.2">
      <c r="A5871" s="170">
        <v>42452</v>
      </c>
      <c r="B5871" s="171">
        <v>2.25</v>
      </c>
    </row>
    <row r="5872" spans="1:2" x14ac:dyDescent="0.2">
      <c r="A5872" s="170">
        <v>42453</v>
      </c>
      <c r="B5872" s="171">
        <v>2.2799999999999998</v>
      </c>
    </row>
    <row r="5873" spans="1:2" x14ac:dyDescent="0.2">
      <c r="A5873" s="170">
        <v>42454</v>
      </c>
      <c r="B5873" s="171" t="e">
        <f>NA()</f>
        <v>#N/A</v>
      </c>
    </row>
    <row r="5874" spans="1:2" x14ac:dyDescent="0.2">
      <c r="A5874" s="170">
        <v>42457</v>
      </c>
      <c r="B5874" s="171">
        <v>2.2599999999999998</v>
      </c>
    </row>
    <row r="5875" spans="1:2" x14ac:dyDescent="0.2">
      <c r="A5875" s="170">
        <v>42458</v>
      </c>
      <c r="B5875" s="171">
        <v>2.2000000000000002</v>
      </c>
    </row>
    <row r="5876" spans="1:2" x14ac:dyDescent="0.2">
      <c r="A5876" s="170">
        <v>42459</v>
      </c>
      <c r="B5876" s="171">
        <v>2.2400000000000002</v>
      </c>
    </row>
    <row r="5877" spans="1:2" x14ac:dyDescent="0.2">
      <c r="A5877" s="170">
        <v>42460</v>
      </c>
      <c r="B5877" s="171">
        <v>2.2000000000000002</v>
      </c>
    </row>
    <row r="5878" spans="1:2" x14ac:dyDescent="0.2">
      <c r="A5878" s="170">
        <v>42461</v>
      </c>
      <c r="B5878" s="171">
        <v>2.2000000000000002</v>
      </c>
    </row>
    <row r="5879" spans="1:2" x14ac:dyDescent="0.2">
      <c r="A5879" s="170">
        <v>42464</v>
      </c>
      <c r="B5879" s="171">
        <v>2.19</v>
      </c>
    </row>
    <row r="5880" spans="1:2" x14ac:dyDescent="0.2">
      <c r="A5880" s="170">
        <v>42465</v>
      </c>
      <c r="B5880" s="171">
        <v>2.13</v>
      </c>
    </row>
    <row r="5881" spans="1:2" x14ac:dyDescent="0.2">
      <c r="A5881" s="170">
        <v>42466</v>
      </c>
      <c r="B5881" s="171">
        <v>2.17</v>
      </c>
    </row>
    <row r="5882" spans="1:2" x14ac:dyDescent="0.2">
      <c r="A5882" s="170">
        <v>42467</v>
      </c>
      <c r="B5882" s="171">
        <v>2.1</v>
      </c>
    </row>
    <row r="5883" spans="1:2" x14ac:dyDescent="0.2">
      <c r="A5883" s="170">
        <v>42468</v>
      </c>
      <c r="B5883" s="171">
        <v>2.13</v>
      </c>
    </row>
    <row r="5884" spans="1:2" x14ac:dyDescent="0.2">
      <c r="A5884" s="170">
        <v>42471</v>
      </c>
      <c r="B5884" s="171">
        <v>2.14</v>
      </c>
    </row>
    <row r="5885" spans="1:2" x14ac:dyDescent="0.2">
      <c r="A5885" s="170">
        <v>42472</v>
      </c>
      <c r="B5885" s="171">
        <v>2.1800000000000002</v>
      </c>
    </row>
    <row r="5886" spans="1:2" x14ac:dyDescent="0.2">
      <c r="A5886" s="170">
        <v>42473</v>
      </c>
      <c r="B5886" s="171">
        <v>2.16</v>
      </c>
    </row>
    <row r="5887" spans="1:2" x14ac:dyDescent="0.2">
      <c r="A5887" s="170">
        <v>42474</v>
      </c>
      <c r="B5887" s="171">
        <v>2.1800000000000002</v>
      </c>
    </row>
    <row r="5888" spans="1:2" x14ac:dyDescent="0.2">
      <c r="A5888" s="170">
        <v>42475</v>
      </c>
      <c r="B5888" s="171">
        <v>2.14</v>
      </c>
    </row>
    <row r="5889" spans="1:2" x14ac:dyDescent="0.2">
      <c r="A5889" s="170">
        <v>42478</v>
      </c>
      <c r="B5889" s="171">
        <v>2.17</v>
      </c>
    </row>
    <row r="5890" spans="1:2" x14ac:dyDescent="0.2">
      <c r="A5890" s="170">
        <v>42479</v>
      </c>
      <c r="B5890" s="171">
        <v>2.19</v>
      </c>
    </row>
    <row r="5891" spans="1:2" x14ac:dyDescent="0.2">
      <c r="A5891" s="170">
        <v>42480</v>
      </c>
      <c r="B5891" s="171">
        <v>2.25</v>
      </c>
    </row>
    <row r="5892" spans="1:2" x14ac:dyDescent="0.2">
      <c r="A5892" s="170">
        <v>42481</v>
      </c>
      <c r="B5892" s="171">
        <v>2.29</v>
      </c>
    </row>
    <row r="5893" spans="1:2" x14ac:dyDescent="0.2">
      <c r="A5893" s="170">
        <v>42482</v>
      </c>
      <c r="B5893" s="171">
        <v>2.2999999999999998</v>
      </c>
    </row>
    <row r="5894" spans="1:2" x14ac:dyDescent="0.2">
      <c r="A5894" s="170">
        <v>42485</v>
      </c>
      <c r="B5894" s="171">
        <v>2.3199999999999998</v>
      </c>
    </row>
    <row r="5895" spans="1:2" x14ac:dyDescent="0.2">
      <c r="A5895" s="170">
        <v>42486</v>
      </c>
      <c r="B5895" s="171">
        <v>2.35</v>
      </c>
    </row>
    <row r="5896" spans="1:2" x14ac:dyDescent="0.2">
      <c r="A5896" s="170">
        <v>42487</v>
      </c>
      <c r="B5896" s="171">
        <v>2.2999999999999998</v>
      </c>
    </row>
    <row r="5897" spans="1:2" x14ac:dyDescent="0.2">
      <c r="A5897" s="170">
        <v>42488</v>
      </c>
      <c r="B5897" s="171">
        <v>2.27</v>
      </c>
    </row>
    <row r="5898" spans="1:2" x14ac:dyDescent="0.2">
      <c r="A5898" s="170">
        <v>42489</v>
      </c>
      <c r="B5898" s="171">
        <v>2.2599999999999998</v>
      </c>
    </row>
    <row r="5899" spans="1:2" x14ac:dyDescent="0.2">
      <c r="A5899" s="170">
        <v>42492</v>
      </c>
      <c r="B5899" s="171">
        <v>2.31</v>
      </c>
    </row>
    <row r="5900" spans="1:2" x14ac:dyDescent="0.2">
      <c r="A5900" s="170">
        <v>42493</v>
      </c>
      <c r="B5900" s="171">
        <v>2.2400000000000002</v>
      </c>
    </row>
    <row r="5901" spans="1:2" x14ac:dyDescent="0.2">
      <c r="A5901" s="170">
        <v>42494</v>
      </c>
      <c r="B5901" s="171">
        <v>2.2200000000000002</v>
      </c>
    </row>
    <row r="5902" spans="1:2" x14ac:dyDescent="0.2">
      <c r="A5902" s="170">
        <v>42495</v>
      </c>
      <c r="B5902" s="171">
        <v>2.17</v>
      </c>
    </row>
    <row r="5903" spans="1:2" x14ac:dyDescent="0.2">
      <c r="A5903" s="170">
        <v>42496</v>
      </c>
      <c r="B5903" s="171">
        <v>2.2000000000000002</v>
      </c>
    </row>
    <row r="5904" spans="1:2" x14ac:dyDescent="0.2">
      <c r="A5904" s="170">
        <v>42499</v>
      </c>
      <c r="B5904" s="171">
        <v>2.1800000000000002</v>
      </c>
    </row>
    <row r="5905" spans="1:2" x14ac:dyDescent="0.2">
      <c r="A5905" s="170">
        <v>42500</v>
      </c>
      <c r="B5905" s="171">
        <v>2.1800000000000002</v>
      </c>
    </row>
    <row r="5906" spans="1:2" x14ac:dyDescent="0.2">
      <c r="A5906" s="170">
        <v>42501</v>
      </c>
      <c r="B5906" s="171">
        <v>2.15</v>
      </c>
    </row>
    <row r="5907" spans="1:2" x14ac:dyDescent="0.2">
      <c r="A5907" s="170">
        <v>42502</v>
      </c>
      <c r="B5907" s="171">
        <v>2.1800000000000002</v>
      </c>
    </row>
    <row r="5908" spans="1:2" x14ac:dyDescent="0.2">
      <c r="A5908" s="170">
        <v>42503</v>
      </c>
      <c r="B5908" s="171">
        <v>2.14</v>
      </c>
    </row>
    <row r="5909" spans="1:2" x14ac:dyDescent="0.2">
      <c r="A5909" s="170">
        <v>42506</v>
      </c>
      <c r="B5909" s="171">
        <v>2.1800000000000002</v>
      </c>
    </row>
    <row r="5910" spans="1:2" x14ac:dyDescent="0.2">
      <c r="A5910" s="170">
        <v>42507</v>
      </c>
      <c r="B5910" s="171">
        <v>2.1800000000000002</v>
      </c>
    </row>
    <row r="5911" spans="1:2" x14ac:dyDescent="0.2">
      <c r="A5911" s="170">
        <v>42508</v>
      </c>
      <c r="B5911" s="171">
        <v>2.27</v>
      </c>
    </row>
    <row r="5912" spans="1:2" x14ac:dyDescent="0.2">
      <c r="A5912" s="170">
        <v>42509</v>
      </c>
      <c r="B5912" s="171">
        <v>2.2400000000000002</v>
      </c>
    </row>
    <row r="5913" spans="1:2" x14ac:dyDescent="0.2">
      <c r="A5913" s="170">
        <v>42510</v>
      </c>
      <c r="B5913" s="171">
        <v>2.2400000000000002</v>
      </c>
    </row>
    <row r="5914" spans="1:2" x14ac:dyDescent="0.2">
      <c r="A5914" s="170">
        <v>42513</v>
      </c>
      <c r="B5914" s="171">
        <v>2.23</v>
      </c>
    </row>
    <row r="5915" spans="1:2" x14ac:dyDescent="0.2">
      <c r="A5915" s="170">
        <v>42514</v>
      </c>
      <c r="B5915" s="171">
        <v>2.25</v>
      </c>
    </row>
    <row r="5916" spans="1:2" x14ac:dyDescent="0.2">
      <c r="A5916" s="170">
        <v>42515</v>
      </c>
      <c r="B5916" s="171">
        <v>2.27</v>
      </c>
    </row>
    <row r="5917" spans="1:2" x14ac:dyDescent="0.2">
      <c r="A5917" s="170">
        <v>42516</v>
      </c>
      <c r="B5917" s="171">
        <v>2.2400000000000002</v>
      </c>
    </row>
    <row r="5918" spans="1:2" x14ac:dyDescent="0.2">
      <c r="A5918" s="170">
        <v>42517</v>
      </c>
      <c r="B5918" s="171">
        <v>2.25</v>
      </c>
    </row>
    <row r="5919" spans="1:2" x14ac:dyDescent="0.2">
      <c r="A5919" s="170">
        <v>42520</v>
      </c>
      <c r="B5919" s="171" t="e">
        <f>NA()</f>
        <v>#N/A</v>
      </c>
    </row>
    <row r="5920" spans="1:2" x14ac:dyDescent="0.2">
      <c r="A5920" s="170">
        <v>42521</v>
      </c>
      <c r="B5920" s="171">
        <v>2.23</v>
      </c>
    </row>
    <row r="5921" spans="1:2" x14ac:dyDescent="0.2">
      <c r="A5921" s="170">
        <v>42522</v>
      </c>
      <c r="B5921" s="171">
        <v>2.2200000000000002</v>
      </c>
    </row>
    <row r="5922" spans="1:2" x14ac:dyDescent="0.2">
      <c r="A5922" s="170">
        <v>42523</v>
      </c>
      <c r="B5922" s="171">
        <v>2.17</v>
      </c>
    </row>
    <row r="5923" spans="1:2" x14ac:dyDescent="0.2">
      <c r="A5923" s="170">
        <v>42524</v>
      </c>
      <c r="B5923" s="171">
        <v>2.09</v>
      </c>
    </row>
    <row r="5924" spans="1:2" x14ac:dyDescent="0.2">
      <c r="A5924" s="170">
        <v>42527</v>
      </c>
      <c r="B5924" s="171">
        <v>2.12</v>
      </c>
    </row>
    <row r="5925" spans="1:2" x14ac:dyDescent="0.2">
      <c r="A5925" s="170">
        <v>42528</v>
      </c>
      <c r="B5925" s="171">
        <v>2.1</v>
      </c>
    </row>
    <row r="5926" spans="1:2" x14ac:dyDescent="0.2">
      <c r="A5926" s="170">
        <v>42529</v>
      </c>
      <c r="B5926" s="171">
        <v>2.08</v>
      </c>
    </row>
    <row r="5927" spans="1:2" x14ac:dyDescent="0.2">
      <c r="A5927" s="170">
        <v>42530</v>
      </c>
      <c r="B5927" s="171">
        <v>2.0499999999999998</v>
      </c>
    </row>
    <row r="5928" spans="1:2" x14ac:dyDescent="0.2">
      <c r="A5928" s="170">
        <v>42531</v>
      </c>
      <c r="B5928" s="171">
        <v>2.02</v>
      </c>
    </row>
    <row r="5929" spans="1:2" x14ac:dyDescent="0.2">
      <c r="A5929" s="170">
        <v>42534</v>
      </c>
      <c r="B5929" s="171">
        <v>2.0099999999999998</v>
      </c>
    </row>
    <row r="5930" spans="1:2" x14ac:dyDescent="0.2">
      <c r="A5930" s="170">
        <v>42535</v>
      </c>
      <c r="B5930" s="171">
        <v>2</v>
      </c>
    </row>
    <row r="5931" spans="1:2" x14ac:dyDescent="0.2">
      <c r="A5931" s="170">
        <v>42536</v>
      </c>
      <c r="B5931" s="171">
        <v>1.99</v>
      </c>
    </row>
    <row r="5932" spans="1:2" x14ac:dyDescent="0.2">
      <c r="A5932" s="170">
        <v>42537</v>
      </c>
      <c r="B5932" s="171">
        <v>1.96</v>
      </c>
    </row>
    <row r="5933" spans="1:2" x14ac:dyDescent="0.2">
      <c r="A5933" s="170">
        <v>42538</v>
      </c>
      <c r="B5933" s="171">
        <v>1.99</v>
      </c>
    </row>
    <row r="5934" spans="1:2" x14ac:dyDescent="0.2">
      <c r="A5934" s="170">
        <v>42541</v>
      </c>
      <c r="B5934" s="171">
        <v>2.0299999999999998</v>
      </c>
    </row>
    <row r="5935" spans="1:2" x14ac:dyDescent="0.2">
      <c r="A5935" s="170">
        <v>42542</v>
      </c>
      <c r="B5935" s="171">
        <v>2.0699999999999998</v>
      </c>
    </row>
    <row r="5936" spans="1:2" x14ac:dyDescent="0.2">
      <c r="A5936" s="170">
        <v>42543</v>
      </c>
      <c r="B5936" s="171">
        <v>2.06</v>
      </c>
    </row>
    <row r="5937" spans="1:2" x14ac:dyDescent="0.2">
      <c r="A5937" s="170">
        <v>42544</v>
      </c>
      <c r="B5937" s="171">
        <v>2.12</v>
      </c>
    </row>
    <row r="5938" spans="1:2" x14ac:dyDescent="0.2">
      <c r="A5938" s="170">
        <v>42545</v>
      </c>
      <c r="B5938" s="171">
        <v>1.96</v>
      </c>
    </row>
    <row r="5939" spans="1:2" x14ac:dyDescent="0.2">
      <c r="A5939" s="170">
        <v>42548</v>
      </c>
      <c r="B5939" s="171">
        <v>1.83</v>
      </c>
    </row>
    <row r="5940" spans="1:2" x14ac:dyDescent="0.2">
      <c r="A5940" s="170">
        <v>42549</v>
      </c>
      <c r="B5940" s="171">
        <v>1.83</v>
      </c>
    </row>
    <row r="5941" spans="1:2" x14ac:dyDescent="0.2">
      <c r="A5941" s="170">
        <v>42550</v>
      </c>
      <c r="B5941" s="171">
        <v>1.86</v>
      </c>
    </row>
    <row r="5942" spans="1:2" x14ac:dyDescent="0.2">
      <c r="A5942" s="170">
        <v>42551</v>
      </c>
      <c r="B5942" s="171">
        <v>1.86</v>
      </c>
    </row>
    <row r="5943" spans="1:2" x14ac:dyDescent="0.2">
      <c r="A5943" s="170">
        <v>42552</v>
      </c>
      <c r="B5943" s="171">
        <v>1.81</v>
      </c>
    </row>
    <row r="5944" spans="1:2" x14ac:dyDescent="0.2">
      <c r="A5944" s="170">
        <v>42555</v>
      </c>
      <c r="B5944" s="171" t="e">
        <f>NA()</f>
        <v>#N/A</v>
      </c>
    </row>
    <row r="5945" spans="1:2" x14ac:dyDescent="0.2">
      <c r="A5945" s="170">
        <v>42556</v>
      </c>
      <c r="B5945" s="171">
        <v>1.72</v>
      </c>
    </row>
    <row r="5946" spans="1:2" x14ac:dyDescent="0.2">
      <c r="A5946" s="170">
        <v>42557</v>
      </c>
      <c r="B5946" s="171">
        <v>1.72</v>
      </c>
    </row>
    <row r="5947" spans="1:2" x14ac:dyDescent="0.2">
      <c r="A5947" s="170">
        <v>42558</v>
      </c>
      <c r="B5947" s="171">
        <v>1.72</v>
      </c>
    </row>
    <row r="5948" spans="1:2" x14ac:dyDescent="0.2">
      <c r="A5948" s="170">
        <v>42559</v>
      </c>
      <c r="B5948" s="171">
        <v>1.69</v>
      </c>
    </row>
    <row r="5949" spans="1:2" x14ac:dyDescent="0.2">
      <c r="A5949" s="170">
        <v>42562</v>
      </c>
      <c r="B5949" s="171">
        <v>1.73</v>
      </c>
    </row>
    <row r="5950" spans="1:2" x14ac:dyDescent="0.2">
      <c r="A5950" s="170">
        <v>42563</v>
      </c>
      <c r="B5950" s="171">
        <v>1.82</v>
      </c>
    </row>
    <row r="5951" spans="1:2" x14ac:dyDescent="0.2">
      <c r="A5951" s="170">
        <v>42564</v>
      </c>
      <c r="B5951" s="171">
        <v>1.77</v>
      </c>
    </row>
    <row r="5952" spans="1:2" x14ac:dyDescent="0.2">
      <c r="A5952" s="170">
        <v>42565</v>
      </c>
      <c r="B5952" s="171">
        <v>1.84</v>
      </c>
    </row>
    <row r="5953" spans="1:2" x14ac:dyDescent="0.2">
      <c r="A5953" s="170">
        <v>42566</v>
      </c>
      <c r="B5953" s="171">
        <v>1.9</v>
      </c>
    </row>
    <row r="5954" spans="1:2" x14ac:dyDescent="0.2">
      <c r="A5954" s="170">
        <v>42569</v>
      </c>
      <c r="B5954" s="171">
        <v>1.9</v>
      </c>
    </row>
    <row r="5955" spans="1:2" x14ac:dyDescent="0.2">
      <c r="A5955" s="170">
        <v>42570</v>
      </c>
      <c r="B5955" s="171">
        <v>1.88</v>
      </c>
    </row>
    <row r="5956" spans="1:2" x14ac:dyDescent="0.2">
      <c r="A5956" s="170">
        <v>42571</v>
      </c>
      <c r="B5956" s="171">
        <v>1.91</v>
      </c>
    </row>
    <row r="5957" spans="1:2" x14ac:dyDescent="0.2">
      <c r="A5957" s="170">
        <v>42572</v>
      </c>
      <c r="B5957" s="171">
        <v>1.9</v>
      </c>
    </row>
    <row r="5958" spans="1:2" x14ac:dyDescent="0.2">
      <c r="A5958" s="170">
        <v>42573</v>
      </c>
      <c r="B5958" s="171">
        <v>1.9</v>
      </c>
    </row>
    <row r="5959" spans="1:2" x14ac:dyDescent="0.2">
      <c r="A5959" s="170">
        <v>42576</v>
      </c>
      <c r="B5959" s="171">
        <v>1.9</v>
      </c>
    </row>
    <row r="5960" spans="1:2" x14ac:dyDescent="0.2">
      <c r="A5960" s="170">
        <v>42577</v>
      </c>
      <c r="B5960" s="171">
        <v>1.89</v>
      </c>
    </row>
    <row r="5961" spans="1:2" x14ac:dyDescent="0.2">
      <c r="A5961" s="170">
        <v>42578</v>
      </c>
      <c r="B5961" s="171">
        <v>1.84</v>
      </c>
    </row>
    <row r="5962" spans="1:2" x14ac:dyDescent="0.2">
      <c r="A5962" s="170">
        <v>42579</v>
      </c>
      <c r="B5962" s="171">
        <v>1.83</v>
      </c>
    </row>
    <row r="5963" spans="1:2" x14ac:dyDescent="0.2">
      <c r="A5963" s="170">
        <v>42580</v>
      </c>
      <c r="B5963" s="171">
        <v>1.78</v>
      </c>
    </row>
    <row r="5964" spans="1:2" x14ac:dyDescent="0.2">
      <c r="A5964" s="170">
        <v>42583</v>
      </c>
      <c r="B5964" s="171">
        <v>1.84</v>
      </c>
    </row>
    <row r="5965" spans="1:2" x14ac:dyDescent="0.2">
      <c r="A5965" s="170">
        <v>42584</v>
      </c>
      <c r="B5965" s="171">
        <v>1.88</v>
      </c>
    </row>
    <row r="5966" spans="1:2" x14ac:dyDescent="0.2">
      <c r="A5966" s="170">
        <v>42585</v>
      </c>
      <c r="B5966" s="171">
        <v>1.88</v>
      </c>
    </row>
    <row r="5967" spans="1:2" x14ac:dyDescent="0.2">
      <c r="A5967" s="170">
        <v>42586</v>
      </c>
      <c r="B5967" s="171">
        <v>1.84</v>
      </c>
    </row>
    <row r="5968" spans="1:2" x14ac:dyDescent="0.2">
      <c r="A5968" s="170">
        <v>42587</v>
      </c>
      <c r="B5968" s="171">
        <v>1.91</v>
      </c>
    </row>
    <row r="5969" spans="1:2" x14ac:dyDescent="0.2">
      <c r="A5969" s="170">
        <v>42590</v>
      </c>
      <c r="B5969" s="171">
        <v>1.91</v>
      </c>
    </row>
    <row r="5970" spans="1:2" x14ac:dyDescent="0.2">
      <c r="A5970" s="170">
        <v>42591</v>
      </c>
      <c r="B5970" s="171">
        <v>1.86</v>
      </c>
    </row>
    <row r="5971" spans="1:2" x14ac:dyDescent="0.2">
      <c r="A5971" s="170">
        <v>42592</v>
      </c>
      <c r="B5971" s="171">
        <v>1.83</v>
      </c>
    </row>
    <row r="5972" spans="1:2" x14ac:dyDescent="0.2">
      <c r="A5972" s="170">
        <v>42593</v>
      </c>
      <c r="B5972" s="171">
        <v>1.89</v>
      </c>
    </row>
    <row r="5973" spans="1:2" x14ac:dyDescent="0.2">
      <c r="A5973" s="170">
        <v>42594</v>
      </c>
      <c r="B5973" s="171">
        <v>1.85</v>
      </c>
    </row>
    <row r="5974" spans="1:2" x14ac:dyDescent="0.2">
      <c r="A5974" s="170">
        <v>42597</v>
      </c>
      <c r="B5974" s="171">
        <v>1.9</v>
      </c>
    </row>
    <row r="5975" spans="1:2" x14ac:dyDescent="0.2">
      <c r="A5975" s="170">
        <v>42598</v>
      </c>
      <c r="B5975" s="171">
        <v>1.92</v>
      </c>
    </row>
    <row r="5976" spans="1:2" x14ac:dyDescent="0.2">
      <c r="A5976" s="170">
        <v>42599</v>
      </c>
      <c r="B5976" s="171">
        <v>1.9</v>
      </c>
    </row>
    <row r="5977" spans="1:2" x14ac:dyDescent="0.2">
      <c r="A5977" s="170">
        <v>42600</v>
      </c>
      <c r="B5977" s="171">
        <v>1.89</v>
      </c>
    </row>
    <row r="5978" spans="1:2" x14ac:dyDescent="0.2">
      <c r="A5978" s="170">
        <v>42601</v>
      </c>
      <c r="B5978" s="171">
        <v>1.93</v>
      </c>
    </row>
    <row r="5979" spans="1:2" x14ac:dyDescent="0.2">
      <c r="A5979" s="170">
        <v>42604</v>
      </c>
      <c r="B5979" s="171">
        <v>1.88</v>
      </c>
    </row>
    <row r="5980" spans="1:2" x14ac:dyDescent="0.2">
      <c r="A5980" s="170">
        <v>42605</v>
      </c>
      <c r="B5980" s="171">
        <v>1.88</v>
      </c>
    </row>
    <row r="5981" spans="1:2" x14ac:dyDescent="0.2">
      <c r="A5981" s="170">
        <v>42606</v>
      </c>
      <c r="B5981" s="171">
        <v>1.89</v>
      </c>
    </row>
    <row r="5982" spans="1:2" x14ac:dyDescent="0.2">
      <c r="A5982" s="170">
        <v>42607</v>
      </c>
      <c r="B5982" s="171">
        <v>1.91</v>
      </c>
    </row>
    <row r="5983" spans="1:2" x14ac:dyDescent="0.2">
      <c r="A5983" s="170">
        <v>42608</v>
      </c>
      <c r="B5983" s="171">
        <v>1.96</v>
      </c>
    </row>
    <row r="5984" spans="1:2" x14ac:dyDescent="0.2">
      <c r="A5984" s="170">
        <v>42611</v>
      </c>
      <c r="B5984" s="171">
        <v>1.9</v>
      </c>
    </row>
    <row r="5985" spans="1:2" x14ac:dyDescent="0.2">
      <c r="A5985" s="170">
        <v>42612</v>
      </c>
      <c r="B5985" s="171">
        <v>1.91</v>
      </c>
    </row>
    <row r="5986" spans="1:2" x14ac:dyDescent="0.2">
      <c r="A5986" s="170">
        <v>42613</v>
      </c>
      <c r="B5986" s="171">
        <v>1.9</v>
      </c>
    </row>
    <row r="5987" spans="1:2" x14ac:dyDescent="0.2">
      <c r="A5987" s="170">
        <v>42614</v>
      </c>
      <c r="B5987" s="171">
        <v>1.9</v>
      </c>
    </row>
    <row r="5988" spans="1:2" x14ac:dyDescent="0.2">
      <c r="A5988" s="170">
        <v>42615</v>
      </c>
      <c r="B5988" s="171">
        <v>1.95</v>
      </c>
    </row>
    <row r="5989" spans="1:2" x14ac:dyDescent="0.2">
      <c r="A5989" s="170">
        <v>42618</v>
      </c>
      <c r="B5989" s="171" t="e">
        <f>NA()</f>
        <v>#N/A</v>
      </c>
    </row>
    <row r="5990" spans="1:2" x14ac:dyDescent="0.2">
      <c r="A5990" s="170">
        <v>42619</v>
      </c>
      <c r="B5990" s="171">
        <v>1.9</v>
      </c>
    </row>
    <row r="5991" spans="1:2" x14ac:dyDescent="0.2">
      <c r="A5991" s="170">
        <v>42620</v>
      </c>
      <c r="B5991" s="171">
        <v>1.89</v>
      </c>
    </row>
    <row r="5992" spans="1:2" x14ac:dyDescent="0.2">
      <c r="A5992" s="170">
        <v>42621</v>
      </c>
      <c r="B5992" s="171">
        <v>1.98</v>
      </c>
    </row>
    <row r="5993" spans="1:2" x14ac:dyDescent="0.2">
      <c r="A5993" s="170">
        <v>42622</v>
      </c>
      <c r="B5993" s="171">
        <v>2.0499999999999998</v>
      </c>
    </row>
    <row r="5994" spans="1:2" x14ac:dyDescent="0.2">
      <c r="A5994" s="170">
        <v>42625</v>
      </c>
      <c r="B5994" s="171">
        <v>2.0499999999999998</v>
      </c>
    </row>
    <row r="5995" spans="1:2" x14ac:dyDescent="0.2">
      <c r="A5995" s="170">
        <v>42626</v>
      </c>
      <c r="B5995" s="171">
        <v>2.12</v>
      </c>
    </row>
    <row r="5996" spans="1:2" x14ac:dyDescent="0.2">
      <c r="A5996" s="170">
        <v>42627</v>
      </c>
      <c r="B5996" s="171">
        <v>2.1</v>
      </c>
    </row>
    <row r="5997" spans="1:2" x14ac:dyDescent="0.2">
      <c r="A5997" s="170">
        <v>42628</v>
      </c>
      <c r="B5997" s="171">
        <v>2.13</v>
      </c>
    </row>
    <row r="5998" spans="1:2" x14ac:dyDescent="0.2">
      <c r="A5998" s="170">
        <v>42629</v>
      </c>
      <c r="B5998" s="171">
        <v>2.1</v>
      </c>
    </row>
    <row r="5999" spans="1:2" x14ac:dyDescent="0.2">
      <c r="A5999" s="170">
        <v>42632</v>
      </c>
      <c r="B5999" s="171">
        <v>2.1</v>
      </c>
    </row>
    <row r="6000" spans="1:2" x14ac:dyDescent="0.2">
      <c r="A6000" s="170">
        <v>42633</v>
      </c>
      <c r="B6000" s="171">
        <v>2.09</v>
      </c>
    </row>
    <row r="6001" spans="1:2" x14ac:dyDescent="0.2">
      <c r="A6001" s="170">
        <v>42634</v>
      </c>
      <c r="B6001" s="171">
        <v>2.06</v>
      </c>
    </row>
    <row r="6002" spans="1:2" x14ac:dyDescent="0.2">
      <c r="A6002" s="170">
        <v>42635</v>
      </c>
      <c r="B6002" s="171">
        <v>2.02</v>
      </c>
    </row>
    <row r="6003" spans="1:2" x14ac:dyDescent="0.2">
      <c r="A6003" s="170">
        <v>42636</v>
      </c>
      <c r="B6003" s="171">
        <v>2.02</v>
      </c>
    </row>
    <row r="6004" spans="1:2" x14ac:dyDescent="0.2">
      <c r="A6004" s="170">
        <v>42639</v>
      </c>
      <c r="B6004" s="171">
        <v>2</v>
      </c>
    </row>
    <row r="6005" spans="1:2" x14ac:dyDescent="0.2">
      <c r="A6005" s="170">
        <v>42640</v>
      </c>
      <c r="B6005" s="171">
        <v>1.96</v>
      </c>
    </row>
    <row r="6006" spans="1:2" x14ac:dyDescent="0.2">
      <c r="A6006" s="170">
        <v>42641</v>
      </c>
      <c r="B6006" s="171">
        <v>1.96</v>
      </c>
    </row>
    <row r="6007" spans="1:2" x14ac:dyDescent="0.2">
      <c r="A6007" s="170">
        <v>42642</v>
      </c>
      <c r="B6007" s="171">
        <v>1.95</v>
      </c>
    </row>
    <row r="6008" spans="1:2" x14ac:dyDescent="0.2">
      <c r="A6008" s="170">
        <v>42643</v>
      </c>
      <c r="B6008" s="171">
        <v>1.99</v>
      </c>
    </row>
    <row r="6009" spans="1:2" x14ac:dyDescent="0.2">
      <c r="A6009" s="170">
        <v>42646</v>
      </c>
      <c r="B6009" s="171">
        <v>2.0099999999999998</v>
      </c>
    </row>
    <row r="6010" spans="1:2" x14ac:dyDescent="0.2">
      <c r="A6010" s="170">
        <v>42647</v>
      </c>
      <c r="B6010" s="171">
        <v>2.08</v>
      </c>
    </row>
    <row r="6011" spans="1:2" x14ac:dyDescent="0.2">
      <c r="A6011" s="170">
        <v>42648</v>
      </c>
      <c r="B6011" s="171">
        <v>2.11</v>
      </c>
    </row>
    <row r="6012" spans="1:2" x14ac:dyDescent="0.2">
      <c r="A6012" s="170">
        <v>42649</v>
      </c>
      <c r="B6012" s="171">
        <v>2.14</v>
      </c>
    </row>
    <row r="6013" spans="1:2" x14ac:dyDescent="0.2">
      <c r="A6013" s="170">
        <v>42650</v>
      </c>
      <c r="B6013" s="171">
        <v>2.14</v>
      </c>
    </row>
    <row r="6014" spans="1:2" x14ac:dyDescent="0.2">
      <c r="A6014" s="170">
        <v>42653</v>
      </c>
      <c r="B6014" s="171" t="e">
        <f>NA()</f>
        <v>#N/A</v>
      </c>
    </row>
    <row r="6015" spans="1:2" x14ac:dyDescent="0.2">
      <c r="A6015" s="170">
        <v>42654</v>
      </c>
      <c r="B6015" s="171">
        <v>2.17</v>
      </c>
    </row>
    <row r="6016" spans="1:2" x14ac:dyDescent="0.2">
      <c r="A6016" s="170">
        <v>42655</v>
      </c>
      <c r="B6016" s="171">
        <v>2.19</v>
      </c>
    </row>
    <row r="6017" spans="1:2" x14ac:dyDescent="0.2">
      <c r="A6017" s="170">
        <v>42656</v>
      </c>
      <c r="B6017" s="171">
        <v>2.15</v>
      </c>
    </row>
    <row r="6018" spans="1:2" x14ac:dyDescent="0.2">
      <c r="A6018" s="170">
        <v>42657</v>
      </c>
      <c r="B6018" s="171">
        <v>2.2200000000000002</v>
      </c>
    </row>
    <row r="6019" spans="1:2" x14ac:dyDescent="0.2">
      <c r="A6019" s="170">
        <v>42660</v>
      </c>
      <c r="B6019" s="171">
        <v>2.19</v>
      </c>
    </row>
    <row r="6020" spans="1:2" x14ac:dyDescent="0.2">
      <c r="A6020" s="170">
        <v>42661</v>
      </c>
      <c r="B6020" s="171">
        <v>2.1800000000000002</v>
      </c>
    </row>
    <row r="6021" spans="1:2" x14ac:dyDescent="0.2">
      <c r="A6021" s="170">
        <v>42662</v>
      </c>
      <c r="B6021" s="171">
        <v>2.1800000000000002</v>
      </c>
    </row>
    <row r="6022" spans="1:2" x14ac:dyDescent="0.2">
      <c r="A6022" s="170">
        <v>42663</v>
      </c>
      <c r="B6022" s="171">
        <v>2.17</v>
      </c>
    </row>
    <row r="6023" spans="1:2" x14ac:dyDescent="0.2">
      <c r="A6023" s="170">
        <v>42664</v>
      </c>
      <c r="B6023" s="171">
        <v>2.15</v>
      </c>
    </row>
    <row r="6024" spans="1:2" x14ac:dyDescent="0.2">
      <c r="A6024" s="170">
        <v>42667</v>
      </c>
      <c r="B6024" s="171">
        <v>2.1800000000000002</v>
      </c>
    </row>
    <row r="6025" spans="1:2" x14ac:dyDescent="0.2">
      <c r="A6025" s="170">
        <v>42668</v>
      </c>
      <c r="B6025" s="171">
        <v>2.17</v>
      </c>
    </row>
    <row r="6026" spans="1:2" x14ac:dyDescent="0.2">
      <c r="A6026" s="170">
        <v>42669</v>
      </c>
      <c r="B6026" s="171">
        <v>2.2000000000000002</v>
      </c>
    </row>
    <row r="6027" spans="1:2" x14ac:dyDescent="0.2">
      <c r="A6027" s="170">
        <v>42670</v>
      </c>
      <c r="B6027" s="171">
        <v>2.2599999999999998</v>
      </c>
    </row>
    <row r="6028" spans="1:2" x14ac:dyDescent="0.2">
      <c r="A6028" s="170">
        <v>42671</v>
      </c>
      <c r="B6028" s="171">
        <v>2.27</v>
      </c>
    </row>
    <row r="6029" spans="1:2" x14ac:dyDescent="0.2">
      <c r="A6029" s="170">
        <v>42674</v>
      </c>
      <c r="B6029" s="171">
        <v>2.25</v>
      </c>
    </row>
    <row r="6030" spans="1:2" x14ac:dyDescent="0.2">
      <c r="A6030" s="170">
        <v>42675</v>
      </c>
      <c r="B6030" s="171">
        <v>2.2400000000000002</v>
      </c>
    </row>
    <row r="6031" spans="1:2" x14ac:dyDescent="0.2">
      <c r="A6031" s="170">
        <v>42676</v>
      </c>
      <c r="B6031" s="171">
        <v>2.2200000000000002</v>
      </c>
    </row>
    <row r="6032" spans="1:2" x14ac:dyDescent="0.2">
      <c r="A6032" s="170">
        <v>42677</v>
      </c>
      <c r="B6032" s="171">
        <v>2.25</v>
      </c>
    </row>
    <row r="6033" spans="1:2" x14ac:dyDescent="0.2">
      <c r="A6033" s="170">
        <v>42678</v>
      </c>
      <c r="B6033" s="171">
        <v>2.2200000000000002</v>
      </c>
    </row>
    <row r="6034" spans="1:2" x14ac:dyDescent="0.2">
      <c r="A6034" s="170">
        <v>42681</v>
      </c>
      <c r="B6034" s="171">
        <v>2.2599999999999998</v>
      </c>
    </row>
    <row r="6035" spans="1:2" x14ac:dyDescent="0.2">
      <c r="A6035" s="170">
        <v>42682</v>
      </c>
      <c r="B6035" s="171">
        <v>2.29</v>
      </c>
    </row>
    <row r="6036" spans="1:2" x14ac:dyDescent="0.2">
      <c r="A6036" s="170">
        <v>42683</v>
      </c>
      <c r="B6036" s="171">
        <v>2.52</v>
      </c>
    </row>
    <row r="6037" spans="1:2" x14ac:dyDescent="0.2">
      <c r="A6037" s="170">
        <v>42684</v>
      </c>
      <c r="B6037" s="171">
        <v>2.58</v>
      </c>
    </row>
    <row r="6038" spans="1:2" x14ac:dyDescent="0.2">
      <c r="A6038" s="170">
        <v>42685</v>
      </c>
      <c r="B6038" s="171" t="e">
        <f>NA()</f>
        <v>#N/A</v>
      </c>
    </row>
    <row r="6039" spans="1:2" x14ac:dyDescent="0.2">
      <c r="A6039" s="170">
        <v>42688</v>
      </c>
      <c r="B6039" s="171">
        <v>2.65</v>
      </c>
    </row>
    <row r="6040" spans="1:2" x14ac:dyDescent="0.2">
      <c r="A6040" s="170">
        <v>42689</v>
      </c>
      <c r="B6040" s="171">
        <v>2.64</v>
      </c>
    </row>
    <row r="6041" spans="1:2" x14ac:dyDescent="0.2">
      <c r="A6041" s="170">
        <v>42690</v>
      </c>
      <c r="B6041" s="171">
        <v>2.61</v>
      </c>
    </row>
    <row r="6042" spans="1:2" x14ac:dyDescent="0.2">
      <c r="A6042" s="170">
        <v>42691</v>
      </c>
      <c r="B6042" s="171">
        <v>2.69</v>
      </c>
    </row>
    <row r="6043" spans="1:2" x14ac:dyDescent="0.2">
      <c r="A6043" s="170">
        <v>42692</v>
      </c>
      <c r="B6043" s="171">
        <v>2.7</v>
      </c>
    </row>
    <row r="6044" spans="1:2" x14ac:dyDescent="0.2">
      <c r="A6044" s="170">
        <v>42695</v>
      </c>
      <c r="B6044" s="171">
        <v>2.69</v>
      </c>
    </row>
    <row r="6045" spans="1:2" x14ac:dyDescent="0.2">
      <c r="A6045" s="170">
        <v>42696</v>
      </c>
      <c r="B6045" s="171">
        <v>2.69</v>
      </c>
    </row>
    <row r="6046" spans="1:2" x14ac:dyDescent="0.2">
      <c r="A6046" s="170">
        <v>42697</v>
      </c>
      <c r="B6046" s="171">
        <v>2.71</v>
      </c>
    </row>
    <row r="6047" spans="1:2" x14ac:dyDescent="0.2">
      <c r="A6047" s="170">
        <v>42698</v>
      </c>
      <c r="B6047" s="171" t="e">
        <f>NA()</f>
        <v>#N/A</v>
      </c>
    </row>
    <row r="6048" spans="1:2" x14ac:dyDescent="0.2">
      <c r="A6048" s="170">
        <v>42699</v>
      </c>
      <c r="B6048" s="171">
        <v>2.71</v>
      </c>
    </row>
    <row r="6049" spans="1:2" x14ac:dyDescent="0.2">
      <c r="A6049" s="170">
        <v>42702</v>
      </c>
      <c r="B6049" s="171">
        <v>2.68</v>
      </c>
    </row>
    <row r="6050" spans="1:2" x14ac:dyDescent="0.2">
      <c r="A6050" s="170">
        <v>42703</v>
      </c>
      <c r="B6050" s="171">
        <v>2.66</v>
      </c>
    </row>
    <row r="6051" spans="1:2" x14ac:dyDescent="0.2">
      <c r="A6051" s="170">
        <v>42704</v>
      </c>
      <c r="B6051" s="171">
        <v>2.73</v>
      </c>
    </row>
    <row r="6052" spans="1:2" x14ac:dyDescent="0.2">
      <c r="A6052" s="170">
        <v>42705</v>
      </c>
      <c r="B6052" s="171">
        <v>2.82</v>
      </c>
    </row>
    <row r="6053" spans="1:2" x14ac:dyDescent="0.2">
      <c r="A6053" s="170">
        <v>42706</v>
      </c>
      <c r="B6053" s="171">
        <v>2.78</v>
      </c>
    </row>
    <row r="6054" spans="1:2" x14ac:dyDescent="0.2">
      <c r="A6054" s="170">
        <v>42709</v>
      </c>
      <c r="B6054" s="171">
        <v>2.76</v>
      </c>
    </row>
    <row r="6055" spans="1:2" x14ac:dyDescent="0.2">
      <c r="A6055" s="170">
        <v>42710</v>
      </c>
      <c r="B6055" s="171">
        <v>2.77</v>
      </c>
    </row>
    <row r="6056" spans="1:2" x14ac:dyDescent="0.2">
      <c r="A6056" s="170">
        <v>42711</v>
      </c>
      <c r="B6056" s="171">
        <v>2.73</v>
      </c>
    </row>
    <row r="6057" spans="1:2" x14ac:dyDescent="0.2">
      <c r="A6057" s="170">
        <v>42712</v>
      </c>
      <c r="B6057" s="171">
        <v>2.81</v>
      </c>
    </row>
    <row r="6058" spans="1:2" x14ac:dyDescent="0.2">
      <c r="A6058" s="170">
        <v>42713</v>
      </c>
      <c r="B6058" s="171">
        <v>2.87</v>
      </c>
    </row>
    <row r="6059" spans="1:2" x14ac:dyDescent="0.2">
      <c r="A6059" s="170">
        <v>42716</v>
      </c>
      <c r="B6059" s="171">
        <v>2.86</v>
      </c>
    </row>
    <row r="6060" spans="1:2" x14ac:dyDescent="0.2">
      <c r="A6060" s="170">
        <v>42717</v>
      </c>
      <c r="B6060" s="171">
        <v>2.85</v>
      </c>
    </row>
    <row r="6061" spans="1:2" x14ac:dyDescent="0.2">
      <c r="A6061" s="170">
        <v>42718</v>
      </c>
      <c r="B6061" s="171">
        <v>2.86</v>
      </c>
    </row>
    <row r="6062" spans="1:2" x14ac:dyDescent="0.2">
      <c r="A6062" s="170">
        <v>42719</v>
      </c>
      <c r="B6062" s="171">
        <v>2.89</v>
      </c>
    </row>
    <row r="6063" spans="1:2" x14ac:dyDescent="0.2">
      <c r="A6063" s="170">
        <v>42720</v>
      </c>
      <c r="B6063" s="171">
        <v>2.91</v>
      </c>
    </row>
    <row r="6064" spans="1:2" x14ac:dyDescent="0.2">
      <c r="A6064" s="170">
        <v>42723</v>
      </c>
      <c r="B6064" s="171">
        <v>2.85</v>
      </c>
    </row>
    <row r="6065" spans="1:2" x14ac:dyDescent="0.2">
      <c r="A6065" s="170">
        <v>42724</v>
      </c>
      <c r="B6065" s="171">
        <v>2.88</v>
      </c>
    </row>
    <row r="6066" spans="1:2" x14ac:dyDescent="0.2">
      <c r="A6066" s="170">
        <v>42725</v>
      </c>
      <c r="B6066" s="171">
        <v>2.86</v>
      </c>
    </row>
    <row r="6067" spans="1:2" x14ac:dyDescent="0.2">
      <c r="A6067" s="170">
        <v>42726</v>
      </c>
      <c r="B6067" s="171">
        <v>2.86</v>
      </c>
    </row>
    <row r="6068" spans="1:2" x14ac:dyDescent="0.2">
      <c r="A6068" s="170">
        <v>42727</v>
      </c>
      <c r="B6068" s="171">
        <v>2.86</v>
      </c>
    </row>
    <row r="6069" spans="1:2" x14ac:dyDescent="0.2">
      <c r="A6069" s="170">
        <v>42730</v>
      </c>
      <c r="B6069" s="171" t="e">
        <f>NA()</f>
        <v>#N/A</v>
      </c>
    </row>
    <row r="6070" spans="1:2" x14ac:dyDescent="0.2">
      <c r="A6070" s="170">
        <v>42731</v>
      </c>
      <c r="B6070" s="171">
        <v>2.88</v>
      </c>
    </row>
    <row r="6071" spans="1:2" x14ac:dyDescent="0.2">
      <c r="A6071" s="170">
        <v>42732</v>
      </c>
      <c r="B6071" s="171">
        <v>2.83</v>
      </c>
    </row>
    <row r="6072" spans="1:2" x14ac:dyDescent="0.2">
      <c r="A6072" s="170">
        <v>42733</v>
      </c>
      <c r="B6072" s="171">
        <v>2.82</v>
      </c>
    </row>
    <row r="6073" spans="1:2" x14ac:dyDescent="0.2">
      <c r="A6073" s="170">
        <v>42734</v>
      </c>
      <c r="B6073" s="171">
        <v>2.79</v>
      </c>
    </row>
    <row r="6074" spans="1:2" x14ac:dyDescent="0.2">
      <c r="A6074" s="170">
        <v>42737</v>
      </c>
      <c r="B6074" s="171" t="e">
        <f>NA()</f>
        <v>#N/A</v>
      </c>
    </row>
    <row r="6075" spans="1:2" x14ac:dyDescent="0.2">
      <c r="A6075" s="170">
        <v>42738</v>
      </c>
      <c r="B6075" s="171">
        <v>2.78</v>
      </c>
    </row>
    <row r="6076" spans="1:2" x14ac:dyDescent="0.2">
      <c r="A6076" s="170">
        <v>42739</v>
      </c>
      <c r="B6076" s="171">
        <v>2.78</v>
      </c>
    </row>
    <row r="6077" spans="1:2" x14ac:dyDescent="0.2">
      <c r="A6077" s="170">
        <v>42740</v>
      </c>
      <c r="B6077" s="171">
        <v>2.69</v>
      </c>
    </row>
    <row r="6078" spans="1:2" x14ac:dyDescent="0.2">
      <c r="A6078" s="170">
        <v>42741</v>
      </c>
      <c r="B6078" s="171">
        <v>2.73</v>
      </c>
    </row>
    <row r="6079" spans="1:2" x14ac:dyDescent="0.2">
      <c r="A6079" s="170">
        <v>42744</v>
      </c>
      <c r="B6079" s="171">
        <v>2.69</v>
      </c>
    </row>
    <row r="6080" spans="1:2" x14ac:dyDescent="0.2">
      <c r="A6080" s="170">
        <v>42745</v>
      </c>
      <c r="B6080" s="171">
        <v>2.69</v>
      </c>
    </row>
    <row r="6081" spans="1:2" x14ac:dyDescent="0.2">
      <c r="A6081" s="170">
        <v>42746</v>
      </c>
      <c r="B6081" s="171">
        <v>2.68</v>
      </c>
    </row>
    <row r="6082" spans="1:2" x14ac:dyDescent="0.2">
      <c r="A6082" s="170">
        <v>42747</v>
      </c>
      <c r="B6082" s="171">
        <v>2.68</v>
      </c>
    </row>
    <row r="6083" spans="1:2" x14ac:dyDescent="0.2">
      <c r="A6083" s="170">
        <v>42748</v>
      </c>
      <c r="B6083" s="171">
        <v>2.71</v>
      </c>
    </row>
    <row r="6084" spans="1:2" x14ac:dyDescent="0.2">
      <c r="A6084" s="170">
        <v>42751</v>
      </c>
      <c r="B6084" s="171" t="e">
        <f>NA()</f>
        <v>#N/A</v>
      </c>
    </row>
    <row r="6085" spans="1:2" x14ac:dyDescent="0.2">
      <c r="A6085" s="170">
        <v>42752</v>
      </c>
      <c r="B6085" s="171">
        <v>2.66</v>
      </c>
    </row>
    <row r="6086" spans="1:2" x14ac:dyDescent="0.2">
      <c r="A6086" s="170">
        <v>42753</v>
      </c>
      <c r="B6086" s="171">
        <v>2.74</v>
      </c>
    </row>
    <row r="6087" spans="1:2" x14ac:dyDescent="0.2">
      <c r="A6087" s="170">
        <v>42754</v>
      </c>
      <c r="B6087" s="171">
        <v>2.77</v>
      </c>
    </row>
    <row r="6088" spans="1:2" x14ac:dyDescent="0.2">
      <c r="A6088" s="170">
        <v>42755</v>
      </c>
      <c r="B6088" s="171">
        <v>2.79</v>
      </c>
    </row>
    <row r="6089" spans="1:2" x14ac:dyDescent="0.2">
      <c r="A6089" s="170">
        <v>42758</v>
      </c>
      <c r="B6089" s="171">
        <v>2.72</v>
      </c>
    </row>
    <row r="6090" spans="1:2" x14ac:dyDescent="0.2">
      <c r="A6090" s="170">
        <v>42759</v>
      </c>
      <c r="B6090" s="171">
        <v>2.78</v>
      </c>
    </row>
    <row r="6091" spans="1:2" x14ac:dyDescent="0.2">
      <c r="A6091" s="170">
        <v>42760</v>
      </c>
      <c r="B6091" s="171">
        <v>2.84</v>
      </c>
    </row>
    <row r="6092" spans="1:2" x14ac:dyDescent="0.2">
      <c r="A6092" s="170">
        <v>42761</v>
      </c>
      <c r="B6092" s="171">
        <v>2.82</v>
      </c>
    </row>
    <row r="6093" spans="1:2" x14ac:dyDescent="0.2">
      <c r="A6093" s="170">
        <v>42762</v>
      </c>
      <c r="B6093" s="171">
        <v>2.8</v>
      </c>
    </row>
    <row r="6094" spans="1:2" x14ac:dyDescent="0.2">
      <c r="A6094" s="170">
        <v>42765</v>
      </c>
      <c r="B6094" s="171">
        <v>2.82</v>
      </c>
    </row>
    <row r="6095" spans="1:2" x14ac:dyDescent="0.2">
      <c r="A6095" s="170">
        <v>42766</v>
      </c>
      <c r="B6095" s="171">
        <v>2.78</v>
      </c>
    </row>
    <row r="6096" spans="1:2" x14ac:dyDescent="0.2">
      <c r="A6096" s="170">
        <v>42767</v>
      </c>
      <c r="B6096" s="171">
        <v>2.8</v>
      </c>
    </row>
    <row r="6097" spans="1:2" x14ac:dyDescent="0.2">
      <c r="A6097" s="170">
        <v>42768</v>
      </c>
      <c r="B6097" s="171">
        <v>2.8</v>
      </c>
    </row>
    <row r="6098" spans="1:2" x14ac:dyDescent="0.2">
      <c r="A6098" s="170">
        <v>42769</v>
      </c>
      <c r="B6098" s="171">
        <v>2.82</v>
      </c>
    </row>
    <row r="6099" spans="1:2" x14ac:dyDescent="0.2">
      <c r="A6099" s="170">
        <v>42772</v>
      </c>
      <c r="B6099" s="171">
        <v>2.76</v>
      </c>
    </row>
    <row r="6100" spans="1:2" x14ac:dyDescent="0.2">
      <c r="A6100" s="170">
        <v>42773</v>
      </c>
      <c r="B6100" s="171">
        <v>2.74</v>
      </c>
    </row>
    <row r="6101" spans="1:2" x14ac:dyDescent="0.2">
      <c r="A6101" s="170">
        <v>42774</v>
      </c>
      <c r="B6101" s="171">
        <v>2.68</v>
      </c>
    </row>
    <row r="6102" spans="1:2" x14ac:dyDescent="0.2">
      <c r="A6102" s="170">
        <v>42775</v>
      </c>
      <c r="B6102" s="171">
        <v>2.74</v>
      </c>
    </row>
    <row r="6103" spans="1:2" x14ac:dyDescent="0.2">
      <c r="A6103" s="170">
        <v>42776</v>
      </c>
      <c r="B6103" s="171">
        <v>2.75</v>
      </c>
    </row>
    <row r="6104" spans="1:2" x14ac:dyDescent="0.2">
      <c r="A6104" s="170">
        <v>42779</v>
      </c>
      <c r="B6104" s="171">
        <v>2.77</v>
      </c>
    </row>
    <row r="6105" spans="1:2" x14ac:dyDescent="0.2">
      <c r="A6105" s="170">
        <v>42780</v>
      </c>
      <c r="B6105" s="171">
        <v>2.81</v>
      </c>
    </row>
    <row r="6106" spans="1:2" x14ac:dyDescent="0.2">
      <c r="A6106" s="170">
        <v>42781</v>
      </c>
      <c r="B6106" s="171">
        <v>2.84</v>
      </c>
    </row>
    <row r="6107" spans="1:2" x14ac:dyDescent="0.2">
      <c r="A6107" s="170">
        <v>42782</v>
      </c>
      <c r="B6107" s="171">
        <v>2.8</v>
      </c>
    </row>
    <row r="6108" spans="1:2" x14ac:dyDescent="0.2">
      <c r="A6108" s="170">
        <v>42783</v>
      </c>
      <c r="B6108" s="171">
        <v>2.78</v>
      </c>
    </row>
    <row r="6109" spans="1:2" x14ac:dyDescent="0.2">
      <c r="A6109" s="170">
        <v>42786</v>
      </c>
      <c r="B6109" s="171" t="e">
        <f>NA()</f>
        <v>#N/A</v>
      </c>
    </row>
    <row r="6110" spans="1:2" x14ac:dyDescent="0.2">
      <c r="A6110" s="170">
        <v>42787</v>
      </c>
      <c r="B6110" s="171">
        <v>2.78</v>
      </c>
    </row>
    <row r="6111" spans="1:2" x14ac:dyDescent="0.2">
      <c r="A6111" s="170">
        <v>42788</v>
      </c>
      <c r="B6111" s="171">
        <v>2.78</v>
      </c>
    </row>
    <row r="6112" spans="1:2" x14ac:dyDescent="0.2">
      <c r="A6112" s="170">
        <v>42789</v>
      </c>
      <c r="B6112" s="171">
        <v>2.75</v>
      </c>
    </row>
    <row r="6113" spans="1:2" x14ac:dyDescent="0.2">
      <c r="A6113" s="170">
        <v>42790</v>
      </c>
      <c r="B6113" s="171">
        <v>2.69</v>
      </c>
    </row>
    <row r="6114" spans="1:2" x14ac:dyDescent="0.2">
      <c r="A6114" s="170">
        <v>42793</v>
      </c>
      <c r="B6114" s="171">
        <v>2.72</v>
      </c>
    </row>
    <row r="6115" spans="1:2" x14ac:dyDescent="0.2">
      <c r="A6115" s="170">
        <v>42794</v>
      </c>
      <c r="B6115" s="171">
        <v>2.7</v>
      </c>
    </row>
    <row r="6116" spans="1:2" x14ac:dyDescent="0.2">
      <c r="A6116" s="170">
        <v>42795</v>
      </c>
      <c r="B6116" s="171">
        <v>2.81</v>
      </c>
    </row>
    <row r="6117" spans="1:2" x14ac:dyDescent="0.2">
      <c r="A6117" s="170">
        <v>42796</v>
      </c>
      <c r="B6117" s="171">
        <v>2.84</v>
      </c>
    </row>
    <row r="6118" spans="1:2" x14ac:dyDescent="0.2">
      <c r="A6118" s="170">
        <v>42797</v>
      </c>
      <c r="B6118" s="171">
        <v>2.83</v>
      </c>
    </row>
    <row r="6119" spans="1:2" x14ac:dyDescent="0.2">
      <c r="A6119" s="170">
        <v>42800</v>
      </c>
      <c r="B6119" s="171">
        <v>2.84</v>
      </c>
    </row>
    <row r="6120" spans="1:2" x14ac:dyDescent="0.2">
      <c r="A6120" s="170">
        <v>42801</v>
      </c>
      <c r="B6120" s="171">
        <v>2.85</v>
      </c>
    </row>
    <row r="6121" spans="1:2" x14ac:dyDescent="0.2">
      <c r="A6121" s="170">
        <v>42802</v>
      </c>
      <c r="B6121" s="171">
        <v>2.89</v>
      </c>
    </row>
    <row r="6122" spans="1:2" x14ac:dyDescent="0.2">
      <c r="A6122" s="170">
        <v>42803</v>
      </c>
      <c r="B6122" s="171">
        <v>2.94</v>
      </c>
    </row>
    <row r="6123" spans="1:2" x14ac:dyDescent="0.2">
      <c r="A6123" s="170">
        <v>42804</v>
      </c>
      <c r="B6123" s="171">
        <v>2.94</v>
      </c>
    </row>
    <row r="6124" spans="1:2" x14ac:dyDescent="0.2">
      <c r="A6124" s="170">
        <v>42807</v>
      </c>
      <c r="B6124" s="171">
        <v>2.97</v>
      </c>
    </row>
    <row r="6125" spans="1:2" x14ac:dyDescent="0.2">
      <c r="A6125" s="170">
        <v>42808</v>
      </c>
      <c r="B6125" s="171">
        <v>2.94</v>
      </c>
    </row>
    <row r="6126" spans="1:2" x14ac:dyDescent="0.2">
      <c r="A6126" s="170">
        <v>42809</v>
      </c>
      <c r="B6126" s="171">
        <v>2.87</v>
      </c>
    </row>
    <row r="6127" spans="1:2" x14ac:dyDescent="0.2">
      <c r="A6127" s="170">
        <v>42810</v>
      </c>
      <c r="B6127" s="171">
        <v>2.89</v>
      </c>
    </row>
    <row r="6128" spans="1:2" x14ac:dyDescent="0.2">
      <c r="A6128" s="170">
        <v>42811</v>
      </c>
      <c r="B6128" s="171">
        <v>2.86</v>
      </c>
    </row>
    <row r="6129" spans="1:2" x14ac:dyDescent="0.2">
      <c r="A6129" s="170">
        <v>42814</v>
      </c>
      <c r="B6129" s="171">
        <v>2.83</v>
      </c>
    </row>
    <row r="6130" spans="1:2" x14ac:dyDescent="0.2">
      <c r="A6130" s="170">
        <v>42815</v>
      </c>
      <c r="B6130" s="171">
        <v>2.79</v>
      </c>
    </row>
    <row r="6131" spans="1:2" x14ac:dyDescent="0.2">
      <c r="A6131" s="170">
        <v>42816</v>
      </c>
      <c r="B6131" s="171">
        <v>2.76</v>
      </c>
    </row>
    <row r="6132" spans="1:2" x14ac:dyDescent="0.2">
      <c r="A6132" s="170">
        <v>42817</v>
      </c>
      <c r="B6132" s="171">
        <v>2.76</v>
      </c>
    </row>
    <row r="6133" spans="1:2" x14ac:dyDescent="0.2">
      <c r="A6133" s="170">
        <v>42818</v>
      </c>
      <c r="B6133" s="171">
        <v>2.74</v>
      </c>
    </row>
    <row r="6134" spans="1:2" x14ac:dyDescent="0.2">
      <c r="A6134" s="170">
        <v>42821</v>
      </c>
      <c r="B6134" s="171">
        <v>2.73</v>
      </c>
    </row>
    <row r="6135" spans="1:2" x14ac:dyDescent="0.2">
      <c r="A6135" s="170">
        <v>42822</v>
      </c>
      <c r="B6135" s="171">
        <v>2.77</v>
      </c>
    </row>
    <row r="6136" spans="1:2" x14ac:dyDescent="0.2">
      <c r="A6136" s="170">
        <v>42823</v>
      </c>
      <c r="B6136" s="171">
        <v>2.74</v>
      </c>
    </row>
    <row r="6137" spans="1:2" x14ac:dyDescent="0.2">
      <c r="A6137" s="170">
        <v>42824</v>
      </c>
      <c r="B6137" s="171">
        <v>2.78</v>
      </c>
    </row>
    <row r="6138" spans="1:2" x14ac:dyDescent="0.2">
      <c r="A6138" s="170">
        <v>42825</v>
      </c>
      <c r="B6138" s="171">
        <v>2.76</v>
      </c>
    </row>
    <row r="6139" spans="1:2" x14ac:dyDescent="0.2">
      <c r="A6139" s="170">
        <v>42828</v>
      </c>
      <c r="B6139" s="171">
        <v>2.71</v>
      </c>
    </row>
    <row r="6140" spans="1:2" x14ac:dyDescent="0.2">
      <c r="A6140" s="170">
        <v>42829</v>
      </c>
      <c r="B6140" s="171">
        <v>2.72</v>
      </c>
    </row>
    <row r="6141" spans="1:2" x14ac:dyDescent="0.2">
      <c r="A6141" s="170">
        <v>42830</v>
      </c>
      <c r="B6141" s="171">
        <v>2.71</v>
      </c>
    </row>
    <row r="6142" spans="1:2" x14ac:dyDescent="0.2">
      <c r="A6142" s="170">
        <v>42831</v>
      </c>
      <c r="B6142" s="171">
        <v>2.72</v>
      </c>
    </row>
    <row r="6143" spans="1:2" x14ac:dyDescent="0.2">
      <c r="A6143" s="170">
        <v>42832</v>
      </c>
      <c r="B6143" s="171">
        <v>2.74</v>
      </c>
    </row>
    <row r="6144" spans="1:2" x14ac:dyDescent="0.2">
      <c r="A6144" s="170">
        <v>42835</v>
      </c>
      <c r="B6144" s="171">
        <v>2.72</v>
      </c>
    </row>
    <row r="6145" spans="1:2" x14ac:dyDescent="0.2">
      <c r="A6145" s="170">
        <v>42836</v>
      </c>
      <c r="B6145" s="171">
        <v>2.67</v>
      </c>
    </row>
    <row r="6146" spans="1:2" x14ac:dyDescent="0.2">
      <c r="A6146" s="170">
        <v>42837</v>
      </c>
      <c r="B6146" s="171">
        <v>2.65</v>
      </c>
    </row>
    <row r="6147" spans="1:2" x14ac:dyDescent="0.2">
      <c r="A6147" s="170">
        <v>42838</v>
      </c>
      <c r="B6147" s="171">
        <v>2.62</v>
      </c>
    </row>
    <row r="6148" spans="1:2" x14ac:dyDescent="0.2">
      <c r="A6148" s="170">
        <v>42839</v>
      </c>
      <c r="B6148" s="171" t="e">
        <f>NA()</f>
        <v>#N/A</v>
      </c>
    </row>
    <row r="6149" spans="1:2" x14ac:dyDescent="0.2">
      <c r="A6149" s="170">
        <v>42842</v>
      </c>
      <c r="B6149" s="171">
        <v>2.65</v>
      </c>
    </row>
    <row r="6150" spans="1:2" x14ac:dyDescent="0.2">
      <c r="A6150" s="170">
        <v>42843</v>
      </c>
      <c r="B6150" s="171">
        <v>2.56</v>
      </c>
    </row>
    <row r="6151" spans="1:2" x14ac:dyDescent="0.2">
      <c r="A6151" s="170">
        <v>42844</v>
      </c>
      <c r="B6151" s="171">
        <v>2.59</v>
      </c>
    </row>
    <row r="6152" spans="1:2" x14ac:dyDescent="0.2">
      <c r="A6152" s="170">
        <v>42845</v>
      </c>
      <c r="B6152" s="171">
        <v>2.61</v>
      </c>
    </row>
    <row r="6153" spans="1:2" x14ac:dyDescent="0.2">
      <c r="A6153" s="170">
        <v>42846</v>
      </c>
      <c r="B6153" s="171">
        <v>2.61</v>
      </c>
    </row>
    <row r="6154" spans="1:2" x14ac:dyDescent="0.2">
      <c r="A6154" s="170">
        <v>42849</v>
      </c>
      <c r="B6154" s="171">
        <v>2.65</v>
      </c>
    </row>
    <row r="6155" spans="1:2" x14ac:dyDescent="0.2">
      <c r="A6155" s="170">
        <v>42850</v>
      </c>
      <c r="B6155" s="171">
        <v>2.71</v>
      </c>
    </row>
    <row r="6156" spans="1:2" x14ac:dyDescent="0.2">
      <c r="A6156" s="170">
        <v>42851</v>
      </c>
      <c r="B6156" s="171">
        <v>2.69</v>
      </c>
    </row>
    <row r="6157" spans="1:2" x14ac:dyDescent="0.2">
      <c r="A6157" s="170">
        <v>42852</v>
      </c>
      <c r="B6157" s="171">
        <v>2.68</v>
      </c>
    </row>
    <row r="6158" spans="1:2" x14ac:dyDescent="0.2">
      <c r="A6158" s="170">
        <v>42853</v>
      </c>
      <c r="B6158" s="171">
        <v>2.67</v>
      </c>
    </row>
    <row r="6159" spans="1:2" x14ac:dyDescent="0.2">
      <c r="A6159" s="170">
        <v>42856</v>
      </c>
      <c r="B6159" s="171">
        <v>2.71</v>
      </c>
    </row>
    <row r="6160" spans="1:2" x14ac:dyDescent="0.2">
      <c r="A6160" s="170">
        <v>42857</v>
      </c>
      <c r="B6160" s="171">
        <v>2.68</v>
      </c>
    </row>
    <row r="6161" spans="1:2" x14ac:dyDescent="0.2">
      <c r="A6161" s="170">
        <v>42858</v>
      </c>
      <c r="B6161" s="171">
        <v>2.7</v>
      </c>
    </row>
    <row r="6162" spans="1:2" x14ac:dyDescent="0.2">
      <c r="A6162" s="170">
        <v>42859</v>
      </c>
      <c r="B6162" s="171">
        <v>2.73</v>
      </c>
    </row>
    <row r="6163" spans="1:2" x14ac:dyDescent="0.2">
      <c r="A6163" s="170">
        <v>42860</v>
      </c>
      <c r="B6163" s="171">
        <v>2.73</v>
      </c>
    </row>
    <row r="6164" spans="1:2" x14ac:dyDescent="0.2">
      <c r="A6164" s="170">
        <v>42863</v>
      </c>
      <c r="B6164" s="171">
        <v>2.76</v>
      </c>
    </row>
    <row r="6165" spans="1:2" x14ac:dyDescent="0.2">
      <c r="A6165" s="170">
        <v>42864</v>
      </c>
      <c r="B6165" s="171">
        <v>2.79</v>
      </c>
    </row>
    <row r="6166" spans="1:2" x14ac:dyDescent="0.2">
      <c r="A6166" s="170">
        <v>42865</v>
      </c>
      <c r="B6166" s="171">
        <v>2.79</v>
      </c>
    </row>
    <row r="6167" spans="1:2" x14ac:dyDescent="0.2">
      <c r="A6167" s="170">
        <v>42866</v>
      </c>
      <c r="B6167" s="171">
        <v>2.78</v>
      </c>
    </row>
    <row r="6168" spans="1:2" x14ac:dyDescent="0.2">
      <c r="A6168" s="170">
        <v>42867</v>
      </c>
      <c r="B6168" s="171">
        <v>2.74</v>
      </c>
    </row>
    <row r="6169" spans="1:2" x14ac:dyDescent="0.2">
      <c r="A6169" s="170">
        <v>42870</v>
      </c>
      <c r="B6169" s="171">
        <v>2.76</v>
      </c>
    </row>
    <row r="6170" spans="1:2" x14ac:dyDescent="0.2">
      <c r="A6170" s="170">
        <v>42871</v>
      </c>
      <c r="B6170" s="171">
        <v>2.74</v>
      </c>
    </row>
    <row r="6171" spans="1:2" x14ac:dyDescent="0.2">
      <c r="A6171" s="170">
        <v>42872</v>
      </c>
      <c r="B6171" s="171">
        <v>2.65</v>
      </c>
    </row>
    <row r="6172" spans="1:2" x14ac:dyDescent="0.2">
      <c r="A6172" s="170">
        <v>42873</v>
      </c>
      <c r="B6172" s="171">
        <v>2.64</v>
      </c>
    </row>
    <row r="6173" spans="1:2" x14ac:dyDescent="0.2">
      <c r="A6173" s="170">
        <v>42874</v>
      </c>
      <c r="B6173" s="171">
        <v>2.63</v>
      </c>
    </row>
    <row r="6174" spans="1:2" x14ac:dyDescent="0.2">
      <c r="A6174" s="170">
        <v>42877</v>
      </c>
      <c r="B6174" s="171">
        <v>2.64</v>
      </c>
    </row>
    <row r="6175" spans="1:2" x14ac:dyDescent="0.2">
      <c r="A6175" s="170">
        <v>42878</v>
      </c>
      <c r="B6175" s="171">
        <v>2.68</v>
      </c>
    </row>
    <row r="6176" spans="1:2" x14ac:dyDescent="0.2">
      <c r="A6176" s="170">
        <v>42879</v>
      </c>
      <c r="B6176" s="171">
        <v>2.65</v>
      </c>
    </row>
    <row r="6177" spans="1:2" x14ac:dyDescent="0.2">
      <c r="A6177" s="170">
        <v>42880</v>
      </c>
      <c r="B6177" s="171">
        <v>2.65</v>
      </c>
    </row>
    <row r="6178" spans="1:2" x14ac:dyDescent="0.2">
      <c r="A6178" s="170">
        <v>42881</v>
      </c>
      <c r="B6178" s="171">
        <v>2.65</v>
      </c>
    </row>
    <row r="6179" spans="1:2" x14ac:dyDescent="0.2">
      <c r="A6179" s="170">
        <v>42884</v>
      </c>
      <c r="B6179" s="171" t="e">
        <f>NA()</f>
        <v>#N/A</v>
      </c>
    </row>
    <row r="6180" spans="1:2" x14ac:dyDescent="0.2">
      <c r="A6180" s="170">
        <v>42885</v>
      </c>
      <c r="B6180" s="171">
        <v>2.61</v>
      </c>
    </row>
    <row r="6181" spans="1:2" x14ac:dyDescent="0.2">
      <c r="A6181" s="170">
        <v>42886</v>
      </c>
      <c r="B6181" s="171">
        <v>2.6</v>
      </c>
    </row>
    <row r="6182" spans="1:2" x14ac:dyDescent="0.2">
      <c r="A6182" s="170">
        <v>42887</v>
      </c>
      <c r="B6182" s="171">
        <v>2.6</v>
      </c>
    </row>
    <row r="6183" spans="1:2" x14ac:dyDescent="0.2">
      <c r="A6183" s="170">
        <v>42888</v>
      </c>
      <c r="B6183" s="171">
        <v>2.5299999999999998</v>
      </c>
    </row>
    <row r="6184" spans="1:2" x14ac:dyDescent="0.2">
      <c r="A6184" s="170">
        <v>42891</v>
      </c>
      <c r="B6184" s="171">
        <v>2.56</v>
      </c>
    </row>
    <row r="6185" spans="1:2" x14ac:dyDescent="0.2">
      <c r="A6185" s="170">
        <v>42892</v>
      </c>
      <c r="B6185" s="171">
        <v>2.5299999999999998</v>
      </c>
    </row>
    <row r="6186" spans="1:2" x14ac:dyDescent="0.2">
      <c r="A6186" s="170">
        <v>42893</v>
      </c>
      <c r="B6186" s="171">
        <v>2.56</v>
      </c>
    </row>
    <row r="6187" spans="1:2" x14ac:dyDescent="0.2">
      <c r="A6187" s="170">
        <v>42894</v>
      </c>
      <c r="B6187" s="171">
        <v>2.57</v>
      </c>
    </row>
    <row r="6188" spans="1:2" x14ac:dyDescent="0.2">
      <c r="A6188" s="170">
        <v>42895</v>
      </c>
      <c r="B6188" s="171">
        <v>2.59</v>
      </c>
    </row>
    <row r="6189" spans="1:2" x14ac:dyDescent="0.2">
      <c r="A6189" s="170">
        <v>42898</v>
      </c>
      <c r="B6189" s="171">
        <v>2.59</v>
      </c>
    </row>
    <row r="6190" spans="1:2" x14ac:dyDescent="0.2">
      <c r="A6190" s="170">
        <v>42899</v>
      </c>
      <c r="B6190" s="171">
        <v>2.6</v>
      </c>
    </row>
    <row r="6191" spans="1:2" x14ac:dyDescent="0.2">
      <c r="A6191" s="170">
        <v>42900</v>
      </c>
      <c r="B6191" s="171">
        <v>2.5299999999999998</v>
      </c>
    </row>
    <row r="6192" spans="1:2" x14ac:dyDescent="0.2">
      <c r="A6192" s="170">
        <v>42901</v>
      </c>
      <c r="B6192" s="171">
        <v>2.52</v>
      </c>
    </row>
    <row r="6193" spans="1:2" x14ac:dyDescent="0.2">
      <c r="A6193" s="170">
        <v>42902</v>
      </c>
      <c r="B6193" s="171">
        <v>2.52</v>
      </c>
    </row>
    <row r="6194" spans="1:2" x14ac:dyDescent="0.2">
      <c r="A6194" s="170">
        <v>42905</v>
      </c>
      <c r="B6194" s="171">
        <v>2.5299999999999998</v>
      </c>
    </row>
    <row r="6195" spans="1:2" x14ac:dyDescent="0.2">
      <c r="A6195" s="170">
        <v>42906</v>
      </c>
      <c r="B6195" s="171">
        <v>2.4900000000000002</v>
      </c>
    </row>
    <row r="6196" spans="1:2" x14ac:dyDescent="0.2">
      <c r="A6196" s="170">
        <v>42907</v>
      </c>
      <c r="B6196" s="171">
        <v>2.48</v>
      </c>
    </row>
    <row r="6197" spans="1:2" x14ac:dyDescent="0.2">
      <c r="A6197" s="170">
        <v>42908</v>
      </c>
      <c r="B6197" s="171">
        <v>2.4700000000000002</v>
      </c>
    </row>
    <row r="6198" spans="1:2" x14ac:dyDescent="0.2">
      <c r="A6198" s="170">
        <v>42909</v>
      </c>
      <c r="B6198" s="171">
        <v>2.48</v>
      </c>
    </row>
    <row r="6199" spans="1:2" x14ac:dyDescent="0.2">
      <c r="A6199" s="170">
        <v>42912</v>
      </c>
      <c r="B6199" s="171">
        <v>2.46</v>
      </c>
    </row>
    <row r="6200" spans="1:2" x14ac:dyDescent="0.2">
      <c r="A6200" s="170">
        <v>42913</v>
      </c>
      <c r="B6200" s="171">
        <v>2.52</v>
      </c>
    </row>
    <row r="6201" spans="1:2" x14ac:dyDescent="0.2">
      <c r="A6201" s="170">
        <v>42914</v>
      </c>
      <c r="B6201" s="171">
        <v>2.5499999999999998</v>
      </c>
    </row>
    <row r="6202" spans="1:2" x14ac:dyDescent="0.2">
      <c r="A6202" s="170">
        <v>42915</v>
      </c>
      <c r="B6202" s="171">
        <v>2.59</v>
      </c>
    </row>
    <row r="6203" spans="1:2" x14ac:dyDescent="0.2">
      <c r="A6203" s="170">
        <v>42916</v>
      </c>
      <c r="B6203" s="171">
        <v>2.61</v>
      </c>
    </row>
    <row r="6204" spans="1:2" x14ac:dyDescent="0.2">
      <c r="A6204" s="170">
        <v>42919</v>
      </c>
      <c r="B6204" s="171">
        <v>2.65</v>
      </c>
    </row>
    <row r="6205" spans="1:2" x14ac:dyDescent="0.2">
      <c r="A6205" s="170">
        <v>42920</v>
      </c>
      <c r="B6205" s="171" t="e">
        <f>NA()</f>
        <v>#N/A</v>
      </c>
    </row>
    <row r="6206" spans="1:2" x14ac:dyDescent="0.2">
      <c r="A6206" s="170">
        <v>42921</v>
      </c>
      <c r="B6206" s="171">
        <v>2.63</v>
      </c>
    </row>
    <row r="6207" spans="1:2" x14ac:dyDescent="0.2">
      <c r="A6207" s="170">
        <v>42922</v>
      </c>
      <c r="B6207" s="171">
        <v>2.68</v>
      </c>
    </row>
    <row r="6208" spans="1:2" x14ac:dyDescent="0.2">
      <c r="A6208" s="170">
        <v>42923</v>
      </c>
      <c r="B6208" s="171">
        <v>2.71</v>
      </c>
    </row>
    <row r="6209" spans="1:2" x14ac:dyDescent="0.2">
      <c r="A6209" s="170">
        <v>42926</v>
      </c>
      <c r="B6209" s="171">
        <v>2.7</v>
      </c>
    </row>
    <row r="6210" spans="1:2" x14ac:dyDescent="0.2">
      <c r="A6210" s="170">
        <v>42927</v>
      </c>
      <c r="B6210" s="171">
        <v>2.69</v>
      </c>
    </row>
    <row r="6211" spans="1:2" x14ac:dyDescent="0.2">
      <c r="A6211" s="170">
        <v>42928</v>
      </c>
      <c r="B6211" s="171">
        <v>2.65</v>
      </c>
    </row>
    <row r="6212" spans="1:2" x14ac:dyDescent="0.2">
      <c r="A6212" s="170">
        <v>42929</v>
      </c>
      <c r="B6212" s="171">
        <v>2.69</v>
      </c>
    </row>
    <row r="6213" spans="1:2" x14ac:dyDescent="0.2">
      <c r="A6213" s="170">
        <v>42930</v>
      </c>
      <c r="B6213" s="171">
        <v>2.67</v>
      </c>
    </row>
    <row r="6214" spans="1:2" x14ac:dyDescent="0.2">
      <c r="A6214" s="170">
        <v>42933</v>
      </c>
      <c r="B6214" s="171">
        <v>2.65</v>
      </c>
    </row>
    <row r="6215" spans="1:2" x14ac:dyDescent="0.2">
      <c r="A6215" s="170">
        <v>42934</v>
      </c>
      <c r="B6215" s="171">
        <v>2.61</v>
      </c>
    </row>
    <row r="6216" spans="1:2" x14ac:dyDescent="0.2">
      <c r="A6216" s="170">
        <v>42935</v>
      </c>
      <c r="B6216" s="171">
        <v>2.61</v>
      </c>
    </row>
    <row r="6217" spans="1:2" x14ac:dyDescent="0.2">
      <c r="A6217" s="170">
        <v>42936</v>
      </c>
      <c r="B6217" s="171">
        <v>2.6</v>
      </c>
    </row>
    <row r="6218" spans="1:2" x14ac:dyDescent="0.2">
      <c r="A6218" s="170">
        <v>42937</v>
      </c>
      <c r="B6218" s="171">
        <v>2.57</v>
      </c>
    </row>
    <row r="6219" spans="1:2" x14ac:dyDescent="0.2">
      <c r="A6219" s="170">
        <v>42940</v>
      </c>
      <c r="B6219" s="171">
        <v>2.59</v>
      </c>
    </row>
    <row r="6220" spans="1:2" x14ac:dyDescent="0.2">
      <c r="A6220" s="170">
        <v>42941</v>
      </c>
      <c r="B6220" s="171">
        <v>2.67</v>
      </c>
    </row>
    <row r="6221" spans="1:2" x14ac:dyDescent="0.2">
      <c r="A6221" s="170">
        <v>42942</v>
      </c>
      <c r="B6221" s="171">
        <v>2.65</v>
      </c>
    </row>
    <row r="6222" spans="1:2" x14ac:dyDescent="0.2">
      <c r="A6222" s="170">
        <v>42943</v>
      </c>
      <c r="B6222" s="171">
        <v>2.68</v>
      </c>
    </row>
    <row r="6223" spans="1:2" x14ac:dyDescent="0.2">
      <c r="A6223" s="170">
        <v>42944</v>
      </c>
      <c r="B6223" s="171">
        <v>2.65</v>
      </c>
    </row>
    <row r="6224" spans="1:2" x14ac:dyDescent="0.2">
      <c r="A6224" s="170">
        <v>42947</v>
      </c>
      <c r="B6224" s="171">
        <v>2.66</v>
      </c>
    </row>
    <row r="6225" spans="1:2" x14ac:dyDescent="0.2">
      <c r="A6225" s="170">
        <v>42948</v>
      </c>
      <c r="B6225" s="171">
        <v>2.61</v>
      </c>
    </row>
    <row r="6226" spans="1:2" x14ac:dyDescent="0.2">
      <c r="A6226" s="170">
        <v>42949</v>
      </c>
      <c r="B6226" s="171">
        <v>2.6</v>
      </c>
    </row>
    <row r="6227" spans="1:2" x14ac:dyDescent="0.2">
      <c r="A6227" s="170">
        <v>42950</v>
      </c>
      <c r="B6227" s="171">
        <v>2.56</v>
      </c>
    </row>
    <row r="6228" spans="1:2" x14ac:dyDescent="0.2">
      <c r="A6228" s="170">
        <v>42951</v>
      </c>
      <c r="B6228" s="171">
        <v>2.61</v>
      </c>
    </row>
    <row r="6229" spans="1:2" x14ac:dyDescent="0.2">
      <c r="A6229" s="170">
        <v>42954</v>
      </c>
      <c r="B6229" s="171">
        <v>2.6</v>
      </c>
    </row>
    <row r="6230" spans="1:2" x14ac:dyDescent="0.2">
      <c r="A6230" s="170">
        <v>42955</v>
      </c>
      <c r="B6230" s="171">
        <v>2.63</v>
      </c>
    </row>
    <row r="6231" spans="1:2" x14ac:dyDescent="0.2">
      <c r="A6231" s="170">
        <v>42956</v>
      </c>
      <c r="B6231" s="171">
        <v>2.59</v>
      </c>
    </row>
    <row r="6232" spans="1:2" x14ac:dyDescent="0.2">
      <c r="A6232" s="170">
        <v>42957</v>
      </c>
      <c r="B6232" s="171">
        <v>2.5499999999999998</v>
      </c>
    </row>
    <row r="6233" spans="1:2" x14ac:dyDescent="0.2">
      <c r="A6233" s="170">
        <v>42958</v>
      </c>
      <c r="B6233" s="171">
        <v>2.5499999999999998</v>
      </c>
    </row>
    <row r="6234" spans="1:2" x14ac:dyDescent="0.2">
      <c r="A6234" s="170">
        <v>42961</v>
      </c>
      <c r="B6234" s="171">
        <v>2.57</v>
      </c>
    </row>
    <row r="6235" spans="1:2" x14ac:dyDescent="0.2">
      <c r="A6235" s="170">
        <v>42962</v>
      </c>
      <c r="B6235" s="171">
        <v>2.6</v>
      </c>
    </row>
    <row r="6236" spans="1:2" x14ac:dyDescent="0.2">
      <c r="A6236" s="170">
        <v>42963</v>
      </c>
      <c r="B6236" s="171">
        <v>2.58</v>
      </c>
    </row>
    <row r="6237" spans="1:2" x14ac:dyDescent="0.2">
      <c r="A6237" s="170">
        <v>42964</v>
      </c>
      <c r="B6237" s="171">
        <v>2.54</v>
      </c>
    </row>
    <row r="6238" spans="1:2" x14ac:dyDescent="0.2">
      <c r="A6238" s="170">
        <v>42965</v>
      </c>
      <c r="B6238" s="171">
        <v>2.54</v>
      </c>
    </row>
    <row r="6239" spans="1:2" x14ac:dyDescent="0.2">
      <c r="A6239" s="170">
        <v>42968</v>
      </c>
      <c r="B6239" s="171">
        <v>2.52</v>
      </c>
    </row>
    <row r="6240" spans="1:2" x14ac:dyDescent="0.2">
      <c r="A6240" s="170">
        <v>42969</v>
      </c>
      <c r="B6240" s="171">
        <v>2.5499999999999998</v>
      </c>
    </row>
    <row r="6241" spans="1:2" x14ac:dyDescent="0.2">
      <c r="A6241" s="170">
        <v>42970</v>
      </c>
      <c r="B6241" s="171">
        <v>2.5099999999999998</v>
      </c>
    </row>
    <row r="6242" spans="1:2" x14ac:dyDescent="0.2">
      <c r="A6242" s="170">
        <v>42971</v>
      </c>
      <c r="B6242" s="171">
        <v>2.5299999999999998</v>
      </c>
    </row>
    <row r="6243" spans="1:2" x14ac:dyDescent="0.2">
      <c r="A6243" s="170">
        <v>42972</v>
      </c>
      <c r="B6243" s="171">
        <v>2.5099999999999998</v>
      </c>
    </row>
    <row r="6244" spans="1:2" x14ac:dyDescent="0.2">
      <c r="A6244" s="170">
        <v>42975</v>
      </c>
      <c r="B6244" s="171">
        <v>2.5099999999999998</v>
      </c>
    </row>
    <row r="6245" spans="1:2" x14ac:dyDescent="0.2">
      <c r="A6245" s="170">
        <v>42976</v>
      </c>
      <c r="B6245" s="171">
        <v>2.48</v>
      </c>
    </row>
    <row r="6246" spans="1:2" x14ac:dyDescent="0.2">
      <c r="A6246" s="170">
        <v>42977</v>
      </c>
      <c r="B6246" s="171">
        <v>2.4900000000000002</v>
      </c>
    </row>
    <row r="6247" spans="1:2" x14ac:dyDescent="0.2">
      <c r="A6247" s="170">
        <v>42978</v>
      </c>
      <c r="B6247" s="171">
        <v>2.4700000000000002</v>
      </c>
    </row>
    <row r="6248" spans="1:2" x14ac:dyDescent="0.2">
      <c r="A6248" s="170">
        <v>42979</v>
      </c>
      <c r="B6248" s="171">
        <v>2.5099999999999998</v>
      </c>
    </row>
    <row r="6249" spans="1:2" x14ac:dyDescent="0.2">
      <c r="A6249" s="170">
        <v>42982</v>
      </c>
      <c r="B6249" s="171" t="e">
        <f>NA()</f>
        <v>#N/A</v>
      </c>
    </row>
    <row r="6250" spans="1:2" x14ac:dyDescent="0.2">
      <c r="A6250" s="170">
        <v>42983</v>
      </c>
      <c r="B6250" s="171">
        <v>2.4300000000000002</v>
      </c>
    </row>
    <row r="6251" spans="1:2" x14ac:dyDescent="0.2">
      <c r="A6251" s="170">
        <v>42984</v>
      </c>
      <c r="B6251" s="171">
        <v>2.46</v>
      </c>
    </row>
    <row r="6252" spans="1:2" x14ac:dyDescent="0.2">
      <c r="A6252" s="170">
        <v>42985</v>
      </c>
      <c r="B6252" s="171">
        <v>2.4</v>
      </c>
    </row>
    <row r="6253" spans="1:2" x14ac:dyDescent="0.2">
      <c r="A6253" s="170">
        <v>42986</v>
      </c>
      <c r="B6253" s="171">
        <v>2.41</v>
      </c>
    </row>
    <row r="6254" spans="1:2" x14ac:dyDescent="0.2">
      <c r="A6254" s="170">
        <v>42989</v>
      </c>
      <c r="B6254" s="171">
        <v>2.4900000000000002</v>
      </c>
    </row>
    <row r="6255" spans="1:2" x14ac:dyDescent="0.2">
      <c r="A6255" s="170">
        <v>42990</v>
      </c>
      <c r="B6255" s="171">
        <v>2.52</v>
      </c>
    </row>
    <row r="6256" spans="1:2" x14ac:dyDescent="0.2">
      <c r="A6256" s="170">
        <v>42991</v>
      </c>
      <c r="B6256" s="171">
        <v>2.5299999999999998</v>
      </c>
    </row>
    <row r="6257" spans="1:2" x14ac:dyDescent="0.2">
      <c r="A6257" s="170">
        <v>42992</v>
      </c>
      <c r="B6257" s="171">
        <v>2.52</v>
      </c>
    </row>
    <row r="6258" spans="1:2" x14ac:dyDescent="0.2">
      <c r="A6258" s="170">
        <v>42993</v>
      </c>
      <c r="B6258" s="171">
        <v>2.52</v>
      </c>
    </row>
    <row r="6259" spans="1:2" x14ac:dyDescent="0.2">
      <c r="A6259" s="170">
        <v>42996</v>
      </c>
      <c r="B6259" s="171">
        <v>2.56</v>
      </c>
    </row>
    <row r="6260" spans="1:2" x14ac:dyDescent="0.2">
      <c r="A6260" s="170">
        <v>42997</v>
      </c>
      <c r="B6260" s="171">
        <v>2.57</v>
      </c>
    </row>
    <row r="6261" spans="1:2" x14ac:dyDescent="0.2">
      <c r="A6261" s="170">
        <v>42998</v>
      </c>
      <c r="B6261" s="171">
        <v>2.59</v>
      </c>
    </row>
    <row r="6262" spans="1:2" x14ac:dyDescent="0.2">
      <c r="A6262" s="170">
        <v>42999</v>
      </c>
      <c r="B6262" s="171">
        <v>2.57</v>
      </c>
    </row>
    <row r="6263" spans="1:2" x14ac:dyDescent="0.2">
      <c r="A6263" s="170">
        <v>43000</v>
      </c>
      <c r="B6263" s="171">
        <v>2.57</v>
      </c>
    </row>
    <row r="6264" spans="1:2" x14ac:dyDescent="0.2">
      <c r="A6264" s="170">
        <v>43003</v>
      </c>
      <c r="B6264" s="171">
        <v>2.5299999999999998</v>
      </c>
    </row>
    <row r="6265" spans="1:2" x14ac:dyDescent="0.2">
      <c r="A6265" s="170">
        <v>43004</v>
      </c>
      <c r="B6265" s="171">
        <v>2.54</v>
      </c>
    </row>
    <row r="6266" spans="1:2" x14ac:dyDescent="0.2">
      <c r="A6266" s="170">
        <v>43005</v>
      </c>
      <c r="B6266" s="171">
        <v>2.62</v>
      </c>
    </row>
    <row r="6267" spans="1:2" x14ac:dyDescent="0.2">
      <c r="A6267" s="170">
        <v>43006</v>
      </c>
      <c r="B6267" s="171">
        <v>2.63</v>
      </c>
    </row>
    <row r="6268" spans="1:2" x14ac:dyDescent="0.2">
      <c r="A6268" s="170">
        <v>43007</v>
      </c>
      <c r="B6268" s="171">
        <v>2.63</v>
      </c>
    </row>
    <row r="6269" spans="1:2" x14ac:dyDescent="0.2">
      <c r="A6269" s="170">
        <v>43010</v>
      </c>
      <c r="B6269" s="171">
        <v>2.64</v>
      </c>
    </row>
    <row r="6270" spans="1:2" x14ac:dyDescent="0.2">
      <c r="A6270" s="170">
        <v>43011</v>
      </c>
      <c r="B6270" s="171">
        <v>2.63</v>
      </c>
    </row>
    <row r="6271" spans="1:2" x14ac:dyDescent="0.2">
      <c r="A6271" s="170">
        <v>43012</v>
      </c>
      <c r="B6271" s="171">
        <v>2.64</v>
      </c>
    </row>
    <row r="6272" spans="1:2" x14ac:dyDescent="0.2">
      <c r="A6272" s="170">
        <v>43013</v>
      </c>
      <c r="B6272" s="171">
        <v>2.65</v>
      </c>
    </row>
    <row r="6273" spans="1:2" x14ac:dyDescent="0.2">
      <c r="A6273" s="170">
        <v>43014</v>
      </c>
      <c r="B6273" s="171">
        <v>2.68</v>
      </c>
    </row>
    <row r="6274" spans="1:2" x14ac:dyDescent="0.2">
      <c r="A6274" s="170">
        <v>43017</v>
      </c>
      <c r="B6274" s="171" t="e">
        <f>NA()</f>
        <v>#N/A</v>
      </c>
    </row>
    <row r="6275" spans="1:2" x14ac:dyDescent="0.2">
      <c r="A6275" s="170">
        <v>43018</v>
      </c>
      <c r="B6275" s="171">
        <v>2.65</v>
      </c>
    </row>
    <row r="6276" spans="1:2" x14ac:dyDescent="0.2">
      <c r="A6276" s="170">
        <v>43019</v>
      </c>
      <c r="B6276" s="171">
        <v>2.64</v>
      </c>
    </row>
    <row r="6277" spans="1:2" x14ac:dyDescent="0.2">
      <c r="A6277" s="170">
        <v>43020</v>
      </c>
      <c r="B6277" s="171">
        <v>2.62</v>
      </c>
    </row>
    <row r="6278" spans="1:2" x14ac:dyDescent="0.2">
      <c r="A6278" s="170">
        <v>43021</v>
      </c>
      <c r="B6278" s="171">
        <v>2.58</v>
      </c>
    </row>
    <row r="6279" spans="1:2" x14ac:dyDescent="0.2">
      <c r="A6279" s="170">
        <v>43024</v>
      </c>
      <c r="B6279" s="171">
        <v>2.58</v>
      </c>
    </row>
    <row r="6280" spans="1:2" x14ac:dyDescent="0.2">
      <c r="A6280" s="170">
        <v>43025</v>
      </c>
      <c r="B6280" s="171">
        <v>2.58</v>
      </c>
    </row>
    <row r="6281" spans="1:2" x14ac:dyDescent="0.2">
      <c r="A6281" s="170">
        <v>43026</v>
      </c>
      <c r="B6281" s="171">
        <v>2.62</v>
      </c>
    </row>
    <row r="6282" spans="1:2" x14ac:dyDescent="0.2">
      <c r="A6282" s="170">
        <v>43027</v>
      </c>
      <c r="B6282" s="171">
        <v>2.6</v>
      </c>
    </row>
    <row r="6283" spans="1:2" x14ac:dyDescent="0.2">
      <c r="A6283" s="170">
        <v>43028</v>
      </c>
      <c r="B6283" s="171">
        <v>2.67</v>
      </c>
    </row>
    <row r="6284" spans="1:2" x14ac:dyDescent="0.2">
      <c r="A6284" s="170">
        <v>43031</v>
      </c>
      <c r="B6284" s="171">
        <v>2.66</v>
      </c>
    </row>
    <row r="6285" spans="1:2" x14ac:dyDescent="0.2">
      <c r="A6285" s="170">
        <v>43032</v>
      </c>
      <c r="B6285" s="171">
        <v>2.7</v>
      </c>
    </row>
    <row r="6286" spans="1:2" x14ac:dyDescent="0.2">
      <c r="A6286" s="170">
        <v>43033</v>
      </c>
      <c r="B6286" s="171">
        <v>2.72</v>
      </c>
    </row>
    <row r="6287" spans="1:2" x14ac:dyDescent="0.2">
      <c r="A6287" s="170">
        <v>43034</v>
      </c>
      <c r="B6287" s="171">
        <v>2.74</v>
      </c>
    </row>
    <row r="6288" spans="1:2" x14ac:dyDescent="0.2">
      <c r="A6288" s="170">
        <v>43035</v>
      </c>
      <c r="B6288" s="171">
        <v>2.71</v>
      </c>
    </row>
    <row r="6289" spans="1:2" x14ac:dyDescent="0.2">
      <c r="A6289" s="170">
        <v>43038</v>
      </c>
      <c r="B6289" s="171">
        <v>2.66</v>
      </c>
    </row>
    <row r="6290" spans="1:2" x14ac:dyDescent="0.2">
      <c r="A6290" s="170">
        <v>43039</v>
      </c>
      <c r="B6290" s="171">
        <v>2.66</v>
      </c>
    </row>
    <row r="6291" spans="1:2" x14ac:dyDescent="0.2">
      <c r="A6291" s="170">
        <v>43040</v>
      </c>
      <c r="B6291" s="171">
        <v>2.63</v>
      </c>
    </row>
    <row r="6292" spans="1:2" x14ac:dyDescent="0.2">
      <c r="A6292" s="170">
        <v>43041</v>
      </c>
      <c r="B6292" s="171">
        <v>2.61</v>
      </c>
    </row>
    <row r="6293" spans="1:2" x14ac:dyDescent="0.2">
      <c r="A6293" s="170">
        <v>43042</v>
      </c>
      <c r="B6293" s="171">
        <v>2.59</v>
      </c>
    </row>
    <row r="6294" spans="1:2" x14ac:dyDescent="0.2">
      <c r="A6294" s="170">
        <v>43045</v>
      </c>
      <c r="B6294" s="171">
        <v>2.58</v>
      </c>
    </row>
    <row r="6295" spans="1:2" x14ac:dyDescent="0.2">
      <c r="A6295" s="170">
        <v>43046</v>
      </c>
      <c r="B6295" s="171">
        <v>2.56</v>
      </c>
    </row>
    <row r="6296" spans="1:2" x14ac:dyDescent="0.2">
      <c r="A6296" s="170">
        <v>43047</v>
      </c>
      <c r="B6296" s="171">
        <v>2.57</v>
      </c>
    </row>
    <row r="6297" spans="1:2" x14ac:dyDescent="0.2">
      <c r="A6297" s="170">
        <v>43048</v>
      </c>
      <c r="B6297" s="171">
        <v>2.59</v>
      </c>
    </row>
    <row r="6298" spans="1:2" x14ac:dyDescent="0.2">
      <c r="A6298" s="170">
        <v>43049</v>
      </c>
      <c r="B6298" s="171">
        <v>2.67</v>
      </c>
    </row>
    <row r="6299" spans="1:2" x14ac:dyDescent="0.2">
      <c r="A6299" s="170">
        <v>43052</v>
      </c>
      <c r="B6299" s="171">
        <v>2.67</v>
      </c>
    </row>
    <row r="6300" spans="1:2" x14ac:dyDescent="0.2">
      <c r="A6300" s="170">
        <v>43053</v>
      </c>
      <c r="B6300" s="171">
        <v>2.64</v>
      </c>
    </row>
    <row r="6301" spans="1:2" x14ac:dyDescent="0.2">
      <c r="A6301" s="170">
        <v>43054</v>
      </c>
      <c r="B6301" s="171">
        <v>2.58</v>
      </c>
    </row>
    <row r="6302" spans="1:2" x14ac:dyDescent="0.2">
      <c r="A6302" s="170">
        <v>43055</v>
      </c>
      <c r="B6302" s="171">
        <v>2.62</v>
      </c>
    </row>
    <row r="6303" spans="1:2" x14ac:dyDescent="0.2">
      <c r="A6303" s="170">
        <v>43056</v>
      </c>
      <c r="B6303" s="171">
        <v>2.59</v>
      </c>
    </row>
    <row r="6304" spans="1:2" x14ac:dyDescent="0.2">
      <c r="A6304" s="170">
        <v>43059</v>
      </c>
      <c r="B6304" s="171">
        <v>2.6</v>
      </c>
    </row>
    <row r="6305" spans="1:2" x14ac:dyDescent="0.2">
      <c r="A6305" s="170">
        <v>43060</v>
      </c>
      <c r="B6305" s="171">
        <v>2.58</v>
      </c>
    </row>
    <row r="6306" spans="1:2" x14ac:dyDescent="0.2">
      <c r="A6306" s="170">
        <v>43061</v>
      </c>
      <c r="B6306" s="171">
        <v>2.57</v>
      </c>
    </row>
    <row r="6307" spans="1:2" x14ac:dyDescent="0.2">
      <c r="A6307" s="170">
        <v>43062</v>
      </c>
      <c r="B6307" s="171" t="e">
        <f>NA()</f>
        <v>#N/A</v>
      </c>
    </row>
    <row r="6308" spans="1:2" x14ac:dyDescent="0.2">
      <c r="A6308" s="170">
        <v>43063</v>
      </c>
      <c r="B6308" s="171">
        <v>2.58</v>
      </c>
    </row>
    <row r="6309" spans="1:2" x14ac:dyDescent="0.2">
      <c r="A6309" s="170">
        <v>43066</v>
      </c>
      <c r="B6309" s="171">
        <v>2.57</v>
      </c>
    </row>
    <row r="6310" spans="1:2" x14ac:dyDescent="0.2">
      <c r="A6310" s="170">
        <v>43067</v>
      </c>
      <c r="B6310" s="171">
        <v>2.58</v>
      </c>
    </row>
    <row r="6311" spans="1:2" x14ac:dyDescent="0.2">
      <c r="A6311" s="170">
        <v>43068</v>
      </c>
      <c r="B6311" s="171">
        <v>2.62</v>
      </c>
    </row>
    <row r="6312" spans="1:2" x14ac:dyDescent="0.2">
      <c r="A6312" s="170">
        <v>43069</v>
      </c>
      <c r="B6312" s="171">
        <v>2.65</v>
      </c>
    </row>
    <row r="6313" spans="1:2" x14ac:dyDescent="0.2">
      <c r="A6313" s="170">
        <v>43070</v>
      </c>
      <c r="B6313" s="171">
        <v>2.58</v>
      </c>
    </row>
    <row r="6314" spans="1:2" x14ac:dyDescent="0.2">
      <c r="A6314" s="170">
        <v>43073</v>
      </c>
      <c r="B6314" s="171">
        <v>2.58</v>
      </c>
    </row>
    <row r="6315" spans="1:2" x14ac:dyDescent="0.2">
      <c r="A6315" s="170">
        <v>43074</v>
      </c>
      <c r="B6315" s="171">
        <v>2.5499999999999998</v>
      </c>
    </row>
    <row r="6316" spans="1:2" x14ac:dyDescent="0.2">
      <c r="A6316" s="170">
        <v>43075</v>
      </c>
      <c r="B6316" s="171">
        <v>2.5299999999999998</v>
      </c>
    </row>
    <row r="6317" spans="1:2" x14ac:dyDescent="0.2">
      <c r="A6317" s="170">
        <v>43076</v>
      </c>
      <c r="B6317" s="171">
        <v>2.58</v>
      </c>
    </row>
    <row r="6318" spans="1:2" x14ac:dyDescent="0.2">
      <c r="A6318" s="170">
        <v>43077</v>
      </c>
      <c r="B6318" s="171">
        <v>2.59</v>
      </c>
    </row>
    <row r="6319" spans="1:2" x14ac:dyDescent="0.2">
      <c r="A6319" s="170">
        <v>43080</v>
      </c>
      <c r="B6319" s="171">
        <v>2.59</v>
      </c>
    </row>
    <row r="6320" spans="1:2" x14ac:dyDescent="0.2">
      <c r="A6320" s="170">
        <v>43081</v>
      </c>
      <c r="B6320" s="171">
        <v>2.6</v>
      </c>
    </row>
    <row r="6321" spans="1:2" x14ac:dyDescent="0.2">
      <c r="A6321" s="170">
        <v>43082</v>
      </c>
      <c r="B6321" s="171">
        <v>2.56</v>
      </c>
    </row>
    <row r="6322" spans="1:2" x14ac:dyDescent="0.2">
      <c r="A6322" s="170">
        <v>43083</v>
      </c>
      <c r="B6322" s="171">
        <v>2.5299999999999998</v>
      </c>
    </row>
    <row r="6323" spans="1:2" x14ac:dyDescent="0.2">
      <c r="A6323" s="170">
        <v>43084</v>
      </c>
      <c r="B6323" s="171">
        <v>2.52</v>
      </c>
    </row>
    <row r="6324" spans="1:2" x14ac:dyDescent="0.2">
      <c r="A6324" s="170">
        <v>43087</v>
      </c>
      <c r="B6324" s="171">
        <v>2.57</v>
      </c>
    </row>
    <row r="6325" spans="1:2" x14ac:dyDescent="0.2">
      <c r="A6325" s="170">
        <v>43088</v>
      </c>
      <c r="B6325" s="171">
        <v>2.66</v>
      </c>
    </row>
    <row r="6326" spans="1:2" x14ac:dyDescent="0.2">
      <c r="A6326" s="170">
        <v>43089</v>
      </c>
      <c r="B6326" s="171">
        <v>2.71</v>
      </c>
    </row>
    <row r="6327" spans="1:2" x14ac:dyDescent="0.2">
      <c r="A6327" s="170">
        <v>43090</v>
      </c>
      <c r="B6327" s="171">
        <v>2.68</v>
      </c>
    </row>
    <row r="6328" spans="1:2" x14ac:dyDescent="0.2">
      <c r="A6328" s="170">
        <v>43091</v>
      </c>
      <c r="B6328" s="171">
        <v>2.68</v>
      </c>
    </row>
    <row r="6329" spans="1:2" x14ac:dyDescent="0.2">
      <c r="A6329" s="170">
        <v>43094</v>
      </c>
      <c r="B6329" s="171" t="e">
        <f>NA()</f>
        <v>#N/A</v>
      </c>
    </row>
    <row r="6330" spans="1:2" x14ac:dyDescent="0.2">
      <c r="A6330" s="170">
        <v>43095</v>
      </c>
      <c r="B6330" s="171">
        <v>2.66</v>
      </c>
    </row>
    <row r="6331" spans="1:2" x14ac:dyDescent="0.2">
      <c r="A6331" s="170">
        <v>43096</v>
      </c>
      <c r="B6331" s="171">
        <v>2.59</v>
      </c>
    </row>
    <row r="6332" spans="1:2" x14ac:dyDescent="0.2">
      <c r="A6332" s="170">
        <v>43097</v>
      </c>
      <c r="B6332" s="171">
        <v>2.6</v>
      </c>
    </row>
    <row r="6333" spans="1:2" x14ac:dyDescent="0.2">
      <c r="A6333" s="170">
        <v>43098</v>
      </c>
      <c r="B6333" s="171">
        <v>2.58</v>
      </c>
    </row>
    <row r="6334" spans="1:2" x14ac:dyDescent="0.2">
      <c r="A6334" s="170">
        <v>43101</v>
      </c>
      <c r="B6334" s="171" t="e">
        <f>NA()</f>
        <v>#N/A</v>
      </c>
    </row>
    <row r="6335" spans="1:2" x14ac:dyDescent="0.2">
      <c r="A6335" s="170">
        <v>43102</v>
      </c>
      <c r="B6335" s="171">
        <v>2.64</v>
      </c>
    </row>
    <row r="6336" spans="1:2" x14ac:dyDescent="0.2">
      <c r="A6336" s="170">
        <v>43103</v>
      </c>
      <c r="B6336" s="171">
        <v>2.62</v>
      </c>
    </row>
    <row r="6337" spans="1:2" x14ac:dyDescent="0.2">
      <c r="A6337" s="170">
        <v>43104</v>
      </c>
      <c r="B6337" s="171">
        <v>2.62</v>
      </c>
    </row>
    <row r="6338" spans="1:2" x14ac:dyDescent="0.2">
      <c r="A6338" s="170">
        <v>43105</v>
      </c>
      <c r="B6338" s="171">
        <v>2.64</v>
      </c>
    </row>
    <row r="6339" spans="1:2" x14ac:dyDescent="0.2">
      <c r="A6339" s="170">
        <v>43108</v>
      </c>
      <c r="B6339" s="171">
        <v>2.65</v>
      </c>
    </row>
    <row r="6340" spans="1:2" x14ac:dyDescent="0.2">
      <c r="A6340" s="170">
        <v>43109</v>
      </c>
      <c r="B6340" s="171">
        <v>2.72</v>
      </c>
    </row>
    <row r="6341" spans="1:2" x14ac:dyDescent="0.2">
      <c r="A6341" s="170">
        <v>43110</v>
      </c>
      <c r="B6341" s="171">
        <v>2.73</v>
      </c>
    </row>
    <row r="6342" spans="1:2" x14ac:dyDescent="0.2">
      <c r="A6342" s="170">
        <v>43111</v>
      </c>
      <c r="B6342" s="171">
        <v>2.72</v>
      </c>
    </row>
    <row r="6343" spans="1:2" x14ac:dyDescent="0.2">
      <c r="A6343" s="170">
        <v>43112</v>
      </c>
      <c r="B6343" s="171">
        <v>2.71</v>
      </c>
    </row>
    <row r="6344" spans="1:2" x14ac:dyDescent="0.2">
      <c r="A6344" s="170">
        <v>43115</v>
      </c>
      <c r="B6344" s="171" t="e">
        <f>NA()</f>
        <v>#N/A</v>
      </c>
    </row>
    <row r="6345" spans="1:2" x14ac:dyDescent="0.2">
      <c r="A6345" s="170">
        <v>43116</v>
      </c>
      <c r="B6345" s="171">
        <v>2.69</v>
      </c>
    </row>
    <row r="6346" spans="1:2" x14ac:dyDescent="0.2">
      <c r="A6346" s="170">
        <v>43117</v>
      </c>
      <c r="B6346" s="171">
        <v>2.71</v>
      </c>
    </row>
    <row r="6347" spans="1:2" x14ac:dyDescent="0.2">
      <c r="A6347" s="170">
        <v>43118</v>
      </c>
      <c r="B6347" s="171">
        <v>2.77</v>
      </c>
    </row>
    <row r="6348" spans="1:2" x14ac:dyDescent="0.2">
      <c r="A6348" s="170">
        <v>43119</v>
      </c>
      <c r="B6348" s="171">
        <v>2.78</v>
      </c>
    </row>
    <row r="6349" spans="1:2" x14ac:dyDescent="0.2">
      <c r="A6349" s="170">
        <v>43122</v>
      </c>
      <c r="B6349" s="171">
        <v>2.79</v>
      </c>
    </row>
    <row r="6350" spans="1:2" x14ac:dyDescent="0.2">
      <c r="A6350" s="170">
        <v>43123</v>
      </c>
      <c r="B6350" s="171">
        <v>2.77</v>
      </c>
    </row>
    <row r="6351" spans="1:2" x14ac:dyDescent="0.2">
      <c r="A6351" s="170">
        <v>43124</v>
      </c>
      <c r="B6351" s="171">
        <v>2.8</v>
      </c>
    </row>
    <row r="6352" spans="1:2" x14ac:dyDescent="0.2">
      <c r="A6352" s="170">
        <v>43125</v>
      </c>
      <c r="B6352" s="171">
        <v>2.76</v>
      </c>
    </row>
    <row r="6353" spans="1:2" x14ac:dyDescent="0.2">
      <c r="A6353" s="170">
        <v>43126</v>
      </c>
      <c r="B6353" s="171">
        <v>2.79</v>
      </c>
    </row>
    <row r="6354" spans="1:2" x14ac:dyDescent="0.2">
      <c r="A6354" s="170">
        <v>43129</v>
      </c>
      <c r="B6354" s="171">
        <v>2.82</v>
      </c>
    </row>
    <row r="6355" spans="1:2" x14ac:dyDescent="0.2">
      <c r="A6355" s="170">
        <v>43130</v>
      </c>
      <c r="B6355" s="171">
        <v>2.86</v>
      </c>
    </row>
    <row r="6356" spans="1:2" x14ac:dyDescent="0.2">
      <c r="A6356" s="170">
        <v>43131</v>
      </c>
      <c r="B6356" s="171">
        <v>2.83</v>
      </c>
    </row>
    <row r="6357" spans="1:2" x14ac:dyDescent="0.2">
      <c r="A6357" s="170">
        <v>43132</v>
      </c>
      <c r="B6357" s="171">
        <v>2.9</v>
      </c>
    </row>
    <row r="6358" spans="1:2" x14ac:dyDescent="0.2">
      <c r="A6358" s="170">
        <v>43133</v>
      </c>
      <c r="B6358" s="171">
        <v>2.97</v>
      </c>
    </row>
    <row r="6359" spans="1:2" x14ac:dyDescent="0.2">
      <c r="A6359" s="170">
        <v>43136</v>
      </c>
      <c r="B6359" s="171">
        <v>2.92</v>
      </c>
    </row>
    <row r="6360" spans="1:2" x14ac:dyDescent="0.2">
      <c r="A6360" s="170">
        <v>43137</v>
      </c>
      <c r="B6360" s="171">
        <v>2.94</v>
      </c>
    </row>
    <row r="6361" spans="1:2" x14ac:dyDescent="0.2">
      <c r="A6361" s="170">
        <v>43138</v>
      </c>
      <c r="B6361" s="171">
        <v>3.01</v>
      </c>
    </row>
    <row r="6362" spans="1:2" x14ac:dyDescent="0.2">
      <c r="A6362" s="170">
        <v>43139</v>
      </c>
      <c r="B6362" s="171">
        <v>3.03</v>
      </c>
    </row>
    <row r="6363" spans="1:2" x14ac:dyDescent="0.2">
      <c r="A6363" s="170">
        <v>43140</v>
      </c>
      <c r="B6363" s="171">
        <v>3.02</v>
      </c>
    </row>
    <row r="6364" spans="1:2" x14ac:dyDescent="0.2">
      <c r="A6364" s="170">
        <v>43143</v>
      </c>
      <c r="B6364" s="171">
        <v>3.02</v>
      </c>
    </row>
    <row r="6365" spans="1:2" x14ac:dyDescent="0.2">
      <c r="A6365" s="170">
        <v>43144</v>
      </c>
      <c r="B6365" s="171">
        <v>2.99</v>
      </c>
    </row>
    <row r="6366" spans="1:2" x14ac:dyDescent="0.2">
      <c r="A6366" s="170">
        <v>43145</v>
      </c>
      <c r="B6366" s="171">
        <v>3.07</v>
      </c>
    </row>
    <row r="6367" spans="1:2" x14ac:dyDescent="0.2">
      <c r="A6367" s="170">
        <v>43146</v>
      </c>
      <c r="B6367" s="171">
        <v>3.04</v>
      </c>
    </row>
    <row r="6368" spans="1:2" x14ac:dyDescent="0.2">
      <c r="A6368" s="170">
        <v>43147</v>
      </c>
      <c r="B6368" s="171">
        <v>3.02</v>
      </c>
    </row>
    <row r="6369" spans="1:2" x14ac:dyDescent="0.2">
      <c r="A6369" s="170">
        <v>43150</v>
      </c>
      <c r="B6369" s="171" t="e">
        <f>NA()</f>
        <v>#N/A</v>
      </c>
    </row>
    <row r="6370" spans="1:2" x14ac:dyDescent="0.2">
      <c r="A6370" s="170">
        <v>43151</v>
      </c>
      <c r="B6370" s="171">
        <v>3.04</v>
      </c>
    </row>
    <row r="6371" spans="1:2" x14ac:dyDescent="0.2">
      <c r="A6371" s="170">
        <v>43152</v>
      </c>
      <c r="B6371" s="171">
        <v>3.11</v>
      </c>
    </row>
    <row r="6372" spans="1:2" x14ac:dyDescent="0.2">
      <c r="A6372" s="170">
        <v>43153</v>
      </c>
      <c r="B6372" s="171">
        <v>3.09</v>
      </c>
    </row>
    <row r="6373" spans="1:2" x14ac:dyDescent="0.2">
      <c r="A6373" s="170">
        <v>43154</v>
      </c>
      <c r="B6373" s="171">
        <v>3.04</v>
      </c>
    </row>
    <row r="6374" spans="1:2" x14ac:dyDescent="0.2">
      <c r="A6374" s="170">
        <v>43157</v>
      </c>
      <c r="B6374" s="171">
        <v>3.03</v>
      </c>
    </row>
    <row r="6375" spans="1:2" x14ac:dyDescent="0.2">
      <c r="A6375" s="170">
        <v>43158</v>
      </c>
      <c r="B6375" s="171">
        <v>3.06</v>
      </c>
    </row>
    <row r="6376" spans="1:2" x14ac:dyDescent="0.2">
      <c r="A6376" s="170">
        <v>43159</v>
      </c>
      <c r="B6376" s="171">
        <v>3.02</v>
      </c>
    </row>
    <row r="6377" spans="1:2" x14ac:dyDescent="0.2">
      <c r="A6377" s="170">
        <v>43160</v>
      </c>
      <c r="B6377" s="171">
        <v>2.97</v>
      </c>
    </row>
    <row r="6378" spans="1:2" x14ac:dyDescent="0.2">
      <c r="A6378" s="170">
        <v>43161</v>
      </c>
      <c r="B6378" s="171">
        <v>3.02</v>
      </c>
    </row>
    <row r="6379" spans="1:2" x14ac:dyDescent="0.2">
      <c r="A6379" s="170">
        <v>43164</v>
      </c>
      <c r="B6379" s="171">
        <v>3.04</v>
      </c>
    </row>
    <row r="6380" spans="1:2" x14ac:dyDescent="0.2">
      <c r="A6380" s="170">
        <v>43165</v>
      </c>
      <c r="B6380" s="171">
        <v>3.03</v>
      </c>
    </row>
    <row r="6381" spans="1:2" x14ac:dyDescent="0.2">
      <c r="A6381" s="170">
        <v>43166</v>
      </c>
      <c r="B6381" s="171">
        <v>3.04</v>
      </c>
    </row>
    <row r="6382" spans="1:2" x14ac:dyDescent="0.2">
      <c r="A6382" s="170">
        <v>43167</v>
      </c>
      <c r="B6382" s="171">
        <v>3.01</v>
      </c>
    </row>
    <row r="6383" spans="1:2" x14ac:dyDescent="0.2">
      <c r="A6383" s="170">
        <v>43168</v>
      </c>
      <c r="B6383" s="171">
        <v>3.04</v>
      </c>
    </row>
    <row r="6384" spans="1:2" x14ac:dyDescent="0.2">
      <c r="A6384" s="170">
        <v>43171</v>
      </c>
      <c r="B6384" s="171">
        <v>3</v>
      </c>
    </row>
    <row r="6385" spans="1:2" x14ac:dyDescent="0.2">
      <c r="A6385" s="170">
        <v>43172</v>
      </c>
      <c r="B6385" s="171">
        <v>2.98</v>
      </c>
    </row>
    <row r="6386" spans="1:2" x14ac:dyDescent="0.2">
      <c r="A6386" s="170">
        <v>43173</v>
      </c>
      <c r="B6386" s="171">
        <v>2.94</v>
      </c>
    </row>
    <row r="6387" spans="1:2" x14ac:dyDescent="0.2">
      <c r="A6387" s="170">
        <v>43174</v>
      </c>
      <c r="B6387" s="171">
        <v>2.94</v>
      </c>
    </row>
    <row r="6388" spans="1:2" x14ac:dyDescent="0.2">
      <c r="A6388" s="170">
        <v>43175</v>
      </c>
      <c r="B6388" s="171">
        <v>2.96</v>
      </c>
    </row>
    <row r="6389" spans="1:2" x14ac:dyDescent="0.2">
      <c r="A6389" s="170">
        <v>43178</v>
      </c>
      <c r="B6389" s="171">
        <v>2.97</v>
      </c>
    </row>
    <row r="6390" spans="1:2" x14ac:dyDescent="0.2">
      <c r="A6390" s="170">
        <v>43179</v>
      </c>
      <c r="B6390" s="171">
        <v>3.01</v>
      </c>
    </row>
    <row r="6391" spans="1:2" x14ac:dyDescent="0.2">
      <c r="A6391" s="170">
        <v>43180</v>
      </c>
      <c r="B6391" s="171">
        <v>3.01</v>
      </c>
    </row>
    <row r="6392" spans="1:2" x14ac:dyDescent="0.2">
      <c r="A6392" s="170">
        <v>43181</v>
      </c>
      <c r="B6392" s="171">
        <v>2.94</v>
      </c>
    </row>
    <row r="6393" spans="1:2" x14ac:dyDescent="0.2">
      <c r="A6393" s="170">
        <v>43182</v>
      </c>
      <c r="B6393" s="171">
        <v>2.94</v>
      </c>
    </row>
    <row r="6394" spans="1:2" x14ac:dyDescent="0.2">
      <c r="A6394" s="170">
        <v>43185</v>
      </c>
      <c r="B6394" s="171">
        <v>2.96</v>
      </c>
    </row>
    <row r="6395" spans="1:2" x14ac:dyDescent="0.2">
      <c r="A6395" s="170">
        <v>43186</v>
      </c>
      <c r="B6395" s="171">
        <v>2.9</v>
      </c>
    </row>
    <row r="6396" spans="1:2" x14ac:dyDescent="0.2">
      <c r="A6396" s="170">
        <v>43187</v>
      </c>
      <c r="B6396" s="171">
        <v>2.89</v>
      </c>
    </row>
    <row r="6397" spans="1:2" x14ac:dyDescent="0.2">
      <c r="A6397" s="170">
        <v>43188</v>
      </c>
      <c r="B6397" s="171">
        <v>2.85</v>
      </c>
    </row>
    <row r="6398" spans="1:2" x14ac:dyDescent="0.2">
      <c r="A6398" s="170">
        <v>43189</v>
      </c>
      <c r="B6398" s="171" t="e">
        <f>NA()</f>
        <v>#N/A</v>
      </c>
    </row>
    <row r="6399" spans="1:2" x14ac:dyDescent="0.2">
      <c r="A6399" s="170">
        <v>43192</v>
      </c>
      <c r="B6399" s="171">
        <v>2.85</v>
      </c>
    </row>
    <row r="6400" spans="1:2" x14ac:dyDescent="0.2">
      <c r="A6400" s="170">
        <v>43193</v>
      </c>
      <c r="B6400" s="171">
        <v>2.9</v>
      </c>
    </row>
    <row r="6401" spans="1:2" x14ac:dyDescent="0.2">
      <c r="A6401" s="170">
        <v>43194</v>
      </c>
      <c r="B6401" s="171">
        <v>2.91</v>
      </c>
    </row>
    <row r="6402" spans="1:2" x14ac:dyDescent="0.2">
      <c r="A6402" s="170">
        <v>43195</v>
      </c>
      <c r="B6402" s="171">
        <v>2.95</v>
      </c>
    </row>
    <row r="6403" spans="1:2" x14ac:dyDescent="0.2">
      <c r="A6403" s="170">
        <v>43196</v>
      </c>
      <c r="B6403" s="171">
        <v>2.89</v>
      </c>
    </row>
    <row r="6404" spans="1:2" x14ac:dyDescent="0.2">
      <c r="A6404" s="170">
        <v>43199</v>
      </c>
      <c r="B6404" s="171">
        <v>2.89</v>
      </c>
    </row>
    <row r="6405" spans="1:2" x14ac:dyDescent="0.2">
      <c r="A6405" s="170">
        <v>43200</v>
      </c>
      <c r="B6405" s="171">
        <v>2.89</v>
      </c>
    </row>
    <row r="6406" spans="1:2" x14ac:dyDescent="0.2">
      <c r="A6406" s="170">
        <v>43201</v>
      </c>
      <c r="B6406" s="171">
        <v>2.87</v>
      </c>
    </row>
    <row r="6407" spans="1:2" x14ac:dyDescent="0.2">
      <c r="A6407" s="170">
        <v>43202</v>
      </c>
      <c r="B6407" s="171">
        <v>2.92</v>
      </c>
    </row>
    <row r="6408" spans="1:2" x14ac:dyDescent="0.2">
      <c r="A6408" s="170">
        <v>43203</v>
      </c>
      <c r="B6408" s="171">
        <v>2.91</v>
      </c>
    </row>
    <row r="6409" spans="1:2" x14ac:dyDescent="0.2">
      <c r="A6409" s="170">
        <v>43206</v>
      </c>
      <c r="B6409" s="171">
        <v>2.91</v>
      </c>
    </row>
    <row r="6410" spans="1:2" x14ac:dyDescent="0.2">
      <c r="A6410" s="170">
        <v>43207</v>
      </c>
      <c r="B6410" s="171">
        <v>2.89</v>
      </c>
    </row>
    <row r="6411" spans="1:2" x14ac:dyDescent="0.2">
      <c r="A6411" s="170">
        <v>43208</v>
      </c>
      <c r="B6411" s="171">
        <v>2.95</v>
      </c>
    </row>
    <row r="6412" spans="1:2" x14ac:dyDescent="0.2">
      <c r="A6412" s="170">
        <v>43209</v>
      </c>
      <c r="B6412" s="171">
        <v>3.01</v>
      </c>
    </row>
    <row r="6413" spans="1:2" x14ac:dyDescent="0.2">
      <c r="A6413" s="170">
        <v>43210</v>
      </c>
      <c r="B6413" s="171">
        <v>3.04</v>
      </c>
    </row>
    <row r="6414" spans="1:2" x14ac:dyDescent="0.2">
      <c r="A6414" s="170">
        <v>43213</v>
      </c>
      <c r="B6414" s="171">
        <v>3.05</v>
      </c>
    </row>
    <row r="6415" spans="1:2" x14ac:dyDescent="0.2">
      <c r="A6415" s="170">
        <v>43214</v>
      </c>
      <c r="B6415" s="171">
        <v>3.08</v>
      </c>
    </row>
    <row r="6416" spans="1:2" x14ac:dyDescent="0.2">
      <c r="A6416" s="170">
        <v>43215</v>
      </c>
      <c r="B6416" s="171">
        <v>3.12</v>
      </c>
    </row>
    <row r="6417" spans="1:2" x14ac:dyDescent="0.2">
      <c r="A6417" s="170">
        <v>43216</v>
      </c>
      <c r="B6417" s="171">
        <v>3.08</v>
      </c>
    </row>
    <row r="6418" spans="1:2" x14ac:dyDescent="0.2">
      <c r="A6418" s="170">
        <v>43217</v>
      </c>
      <c r="B6418" s="171">
        <v>3.03</v>
      </c>
    </row>
    <row r="6419" spans="1:2" x14ac:dyDescent="0.2">
      <c r="A6419" s="170">
        <v>43220</v>
      </c>
      <c r="B6419" s="171">
        <v>3.01</v>
      </c>
    </row>
    <row r="6420" spans="1:2" x14ac:dyDescent="0.2">
      <c r="A6420" s="170">
        <v>43221</v>
      </c>
      <c r="B6420" s="171">
        <v>3.03</v>
      </c>
    </row>
    <row r="6421" spans="1:2" x14ac:dyDescent="0.2">
      <c r="A6421" s="170">
        <v>43222</v>
      </c>
      <c r="B6421" s="171">
        <v>3.04</v>
      </c>
    </row>
    <row r="6422" spans="1:2" x14ac:dyDescent="0.2">
      <c r="A6422" s="170">
        <v>43223</v>
      </c>
      <c r="B6422" s="171">
        <v>3.02</v>
      </c>
    </row>
    <row r="6423" spans="1:2" x14ac:dyDescent="0.2">
      <c r="A6423" s="170">
        <v>43224</v>
      </c>
      <c r="B6423" s="171">
        <v>3.02</v>
      </c>
    </row>
    <row r="6424" spans="1:2" x14ac:dyDescent="0.2">
      <c r="A6424" s="170">
        <v>43227</v>
      </c>
      <c r="B6424" s="171">
        <v>3.02</v>
      </c>
    </row>
    <row r="6425" spans="1:2" x14ac:dyDescent="0.2">
      <c r="A6425" s="170">
        <v>43228</v>
      </c>
      <c r="B6425" s="171">
        <v>3.04</v>
      </c>
    </row>
    <row r="6426" spans="1:2" x14ac:dyDescent="0.2">
      <c r="A6426" s="170">
        <v>43229</v>
      </c>
      <c r="B6426" s="171">
        <v>3.07</v>
      </c>
    </row>
    <row r="6427" spans="1:2" x14ac:dyDescent="0.2">
      <c r="A6427" s="170">
        <v>43230</v>
      </c>
      <c r="B6427" s="171">
        <v>3.04</v>
      </c>
    </row>
    <row r="6428" spans="1:2" x14ac:dyDescent="0.2">
      <c r="A6428" s="170">
        <v>43231</v>
      </c>
      <c r="B6428" s="171">
        <v>3.03</v>
      </c>
    </row>
    <row r="6429" spans="1:2" x14ac:dyDescent="0.2">
      <c r="A6429" s="170">
        <v>43234</v>
      </c>
      <c r="B6429" s="171">
        <v>3.06</v>
      </c>
    </row>
    <row r="6430" spans="1:2" x14ac:dyDescent="0.2">
      <c r="A6430" s="170">
        <v>43235</v>
      </c>
      <c r="B6430" s="171">
        <v>3.14</v>
      </c>
    </row>
    <row r="6431" spans="1:2" x14ac:dyDescent="0.2">
      <c r="A6431" s="170">
        <v>43236</v>
      </c>
      <c r="B6431" s="171">
        <v>3.16</v>
      </c>
    </row>
    <row r="6432" spans="1:2" x14ac:dyDescent="0.2">
      <c r="A6432" s="170">
        <v>43237</v>
      </c>
      <c r="B6432" s="171">
        <v>3.19</v>
      </c>
    </row>
    <row r="6433" spans="1:2" x14ac:dyDescent="0.2">
      <c r="A6433" s="170">
        <v>43238</v>
      </c>
      <c r="B6433" s="171">
        <v>3.14</v>
      </c>
    </row>
    <row r="6434" spans="1:2" x14ac:dyDescent="0.2">
      <c r="A6434" s="170">
        <v>43241</v>
      </c>
      <c r="B6434" s="171">
        <v>3.13</v>
      </c>
    </row>
    <row r="6435" spans="1:2" x14ac:dyDescent="0.2">
      <c r="A6435" s="170">
        <v>43242</v>
      </c>
      <c r="B6435" s="171">
        <v>3.14</v>
      </c>
    </row>
    <row r="6436" spans="1:2" x14ac:dyDescent="0.2">
      <c r="A6436" s="170">
        <v>43243</v>
      </c>
      <c r="B6436" s="171">
        <v>3.09</v>
      </c>
    </row>
    <row r="6437" spans="1:2" x14ac:dyDescent="0.2">
      <c r="A6437" s="170">
        <v>43244</v>
      </c>
      <c r="B6437" s="171">
        <v>3.06</v>
      </c>
    </row>
    <row r="6438" spans="1:2" x14ac:dyDescent="0.2">
      <c r="A6438" s="170">
        <v>43245</v>
      </c>
      <c r="B6438" s="171">
        <v>3.01</v>
      </c>
    </row>
    <row r="6439" spans="1:2" x14ac:dyDescent="0.2">
      <c r="A6439" s="170">
        <v>43248</v>
      </c>
      <c r="B6439" s="171" t="e">
        <f>NA()</f>
        <v>#N/A</v>
      </c>
    </row>
    <row r="6440" spans="1:2" x14ac:dyDescent="0.2">
      <c r="A6440" s="170">
        <v>43249</v>
      </c>
      <c r="B6440" s="171">
        <v>2.87</v>
      </c>
    </row>
    <row r="6441" spans="1:2" x14ac:dyDescent="0.2">
      <c r="A6441" s="170">
        <v>43250</v>
      </c>
      <c r="B6441" s="171">
        <v>2.93</v>
      </c>
    </row>
    <row r="6442" spans="1:2" x14ac:dyDescent="0.2">
      <c r="A6442" s="170">
        <v>43251</v>
      </c>
      <c r="B6442" s="171">
        <v>2.91</v>
      </c>
    </row>
    <row r="6443" spans="1:2" x14ac:dyDescent="0.2">
      <c r="A6443" s="170">
        <v>43252</v>
      </c>
      <c r="B6443" s="171">
        <v>2.96</v>
      </c>
    </row>
    <row r="6444" spans="1:2" x14ac:dyDescent="0.2">
      <c r="A6444" s="170">
        <v>43255</v>
      </c>
      <c r="B6444" s="171">
        <v>3</v>
      </c>
    </row>
    <row r="6445" spans="1:2" x14ac:dyDescent="0.2">
      <c r="A6445" s="170">
        <v>43256</v>
      </c>
      <c r="B6445" s="171">
        <v>2.99</v>
      </c>
    </row>
    <row r="6446" spans="1:2" x14ac:dyDescent="0.2">
      <c r="A6446" s="170">
        <v>43257</v>
      </c>
      <c r="B6446" s="171">
        <v>3.05</v>
      </c>
    </row>
    <row r="6447" spans="1:2" x14ac:dyDescent="0.2">
      <c r="A6447" s="170">
        <v>43258</v>
      </c>
      <c r="B6447" s="171">
        <v>3</v>
      </c>
    </row>
    <row r="6448" spans="1:2" x14ac:dyDescent="0.2">
      <c r="A6448" s="170">
        <v>43259</v>
      </c>
      <c r="B6448" s="171">
        <v>3</v>
      </c>
    </row>
    <row r="6449" spans="1:2" x14ac:dyDescent="0.2">
      <c r="A6449" s="170">
        <v>43262</v>
      </c>
      <c r="B6449" s="171">
        <v>3.02</v>
      </c>
    </row>
    <row r="6450" spans="1:2" x14ac:dyDescent="0.2">
      <c r="A6450" s="170">
        <v>43263</v>
      </c>
      <c r="B6450" s="171">
        <v>3.02</v>
      </c>
    </row>
    <row r="6451" spans="1:2" x14ac:dyDescent="0.2">
      <c r="A6451" s="170">
        <v>43264</v>
      </c>
      <c r="B6451" s="171">
        <v>3.04</v>
      </c>
    </row>
    <row r="6452" spans="1:2" x14ac:dyDescent="0.2">
      <c r="A6452" s="170">
        <v>43265</v>
      </c>
      <c r="B6452" s="171">
        <v>2.99</v>
      </c>
    </row>
    <row r="6453" spans="1:2" x14ac:dyDescent="0.2">
      <c r="A6453" s="170">
        <v>43266</v>
      </c>
      <c r="B6453" s="171">
        <v>2.98</v>
      </c>
    </row>
    <row r="6454" spans="1:2" x14ac:dyDescent="0.2">
      <c r="A6454" s="170">
        <v>43269</v>
      </c>
      <c r="B6454" s="171">
        <v>2.98</v>
      </c>
    </row>
    <row r="6455" spans="1:2" x14ac:dyDescent="0.2">
      <c r="A6455" s="170">
        <v>43270</v>
      </c>
      <c r="B6455" s="171">
        <v>2.95</v>
      </c>
    </row>
    <row r="6456" spans="1:2" x14ac:dyDescent="0.2">
      <c r="A6456" s="170">
        <v>43271</v>
      </c>
      <c r="B6456" s="171">
        <v>2.99</v>
      </c>
    </row>
    <row r="6457" spans="1:2" x14ac:dyDescent="0.2">
      <c r="A6457" s="170">
        <v>43272</v>
      </c>
      <c r="B6457" s="171">
        <v>2.97</v>
      </c>
    </row>
    <row r="6458" spans="1:2" x14ac:dyDescent="0.2">
      <c r="A6458" s="170">
        <v>43273</v>
      </c>
      <c r="B6458" s="171">
        <v>2.97</v>
      </c>
    </row>
    <row r="6459" spans="1:2" x14ac:dyDescent="0.2">
      <c r="A6459" s="170">
        <v>43276</v>
      </c>
      <c r="B6459" s="171">
        <v>2.95</v>
      </c>
    </row>
    <row r="6460" spans="1:2" x14ac:dyDescent="0.2">
      <c r="A6460" s="170">
        <v>43277</v>
      </c>
      <c r="B6460" s="171">
        <v>2.95</v>
      </c>
    </row>
    <row r="6461" spans="1:2" x14ac:dyDescent="0.2">
      <c r="A6461" s="170">
        <v>43278</v>
      </c>
      <c r="B6461" s="171">
        <v>2.9</v>
      </c>
    </row>
    <row r="6462" spans="1:2" x14ac:dyDescent="0.2">
      <c r="A6462" s="170">
        <v>43279</v>
      </c>
      <c r="B6462" s="171">
        <v>2.91</v>
      </c>
    </row>
    <row r="6463" spans="1:2" x14ac:dyDescent="0.2">
      <c r="A6463" s="170">
        <v>43280</v>
      </c>
      <c r="B6463" s="171">
        <v>2.91</v>
      </c>
    </row>
    <row r="6464" spans="1:2" x14ac:dyDescent="0.2">
      <c r="A6464" s="170">
        <v>43283</v>
      </c>
      <c r="B6464" s="171">
        <v>2.92</v>
      </c>
    </row>
    <row r="6465" spans="1:2" x14ac:dyDescent="0.2">
      <c r="A6465" s="170">
        <v>43284</v>
      </c>
      <c r="B6465" s="171">
        <v>2.89</v>
      </c>
    </row>
    <row r="6466" spans="1:2" x14ac:dyDescent="0.2">
      <c r="A6466" s="170">
        <v>43285</v>
      </c>
      <c r="B6466" s="171" t="e">
        <f>NA()</f>
        <v>#N/A</v>
      </c>
    </row>
    <row r="6467" spans="1:2" x14ac:dyDescent="0.2">
      <c r="A6467" s="170">
        <v>43286</v>
      </c>
      <c r="B6467" s="171">
        <v>2.88</v>
      </c>
    </row>
    <row r="6468" spans="1:2" x14ac:dyDescent="0.2">
      <c r="A6468" s="170">
        <v>43287</v>
      </c>
      <c r="B6468" s="171">
        <v>2.87</v>
      </c>
    </row>
    <row r="6469" spans="1:2" x14ac:dyDescent="0.2">
      <c r="A6469" s="170">
        <v>43290</v>
      </c>
      <c r="B6469" s="171">
        <v>2.9</v>
      </c>
    </row>
    <row r="6470" spans="1:2" x14ac:dyDescent="0.2">
      <c r="A6470" s="170">
        <v>43291</v>
      </c>
      <c r="B6470" s="171">
        <v>2.91</v>
      </c>
    </row>
    <row r="6471" spans="1:2" x14ac:dyDescent="0.2">
      <c r="A6471" s="170">
        <v>43292</v>
      </c>
      <c r="B6471" s="171">
        <v>2.89</v>
      </c>
    </row>
    <row r="6472" spans="1:2" x14ac:dyDescent="0.2">
      <c r="A6472" s="170">
        <v>43293</v>
      </c>
      <c r="B6472" s="171">
        <v>2.89</v>
      </c>
    </row>
    <row r="6473" spans="1:2" x14ac:dyDescent="0.2">
      <c r="A6473" s="170">
        <v>43294</v>
      </c>
      <c r="B6473" s="171">
        <v>2.87</v>
      </c>
    </row>
    <row r="6474" spans="1:2" x14ac:dyDescent="0.2">
      <c r="A6474" s="170">
        <v>43297</v>
      </c>
      <c r="B6474" s="171">
        <v>2.9</v>
      </c>
    </row>
    <row r="6475" spans="1:2" x14ac:dyDescent="0.2">
      <c r="A6475" s="170">
        <v>43298</v>
      </c>
      <c r="B6475" s="171">
        <v>2.91</v>
      </c>
    </row>
    <row r="6476" spans="1:2" x14ac:dyDescent="0.2">
      <c r="A6476" s="170">
        <v>43299</v>
      </c>
      <c r="B6476" s="171">
        <v>2.93</v>
      </c>
    </row>
    <row r="6477" spans="1:2" x14ac:dyDescent="0.2">
      <c r="A6477" s="170">
        <v>43300</v>
      </c>
      <c r="B6477" s="171">
        <v>2.9</v>
      </c>
    </row>
    <row r="6478" spans="1:2" x14ac:dyDescent="0.2">
      <c r="A6478" s="170">
        <v>43301</v>
      </c>
      <c r="B6478" s="171">
        <v>2.96</v>
      </c>
    </row>
    <row r="6479" spans="1:2" x14ac:dyDescent="0.2">
      <c r="A6479" s="170">
        <v>43304</v>
      </c>
      <c r="B6479" s="171">
        <v>3.04</v>
      </c>
    </row>
    <row r="6480" spans="1:2" x14ac:dyDescent="0.2">
      <c r="A6480" s="170">
        <v>43305</v>
      </c>
      <c r="B6480" s="171">
        <v>3.02</v>
      </c>
    </row>
    <row r="6481" spans="1:2" x14ac:dyDescent="0.2">
      <c r="A6481" s="170">
        <v>43306</v>
      </c>
      <c r="B6481" s="171">
        <v>3</v>
      </c>
    </row>
    <row r="6482" spans="1:2" x14ac:dyDescent="0.2">
      <c r="A6482" s="170">
        <v>43307</v>
      </c>
      <c r="B6482" s="171">
        <v>3.05</v>
      </c>
    </row>
    <row r="6483" spans="1:2" x14ac:dyDescent="0.2">
      <c r="A6483" s="170">
        <v>43308</v>
      </c>
      <c r="B6483" s="171">
        <v>3.03</v>
      </c>
    </row>
    <row r="6484" spans="1:2" x14ac:dyDescent="0.2">
      <c r="A6484" s="170">
        <v>43311</v>
      </c>
      <c r="B6484" s="171">
        <v>3.05</v>
      </c>
    </row>
    <row r="6485" spans="1:2" x14ac:dyDescent="0.2">
      <c r="A6485" s="170">
        <v>43312</v>
      </c>
      <c r="B6485" s="171">
        <v>3.03</v>
      </c>
    </row>
    <row r="6486" spans="1:2" x14ac:dyDescent="0.2">
      <c r="A6486" s="170">
        <v>43313</v>
      </c>
      <c r="B6486" s="171">
        <v>3.07</v>
      </c>
    </row>
    <row r="6487" spans="1:2" x14ac:dyDescent="0.2">
      <c r="A6487" s="170">
        <v>43314</v>
      </c>
      <c r="B6487" s="171">
        <v>3.06</v>
      </c>
    </row>
    <row r="6488" spans="1:2" x14ac:dyDescent="0.2">
      <c r="A6488" s="170">
        <v>43315</v>
      </c>
      <c r="B6488" s="171">
        <v>3.03</v>
      </c>
    </row>
    <row r="6489" spans="1:2" x14ac:dyDescent="0.2">
      <c r="A6489" s="170">
        <v>43318</v>
      </c>
      <c r="B6489" s="171">
        <v>3.02</v>
      </c>
    </row>
    <row r="6490" spans="1:2" x14ac:dyDescent="0.2">
      <c r="A6490" s="170">
        <v>43319</v>
      </c>
      <c r="B6490" s="171">
        <v>3.06</v>
      </c>
    </row>
    <row r="6491" spans="1:2" x14ac:dyDescent="0.2">
      <c r="A6491" s="170">
        <v>43320</v>
      </c>
      <c r="B6491" s="171">
        <v>3.05</v>
      </c>
    </row>
    <row r="6492" spans="1:2" x14ac:dyDescent="0.2">
      <c r="A6492" s="170">
        <v>43321</v>
      </c>
      <c r="B6492" s="171">
        <v>3.01</v>
      </c>
    </row>
    <row r="6493" spans="1:2" x14ac:dyDescent="0.2">
      <c r="A6493" s="170">
        <v>43322</v>
      </c>
      <c r="B6493" s="171">
        <v>2.96</v>
      </c>
    </row>
    <row r="6494" spans="1:2" x14ac:dyDescent="0.2">
      <c r="A6494" s="170">
        <v>43325</v>
      </c>
      <c r="B6494" s="171">
        <v>2.97</v>
      </c>
    </row>
    <row r="6495" spans="1:2" x14ac:dyDescent="0.2">
      <c r="A6495" s="170">
        <v>43326</v>
      </c>
      <c r="B6495" s="171">
        <v>2.98</v>
      </c>
    </row>
    <row r="6496" spans="1:2" x14ac:dyDescent="0.2">
      <c r="A6496" s="170">
        <v>43327</v>
      </c>
      <c r="B6496" s="171">
        <v>2.95</v>
      </c>
    </row>
    <row r="6497" spans="1:2" x14ac:dyDescent="0.2">
      <c r="A6497" s="170">
        <v>43328</v>
      </c>
      <c r="B6497" s="171">
        <v>2.95</v>
      </c>
    </row>
    <row r="6498" spans="1:2" x14ac:dyDescent="0.2">
      <c r="A6498" s="170">
        <v>43329</v>
      </c>
      <c r="B6498" s="171">
        <v>2.95</v>
      </c>
    </row>
    <row r="6499" spans="1:2" x14ac:dyDescent="0.2">
      <c r="A6499" s="170">
        <v>43332</v>
      </c>
      <c r="B6499" s="171">
        <v>2.91</v>
      </c>
    </row>
    <row r="6500" spans="1:2" x14ac:dyDescent="0.2">
      <c r="A6500" s="170">
        <v>43333</v>
      </c>
      <c r="B6500" s="171">
        <v>2.93</v>
      </c>
    </row>
    <row r="6501" spans="1:2" x14ac:dyDescent="0.2">
      <c r="A6501" s="170">
        <v>43334</v>
      </c>
      <c r="B6501" s="171">
        <v>2.91</v>
      </c>
    </row>
    <row r="6502" spans="1:2" x14ac:dyDescent="0.2">
      <c r="A6502" s="170">
        <v>43335</v>
      </c>
      <c r="B6502" s="171">
        <v>2.9</v>
      </c>
    </row>
    <row r="6503" spans="1:2" x14ac:dyDescent="0.2">
      <c r="A6503" s="170">
        <v>43336</v>
      </c>
      <c r="B6503" s="171">
        <v>2.89</v>
      </c>
    </row>
    <row r="6504" spans="1:2" x14ac:dyDescent="0.2">
      <c r="A6504" s="170">
        <v>43339</v>
      </c>
      <c r="B6504" s="171">
        <v>2.92</v>
      </c>
    </row>
    <row r="6505" spans="1:2" x14ac:dyDescent="0.2">
      <c r="A6505" s="170">
        <v>43340</v>
      </c>
      <c r="B6505" s="171">
        <v>2.96</v>
      </c>
    </row>
    <row r="6506" spans="1:2" x14ac:dyDescent="0.2">
      <c r="A6506" s="170">
        <v>43341</v>
      </c>
      <c r="B6506" s="171">
        <v>2.96</v>
      </c>
    </row>
    <row r="6507" spans="1:2" x14ac:dyDescent="0.2">
      <c r="A6507" s="170">
        <v>43342</v>
      </c>
      <c r="B6507" s="171">
        <v>2.93</v>
      </c>
    </row>
    <row r="6508" spans="1:2" x14ac:dyDescent="0.2">
      <c r="A6508" s="170">
        <v>43343</v>
      </c>
      <c r="B6508" s="171">
        <v>2.95</v>
      </c>
    </row>
    <row r="6509" spans="1:2" x14ac:dyDescent="0.2">
      <c r="A6509" s="170">
        <v>43346</v>
      </c>
      <c r="B6509" s="171" t="e">
        <f>NA()</f>
        <v>#N/A</v>
      </c>
    </row>
    <row r="6510" spans="1:2" x14ac:dyDescent="0.2">
      <c r="A6510" s="170">
        <v>43347</v>
      </c>
      <c r="B6510" s="171">
        <v>2.99</v>
      </c>
    </row>
    <row r="6511" spans="1:2" x14ac:dyDescent="0.2">
      <c r="A6511" s="170">
        <v>43348</v>
      </c>
      <c r="B6511" s="171">
        <v>3</v>
      </c>
    </row>
    <row r="6512" spans="1:2" x14ac:dyDescent="0.2">
      <c r="A6512" s="170">
        <v>43349</v>
      </c>
      <c r="B6512" s="171">
        <v>2.98</v>
      </c>
    </row>
    <row r="6513" spans="1:2" x14ac:dyDescent="0.2">
      <c r="A6513" s="170">
        <v>43350</v>
      </c>
      <c r="B6513" s="171">
        <v>3.03</v>
      </c>
    </row>
    <row r="6514" spans="1:2" x14ac:dyDescent="0.2">
      <c r="A6514" s="170">
        <v>43353</v>
      </c>
      <c r="B6514" s="171">
        <v>3.02</v>
      </c>
    </row>
    <row r="6515" spans="1:2" x14ac:dyDescent="0.2">
      <c r="A6515" s="170">
        <v>43354</v>
      </c>
      <c r="B6515" s="171">
        <v>3.06</v>
      </c>
    </row>
    <row r="6516" spans="1:2" x14ac:dyDescent="0.2">
      <c r="A6516" s="170">
        <v>43355</v>
      </c>
      <c r="B6516" s="171">
        <v>3.04</v>
      </c>
    </row>
    <row r="6517" spans="1:2" x14ac:dyDescent="0.2">
      <c r="A6517" s="170">
        <v>43356</v>
      </c>
      <c r="B6517" s="171">
        <v>3.04</v>
      </c>
    </row>
    <row r="6518" spans="1:2" x14ac:dyDescent="0.2">
      <c r="A6518" s="170">
        <v>43357</v>
      </c>
      <c r="B6518" s="171">
        <v>3.07</v>
      </c>
    </row>
    <row r="6519" spans="1:2" x14ac:dyDescent="0.2">
      <c r="A6519" s="170">
        <v>43360</v>
      </c>
      <c r="B6519" s="171">
        <v>3.07</v>
      </c>
    </row>
    <row r="6520" spans="1:2" x14ac:dyDescent="0.2">
      <c r="A6520" s="170">
        <v>43361</v>
      </c>
      <c r="B6520" s="171">
        <v>3.14</v>
      </c>
    </row>
    <row r="6521" spans="1:2" x14ac:dyDescent="0.2">
      <c r="A6521" s="170">
        <v>43362</v>
      </c>
      <c r="B6521" s="171">
        <v>3.16</v>
      </c>
    </row>
    <row r="6522" spans="1:2" x14ac:dyDescent="0.2">
      <c r="A6522" s="170">
        <v>43363</v>
      </c>
      <c r="B6522" s="171">
        <v>3.15</v>
      </c>
    </row>
    <row r="6523" spans="1:2" x14ac:dyDescent="0.2">
      <c r="A6523" s="170">
        <v>43364</v>
      </c>
      <c r="B6523" s="171">
        <v>3.14</v>
      </c>
    </row>
    <row r="6524" spans="1:2" x14ac:dyDescent="0.2">
      <c r="A6524" s="170">
        <v>43367</v>
      </c>
      <c r="B6524" s="171">
        <v>3.15</v>
      </c>
    </row>
    <row r="6525" spans="1:2" x14ac:dyDescent="0.2">
      <c r="A6525" s="170">
        <v>43368</v>
      </c>
      <c r="B6525" s="171">
        <v>3.17</v>
      </c>
    </row>
    <row r="6526" spans="1:2" x14ac:dyDescent="0.2">
      <c r="A6526" s="170">
        <v>43369</v>
      </c>
      <c r="B6526" s="171">
        <v>3.14</v>
      </c>
    </row>
    <row r="6527" spans="1:2" x14ac:dyDescent="0.2">
      <c r="A6527" s="170">
        <v>43370</v>
      </c>
      <c r="B6527" s="171">
        <v>3.13</v>
      </c>
    </row>
    <row r="6528" spans="1:2" x14ac:dyDescent="0.2">
      <c r="A6528" s="170">
        <v>43371</v>
      </c>
      <c r="B6528" s="171">
        <v>3.13</v>
      </c>
    </row>
    <row r="6529" spans="1:2" x14ac:dyDescent="0.2">
      <c r="A6529" s="170">
        <v>43374</v>
      </c>
      <c r="B6529" s="171">
        <v>3.18</v>
      </c>
    </row>
    <row r="6530" spans="1:2" x14ac:dyDescent="0.2">
      <c r="A6530" s="170">
        <v>43375</v>
      </c>
      <c r="B6530" s="171">
        <v>3.14</v>
      </c>
    </row>
    <row r="6531" spans="1:2" x14ac:dyDescent="0.2">
      <c r="A6531" s="170">
        <v>43376</v>
      </c>
      <c r="B6531" s="171">
        <v>3.24</v>
      </c>
    </row>
    <row r="6532" spans="1:2" x14ac:dyDescent="0.2">
      <c r="A6532" s="170">
        <v>43377</v>
      </c>
      <c r="B6532" s="171">
        <v>3.29</v>
      </c>
    </row>
    <row r="6533" spans="1:2" x14ac:dyDescent="0.2">
      <c r="A6533" s="170">
        <v>43378</v>
      </c>
      <c r="B6533" s="171">
        <v>3.34</v>
      </c>
    </row>
    <row r="6534" spans="1:2" x14ac:dyDescent="0.2">
      <c r="A6534" s="170">
        <v>43381</v>
      </c>
      <c r="B6534" s="171" t="e">
        <f>NA()</f>
        <v>#N/A</v>
      </c>
    </row>
    <row r="6535" spans="1:2" x14ac:dyDescent="0.2">
      <c r="A6535" s="170">
        <v>43382</v>
      </c>
      <c r="B6535" s="171">
        <v>3.3</v>
      </c>
    </row>
    <row r="6536" spans="1:2" x14ac:dyDescent="0.2">
      <c r="A6536" s="170">
        <v>43383</v>
      </c>
      <c r="B6536" s="171">
        <v>3.33</v>
      </c>
    </row>
    <row r="6537" spans="1:2" x14ac:dyDescent="0.2">
      <c r="A6537" s="170">
        <v>43384</v>
      </c>
      <c r="B6537" s="171">
        <v>3.25</v>
      </c>
    </row>
    <row r="6538" spans="1:2" x14ac:dyDescent="0.2">
      <c r="A6538" s="170">
        <v>43385</v>
      </c>
      <c r="B6538" s="171">
        <v>3.25</v>
      </c>
    </row>
    <row r="6539" spans="1:2" x14ac:dyDescent="0.2">
      <c r="A6539" s="170">
        <v>43388</v>
      </c>
      <c r="B6539" s="171">
        <v>3.27</v>
      </c>
    </row>
    <row r="6540" spans="1:2" x14ac:dyDescent="0.2">
      <c r="A6540" s="170">
        <v>43389</v>
      </c>
      <c r="B6540" s="171">
        <v>3.26</v>
      </c>
    </row>
    <row r="6541" spans="1:2" x14ac:dyDescent="0.2">
      <c r="A6541" s="170">
        <v>43390</v>
      </c>
      <c r="B6541" s="171">
        <v>3.29</v>
      </c>
    </row>
    <row r="6542" spans="1:2" x14ac:dyDescent="0.2">
      <c r="A6542" s="170">
        <v>43391</v>
      </c>
      <c r="B6542" s="171">
        <v>3.28</v>
      </c>
    </row>
    <row r="6543" spans="1:2" x14ac:dyDescent="0.2">
      <c r="A6543" s="170">
        <v>43392</v>
      </c>
      <c r="B6543" s="171">
        <v>3.31</v>
      </c>
    </row>
    <row r="6544" spans="1:2" x14ac:dyDescent="0.2">
      <c r="A6544" s="170">
        <v>43395</v>
      </c>
      <c r="B6544" s="171">
        <v>3.31</v>
      </c>
    </row>
    <row r="6545" spans="1:2" x14ac:dyDescent="0.2">
      <c r="A6545" s="170">
        <v>43396</v>
      </c>
      <c r="B6545" s="171">
        <v>3.29</v>
      </c>
    </row>
    <row r="6546" spans="1:2" x14ac:dyDescent="0.2">
      <c r="A6546" s="170">
        <v>43397</v>
      </c>
      <c r="B6546" s="171">
        <v>3.24</v>
      </c>
    </row>
    <row r="6547" spans="1:2" x14ac:dyDescent="0.2">
      <c r="A6547" s="170">
        <v>43398</v>
      </c>
      <c r="B6547" s="171">
        <v>3.27</v>
      </c>
    </row>
    <row r="6548" spans="1:2" x14ac:dyDescent="0.2">
      <c r="A6548" s="170">
        <v>43399</v>
      </c>
      <c r="B6548" s="171">
        <v>3.23</v>
      </c>
    </row>
    <row r="6549" spans="1:2" x14ac:dyDescent="0.2">
      <c r="A6549" s="170">
        <v>43402</v>
      </c>
      <c r="B6549" s="171">
        <v>3.23</v>
      </c>
    </row>
    <row r="6550" spans="1:2" x14ac:dyDescent="0.2">
      <c r="A6550" s="170">
        <v>43403</v>
      </c>
      <c r="B6550" s="171">
        <v>3.26</v>
      </c>
    </row>
    <row r="6551" spans="1:2" x14ac:dyDescent="0.2">
      <c r="A6551" s="170">
        <v>43404</v>
      </c>
      <c r="B6551" s="171">
        <v>3.3</v>
      </c>
    </row>
    <row r="6552" spans="1:2" x14ac:dyDescent="0.2">
      <c r="A6552" s="170">
        <v>43405</v>
      </c>
      <c r="B6552" s="171">
        <v>3.29</v>
      </c>
    </row>
    <row r="6553" spans="1:2" x14ac:dyDescent="0.2">
      <c r="A6553" s="170">
        <v>43406</v>
      </c>
      <c r="B6553" s="171">
        <v>3.37</v>
      </c>
    </row>
    <row r="6554" spans="1:2" x14ac:dyDescent="0.2">
      <c r="A6554" s="170">
        <v>43409</v>
      </c>
      <c r="B6554" s="171">
        <v>3.34</v>
      </c>
    </row>
    <row r="6555" spans="1:2" x14ac:dyDescent="0.2">
      <c r="A6555" s="170">
        <v>43410</v>
      </c>
      <c r="B6555" s="171">
        <v>3.35</v>
      </c>
    </row>
    <row r="6556" spans="1:2" x14ac:dyDescent="0.2">
      <c r="A6556" s="170">
        <v>43411</v>
      </c>
      <c r="B6556" s="171">
        <v>3.35</v>
      </c>
    </row>
    <row r="6557" spans="1:2" x14ac:dyDescent="0.2">
      <c r="A6557" s="170">
        <v>43412</v>
      </c>
      <c r="B6557" s="171">
        <v>3.36</v>
      </c>
    </row>
    <row r="6558" spans="1:2" x14ac:dyDescent="0.2">
      <c r="A6558" s="170">
        <v>43413</v>
      </c>
      <c r="B6558" s="171">
        <v>3.32</v>
      </c>
    </row>
    <row r="6559" spans="1:2" x14ac:dyDescent="0.2">
      <c r="A6559" s="170">
        <v>43416</v>
      </c>
      <c r="B6559" s="171" t="e">
        <f>NA()</f>
        <v>#N/A</v>
      </c>
    </row>
    <row r="6560" spans="1:2" x14ac:dyDescent="0.2">
      <c r="A6560" s="170">
        <v>43417</v>
      </c>
      <c r="B6560" s="171">
        <v>3.28</v>
      </c>
    </row>
    <row r="6561" spans="1:2" x14ac:dyDescent="0.2">
      <c r="A6561" s="170">
        <v>43418</v>
      </c>
      <c r="B6561" s="171">
        <v>3.26</v>
      </c>
    </row>
    <row r="6562" spans="1:2" x14ac:dyDescent="0.2">
      <c r="A6562" s="170">
        <v>43419</v>
      </c>
      <c r="B6562" s="171">
        <v>3.27</v>
      </c>
    </row>
    <row r="6563" spans="1:2" x14ac:dyDescent="0.2">
      <c r="A6563" s="170">
        <v>43420</v>
      </c>
      <c r="B6563" s="171">
        <v>3.23</v>
      </c>
    </row>
    <row r="6564" spans="1:2" x14ac:dyDescent="0.2">
      <c r="A6564" s="170">
        <v>43423</v>
      </c>
      <c r="B6564" s="171">
        <v>3.22</v>
      </c>
    </row>
    <row r="6565" spans="1:2" x14ac:dyDescent="0.2">
      <c r="A6565" s="170">
        <v>43424</v>
      </c>
      <c r="B6565" s="171">
        <v>3.22</v>
      </c>
    </row>
    <row r="6566" spans="1:2" x14ac:dyDescent="0.2">
      <c r="A6566" s="170">
        <v>43425</v>
      </c>
      <c r="B6566" s="171">
        <v>3.22</v>
      </c>
    </row>
    <row r="6567" spans="1:2" x14ac:dyDescent="0.2">
      <c r="A6567" s="170">
        <v>43426</v>
      </c>
      <c r="B6567" s="171" t="e">
        <f>NA()</f>
        <v>#N/A</v>
      </c>
    </row>
    <row r="6568" spans="1:2" x14ac:dyDescent="0.2">
      <c r="A6568" s="170">
        <v>43427</v>
      </c>
      <c r="B6568" s="171">
        <v>3.21</v>
      </c>
    </row>
    <row r="6569" spans="1:2" x14ac:dyDescent="0.2">
      <c r="A6569" s="170">
        <v>43430</v>
      </c>
      <c r="B6569" s="171">
        <v>3.22</v>
      </c>
    </row>
    <row r="6570" spans="1:2" x14ac:dyDescent="0.2">
      <c r="A6570" s="170">
        <v>43431</v>
      </c>
      <c r="B6570" s="171">
        <v>3.22</v>
      </c>
    </row>
    <row r="6571" spans="1:2" x14ac:dyDescent="0.2">
      <c r="A6571" s="170">
        <v>43432</v>
      </c>
      <c r="B6571" s="171">
        <v>3.23</v>
      </c>
    </row>
    <row r="6572" spans="1:2" x14ac:dyDescent="0.2">
      <c r="A6572" s="170">
        <v>43433</v>
      </c>
      <c r="B6572" s="171">
        <v>3.21</v>
      </c>
    </row>
    <row r="6573" spans="1:2" x14ac:dyDescent="0.2">
      <c r="A6573" s="170">
        <v>43434</v>
      </c>
      <c r="B6573" s="171">
        <v>3.19</v>
      </c>
    </row>
    <row r="6574" spans="1:2" x14ac:dyDescent="0.2">
      <c r="A6574" s="170">
        <v>43437</v>
      </c>
      <c r="B6574" s="171">
        <v>3.15</v>
      </c>
    </row>
    <row r="6575" spans="1:2" x14ac:dyDescent="0.2">
      <c r="A6575" s="170">
        <v>43438</v>
      </c>
      <c r="B6575" s="171">
        <v>3.05</v>
      </c>
    </row>
    <row r="6576" spans="1:2" x14ac:dyDescent="0.2">
      <c r="A6576" s="170">
        <v>43439</v>
      </c>
      <c r="B6576" s="171" t="e">
        <f>NA()</f>
        <v>#N/A</v>
      </c>
    </row>
    <row r="6577" spans="1:2" x14ac:dyDescent="0.2">
      <c r="A6577" s="170">
        <v>43440</v>
      </c>
      <c r="B6577" s="171">
        <v>3.01</v>
      </c>
    </row>
    <row r="6578" spans="1:2" x14ac:dyDescent="0.2">
      <c r="A6578" s="170">
        <v>43441</v>
      </c>
      <c r="B6578" s="171">
        <v>3.01</v>
      </c>
    </row>
    <row r="6579" spans="1:2" x14ac:dyDescent="0.2">
      <c r="A6579" s="170">
        <v>43444</v>
      </c>
      <c r="B6579" s="171">
        <v>3</v>
      </c>
    </row>
    <row r="6580" spans="1:2" x14ac:dyDescent="0.2">
      <c r="A6580" s="170">
        <v>43445</v>
      </c>
      <c r="B6580" s="171">
        <v>3.02</v>
      </c>
    </row>
    <row r="6581" spans="1:2" x14ac:dyDescent="0.2">
      <c r="A6581" s="170">
        <v>43446</v>
      </c>
      <c r="B6581" s="171">
        <v>3.04</v>
      </c>
    </row>
    <row r="6582" spans="1:2" x14ac:dyDescent="0.2">
      <c r="A6582" s="170">
        <v>43447</v>
      </c>
      <c r="B6582" s="171">
        <v>3.05</v>
      </c>
    </row>
    <row r="6583" spans="1:2" x14ac:dyDescent="0.2">
      <c r="A6583" s="170">
        <v>43448</v>
      </c>
      <c r="B6583" s="171">
        <v>3.03</v>
      </c>
    </row>
  </sheetData>
  <hyperlinks>
    <hyperlink ref="A5" r:id="rId1"/>
    <hyperlink ref="F5" r:id="rId2"/>
    <hyperlink ref="J5" r:id="rId3"/>
  </hyperlinks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71"/>
  <sheetViews>
    <sheetView view="pageBreakPreview" zoomScale="60" zoomScaleNormal="70" workbookViewId="0">
      <selection activeCell="C2" sqref="C2:T2"/>
    </sheetView>
  </sheetViews>
  <sheetFormatPr defaultRowHeight="14.25" x14ac:dyDescent="0.2"/>
  <cols>
    <col min="1" max="2" width="8" customWidth="1"/>
    <col min="3" max="3" width="5.875" bestFit="1" customWidth="1"/>
    <col min="4" max="4" width="1.75" customWidth="1"/>
    <col min="5" max="5" width="34.625" customWidth="1"/>
    <col min="6" max="19" width="9" customWidth="1"/>
    <col min="20" max="20" width="9.25" bestFit="1" customWidth="1"/>
    <col min="21" max="23" width="9.25" customWidth="1"/>
    <col min="24" max="24" width="10.625" bestFit="1" customWidth="1"/>
    <col min="25" max="32" width="8.75" customWidth="1"/>
  </cols>
  <sheetData>
    <row r="1" spans="1:32" ht="27.75" x14ac:dyDescent="0.4">
      <c r="C1" s="236" t="str">
        <f>ElectricU</f>
        <v>Louisville Gas and Electric Company</v>
      </c>
      <c r="D1" s="236"/>
      <c r="E1" s="236"/>
      <c r="F1" s="236"/>
      <c r="G1" s="236"/>
      <c r="H1" s="236"/>
      <c r="I1" s="236"/>
      <c r="J1" s="236"/>
      <c r="K1" s="236"/>
      <c r="L1" s="236"/>
      <c r="M1" s="236"/>
      <c r="N1" s="236"/>
      <c r="O1" s="236"/>
      <c r="P1" s="236"/>
      <c r="Q1" s="236"/>
      <c r="R1" s="236"/>
      <c r="S1" s="236"/>
      <c r="T1" s="236"/>
      <c r="U1" s="196"/>
      <c r="V1" s="196"/>
      <c r="W1" s="196"/>
      <c r="X1" s="196"/>
      <c r="Y1" s="196"/>
      <c r="Z1" s="196"/>
      <c r="AA1" s="196"/>
      <c r="AB1" s="196"/>
      <c r="AC1" s="196"/>
      <c r="AD1" s="196"/>
      <c r="AE1" s="196"/>
      <c r="AF1" s="196"/>
    </row>
    <row r="2" spans="1:32" ht="27.75" x14ac:dyDescent="0.4">
      <c r="C2" s="236" t="s">
        <v>526</v>
      </c>
      <c r="D2" s="236"/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36"/>
      <c r="Q2" s="236"/>
      <c r="R2" s="236"/>
      <c r="S2" s="236"/>
      <c r="T2" s="236"/>
      <c r="U2" s="233"/>
      <c r="V2" s="233"/>
      <c r="W2" s="233"/>
      <c r="X2" s="233"/>
      <c r="Y2" s="233"/>
      <c r="Z2" s="233"/>
      <c r="AA2" s="233"/>
      <c r="AB2" s="233"/>
      <c r="AC2" s="233"/>
      <c r="AD2" s="233"/>
      <c r="AE2" s="233"/>
      <c r="AF2" s="233"/>
    </row>
    <row r="3" spans="1:32" x14ac:dyDescent="0.2">
      <c r="C3" s="4"/>
      <c r="D3" s="5"/>
      <c r="E3" s="6"/>
      <c r="F3" s="6"/>
      <c r="G3" s="6"/>
      <c r="H3" s="6"/>
      <c r="I3" s="6"/>
      <c r="J3" s="6"/>
      <c r="K3" s="6"/>
      <c r="L3" s="6"/>
      <c r="M3" s="6"/>
      <c r="N3" s="6"/>
      <c r="O3" s="7"/>
      <c r="P3" s="7"/>
      <c r="Q3" s="7"/>
      <c r="R3" s="7"/>
      <c r="S3" s="7"/>
      <c r="T3" s="7"/>
      <c r="U3" s="7"/>
      <c r="V3" s="7"/>
      <c r="W3" s="7"/>
      <c r="X3" s="7"/>
    </row>
    <row r="4" spans="1:32" x14ac:dyDescent="0.2">
      <c r="C4" s="4"/>
      <c r="D4" s="5"/>
      <c r="E4" s="6"/>
      <c r="F4" s="6"/>
      <c r="G4" s="6"/>
      <c r="H4" s="6"/>
      <c r="I4" s="6"/>
      <c r="J4" s="6"/>
      <c r="K4" s="6"/>
      <c r="L4" s="6"/>
      <c r="M4" s="6"/>
      <c r="N4" s="6"/>
      <c r="O4" s="7"/>
      <c r="P4" s="7"/>
      <c r="Q4" s="7"/>
      <c r="R4" s="7"/>
      <c r="S4" s="7"/>
      <c r="T4" s="7"/>
      <c r="U4" s="7"/>
      <c r="V4" s="7"/>
      <c r="W4" s="7"/>
      <c r="X4" s="7"/>
    </row>
    <row r="5" spans="1:32" ht="20.25" x14ac:dyDescent="0.3">
      <c r="C5" s="237" t="s">
        <v>272</v>
      </c>
      <c r="D5" s="237"/>
      <c r="E5" s="237"/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  <c r="T5" s="237"/>
      <c r="U5" s="197"/>
      <c r="V5" s="197"/>
      <c r="W5" s="197"/>
      <c r="X5" s="197"/>
      <c r="Y5" s="197"/>
      <c r="Z5" s="197"/>
      <c r="AA5" s="197"/>
      <c r="AB5" s="197"/>
      <c r="AC5" s="197"/>
      <c r="AD5" s="197"/>
      <c r="AE5" s="197"/>
      <c r="AF5" s="197"/>
    </row>
    <row r="6" spans="1:32" ht="18" x14ac:dyDescent="0.25">
      <c r="C6" s="238" t="s">
        <v>274</v>
      </c>
      <c r="D6" s="238"/>
      <c r="E6" s="238"/>
      <c r="F6" s="238"/>
      <c r="G6" s="238"/>
      <c r="H6" s="238"/>
      <c r="I6" s="238"/>
      <c r="J6" s="238"/>
      <c r="K6" s="238"/>
      <c r="L6" s="238"/>
      <c r="M6" s="238"/>
      <c r="N6" s="238"/>
      <c r="O6" s="238"/>
      <c r="P6" s="238"/>
      <c r="Q6" s="238"/>
      <c r="R6" s="238"/>
      <c r="S6" s="238"/>
      <c r="T6" s="238"/>
      <c r="U6" s="198"/>
      <c r="V6" s="198"/>
      <c r="W6" s="198"/>
      <c r="X6" s="198"/>
      <c r="Y6" s="198"/>
      <c r="Z6" s="198"/>
      <c r="AA6" s="198"/>
      <c r="AB6" s="198"/>
      <c r="AC6" s="198"/>
      <c r="AD6" s="198"/>
      <c r="AE6" s="198"/>
      <c r="AF6" s="198"/>
    </row>
    <row r="7" spans="1:32" x14ac:dyDescent="0.2">
      <c r="C7" s="6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</row>
    <row r="8" spans="1:32" x14ac:dyDescent="0.2">
      <c r="C8" s="6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216"/>
      <c r="T8" s="7"/>
      <c r="U8" s="7"/>
      <c r="V8" s="7"/>
      <c r="W8" s="7"/>
      <c r="X8" s="7"/>
    </row>
    <row r="9" spans="1:32" ht="17.25" x14ac:dyDescent="0.25">
      <c r="C9" s="6"/>
      <c r="D9" s="7"/>
      <c r="E9" s="7"/>
      <c r="F9" s="239" t="s">
        <v>472</v>
      </c>
      <c r="G9" s="239"/>
      <c r="H9" s="239"/>
      <c r="I9" s="239"/>
      <c r="J9" s="239"/>
      <c r="K9" s="239"/>
      <c r="L9" s="239"/>
      <c r="M9" s="239"/>
      <c r="N9" s="239"/>
      <c r="O9" s="239"/>
      <c r="P9" s="239"/>
      <c r="Q9" s="239"/>
      <c r="R9" s="239"/>
      <c r="S9" s="239"/>
      <c r="T9" s="239"/>
      <c r="U9" s="199"/>
      <c r="V9" s="199"/>
      <c r="W9" s="199"/>
      <c r="X9" s="199"/>
      <c r="Y9" s="199"/>
      <c r="Z9" s="8"/>
      <c r="AA9" s="8"/>
      <c r="AB9" s="8"/>
      <c r="AC9" s="8"/>
      <c r="AD9" s="8"/>
      <c r="AE9" s="8"/>
      <c r="AF9" s="8"/>
    </row>
    <row r="10" spans="1:32" ht="15" x14ac:dyDescent="0.25">
      <c r="A10" s="42" t="s">
        <v>99</v>
      </c>
      <c r="B10" s="42" t="s">
        <v>241</v>
      </c>
      <c r="C10" s="6"/>
      <c r="D10" s="7"/>
      <c r="E10" s="7"/>
      <c r="F10" s="8" t="s">
        <v>429</v>
      </c>
      <c r="G10" s="116">
        <v>2017</v>
      </c>
      <c r="H10" s="8"/>
      <c r="I10" s="8"/>
      <c r="J10" s="8"/>
      <c r="K10" s="8"/>
      <c r="L10" s="8"/>
      <c r="M10" s="8"/>
      <c r="N10" s="7"/>
      <c r="O10" s="7"/>
      <c r="P10" s="7"/>
      <c r="Q10" s="7"/>
      <c r="R10" s="7"/>
      <c r="S10" s="7"/>
      <c r="U10" s="210"/>
      <c r="V10" s="210"/>
      <c r="W10" s="210"/>
      <c r="X10" s="7"/>
      <c r="Y10" s="210"/>
      <c r="Z10" s="210"/>
      <c r="AA10" s="210"/>
      <c r="AB10" s="210"/>
      <c r="AC10" s="210"/>
      <c r="AD10" s="210"/>
      <c r="AE10" s="210"/>
      <c r="AF10" s="210"/>
    </row>
    <row r="11" spans="1:32" ht="17.25" x14ac:dyDescent="0.25">
      <c r="A11" s="42" t="s">
        <v>100</v>
      </c>
      <c r="B11" s="42" t="s">
        <v>242</v>
      </c>
      <c r="C11" s="9" t="s">
        <v>96</v>
      </c>
      <c r="D11" s="234" t="s">
        <v>97</v>
      </c>
      <c r="E11" s="234"/>
      <c r="F11" s="10" t="s">
        <v>98</v>
      </c>
      <c r="G11" s="41" t="s">
        <v>422</v>
      </c>
      <c r="H11" s="41">
        <v>2017</v>
      </c>
      <c r="I11" s="41">
        <v>2016</v>
      </c>
      <c r="J11" s="41">
        <v>2015</v>
      </c>
      <c r="K11" s="41">
        <v>2014</v>
      </c>
      <c r="L11" s="41">
        <v>2013</v>
      </c>
      <c r="M11" s="41">
        <v>2012</v>
      </c>
      <c r="N11" s="41">
        <v>2011</v>
      </c>
      <c r="O11" s="41">
        <v>2010</v>
      </c>
      <c r="P11" s="41">
        <v>2009</v>
      </c>
      <c r="Q11" s="41">
        <v>2008</v>
      </c>
      <c r="R11" s="41">
        <v>2007</v>
      </c>
      <c r="S11" s="41">
        <v>2006</v>
      </c>
      <c r="U11" s="41"/>
      <c r="V11" s="41"/>
      <c r="W11" s="41"/>
      <c r="X11" s="212"/>
      <c r="Y11" s="41"/>
      <c r="Z11" s="41"/>
      <c r="AA11" s="41"/>
      <c r="AB11" s="41"/>
      <c r="AC11" s="41"/>
      <c r="AD11" s="41"/>
      <c r="AE11" s="41"/>
      <c r="AF11" s="41"/>
    </row>
    <row r="12" spans="1:32" ht="15" x14ac:dyDescent="0.25">
      <c r="A12" s="42"/>
      <c r="B12" s="42"/>
      <c r="C12" s="9"/>
      <c r="D12" s="195"/>
      <c r="E12" s="195"/>
      <c r="F12" s="12">
        <v>-1</v>
      </c>
      <c r="G12" s="12">
        <f>+F12-1</f>
        <v>-2</v>
      </c>
      <c r="H12" s="12">
        <f>+G12-1</f>
        <v>-3</v>
      </c>
      <c r="I12" s="12">
        <f t="shared" ref="I12:S12" si="0">+H12-1</f>
        <v>-4</v>
      </c>
      <c r="J12" s="12">
        <f t="shared" si="0"/>
        <v>-5</v>
      </c>
      <c r="K12" s="12">
        <f t="shared" si="0"/>
        <v>-6</v>
      </c>
      <c r="L12" s="12">
        <f t="shared" si="0"/>
        <v>-7</v>
      </c>
      <c r="M12" s="12">
        <f t="shared" si="0"/>
        <v>-8</v>
      </c>
      <c r="N12" s="12">
        <f t="shared" si="0"/>
        <v>-9</v>
      </c>
      <c r="O12" s="12">
        <f t="shared" si="0"/>
        <v>-10</v>
      </c>
      <c r="P12" s="12">
        <f t="shared" si="0"/>
        <v>-11</v>
      </c>
      <c r="Q12" s="12">
        <f t="shared" si="0"/>
        <v>-12</v>
      </c>
      <c r="R12" s="12">
        <f t="shared" si="0"/>
        <v>-13</v>
      </c>
      <c r="S12" s="12">
        <f t="shared" si="0"/>
        <v>-14</v>
      </c>
      <c r="U12" s="12"/>
      <c r="V12" s="12"/>
      <c r="W12" s="12"/>
      <c r="X12" s="12"/>
    </row>
    <row r="13" spans="1:32" ht="15" x14ac:dyDescent="0.25">
      <c r="A13" s="43"/>
      <c r="B13" s="44"/>
      <c r="C13" s="9"/>
      <c r="D13" s="14" t="s">
        <v>101</v>
      </c>
      <c r="E13" s="11"/>
      <c r="F13" s="36"/>
      <c r="G13" s="36"/>
      <c r="H13" s="52"/>
      <c r="I13" s="134">
        <f t="shared" ref="I13:S13" ca="1" si="1">MATCH(I11,OFFSET(Dividends,-2,0,1,),0)</f>
        <v>2</v>
      </c>
      <c r="J13" s="134">
        <f t="shared" ca="1" si="1"/>
        <v>3</v>
      </c>
      <c r="K13" s="134">
        <f t="shared" ca="1" si="1"/>
        <v>4</v>
      </c>
      <c r="L13" s="134">
        <f t="shared" ca="1" si="1"/>
        <v>5</v>
      </c>
      <c r="M13" s="134">
        <f t="shared" ca="1" si="1"/>
        <v>6</v>
      </c>
      <c r="N13" s="134">
        <f t="shared" ca="1" si="1"/>
        <v>7</v>
      </c>
      <c r="O13" s="134">
        <f t="shared" ca="1" si="1"/>
        <v>8</v>
      </c>
      <c r="P13" s="134">
        <f t="shared" ca="1" si="1"/>
        <v>9</v>
      </c>
      <c r="Q13" s="134">
        <f t="shared" ca="1" si="1"/>
        <v>10</v>
      </c>
      <c r="R13" s="134">
        <f t="shared" ca="1" si="1"/>
        <v>11</v>
      </c>
      <c r="S13" s="134">
        <f t="shared" ca="1" si="1"/>
        <v>12</v>
      </c>
      <c r="U13" s="16"/>
      <c r="V13" s="16"/>
      <c r="W13" s="16"/>
      <c r="X13" s="16"/>
    </row>
    <row r="14" spans="1:32" x14ac:dyDescent="0.2">
      <c r="A14" s="45" t="s">
        <v>0</v>
      </c>
      <c r="B14" s="117">
        <f t="shared" ref="B14:B59" ca="1" si="2">IFERROR(MATCH(A14,OFFSET(Dividends,0,0,,1),0),"")</f>
        <v>3</v>
      </c>
      <c r="C14" s="1">
        <f>IF(ISERROR(D14),"",IF(D14="","",MAX($C$13:C13)+1))</f>
        <v>1</v>
      </c>
      <c r="D14" t="str">
        <f t="shared" ref="D14:D59" si="3">VLOOKUP(A14,LUCurYr,2,FALSE)</f>
        <v xml:space="preserve">ALLETE                        </v>
      </c>
      <c r="E14" s="15"/>
      <c r="F14" s="133">
        <f t="shared" ref="F14:F59" ca="1" si="4">IFERROR(AVERAGE(G14:S14),"N/A")</f>
        <v>2.8084615384615388</v>
      </c>
      <c r="G14" s="133">
        <f t="shared" ref="G14:G59" si="5">IFERROR(IF(VLOOKUP(A14,LUCurYr,8,FALSE)=0,"",VLOOKUP(A14,LUCurYr,8,FALSE)),"N/A")</f>
        <v>3.35</v>
      </c>
      <c r="H14" s="133">
        <f ca="1">IFERROR(IF(VLOOKUP($A14,LASTYR,'2017'!$F$3,FALSE)=0,"N/A",VLOOKUP($A14,LASTYR,'2017'!$F$3,FALSE)),"N/A")</f>
        <v>3.13</v>
      </c>
      <c r="I14" s="133">
        <f t="shared" ref="I14:S23" ca="1" si="6">IFERROR(IF(INDEX(Earnings,$B14,I$13)=0,"N/A",INDEX(Earnings,$B14,I$13)),"N/A")</f>
        <v>3.14</v>
      </c>
      <c r="J14" s="133">
        <f t="shared" ca="1" si="6"/>
        <v>3.38</v>
      </c>
      <c r="K14" s="133">
        <f t="shared" ca="1" si="6"/>
        <v>2.9</v>
      </c>
      <c r="L14" s="133">
        <f t="shared" ca="1" si="6"/>
        <v>2.63</v>
      </c>
      <c r="M14" s="133">
        <f t="shared" ca="1" si="6"/>
        <v>2.58</v>
      </c>
      <c r="N14" s="133">
        <f t="shared" ca="1" si="6"/>
        <v>2.65</v>
      </c>
      <c r="O14" s="133">
        <f t="shared" ca="1" si="6"/>
        <v>2.19</v>
      </c>
      <c r="P14" s="133">
        <f t="shared" ca="1" si="6"/>
        <v>1.89</v>
      </c>
      <c r="Q14" s="133">
        <f t="shared" ca="1" si="6"/>
        <v>2.82</v>
      </c>
      <c r="R14" s="133">
        <f t="shared" ca="1" si="6"/>
        <v>3.08</v>
      </c>
      <c r="S14" s="133">
        <f t="shared" ca="1" si="6"/>
        <v>2.77</v>
      </c>
      <c r="U14" s="80"/>
      <c r="V14" s="211"/>
      <c r="W14" s="208"/>
      <c r="X14" s="217"/>
      <c r="Y14" s="213"/>
      <c r="Z14" s="214"/>
      <c r="AA14" s="214"/>
      <c r="AB14" s="215"/>
      <c r="AC14" s="215"/>
      <c r="AD14" s="215"/>
      <c r="AE14" s="215"/>
      <c r="AF14" s="215"/>
    </row>
    <row r="15" spans="1:32" x14ac:dyDescent="0.2">
      <c r="A15" s="45" t="s">
        <v>1</v>
      </c>
      <c r="B15" s="117">
        <f t="shared" ca="1" si="2"/>
        <v>4</v>
      </c>
      <c r="C15" s="1">
        <f>IF(ISERROR(D15),"",IF(D15="","",MAX($C$13:C14)+1))</f>
        <v>2</v>
      </c>
      <c r="D15" t="str">
        <f t="shared" si="3"/>
        <v xml:space="preserve">Alliant Energy                </v>
      </c>
      <c r="E15" s="15"/>
      <c r="F15" s="133">
        <f t="shared" ca="1" si="4"/>
        <v>1.5176923076923075</v>
      </c>
      <c r="G15" s="133">
        <f t="shared" si="5"/>
        <v>2.15</v>
      </c>
      <c r="H15" s="133">
        <f ca="1">IFERROR(IF(VLOOKUP($A15,LASTYR,'2017'!$F$3,FALSE)=0,"N/A",VLOOKUP($A15,LASTYR,'2017'!$F$3,FALSE)),"N/A")</f>
        <v>1.99</v>
      </c>
      <c r="I15" s="133">
        <f t="shared" ca="1" si="6"/>
        <v>1.65</v>
      </c>
      <c r="J15" s="133">
        <f t="shared" ca="1" si="6"/>
        <v>1.69</v>
      </c>
      <c r="K15" s="133">
        <f t="shared" ca="1" si="6"/>
        <v>1.74</v>
      </c>
      <c r="L15" s="133">
        <f t="shared" ca="1" si="6"/>
        <v>1.645</v>
      </c>
      <c r="M15" s="133">
        <f t="shared" ca="1" si="6"/>
        <v>1.5249999999999999</v>
      </c>
      <c r="N15" s="133">
        <f t="shared" ca="1" si="6"/>
        <v>1.375</v>
      </c>
      <c r="O15" s="133">
        <f t="shared" ca="1" si="6"/>
        <v>1.375</v>
      </c>
      <c r="P15" s="133">
        <f t="shared" ca="1" si="6"/>
        <v>0.94499999999999995</v>
      </c>
      <c r="Q15" s="133">
        <f t="shared" ca="1" si="6"/>
        <v>1.27</v>
      </c>
      <c r="R15" s="133">
        <f t="shared" ca="1" si="6"/>
        <v>1.345</v>
      </c>
      <c r="S15" s="133">
        <f t="shared" ca="1" si="6"/>
        <v>1.03</v>
      </c>
      <c r="U15" s="80"/>
      <c r="V15" s="211"/>
      <c r="W15" s="208"/>
      <c r="X15" s="217"/>
      <c r="Y15" s="213"/>
      <c r="Z15" s="214"/>
      <c r="AA15" s="214"/>
      <c r="AB15" s="215"/>
    </row>
    <row r="16" spans="1:32" x14ac:dyDescent="0.2">
      <c r="A16" s="45" t="s">
        <v>3</v>
      </c>
      <c r="B16" s="117">
        <f t="shared" ca="1" si="2"/>
        <v>8</v>
      </c>
      <c r="C16" s="1">
        <f>IF(ISERROR(D16),"",IF(D16="","",MAX($C$13:C15)+1))</f>
        <v>3</v>
      </c>
      <c r="D16" t="str">
        <f t="shared" si="3"/>
        <v xml:space="preserve">Ameren Corp.                  </v>
      </c>
      <c r="E16" s="15"/>
      <c r="F16" s="133">
        <f t="shared" ca="1" si="4"/>
        <v>2.6638461538461535</v>
      </c>
      <c r="G16" s="133">
        <f t="shared" si="5"/>
        <v>3.35</v>
      </c>
      <c r="H16" s="133">
        <f ca="1">IFERROR(IF(VLOOKUP($A16,LASTYR,'2017'!$F$3,FALSE)=0,"N/A",VLOOKUP($A16,LASTYR,'2017'!$F$3,FALSE)),"N/A")</f>
        <v>2.77</v>
      </c>
      <c r="I16" s="133">
        <f t="shared" ca="1" si="6"/>
        <v>2.68</v>
      </c>
      <c r="J16" s="133">
        <f t="shared" ca="1" si="6"/>
        <v>2.38</v>
      </c>
      <c r="K16" s="133">
        <f t="shared" ca="1" si="6"/>
        <v>2.4</v>
      </c>
      <c r="L16" s="133">
        <f t="shared" ca="1" si="6"/>
        <v>2.1</v>
      </c>
      <c r="M16" s="133">
        <f t="shared" ca="1" si="6"/>
        <v>2.41</v>
      </c>
      <c r="N16" s="133">
        <f t="shared" ca="1" si="6"/>
        <v>2.4700000000000002</v>
      </c>
      <c r="O16" s="133">
        <f t="shared" ca="1" si="6"/>
        <v>2.77</v>
      </c>
      <c r="P16" s="133">
        <f t="shared" ca="1" si="6"/>
        <v>2.78</v>
      </c>
      <c r="Q16" s="133">
        <f t="shared" ca="1" si="6"/>
        <v>2.88</v>
      </c>
      <c r="R16" s="133">
        <f t="shared" ca="1" si="6"/>
        <v>2.98</v>
      </c>
      <c r="S16" s="133">
        <f t="shared" ca="1" si="6"/>
        <v>2.66</v>
      </c>
      <c r="U16" s="80"/>
      <c r="V16" s="211"/>
      <c r="W16" s="208"/>
      <c r="X16" s="217"/>
      <c r="Y16" s="213"/>
      <c r="Z16" s="214"/>
      <c r="AA16" s="214"/>
      <c r="AB16" s="215"/>
      <c r="AE16" s="215"/>
    </row>
    <row r="17" spans="1:28" x14ac:dyDescent="0.2">
      <c r="A17" s="45" t="s">
        <v>2</v>
      </c>
      <c r="B17" s="117">
        <f t="shared" ca="1" si="2"/>
        <v>5</v>
      </c>
      <c r="C17" s="1">
        <f>IF(ISERROR(D17),"",IF(D17="","",MAX($C$13:C16)+1))</f>
        <v>4</v>
      </c>
      <c r="D17" t="str">
        <f t="shared" si="3"/>
        <v>American Electric Power</v>
      </c>
      <c r="E17" s="15"/>
      <c r="F17" s="133">
        <f t="shared" ca="1" si="4"/>
        <v>3.25</v>
      </c>
      <c r="G17" s="133">
        <f t="shared" si="5"/>
        <v>3.9</v>
      </c>
      <c r="H17" s="133">
        <f ca="1">IFERROR(IF(VLOOKUP($A17,LASTYR,'2017'!$F$3,FALSE)=0,"N/A",VLOOKUP($A17,LASTYR,'2017'!$F$3,FALSE)),"N/A")</f>
        <v>3.62</v>
      </c>
      <c r="I17" s="133">
        <f t="shared" ca="1" si="6"/>
        <v>4.2300000000000004</v>
      </c>
      <c r="J17" s="133">
        <f t="shared" ca="1" si="6"/>
        <v>3.59</v>
      </c>
      <c r="K17" s="133">
        <f t="shared" ca="1" si="6"/>
        <v>3.34</v>
      </c>
      <c r="L17" s="133">
        <f t="shared" ca="1" si="6"/>
        <v>3.18</v>
      </c>
      <c r="M17" s="133">
        <f t="shared" ca="1" si="6"/>
        <v>2.98</v>
      </c>
      <c r="N17" s="133">
        <f t="shared" ca="1" si="6"/>
        <v>3.13</v>
      </c>
      <c r="O17" s="133">
        <f t="shared" ca="1" si="6"/>
        <v>2.6</v>
      </c>
      <c r="P17" s="133">
        <f t="shared" ca="1" si="6"/>
        <v>2.97</v>
      </c>
      <c r="Q17" s="133">
        <f t="shared" ca="1" si="6"/>
        <v>2.99</v>
      </c>
      <c r="R17" s="133">
        <f t="shared" ca="1" si="6"/>
        <v>2.86</v>
      </c>
      <c r="S17" s="133">
        <f t="shared" ca="1" si="6"/>
        <v>2.86</v>
      </c>
      <c r="U17" s="80"/>
      <c r="V17" s="211"/>
      <c r="W17" s="208"/>
      <c r="X17" s="217"/>
      <c r="Y17" s="213"/>
      <c r="Z17" s="214"/>
      <c r="AA17" s="214"/>
      <c r="AB17" s="215"/>
    </row>
    <row r="18" spans="1:28" x14ac:dyDescent="0.2">
      <c r="A18" s="45" t="s">
        <v>260</v>
      </c>
      <c r="B18" s="117">
        <f t="shared" ca="1" si="2"/>
        <v>13</v>
      </c>
      <c r="C18" s="1">
        <f>IF(ISERROR(D18),"",IF(D18="","",MAX($C$13:C17)+1))</f>
        <v>5</v>
      </c>
      <c r="D18" t="str">
        <f t="shared" si="3"/>
        <v>Avangrid, Inc.</v>
      </c>
      <c r="E18" s="15"/>
      <c r="F18" s="133">
        <f t="shared" ca="1" si="4"/>
        <v>1.6775</v>
      </c>
      <c r="G18" s="133">
        <f t="shared" si="5"/>
        <v>2.2000000000000002</v>
      </c>
      <c r="H18" s="133">
        <f ca="1">IFERROR(IF(VLOOKUP($A18,LASTYR,'2017'!$F$3,FALSE)=0,"N/A",VLOOKUP($A18,LASTYR,'2017'!$F$3,FALSE)),"N/A")</f>
        <v>1.67</v>
      </c>
      <c r="I18" s="133">
        <f t="shared" ca="1" si="6"/>
        <v>1.98</v>
      </c>
      <c r="J18" s="133">
        <f t="shared" ca="1" si="6"/>
        <v>0.86</v>
      </c>
      <c r="K18" s="133" t="str">
        <f t="shared" ca="1" si="6"/>
        <v>N/A</v>
      </c>
      <c r="L18" s="133" t="str">
        <f t="shared" ca="1" si="6"/>
        <v>N/A</v>
      </c>
      <c r="M18" s="133" t="str">
        <f t="shared" ca="1" si="6"/>
        <v>N/A</v>
      </c>
      <c r="N18" s="133" t="str">
        <f t="shared" ca="1" si="6"/>
        <v>N/A</v>
      </c>
      <c r="O18" s="133" t="str">
        <f t="shared" ca="1" si="6"/>
        <v>N/A</v>
      </c>
      <c r="P18" s="133" t="str">
        <f t="shared" ca="1" si="6"/>
        <v>N/A</v>
      </c>
      <c r="Q18" s="133" t="str">
        <f t="shared" ca="1" si="6"/>
        <v>N/A</v>
      </c>
      <c r="R18" s="133" t="str">
        <f t="shared" ca="1" si="6"/>
        <v>N/A</v>
      </c>
      <c r="S18" s="133" t="str">
        <f t="shared" ca="1" si="6"/>
        <v>N/A</v>
      </c>
      <c r="U18" s="80"/>
      <c r="V18" s="211"/>
      <c r="W18" s="208"/>
      <c r="X18" s="217"/>
      <c r="Y18" s="213"/>
      <c r="Z18" s="214"/>
      <c r="AA18" s="214"/>
      <c r="AB18" s="215"/>
    </row>
    <row r="19" spans="1:28" x14ac:dyDescent="0.2">
      <c r="A19" s="45" t="s">
        <v>4</v>
      </c>
      <c r="B19" s="117">
        <f t="shared" ca="1" si="2"/>
        <v>14</v>
      </c>
      <c r="C19" s="1">
        <f>IF(ISERROR(D19),"",IF(D19="","",MAX($C$13:C18)+1))</f>
        <v>6</v>
      </c>
      <c r="D19" t="str">
        <f t="shared" si="3"/>
        <v xml:space="preserve">Avista Corp.                  </v>
      </c>
      <c r="E19" s="15"/>
      <c r="F19" s="133">
        <f t="shared" ca="1" si="4"/>
        <v>1.6461538461538461</v>
      </c>
      <c r="G19" s="133">
        <f t="shared" si="5"/>
        <v>1.9</v>
      </c>
      <c r="H19" s="133">
        <f ca="1">IFERROR(IF(VLOOKUP($A19,LASTYR,'2017'!$F$3,FALSE)=0,"N/A",VLOOKUP($A19,LASTYR,'2017'!$F$3,FALSE)),"N/A")</f>
        <v>1.95</v>
      </c>
      <c r="I19" s="133">
        <f t="shared" ca="1" si="6"/>
        <v>2.15</v>
      </c>
      <c r="J19" s="133">
        <f t="shared" ca="1" si="6"/>
        <v>1.89</v>
      </c>
      <c r="K19" s="133">
        <f t="shared" ca="1" si="6"/>
        <v>1.84</v>
      </c>
      <c r="L19" s="133">
        <f t="shared" ca="1" si="6"/>
        <v>1.85</v>
      </c>
      <c r="M19" s="133">
        <f t="shared" ca="1" si="6"/>
        <v>1.32</v>
      </c>
      <c r="N19" s="133">
        <f t="shared" ca="1" si="6"/>
        <v>1.72</v>
      </c>
      <c r="O19" s="133">
        <f t="shared" ca="1" si="6"/>
        <v>1.65</v>
      </c>
      <c r="P19" s="133">
        <f t="shared" ca="1" si="6"/>
        <v>1.58</v>
      </c>
      <c r="Q19" s="133">
        <f t="shared" ca="1" si="6"/>
        <v>1.36</v>
      </c>
      <c r="R19" s="133">
        <f t="shared" ca="1" si="6"/>
        <v>0.72</v>
      </c>
      <c r="S19" s="133">
        <f t="shared" ca="1" si="6"/>
        <v>1.47</v>
      </c>
      <c r="U19" s="80"/>
      <c r="V19" s="211"/>
      <c r="W19" s="208"/>
      <c r="X19" s="217"/>
      <c r="Y19" s="213"/>
      <c r="Z19" s="214"/>
      <c r="AA19" s="214"/>
      <c r="AB19" s="215"/>
    </row>
    <row r="20" spans="1:28" x14ac:dyDescent="0.2">
      <c r="A20" s="45" t="s">
        <v>5</v>
      </c>
      <c r="B20" s="117">
        <f t="shared" ca="1" si="2"/>
        <v>15</v>
      </c>
      <c r="C20" s="1">
        <f>IF(ISERROR(D20),"",IF(D20="","",MAX($C$13:C19)+1))</f>
        <v>7</v>
      </c>
      <c r="D20" t="str">
        <f t="shared" si="3"/>
        <v xml:space="preserve">Black Hills                   </v>
      </c>
      <c r="E20" s="15"/>
      <c r="F20" s="133">
        <f t="shared" ca="1" si="4"/>
        <v>2.2938461538461543</v>
      </c>
      <c r="G20" s="133">
        <f t="shared" si="5"/>
        <v>3.45</v>
      </c>
      <c r="H20" s="133">
        <f ca="1">IFERROR(IF(VLOOKUP($A20,LASTYR,'2017'!$F$3,FALSE)=0,"N/A",VLOOKUP($A20,LASTYR,'2017'!$F$3,FALSE)),"N/A")</f>
        <v>3.38</v>
      </c>
      <c r="I20" s="133">
        <f t="shared" ca="1" si="6"/>
        <v>2.63</v>
      </c>
      <c r="J20" s="133">
        <f t="shared" ca="1" si="6"/>
        <v>2.83</v>
      </c>
      <c r="K20" s="133">
        <f t="shared" ca="1" si="6"/>
        <v>2.89</v>
      </c>
      <c r="L20" s="133">
        <f t="shared" ca="1" si="6"/>
        <v>2.61</v>
      </c>
      <c r="M20" s="133">
        <f t="shared" ca="1" si="6"/>
        <v>1.97</v>
      </c>
      <c r="N20" s="133">
        <f t="shared" ca="1" si="6"/>
        <v>1.01</v>
      </c>
      <c r="O20" s="133">
        <f t="shared" ca="1" si="6"/>
        <v>1.66</v>
      </c>
      <c r="P20" s="133">
        <f t="shared" ca="1" si="6"/>
        <v>2.3199999999999998</v>
      </c>
      <c r="Q20" s="133">
        <f t="shared" ca="1" si="6"/>
        <v>0.18</v>
      </c>
      <c r="R20" s="133">
        <f t="shared" ca="1" si="6"/>
        <v>2.68</v>
      </c>
      <c r="S20" s="133">
        <f t="shared" ca="1" si="6"/>
        <v>2.21</v>
      </c>
      <c r="U20" s="80"/>
      <c r="V20" s="211"/>
      <c r="W20" s="208"/>
      <c r="X20" s="217"/>
      <c r="Y20" s="213"/>
      <c r="Z20" s="214"/>
      <c r="AA20" s="214"/>
      <c r="AB20" s="215"/>
    </row>
    <row r="21" spans="1:28" x14ac:dyDescent="0.2">
      <c r="A21" s="45" t="s">
        <v>6</v>
      </c>
      <c r="B21" s="117">
        <f t="shared" ca="1" si="2"/>
        <v>17</v>
      </c>
      <c r="C21" s="1">
        <f>IF(ISERROR(D21),"",IF(D21="","",MAX($C$13:C20)+1))</f>
        <v>8</v>
      </c>
      <c r="D21" t="str">
        <f t="shared" si="3"/>
        <v xml:space="preserve">CenterPoint Energy            </v>
      </c>
      <c r="E21" s="15"/>
      <c r="F21" s="133">
        <f t="shared" ca="1" si="4"/>
        <v>1.2084615384615385</v>
      </c>
      <c r="G21" s="133">
        <f t="shared" si="5"/>
        <v>0.9</v>
      </c>
      <c r="H21" s="133">
        <f ca="1">IFERROR(IF(VLOOKUP($A21,LASTYR,'2017'!$F$3,FALSE)=0,"N/A",VLOOKUP($A21,LASTYR,'2017'!$F$3,FALSE)),"N/A")</f>
        <v>1.57</v>
      </c>
      <c r="I21" s="133">
        <f t="shared" ca="1" si="6"/>
        <v>1</v>
      </c>
      <c r="J21" s="133">
        <f t="shared" ca="1" si="6"/>
        <v>1.08</v>
      </c>
      <c r="K21" s="133">
        <f t="shared" ca="1" si="6"/>
        <v>1.42</v>
      </c>
      <c r="L21" s="133">
        <f t="shared" ca="1" si="6"/>
        <v>1.24</v>
      </c>
      <c r="M21" s="133">
        <f t="shared" ca="1" si="6"/>
        <v>1.35</v>
      </c>
      <c r="N21" s="133">
        <f t="shared" ca="1" si="6"/>
        <v>1.27</v>
      </c>
      <c r="O21" s="133">
        <f t="shared" ca="1" si="6"/>
        <v>1.07</v>
      </c>
      <c r="P21" s="133">
        <f t="shared" ca="1" si="6"/>
        <v>1.01</v>
      </c>
      <c r="Q21" s="133">
        <f t="shared" ca="1" si="6"/>
        <v>1.3</v>
      </c>
      <c r="R21" s="133">
        <f t="shared" ca="1" si="6"/>
        <v>1.17</v>
      </c>
      <c r="S21" s="133">
        <f t="shared" ca="1" si="6"/>
        <v>1.33</v>
      </c>
      <c r="U21" s="80"/>
      <c r="V21" s="211"/>
      <c r="W21" s="208"/>
      <c r="X21" s="217"/>
      <c r="Y21" s="213"/>
      <c r="Z21" s="214"/>
      <c r="AA21" s="214"/>
      <c r="AB21" s="215"/>
    </row>
    <row r="22" spans="1:28" x14ac:dyDescent="0.2">
      <c r="A22" s="45" t="s">
        <v>9</v>
      </c>
      <c r="B22" s="117">
        <f t="shared" ca="1" si="2"/>
        <v>19</v>
      </c>
      <c r="C22" s="1">
        <f>IF(ISERROR(D22),"",IF(D22="","",MAX($C$13:C21)+1))</f>
        <v>9</v>
      </c>
      <c r="D22" t="str">
        <f t="shared" si="3"/>
        <v xml:space="preserve">CMS Energy Corp.              </v>
      </c>
      <c r="E22" s="15"/>
      <c r="F22" s="133">
        <f t="shared" ca="1" si="4"/>
        <v>1.5030769230769232</v>
      </c>
      <c r="G22" s="133">
        <f t="shared" si="5"/>
        <v>2.35</v>
      </c>
      <c r="H22" s="133">
        <f ca="1">IFERROR(IF(VLOOKUP($A22,LASTYR,'2017'!$F$3,FALSE)=0,"N/A",VLOOKUP($A22,LASTYR,'2017'!$F$3,FALSE)),"N/A")</f>
        <v>2.17</v>
      </c>
      <c r="I22" s="133">
        <f t="shared" ca="1" si="6"/>
        <v>1.98</v>
      </c>
      <c r="J22" s="133">
        <f t="shared" ca="1" si="6"/>
        <v>1.89</v>
      </c>
      <c r="K22" s="133">
        <f t="shared" ca="1" si="6"/>
        <v>1.74</v>
      </c>
      <c r="L22" s="133">
        <f t="shared" ca="1" si="6"/>
        <v>1.66</v>
      </c>
      <c r="M22" s="133">
        <f t="shared" ca="1" si="6"/>
        <v>1.53</v>
      </c>
      <c r="N22" s="133">
        <f t="shared" ca="1" si="6"/>
        <v>1.45</v>
      </c>
      <c r="O22" s="133">
        <f t="shared" ca="1" si="6"/>
        <v>1.33</v>
      </c>
      <c r="P22" s="133">
        <f t="shared" ca="1" si="6"/>
        <v>0.93</v>
      </c>
      <c r="Q22" s="133">
        <f t="shared" ca="1" si="6"/>
        <v>1.23</v>
      </c>
      <c r="R22" s="133">
        <f t="shared" ca="1" si="6"/>
        <v>0.64</v>
      </c>
      <c r="S22" s="133">
        <f t="shared" ca="1" si="6"/>
        <v>0.64</v>
      </c>
      <c r="U22" s="80"/>
      <c r="V22" s="211"/>
      <c r="W22" s="208"/>
      <c r="X22" s="217"/>
      <c r="Y22" s="213"/>
      <c r="Z22" s="214"/>
      <c r="AA22" s="214"/>
      <c r="AB22" s="215"/>
    </row>
    <row r="23" spans="1:28" x14ac:dyDescent="0.2">
      <c r="A23" s="45" t="s">
        <v>10</v>
      </c>
      <c r="B23" s="117">
        <f t="shared" ca="1" si="2"/>
        <v>21</v>
      </c>
      <c r="C23" s="1">
        <f>IF(ISERROR(D23),"",IF(D23="","",MAX($C$13:C22)+1))</f>
        <v>10</v>
      </c>
      <c r="D23" t="str">
        <f t="shared" si="3"/>
        <v xml:space="preserve">Consol. Edison                </v>
      </c>
      <c r="E23" s="15"/>
      <c r="F23" s="133">
        <f t="shared" ca="1" si="4"/>
        <v>3.666923076923077</v>
      </c>
      <c r="G23" s="133">
        <f t="shared" si="5"/>
        <v>4.2</v>
      </c>
      <c r="H23" s="133">
        <f ca="1">IFERROR(IF(VLOOKUP($A23,LASTYR,'2017'!$F$3,FALSE)=0,"N/A",VLOOKUP($A23,LASTYR,'2017'!$F$3,FALSE)),"N/A")</f>
        <v>4.0999999999999996</v>
      </c>
      <c r="I23" s="133">
        <f t="shared" ca="1" si="6"/>
        <v>3.94</v>
      </c>
      <c r="J23" s="133">
        <f t="shared" ca="1" si="6"/>
        <v>4.05</v>
      </c>
      <c r="K23" s="133">
        <f t="shared" ca="1" si="6"/>
        <v>3.62</v>
      </c>
      <c r="L23" s="133">
        <f t="shared" ca="1" si="6"/>
        <v>3.93</v>
      </c>
      <c r="M23" s="133">
        <f t="shared" ca="1" si="6"/>
        <v>3.86</v>
      </c>
      <c r="N23" s="133">
        <f t="shared" ca="1" si="6"/>
        <v>3.57</v>
      </c>
      <c r="O23" s="133">
        <f t="shared" ca="1" si="6"/>
        <v>3.47</v>
      </c>
      <c r="P23" s="133">
        <f t="shared" ca="1" si="6"/>
        <v>3.14</v>
      </c>
      <c r="Q23" s="133">
        <f t="shared" ca="1" si="6"/>
        <v>3.36</v>
      </c>
      <c r="R23" s="133">
        <f t="shared" ca="1" si="6"/>
        <v>3.48</v>
      </c>
      <c r="S23" s="133">
        <f t="shared" ca="1" si="6"/>
        <v>2.95</v>
      </c>
      <c r="U23" s="80"/>
      <c r="V23" s="211"/>
      <c r="W23" s="208"/>
      <c r="X23" s="217"/>
      <c r="Y23" s="213"/>
      <c r="Z23" s="214"/>
      <c r="AA23" s="214"/>
      <c r="AB23" s="215"/>
    </row>
    <row r="24" spans="1:28" x14ac:dyDescent="0.2">
      <c r="A24" s="45" t="s">
        <v>11</v>
      </c>
      <c r="B24" s="117">
        <f t="shared" ca="1" si="2"/>
        <v>24</v>
      </c>
      <c r="C24" s="1">
        <f>IF(ISERROR(D24),"",IF(D24="","",MAX($C$13:C23)+1))</f>
        <v>11</v>
      </c>
      <c r="D24" t="str">
        <f t="shared" si="3"/>
        <v xml:space="preserve">Dominion Resources            </v>
      </c>
      <c r="E24" s="15"/>
      <c r="F24" s="133">
        <f t="shared" ca="1" si="4"/>
        <v>2.9746153846153849</v>
      </c>
      <c r="G24" s="133">
        <f t="shared" si="5"/>
        <v>3.75</v>
      </c>
      <c r="H24" s="133">
        <f ca="1">IFERROR(IF(VLOOKUP($A24,LASTYR,'2017'!$F$3,FALSE)=0,"N/A",VLOOKUP($A24,LASTYR,'2017'!$F$3,FALSE)),"N/A")</f>
        <v>3.53</v>
      </c>
      <c r="I24" s="133">
        <f t="shared" ref="I24:S34" ca="1" si="7">IFERROR(IF(INDEX(Earnings,$B24,I$13)=0,"N/A",INDEX(Earnings,$B24,I$13)),"N/A")</f>
        <v>3.44</v>
      </c>
      <c r="J24" s="133">
        <f t="shared" ca="1" si="7"/>
        <v>3.2</v>
      </c>
      <c r="K24" s="133">
        <f t="shared" ca="1" si="7"/>
        <v>3.05</v>
      </c>
      <c r="L24" s="133">
        <f t="shared" ca="1" si="7"/>
        <v>3.09</v>
      </c>
      <c r="M24" s="133">
        <f t="shared" ca="1" si="7"/>
        <v>2.75</v>
      </c>
      <c r="N24" s="133">
        <f t="shared" ca="1" si="7"/>
        <v>2.76</v>
      </c>
      <c r="O24" s="133">
        <f t="shared" ca="1" si="7"/>
        <v>2.89</v>
      </c>
      <c r="P24" s="133">
        <f t="shared" ca="1" si="7"/>
        <v>2.64</v>
      </c>
      <c r="Q24" s="133">
        <f t="shared" ca="1" si="7"/>
        <v>3.04</v>
      </c>
      <c r="R24" s="133">
        <f t="shared" ca="1" si="7"/>
        <v>2.13</v>
      </c>
      <c r="S24" s="133">
        <f t="shared" ca="1" si="7"/>
        <v>2.4</v>
      </c>
      <c r="U24" s="80"/>
      <c r="V24" s="211"/>
      <c r="W24" s="208"/>
      <c r="X24" s="217"/>
      <c r="Y24" s="213"/>
      <c r="Z24" s="214"/>
      <c r="AA24" s="214"/>
      <c r="AB24" s="215"/>
    </row>
    <row r="25" spans="1:28" x14ac:dyDescent="0.2">
      <c r="A25" s="45" t="s">
        <v>12</v>
      </c>
      <c r="B25" s="117">
        <f t="shared" ca="1" si="2"/>
        <v>25</v>
      </c>
      <c r="C25" s="1">
        <f>IF(ISERROR(D25),"",IF(D25="","",MAX($C$13:C24)+1))</f>
        <v>12</v>
      </c>
      <c r="D25" t="str">
        <f t="shared" si="3"/>
        <v xml:space="preserve">DTE Energy                    </v>
      </c>
      <c r="E25" s="15"/>
      <c r="F25" s="133">
        <f t="shared" ca="1" si="4"/>
        <v>4.0292307692307698</v>
      </c>
      <c r="G25" s="133">
        <f t="shared" si="5"/>
        <v>6.15</v>
      </c>
      <c r="H25" s="133">
        <f ca="1">IFERROR(IF(VLOOKUP($A25,LASTYR,'2017'!$F$3,FALSE)=0,"N/A",VLOOKUP($A25,LASTYR,'2017'!$F$3,FALSE)),"N/A")</f>
        <v>5.73</v>
      </c>
      <c r="I25" s="133">
        <f t="shared" ca="1" si="7"/>
        <v>4.83</v>
      </c>
      <c r="J25" s="133">
        <f t="shared" ca="1" si="7"/>
        <v>4.4400000000000004</v>
      </c>
      <c r="K25" s="133">
        <f t="shared" ca="1" si="7"/>
        <v>5.0999999999999996</v>
      </c>
      <c r="L25" s="133">
        <f t="shared" ca="1" si="7"/>
        <v>3.76</v>
      </c>
      <c r="M25" s="133">
        <f t="shared" ca="1" si="7"/>
        <v>3.88</v>
      </c>
      <c r="N25" s="133">
        <f t="shared" ca="1" si="7"/>
        <v>3.67</v>
      </c>
      <c r="O25" s="133">
        <f t="shared" ca="1" si="7"/>
        <v>3.74</v>
      </c>
      <c r="P25" s="133">
        <f t="shared" ca="1" si="7"/>
        <v>3.24</v>
      </c>
      <c r="Q25" s="133">
        <f t="shared" ca="1" si="7"/>
        <v>2.73</v>
      </c>
      <c r="R25" s="133">
        <f t="shared" ca="1" si="7"/>
        <v>2.66</v>
      </c>
      <c r="S25" s="133">
        <f t="shared" ca="1" si="7"/>
        <v>2.4500000000000002</v>
      </c>
      <c r="U25" s="80"/>
      <c r="V25" s="211"/>
      <c r="W25" s="208"/>
      <c r="X25" s="217"/>
      <c r="Y25" s="213"/>
      <c r="Z25" s="214"/>
      <c r="AA25" s="214"/>
      <c r="AB25" s="215"/>
    </row>
    <row r="26" spans="1:28" x14ac:dyDescent="0.2">
      <c r="A26" s="45" t="s">
        <v>13</v>
      </c>
      <c r="B26" s="117">
        <f t="shared" ca="1" si="2"/>
        <v>26</v>
      </c>
      <c r="C26" s="1">
        <f>IF(ISERROR(D26),"",IF(D26="","",MAX($C$13:C25)+1))</f>
        <v>13</v>
      </c>
      <c r="D26" t="str">
        <f t="shared" si="3"/>
        <v xml:space="preserve">Duke Energy                   </v>
      </c>
      <c r="E26" s="15"/>
      <c r="F26" s="133">
        <f t="shared" ca="1" si="4"/>
        <v>3.7815384615384611</v>
      </c>
      <c r="G26" s="133">
        <f t="shared" si="5"/>
        <v>4.4000000000000004</v>
      </c>
      <c r="H26" s="133">
        <f ca="1">IFERROR(IF(VLOOKUP($A26,LASTYR,'2017'!$F$3,FALSE)=0,"N/A",VLOOKUP($A26,LASTYR,'2017'!$F$3,FALSE)),"N/A")</f>
        <v>4.22</v>
      </c>
      <c r="I26" s="133">
        <f t="shared" ca="1" si="7"/>
        <v>3.71</v>
      </c>
      <c r="J26" s="133">
        <f t="shared" ca="1" si="7"/>
        <v>4.0999999999999996</v>
      </c>
      <c r="K26" s="133">
        <f t="shared" ca="1" si="7"/>
        <v>4.13</v>
      </c>
      <c r="L26" s="133">
        <f t="shared" ca="1" si="7"/>
        <v>3.98</v>
      </c>
      <c r="M26" s="133">
        <f t="shared" ca="1" si="7"/>
        <v>3.71</v>
      </c>
      <c r="N26" s="133">
        <f t="shared" ca="1" si="7"/>
        <v>4.1399999999999997</v>
      </c>
      <c r="O26" s="133">
        <f t="shared" ca="1" si="7"/>
        <v>4.0199999999999996</v>
      </c>
      <c r="P26" s="133">
        <f t="shared" ca="1" si="7"/>
        <v>3.39</v>
      </c>
      <c r="Q26" s="133">
        <f t="shared" ca="1" si="7"/>
        <v>3.03</v>
      </c>
      <c r="R26" s="133">
        <f t="shared" ca="1" si="7"/>
        <v>3.6</v>
      </c>
      <c r="S26" s="133">
        <f t="shared" ca="1" si="7"/>
        <v>2.73</v>
      </c>
      <c r="U26" s="80"/>
      <c r="V26" s="211"/>
      <c r="W26" s="208"/>
      <c r="X26" s="217"/>
      <c r="Y26" s="213"/>
      <c r="Z26" s="214"/>
      <c r="AA26" s="214"/>
      <c r="AB26" s="215"/>
    </row>
    <row r="27" spans="1:28" x14ac:dyDescent="0.2">
      <c r="A27" s="45" t="s">
        <v>14</v>
      </c>
      <c r="B27" s="117">
        <f t="shared" ca="1" si="2"/>
        <v>27</v>
      </c>
      <c r="C27" s="1">
        <f>IF(ISERROR(D27),"",IF(D27="","",MAX($C$13:C26)+1))</f>
        <v>14</v>
      </c>
      <c r="D27" t="str">
        <f t="shared" si="3"/>
        <v xml:space="preserve">Edison Int'l                  </v>
      </c>
      <c r="E27" s="15"/>
      <c r="F27" s="133">
        <f t="shared" ca="1" si="4"/>
        <v>3.8238461538461546</v>
      </c>
      <c r="G27" s="133">
        <f t="shared" si="5"/>
        <v>4.3499999999999996</v>
      </c>
      <c r="H27" s="133">
        <f ca="1">IFERROR(IF(VLOOKUP($A27,LASTYR,'2017'!$F$3,FALSE)=0,"N/A",VLOOKUP($A27,LASTYR,'2017'!$F$3,FALSE)),"N/A")</f>
        <v>4.51</v>
      </c>
      <c r="I27" s="133">
        <f t="shared" ca="1" si="7"/>
        <v>3.94</v>
      </c>
      <c r="J27" s="133">
        <f t="shared" ca="1" si="7"/>
        <v>4.1500000000000004</v>
      </c>
      <c r="K27" s="133">
        <f t="shared" ca="1" si="7"/>
        <v>4.33</v>
      </c>
      <c r="L27" s="133">
        <f t="shared" ca="1" si="7"/>
        <v>3.78</v>
      </c>
      <c r="M27" s="133">
        <f t="shared" ca="1" si="7"/>
        <v>4.55</v>
      </c>
      <c r="N27" s="133">
        <f t="shared" ca="1" si="7"/>
        <v>3.23</v>
      </c>
      <c r="O27" s="133">
        <f t="shared" ca="1" si="7"/>
        <v>3.35</v>
      </c>
      <c r="P27" s="133">
        <f t="shared" ca="1" si="7"/>
        <v>3.24</v>
      </c>
      <c r="Q27" s="133">
        <f t="shared" ca="1" si="7"/>
        <v>3.68</v>
      </c>
      <c r="R27" s="133">
        <f t="shared" ca="1" si="7"/>
        <v>3.32</v>
      </c>
      <c r="S27" s="133">
        <f t="shared" ca="1" si="7"/>
        <v>3.28</v>
      </c>
      <c r="U27" s="80"/>
      <c r="V27" s="211"/>
      <c r="W27" s="208"/>
      <c r="X27" s="217"/>
      <c r="Y27" s="213"/>
      <c r="Z27" s="214"/>
      <c r="AA27" s="214"/>
      <c r="AB27" s="215"/>
    </row>
    <row r="28" spans="1:28" x14ac:dyDescent="0.2">
      <c r="A28" s="45" t="s">
        <v>15</v>
      </c>
      <c r="B28" s="117">
        <f t="shared" ca="1" si="2"/>
        <v>28</v>
      </c>
      <c r="C28" s="1">
        <f>IF(ISERROR(D28),"",IF(D28="","",MAX($C$13:C27)+1))</f>
        <v>15</v>
      </c>
      <c r="D28" t="str">
        <f t="shared" si="3"/>
        <v xml:space="preserve">El Paso Electric              </v>
      </c>
      <c r="E28" s="15"/>
      <c r="F28" s="133">
        <f t="shared" ca="1" si="4"/>
        <v>2.0615384615384613</v>
      </c>
      <c r="G28" s="133">
        <f t="shared" si="5"/>
        <v>2.5499999999999998</v>
      </c>
      <c r="H28" s="133">
        <f ca="1">IFERROR(IF(VLOOKUP($A28,LASTYR,'2017'!$F$3,FALSE)=0,"N/A",VLOOKUP($A28,LASTYR,'2017'!$F$3,FALSE)),"N/A")</f>
        <v>2.42</v>
      </c>
      <c r="I28" s="133">
        <f t="shared" ca="1" si="7"/>
        <v>2.39</v>
      </c>
      <c r="J28" s="133">
        <f t="shared" ca="1" si="7"/>
        <v>2.0299999999999998</v>
      </c>
      <c r="K28" s="133">
        <f t="shared" ca="1" si="7"/>
        <v>2.27</v>
      </c>
      <c r="L28" s="133">
        <f t="shared" ca="1" si="7"/>
        <v>2.2000000000000002</v>
      </c>
      <c r="M28" s="133">
        <f t="shared" ca="1" si="7"/>
        <v>2.2599999999999998</v>
      </c>
      <c r="N28" s="133">
        <f t="shared" ca="1" si="7"/>
        <v>2.48</v>
      </c>
      <c r="O28" s="133">
        <f t="shared" ca="1" si="7"/>
        <v>2.0699999999999998</v>
      </c>
      <c r="P28" s="133">
        <f t="shared" ca="1" si="7"/>
        <v>1.5</v>
      </c>
      <c r="Q28" s="133">
        <f t="shared" ca="1" si="7"/>
        <v>1.73</v>
      </c>
      <c r="R28" s="133">
        <f t="shared" ca="1" si="7"/>
        <v>1.63</v>
      </c>
      <c r="S28" s="133">
        <f t="shared" ca="1" si="7"/>
        <v>1.27</v>
      </c>
      <c r="U28" s="80"/>
      <c r="V28" s="211"/>
      <c r="W28" s="208"/>
      <c r="X28" s="217"/>
      <c r="Y28" s="213"/>
      <c r="Z28" s="214"/>
      <c r="AA28" s="214"/>
      <c r="AB28" s="215"/>
    </row>
    <row r="29" spans="1:28" x14ac:dyDescent="0.2">
      <c r="A29" s="45" t="s">
        <v>17</v>
      </c>
      <c r="B29" s="117">
        <f t="shared" ca="1" si="2"/>
        <v>29</v>
      </c>
      <c r="C29" s="1">
        <f>IF(ISERROR(D29),"",IF(D29="","",MAX($C$13:C28)+1))</f>
        <v>16</v>
      </c>
      <c r="D29" t="str">
        <f t="shared" si="3"/>
        <v xml:space="preserve">Entergy Corp.                 </v>
      </c>
      <c r="E29" s="15"/>
      <c r="F29" s="133">
        <f t="shared" ca="1" si="4"/>
        <v>5.9461538461538446</v>
      </c>
      <c r="G29" s="133">
        <f t="shared" si="5"/>
        <v>5</v>
      </c>
      <c r="H29" s="133">
        <f ca="1">IFERROR(IF(VLOOKUP($A29,LASTYR,'2017'!$F$3,FALSE)=0,"N/A",VLOOKUP($A29,LASTYR,'2017'!$F$3,FALSE)),"N/A")</f>
        <v>5.19</v>
      </c>
      <c r="I29" s="133">
        <f t="shared" ca="1" si="7"/>
        <v>6.88</v>
      </c>
      <c r="J29" s="133">
        <f t="shared" ca="1" si="7"/>
        <v>5.81</v>
      </c>
      <c r="K29" s="133">
        <f t="shared" ca="1" si="7"/>
        <v>5.77</v>
      </c>
      <c r="L29" s="133">
        <f t="shared" ca="1" si="7"/>
        <v>4.96</v>
      </c>
      <c r="M29" s="133">
        <f t="shared" ca="1" si="7"/>
        <v>6.02</v>
      </c>
      <c r="N29" s="133">
        <f t="shared" ca="1" si="7"/>
        <v>7.55</v>
      </c>
      <c r="O29" s="133">
        <f t="shared" ca="1" si="7"/>
        <v>6.66</v>
      </c>
      <c r="P29" s="133">
        <f t="shared" ca="1" si="7"/>
        <v>6.3</v>
      </c>
      <c r="Q29" s="133">
        <f t="shared" ca="1" si="7"/>
        <v>6.2</v>
      </c>
      <c r="R29" s="133">
        <f t="shared" ca="1" si="7"/>
        <v>5.6</v>
      </c>
      <c r="S29" s="133">
        <f t="shared" ca="1" si="7"/>
        <v>5.36</v>
      </c>
      <c r="U29" s="80"/>
      <c r="V29" s="211"/>
      <c r="W29" s="208"/>
      <c r="X29" s="217"/>
      <c r="Y29" s="213"/>
      <c r="Z29" s="214"/>
      <c r="AA29" s="214"/>
      <c r="AB29" s="215"/>
    </row>
    <row r="30" spans="1:28" x14ac:dyDescent="0.2">
      <c r="A30" s="45" t="s">
        <v>211</v>
      </c>
      <c r="B30" s="117">
        <f t="shared" ca="1" si="2"/>
        <v>30</v>
      </c>
      <c r="C30" s="1">
        <f>IF(ISERROR(D30),"",IF(D30="","",MAX($C$13:C29)+1))</f>
        <v>17</v>
      </c>
      <c r="D30" t="str">
        <f t="shared" si="3"/>
        <v xml:space="preserve">Eversource Energy    </v>
      </c>
      <c r="E30" s="15"/>
      <c r="F30" s="133">
        <f t="shared" ca="1" si="4"/>
        <v>2.2723076923076921</v>
      </c>
      <c r="G30" s="133">
        <f t="shared" si="5"/>
        <v>3.25</v>
      </c>
      <c r="H30" s="133">
        <f ca="1">IFERROR(IF(VLOOKUP($A30,LASTYR,'2017'!$F$3,FALSE)=0,"N/A",VLOOKUP($A30,LASTYR,'2017'!$F$3,FALSE)),"N/A")</f>
        <v>3.11</v>
      </c>
      <c r="I30" s="133">
        <f t="shared" ca="1" si="7"/>
        <v>2.96</v>
      </c>
      <c r="J30" s="133">
        <f t="shared" ca="1" si="7"/>
        <v>2.76</v>
      </c>
      <c r="K30" s="133">
        <f t="shared" ca="1" si="7"/>
        <v>2.58</v>
      </c>
      <c r="L30" s="133">
        <f t="shared" ca="1" si="7"/>
        <v>2.4900000000000002</v>
      </c>
      <c r="M30" s="133">
        <f t="shared" ca="1" si="7"/>
        <v>1.89</v>
      </c>
      <c r="N30" s="133">
        <f t="shared" ca="1" si="7"/>
        <v>2.2200000000000002</v>
      </c>
      <c r="O30" s="133">
        <f t="shared" ca="1" si="7"/>
        <v>2.1</v>
      </c>
      <c r="P30" s="133">
        <f t="shared" ca="1" si="7"/>
        <v>1.91</v>
      </c>
      <c r="Q30" s="133">
        <f t="shared" ca="1" si="7"/>
        <v>1.86</v>
      </c>
      <c r="R30" s="133">
        <f t="shared" ca="1" si="7"/>
        <v>1.59</v>
      </c>
      <c r="S30" s="133">
        <f t="shared" ca="1" si="7"/>
        <v>0.82</v>
      </c>
      <c r="U30" s="80"/>
      <c r="V30" s="211"/>
      <c r="W30" s="208"/>
      <c r="X30" s="217"/>
      <c r="Y30" s="213"/>
      <c r="Z30" s="214"/>
      <c r="AA30" s="214"/>
      <c r="AB30" s="215"/>
    </row>
    <row r="31" spans="1:28" x14ac:dyDescent="0.2">
      <c r="A31" s="45" t="s">
        <v>487</v>
      </c>
      <c r="B31" s="117" t="str">
        <f t="shared" ca="1" si="2"/>
        <v/>
      </c>
      <c r="C31" s="1">
        <f>IF(ISERROR(D31),"",IF(D31="","",MAX($C$13:C30)+1))</f>
        <v>18</v>
      </c>
      <c r="D31" t="str">
        <f t="shared" si="3"/>
        <v>Evergy, Inc.</v>
      </c>
      <c r="E31" s="15"/>
      <c r="F31" s="133">
        <f t="shared" ca="1" si="4"/>
        <v>2.5</v>
      </c>
      <c r="G31" s="133">
        <f t="shared" si="5"/>
        <v>2.5</v>
      </c>
      <c r="H31" s="133" t="str">
        <f ca="1">IFERROR(IF(VLOOKUP($A31,LASTYR,'2017'!$F$3,FALSE)=0,"N/A",VLOOKUP($A31,LASTYR,'2017'!$F$3,FALSE)),"N/A")</f>
        <v>N/A</v>
      </c>
      <c r="I31" s="133" t="str">
        <f t="shared" ca="1" si="7"/>
        <v>N/A</v>
      </c>
      <c r="J31" s="133" t="str">
        <f t="shared" ca="1" si="7"/>
        <v>N/A</v>
      </c>
      <c r="K31" s="133" t="str">
        <f t="shared" ca="1" si="7"/>
        <v>N/A</v>
      </c>
      <c r="L31" s="133" t="str">
        <f t="shared" ca="1" si="7"/>
        <v>N/A</v>
      </c>
      <c r="M31" s="133" t="str">
        <f t="shared" ca="1" si="7"/>
        <v>N/A</v>
      </c>
      <c r="N31" s="133" t="str">
        <f t="shared" ca="1" si="7"/>
        <v>N/A</v>
      </c>
      <c r="O31" s="133" t="str">
        <f t="shared" ca="1" si="7"/>
        <v>N/A</v>
      </c>
      <c r="P31" s="133" t="str">
        <f t="shared" ca="1" si="7"/>
        <v>N/A</v>
      </c>
      <c r="Q31" s="133" t="str">
        <f t="shared" ca="1" si="7"/>
        <v>N/A</v>
      </c>
      <c r="R31" s="133" t="str">
        <f t="shared" ca="1" si="7"/>
        <v>N/A</v>
      </c>
      <c r="S31" s="133" t="str">
        <f t="shared" ca="1" si="7"/>
        <v>N/A</v>
      </c>
      <c r="U31" s="80"/>
      <c r="V31" s="211"/>
      <c r="W31" s="208"/>
      <c r="X31" s="217"/>
      <c r="Y31" s="213"/>
      <c r="Z31" s="214"/>
      <c r="AA31" s="214"/>
      <c r="AB31" s="215"/>
    </row>
    <row r="32" spans="1:28" x14ac:dyDescent="0.2">
      <c r="A32" s="45" t="s">
        <v>18</v>
      </c>
      <c r="B32" s="117">
        <f t="shared" ca="1" si="2"/>
        <v>31</v>
      </c>
      <c r="C32" s="1">
        <f>IF(ISERROR(D32),"",IF(D32="","",MAX($C$13:C31)+1))</f>
        <v>19</v>
      </c>
      <c r="D32" t="str">
        <f t="shared" si="3"/>
        <v xml:space="preserve">Exelon Corp.                  </v>
      </c>
      <c r="E32" s="15"/>
      <c r="F32" s="133">
        <f t="shared" ca="1" si="4"/>
        <v>3.0376923076923079</v>
      </c>
      <c r="G32" s="133">
        <f t="shared" si="5"/>
        <v>2.5</v>
      </c>
      <c r="H32" s="133">
        <f ca="1">IFERROR(IF(VLOOKUP($A32,LASTYR,'2017'!$F$3,FALSE)=0,"N/A",VLOOKUP($A32,LASTYR,'2017'!$F$3,FALSE)),"N/A")</f>
        <v>2.78</v>
      </c>
      <c r="I32" s="133">
        <f t="shared" ca="1" si="7"/>
        <v>1.8</v>
      </c>
      <c r="J32" s="133">
        <f t="shared" ca="1" si="7"/>
        <v>2.54</v>
      </c>
      <c r="K32" s="133">
        <f t="shared" ca="1" si="7"/>
        <v>2.1</v>
      </c>
      <c r="L32" s="133">
        <f t="shared" ca="1" si="7"/>
        <v>2.31</v>
      </c>
      <c r="M32" s="133">
        <f t="shared" ca="1" si="7"/>
        <v>1.92</v>
      </c>
      <c r="N32" s="133">
        <f t="shared" ca="1" si="7"/>
        <v>3.75</v>
      </c>
      <c r="O32" s="133">
        <f t="shared" ca="1" si="7"/>
        <v>3.87</v>
      </c>
      <c r="P32" s="133">
        <f t="shared" ca="1" si="7"/>
        <v>4.29</v>
      </c>
      <c r="Q32" s="133">
        <f t="shared" ca="1" si="7"/>
        <v>4.0999999999999996</v>
      </c>
      <c r="R32" s="133">
        <f t="shared" ca="1" si="7"/>
        <v>4.03</v>
      </c>
      <c r="S32" s="133">
        <f t="shared" ca="1" si="7"/>
        <v>3.5</v>
      </c>
      <c r="U32" s="80"/>
      <c r="V32" s="211"/>
      <c r="W32" s="208"/>
      <c r="X32" s="217"/>
      <c r="Y32" s="213"/>
      <c r="Z32" s="214"/>
      <c r="AA32" s="214"/>
      <c r="AB32" s="215"/>
    </row>
    <row r="33" spans="1:28" x14ac:dyDescent="0.2">
      <c r="A33" s="45" t="s">
        <v>19</v>
      </c>
      <c r="B33" s="117">
        <f t="shared" ca="1" si="2"/>
        <v>32</v>
      </c>
      <c r="C33" s="1">
        <f>IF(ISERROR(D33),"",IF(D33="","",MAX($C$13:C32)+1))</f>
        <v>20</v>
      </c>
      <c r="D33" t="str">
        <f t="shared" si="3"/>
        <v xml:space="preserve">FirstEnergy Corp.             </v>
      </c>
      <c r="E33" s="15"/>
      <c r="F33" s="133">
        <f t="shared" ca="1" si="4"/>
        <v>2.6769230769230767</v>
      </c>
      <c r="G33" s="133">
        <f t="shared" si="5"/>
        <v>1.1499999999999999</v>
      </c>
      <c r="H33" s="133">
        <f ca="1">IFERROR(IF(VLOOKUP($A33,LASTYR,'2017'!$F$3,FALSE)=0,"N/A",VLOOKUP($A33,LASTYR,'2017'!$F$3,FALSE)),"N/A")</f>
        <v>2.73</v>
      </c>
      <c r="I33" s="133">
        <f t="shared" ca="1" si="7"/>
        <v>2.1</v>
      </c>
      <c r="J33" s="133">
        <f t="shared" ca="1" si="7"/>
        <v>2</v>
      </c>
      <c r="K33" s="133">
        <f t="shared" ca="1" si="7"/>
        <v>0.85</v>
      </c>
      <c r="L33" s="133">
        <f t="shared" ca="1" si="7"/>
        <v>2.97</v>
      </c>
      <c r="M33" s="133">
        <f t="shared" ca="1" si="7"/>
        <v>2.13</v>
      </c>
      <c r="N33" s="133">
        <f t="shared" ca="1" si="7"/>
        <v>1.88</v>
      </c>
      <c r="O33" s="133">
        <f t="shared" ca="1" si="7"/>
        <v>3.25</v>
      </c>
      <c r="P33" s="133">
        <f t="shared" ca="1" si="7"/>
        <v>3.32</v>
      </c>
      <c r="Q33" s="133">
        <f t="shared" ca="1" si="7"/>
        <v>4.38</v>
      </c>
      <c r="R33" s="133">
        <f t="shared" ca="1" si="7"/>
        <v>4.22</v>
      </c>
      <c r="S33" s="133">
        <f t="shared" ca="1" si="7"/>
        <v>3.82</v>
      </c>
      <c r="U33" s="80"/>
      <c r="V33" s="211"/>
      <c r="W33" s="208"/>
      <c r="X33" s="217"/>
      <c r="Y33" s="213"/>
      <c r="Z33" s="214"/>
      <c r="AA33" s="214"/>
      <c r="AB33" s="215"/>
    </row>
    <row r="34" spans="1:28" x14ac:dyDescent="0.2">
      <c r="A34" s="45" t="s">
        <v>266</v>
      </c>
      <c r="B34" s="117">
        <f t="shared" ca="1" si="2"/>
        <v>33</v>
      </c>
      <c r="C34" s="1">
        <f>IF(ISERROR(D34),"",IF(D34="","",MAX($C$13:C33)+1))</f>
        <v>21</v>
      </c>
      <c r="D34" t="str">
        <f t="shared" si="3"/>
        <v>Fortis Inc.</v>
      </c>
      <c r="E34" s="15"/>
      <c r="F34" s="133">
        <f t="shared" ca="1" si="4"/>
        <v>1.7658461538461541</v>
      </c>
      <c r="G34" s="133">
        <f t="shared" si="5"/>
        <v>2.6</v>
      </c>
      <c r="H34" s="133">
        <f ca="1">IFERROR(IF(VLOOKUP($A34,LASTYR,'2017'!$F$3,FALSE)=0,"N/A",VLOOKUP($A34,LASTYR,'2017'!$F$3,FALSE)),"N/A")</f>
        <v>2.66</v>
      </c>
      <c r="I34" s="133">
        <f t="shared" ca="1" si="7"/>
        <v>1.89</v>
      </c>
      <c r="J34" s="133">
        <f t="shared" ca="1" si="7"/>
        <v>2.11</v>
      </c>
      <c r="K34" s="133">
        <f t="shared" ca="1" si="7"/>
        <v>1.38</v>
      </c>
      <c r="L34" s="133">
        <f t="shared" ca="1" si="7"/>
        <v>1.63</v>
      </c>
      <c r="M34" s="133">
        <f t="shared" ca="1" si="7"/>
        <v>1.65</v>
      </c>
      <c r="N34" s="133">
        <f t="shared" ca="1" si="7"/>
        <v>1.74</v>
      </c>
      <c r="O34" s="133">
        <f t="shared" ca="1" si="7"/>
        <v>1.62</v>
      </c>
      <c r="P34" s="133">
        <f t="shared" ca="1" si="7"/>
        <v>1.51</v>
      </c>
      <c r="Q34" s="133">
        <f t="shared" ca="1" si="7"/>
        <v>1.52</v>
      </c>
      <c r="R34" s="133">
        <f t="shared" ca="1" si="7"/>
        <v>1.2869999999999999</v>
      </c>
      <c r="S34" s="133">
        <f t="shared" ca="1" si="7"/>
        <v>1.359</v>
      </c>
      <c r="U34" s="80"/>
      <c r="V34" s="211"/>
      <c r="W34" s="208"/>
      <c r="X34" s="217"/>
      <c r="Y34" s="213"/>
      <c r="Z34" s="214"/>
      <c r="AA34" s="214"/>
      <c r="AB34" s="215"/>
    </row>
    <row r="35" spans="1:28" x14ac:dyDescent="0.2">
      <c r="A35" s="45" t="s">
        <v>20</v>
      </c>
      <c r="B35" s="117">
        <f t="shared" ca="1" si="2"/>
        <v>35</v>
      </c>
      <c r="C35" s="1">
        <f>IF(ISERROR(D35),"",IF(D35="","",MAX($C$13:C34)+1))</f>
        <v>22</v>
      </c>
      <c r="D35" t="str">
        <f t="shared" si="3"/>
        <v xml:space="preserve">Great Plains Energy             </v>
      </c>
      <c r="E35" s="15"/>
      <c r="F35" s="133">
        <f t="shared" ca="1" si="4"/>
        <v>1.325</v>
      </c>
      <c r="G35" s="133" t="str">
        <f t="shared" si="5"/>
        <v>N/A</v>
      </c>
      <c r="H35" s="133">
        <f ca="1">IFERROR(IF(VLOOKUP($A35,LASTYR,'2017'!$F$3,FALSE)=0,"N/A",VLOOKUP($A35,LASTYR,'2017'!$F$3,FALSE)),"N/A")</f>
        <v>-0.06</v>
      </c>
      <c r="I35" s="133">
        <f t="shared" ref="I35:S44" ca="1" si="8">IFERROR(IF(INDEX(Earnings,$B35,I$13)=0,"N/A",INDEX(Earnings,$B35,I$13)),"N/A")</f>
        <v>1.61</v>
      </c>
      <c r="J35" s="133">
        <f t="shared" ca="1" si="8"/>
        <v>1.37</v>
      </c>
      <c r="K35" s="133">
        <f t="shared" ca="1" si="8"/>
        <v>1.57</v>
      </c>
      <c r="L35" s="133">
        <f t="shared" ca="1" si="8"/>
        <v>1.62</v>
      </c>
      <c r="M35" s="133">
        <f t="shared" ca="1" si="8"/>
        <v>1.35</v>
      </c>
      <c r="N35" s="133">
        <f t="shared" ca="1" si="8"/>
        <v>1.25</v>
      </c>
      <c r="O35" s="133">
        <f t="shared" ca="1" si="8"/>
        <v>1.53</v>
      </c>
      <c r="P35" s="133">
        <f t="shared" ca="1" si="8"/>
        <v>1.03</v>
      </c>
      <c r="Q35" s="133">
        <f t="shared" ca="1" si="8"/>
        <v>1.1599999999999999</v>
      </c>
      <c r="R35" s="133">
        <f t="shared" ca="1" si="8"/>
        <v>1.85</v>
      </c>
      <c r="S35" s="133">
        <f t="shared" ca="1" si="8"/>
        <v>1.62</v>
      </c>
      <c r="U35" s="80"/>
      <c r="V35" s="211"/>
      <c r="W35" s="208"/>
      <c r="X35" s="217"/>
      <c r="Y35" s="213"/>
      <c r="Z35" s="214"/>
      <c r="AA35" s="214"/>
      <c r="AB35" s="215"/>
    </row>
    <row r="36" spans="1:28" x14ac:dyDescent="0.2">
      <c r="A36" s="45" t="s">
        <v>21</v>
      </c>
      <c r="B36" s="117">
        <f t="shared" ca="1" si="2"/>
        <v>36</v>
      </c>
      <c r="C36" s="1">
        <f>IF(ISERROR(D36),"",IF(D36="","",MAX($C$13:C35)+1))</f>
        <v>23</v>
      </c>
      <c r="D36" t="str">
        <f t="shared" si="3"/>
        <v xml:space="preserve">Hawaiian Elec.                </v>
      </c>
      <c r="E36" s="15"/>
      <c r="F36" s="133">
        <f t="shared" ca="1" si="4"/>
        <v>1.4869230769230768</v>
      </c>
      <c r="G36" s="133">
        <f t="shared" si="5"/>
        <v>1.9</v>
      </c>
      <c r="H36" s="133">
        <f ca="1">IFERROR(IF(VLOOKUP($A36,LASTYR,'2017'!$F$3,FALSE)=0,"N/A",VLOOKUP($A36,LASTYR,'2017'!$F$3,FALSE)),"N/A")</f>
        <v>1.64</v>
      </c>
      <c r="I36" s="133">
        <f t="shared" ca="1" si="8"/>
        <v>2.29</v>
      </c>
      <c r="J36" s="133">
        <f t="shared" ca="1" si="8"/>
        <v>1.5</v>
      </c>
      <c r="K36" s="133">
        <f t="shared" ca="1" si="8"/>
        <v>1.64</v>
      </c>
      <c r="L36" s="133">
        <f t="shared" ca="1" si="8"/>
        <v>1.62</v>
      </c>
      <c r="M36" s="133">
        <f t="shared" ca="1" si="8"/>
        <v>1.67</v>
      </c>
      <c r="N36" s="133">
        <f t="shared" ca="1" si="8"/>
        <v>1.44</v>
      </c>
      <c r="O36" s="133">
        <f t="shared" ca="1" si="8"/>
        <v>1.21</v>
      </c>
      <c r="P36" s="133">
        <f t="shared" ca="1" si="8"/>
        <v>0.91</v>
      </c>
      <c r="Q36" s="133">
        <f t="shared" ca="1" si="8"/>
        <v>1.07</v>
      </c>
      <c r="R36" s="133">
        <f t="shared" ca="1" si="8"/>
        <v>1.1100000000000001</v>
      </c>
      <c r="S36" s="133">
        <f t="shared" ca="1" si="8"/>
        <v>1.33</v>
      </c>
      <c r="U36" s="80"/>
      <c r="V36" s="211"/>
      <c r="W36" s="208"/>
      <c r="X36" s="217"/>
      <c r="Y36" s="213"/>
      <c r="Z36" s="214"/>
      <c r="AA36" s="214"/>
      <c r="AB36" s="215"/>
    </row>
    <row r="37" spans="1:28" x14ac:dyDescent="0.2">
      <c r="A37" s="45" t="s">
        <v>22</v>
      </c>
      <c r="B37" s="117">
        <f t="shared" ca="1" si="2"/>
        <v>37</v>
      </c>
      <c r="C37" s="1">
        <f>IF(ISERROR(D37),"",IF(D37="","",MAX($C$13:C36)+1))</f>
        <v>24</v>
      </c>
      <c r="D37" t="str">
        <f t="shared" si="3"/>
        <v xml:space="preserve">IDACORP, Inc.                 </v>
      </c>
      <c r="E37" s="15"/>
      <c r="F37" s="133">
        <f t="shared" ca="1" si="4"/>
        <v>3.2707692307692309</v>
      </c>
      <c r="G37" s="133">
        <f t="shared" si="5"/>
        <v>4.3</v>
      </c>
      <c r="H37" s="133">
        <f ca="1">IFERROR(IF(VLOOKUP($A37,LASTYR,'2017'!$F$3,FALSE)=0,"N/A",VLOOKUP($A37,LASTYR,'2017'!$F$3,FALSE)),"N/A")</f>
        <v>4.21</v>
      </c>
      <c r="I37" s="133">
        <f t="shared" ca="1" si="8"/>
        <v>3.94</v>
      </c>
      <c r="J37" s="133">
        <f t="shared" ca="1" si="8"/>
        <v>3.87</v>
      </c>
      <c r="K37" s="133">
        <f t="shared" ca="1" si="8"/>
        <v>3.85</v>
      </c>
      <c r="L37" s="133">
        <f t="shared" ca="1" si="8"/>
        <v>3.64</v>
      </c>
      <c r="M37" s="133">
        <f t="shared" ca="1" si="8"/>
        <v>3.37</v>
      </c>
      <c r="N37" s="133">
        <f t="shared" ca="1" si="8"/>
        <v>3.36</v>
      </c>
      <c r="O37" s="133">
        <f t="shared" ca="1" si="8"/>
        <v>2.95</v>
      </c>
      <c r="P37" s="133">
        <f t="shared" ca="1" si="8"/>
        <v>2.64</v>
      </c>
      <c r="Q37" s="133">
        <f t="shared" ca="1" si="8"/>
        <v>2.1800000000000002</v>
      </c>
      <c r="R37" s="133">
        <f t="shared" ca="1" si="8"/>
        <v>1.86</v>
      </c>
      <c r="S37" s="133">
        <f t="shared" ca="1" si="8"/>
        <v>2.35</v>
      </c>
      <c r="U37" s="80"/>
      <c r="V37" s="211"/>
      <c r="W37" s="208"/>
      <c r="X37" s="217"/>
      <c r="Y37" s="213"/>
      <c r="Z37" s="214"/>
      <c r="AA37" s="214"/>
      <c r="AB37" s="215"/>
    </row>
    <row r="38" spans="1:28" x14ac:dyDescent="0.2">
      <c r="A38" s="45" t="s">
        <v>25</v>
      </c>
      <c r="B38" s="117">
        <f t="shared" ca="1" si="2"/>
        <v>38</v>
      </c>
      <c r="C38" s="1">
        <f>IF(ISERROR(D38),"",IF(D38="","",MAX($C$13:C37)+1))</f>
        <v>25</v>
      </c>
      <c r="D38" t="str">
        <f t="shared" si="3"/>
        <v xml:space="preserve">MGE Energy                    </v>
      </c>
      <c r="E38" s="15"/>
      <c r="F38" s="133">
        <f t="shared" ca="1" si="4"/>
        <v>1.8925384615384619</v>
      </c>
      <c r="G38" s="133">
        <f t="shared" si="5"/>
        <v>2.4500000000000002</v>
      </c>
      <c r="H38" s="133">
        <f ca="1">IFERROR(IF(VLOOKUP($A38,LASTYR,'2017'!$F$3,FALSE)=0,"N/A",VLOOKUP($A38,LASTYR,'2017'!$F$3,FALSE)),"N/A")</f>
        <v>2.2000000000000002</v>
      </c>
      <c r="I38" s="133">
        <f t="shared" ca="1" si="8"/>
        <v>2.1800000000000002</v>
      </c>
      <c r="J38" s="133">
        <f t="shared" ca="1" si="8"/>
        <v>2.06</v>
      </c>
      <c r="K38" s="133">
        <f t="shared" ca="1" si="8"/>
        <v>2.3199999999999998</v>
      </c>
      <c r="L38" s="133">
        <f t="shared" ca="1" si="8"/>
        <v>2.16</v>
      </c>
      <c r="M38" s="133">
        <f t="shared" ca="1" si="8"/>
        <v>1.86</v>
      </c>
      <c r="N38" s="133">
        <f t="shared" ca="1" si="8"/>
        <v>1.76</v>
      </c>
      <c r="O38" s="133">
        <f t="shared" ca="1" si="8"/>
        <v>1.667</v>
      </c>
      <c r="P38" s="133">
        <f t="shared" ca="1" si="8"/>
        <v>1.4730000000000001</v>
      </c>
      <c r="Q38" s="133">
        <f t="shared" ca="1" si="8"/>
        <v>1.587</v>
      </c>
      <c r="R38" s="133">
        <f t="shared" ca="1" si="8"/>
        <v>1.5129999999999999</v>
      </c>
      <c r="S38" s="133">
        <f t="shared" ca="1" si="8"/>
        <v>1.373</v>
      </c>
      <c r="U38" s="80"/>
      <c r="V38" s="211"/>
      <c r="W38" s="208"/>
      <c r="X38" s="217"/>
      <c r="Y38" s="213"/>
      <c r="Z38" s="214"/>
      <c r="AA38" s="214"/>
      <c r="AB38" s="215"/>
    </row>
    <row r="39" spans="1:28" x14ac:dyDescent="0.2">
      <c r="A39" s="45" t="s">
        <v>141</v>
      </c>
      <c r="B39" s="117">
        <f t="shared" ca="1" si="2"/>
        <v>41</v>
      </c>
      <c r="C39" s="1">
        <f>IF(ISERROR(D39),"",IF(D39="","",MAX($C$13:C38)+1))</f>
        <v>26</v>
      </c>
      <c r="D39" t="str">
        <f t="shared" si="3"/>
        <v>NextEra Energy, Inc.</v>
      </c>
      <c r="E39" s="15"/>
      <c r="F39" s="133">
        <f t="shared" ca="1" si="4"/>
        <v>4.9946153846153853</v>
      </c>
      <c r="G39" s="133">
        <f t="shared" si="5"/>
        <v>7.5</v>
      </c>
      <c r="H39" s="133">
        <f ca="1">IFERROR(IF(VLOOKUP($A39,LASTYR,'2017'!$F$3,FALSE)=0,"N/A",VLOOKUP($A39,LASTYR,'2017'!$F$3,FALSE)),"N/A")</f>
        <v>6.5</v>
      </c>
      <c r="I39" s="133">
        <f t="shared" ca="1" si="8"/>
        <v>5.78</v>
      </c>
      <c r="J39" s="133">
        <f t="shared" ca="1" si="8"/>
        <v>6.06</v>
      </c>
      <c r="K39" s="133">
        <f t="shared" ca="1" si="8"/>
        <v>5.6</v>
      </c>
      <c r="L39" s="133">
        <f t="shared" ca="1" si="8"/>
        <v>4.83</v>
      </c>
      <c r="M39" s="133">
        <f t="shared" ca="1" si="8"/>
        <v>4.5599999999999996</v>
      </c>
      <c r="N39" s="133">
        <f t="shared" ca="1" si="8"/>
        <v>4.82</v>
      </c>
      <c r="O39" s="133">
        <f t="shared" ca="1" si="8"/>
        <v>4.74</v>
      </c>
      <c r="P39" s="133">
        <f t="shared" ca="1" si="8"/>
        <v>3.97</v>
      </c>
      <c r="Q39" s="133">
        <f t="shared" ca="1" si="8"/>
        <v>4.07</v>
      </c>
      <c r="R39" s="133">
        <f t="shared" ca="1" si="8"/>
        <v>3.27</v>
      </c>
      <c r="S39" s="133">
        <f t="shared" ca="1" si="8"/>
        <v>3.23</v>
      </c>
      <c r="U39" s="80"/>
      <c r="V39" s="211"/>
      <c r="W39" s="208"/>
      <c r="X39" s="217"/>
      <c r="Y39" s="213"/>
      <c r="Z39" s="214"/>
      <c r="AA39" s="214"/>
      <c r="AB39" s="215"/>
    </row>
    <row r="40" spans="1:28" x14ac:dyDescent="0.2">
      <c r="A40" s="45" t="s">
        <v>144</v>
      </c>
      <c r="B40" s="117">
        <f t="shared" ca="1" si="2"/>
        <v>44</v>
      </c>
      <c r="C40" s="1">
        <f>IF(ISERROR(D40),"",IF(D40="","",MAX($C$13:C39)+1))</f>
        <v>27</v>
      </c>
      <c r="D40" t="str">
        <f t="shared" si="3"/>
        <v xml:space="preserve">NorthWestern Corp             </v>
      </c>
      <c r="E40" s="15"/>
      <c r="F40" s="133">
        <f t="shared" ca="1" si="4"/>
        <v>2.4653846153846155</v>
      </c>
      <c r="G40" s="133">
        <f t="shared" si="5"/>
        <v>3.5</v>
      </c>
      <c r="H40" s="133">
        <f ca="1">IFERROR(IF(VLOOKUP($A40,LASTYR,'2017'!$F$3,FALSE)=0,"N/A",VLOOKUP($A40,LASTYR,'2017'!$F$3,FALSE)),"N/A")</f>
        <v>3.34</v>
      </c>
      <c r="I40" s="133">
        <f t="shared" ca="1" si="8"/>
        <v>3.39</v>
      </c>
      <c r="J40" s="133">
        <f t="shared" ca="1" si="8"/>
        <v>2.9</v>
      </c>
      <c r="K40" s="133">
        <f t="shared" ca="1" si="8"/>
        <v>2.99</v>
      </c>
      <c r="L40" s="133">
        <f t="shared" ca="1" si="8"/>
        <v>2.46</v>
      </c>
      <c r="M40" s="133">
        <f t="shared" ca="1" si="8"/>
        <v>2.2599999999999998</v>
      </c>
      <c r="N40" s="133">
        <f t="shared" ca="1" si="8"/>
        <v>2.5299999999999998</v>
      </c>
      <c r="O40" s="133">
        <f t="shared" ca="1" si="8"/>
        <v>2.14</v>
      </c>
      <c r="P40" s="133">
        <f t="shared" ca="1" si="8"/>
        <v>2.02</v>
      </c>
      <c r="Q40" s="133">
        <f t="shared" ca="1" si="8"/>
        <v>1.77</v>
      </c>
      <c r="R40" s="133">
        <f t="shared" ca="1" si="8"/>
        <v>1.44</v>
      </c>
      <c r="S40" s="133">
        <f t="shared" ca="1" si="8"/>
        <v>1.31</v>
      </c>
      <c r="U40" s="80"/>
      <c r="V40" s="211"/>
      <c r="W40" s="208"/>
      <c r="X40" s="217"/>
      <c r="Y40" s="213"/>
      <c r="Z40" s="214"/>
      <c r="AA40" s="214"/>
      <c r="AB40" s="215"/>
    </row>
    <row r="41" spans="1:28" x14ac:dyDescent="0.2">
      <c r="A41" s="45" t="s">
        <v>27</v>
      </c>
      <c r="B41" s="117">
        <f t="shared" ca="1" si="2"/>
        <v>45</v>
      </c>
      <c r="C41" s="1">
        <f>IF(ISERROR(D41),"",IF(D41="","",MAX($C$13:C40)+1))</f>
        <v>28</v>
      </c>
      <c r="D41" t="str">
        <f t="shared" si="3"/>
        <v xml:space="preserve">OGE Energy                    </v>
      </c>
      <c r="E41" s="15"/>
      <c r="F41" s="133">
        <f t="shared" ca="1" si="4"/>
        <v>1.65</v>
      </c>
      <c r="G41" s="133">
        <f t="shared" si="5"/>
        <v>2.1</v>
      </c>
      <c r="H41" s="133">
        <f ca="1">IFERROR(IF(VLOOKUP($A41,LASTYR,'2017'!$F$3,FALSE)=0,"N/A",VLOOKUP($A41,LASTYR,'2017'!$F$3,FALSE)),"N/A")</f>
        <v>1.92</v>
      </c>
      <c r="I41" s="133">
        <f t="shared" ca="1" si="8"/>
        <v>1.69</v>
      </c>
      <c r="J41" s="133">
        <f t="shared" ca="1" si="8"/>
        <v>1.69</v>
      </c>
      <c r="K41" s="133">
        <f t="shared" ca="1" si="8"/>
        <v>1.98</v>
      </c>
      <c r="L41" s="133">
        <f t="shared" ca="1" si="8"/>
        <v>1.94</v>
      </c>
      <c r="M41" s="133">
        <f t="shared" ca="1" si="8"/>
        <v>1.79</v>
      </c>
      <c r="N41" s="133">
        <f t="shared" ca="1" si="8"/>
        <v>1.7250000000000001</v>
      </c>
      <c r="O41" s="133">
        <f t="shared" ca="1" si="8"/>
        <v>1.4950000000000001</v>
      </c>
      <c r="P41" s="133">
        <f t="shared" ca="1" si="8"/>
        <v>1.33</v>
      </c>
      <c r="Q41" s="133">
        <f t="shared" ca="1" si="8"/>
        <v>1.2450000000000001</v>
      </c>
      <c r="R41" s="133">
        <f t="shared" ca="1" si="8"/>
        <v>1.32</v>
      </c>
      <c r="S41" s="133">
        <f t="shared" ca="1" si="8"/>
        <v>1.2250000000000001</v>
      </c>
      <c r="U41" s="80"/>
      <c r="V41" s="211"/>
      <c r="W41" s="208"/>
      <c r="X41" s="217"/>
      <c r="Y41" s="213"/>
      <c r="Z41" s="214"/>
      <c r="AA41" s="214"/>
      <c r="AB41" s="215"/>
    </row>
    <row r="42" spans="1:28" x14ac:dyDescent="0.2">
      <c r="A42" s="45" t="s">
        <v>28</v>
      </c>
      <c r="B42" s="117">
        <f t="shared" ca="1" si="2"/>
        <v>47</v>
      </c>
      <c r="C42" s="1">
        <f>IF(ISERROR(D42),"",IF(D42="","",MAX($C$13:C41)+1))</f>
        <v>29</v>
      </c>
      <c r="D42" t="str">
        <f t="shared" si="3"/>
        <v xml:space="preserve">Otter Tail Corp.              </v>
      </c>
      <c r="E42" s="15"/>
      <c r="F42" s="133">
        <f t="shared" ca="1" si="4"/>
        <v>1.326153846153846</v>
      </c>
      <c r="G42" s="133">
        <f t="shared" si="5"/>
        <v>2.15</v>
      </c>
      <c r="H42" s="133">
        <f ca="1">IFERROR(IF(VLOOKUP($A42,LASTYR,'2017'!$F$3,FALSE)=0,"N/A",VLOOKUP($A42,LASTYR,'2017'!$F$3,FALSE)),"N/A")</f>
        <v>1.86</v>
      </c>
      <c r="I42" s="133">
        <f t="shared" ca="1" si="8"/>
        <v>1.6</v>
      </c>
      <c r="J42" s="133">
        <f t="shared" ca="1" si="8"/>
        <v>1.56</v>
      </c>
      <c r="K42" s="133">
        <f t="shared" ca="1" si="8"/>
        <v>1.55</v>
      </c>
      <c r="L42" s="133">
        <f t="shared" ca="1" si="8"/>
        <v>1.37</v>
      </c>
      <c r="M42" s="133">
        <f t="shared" ca="1" si="8"/>
        <v>1.05</v>
      </c>
      <c r="N42" s="133">
        <f t="shared" ca="1" si="8"/>
        <v>0.45</v>
      </c>
      <c r="O42" s="133">
        <f t="shared" ca="1" si="8"/>
        <v>0.38</v>
      </c>
      <c r="P42" s="133">
        <f t="shared" ca="1" si="8"/>
        <v>0.71</v>
      </c>
      <c r="Q42" s="133">
        <f t="shared" ca="1" si="8"/>
        <v>1.0900000000000001</v>
      </c>
      <c r="R42" s="133">
        <f t="shared" ca="1" si="8"/>
        <v>1.78</v>
      </c>
      <c r="S42" s="133">
        <f t="shared" ca="1" si="8"/>
        <v>1.69</v>
      </c>
      <c r="U42" s="80"/>
      <c r="V42" s="211"/>
      <c r="W42" s="208"/>
      <c r="X42" s="217"/>
      <c r="Y42" s="213"/>
      <c r="Z42" s="214"/>
      <c r="AA42" s="214"/>
      <c r="AB42" s="215"/>
    </row>
    <row r="43" spans="1:28" x14ac:dyDescent="0.2">
      <c r="A43" s="45" t="s">
        <v>30</v>
      </c>
      <c r="B43" s="117">
        <f t="shared" ca="1" si="2"/>
        <v>48</v>
      </c>
      <c r="C43" s="1">
        <f>IF(ISERROR(D43),"",IF(D43="","",MAX($C$13:C42)+1))</f>
        <v>30</v>
      </c>
      <c r="D43" t="str">
        <f t="shared" si="3"/>
        <v xml:space="preserve">PG&amp;E Corp.                    </v>
      </c>
      <c r="E43" s="15"/>
      <c r="F43" s="133">
        <f t="shared" ca="1" si="4"/>
        <v>2.56</v>
      </c>
      <c r="G43" s="133">
        <f t="shared" si="5"/>
        <v>0.6</v>
      </c>
      <c r="H43" s="133">
        <f ca="1">IFERROR(IF(VLOOKUP($A43,LASTYR,'2017'!$F$3,FALSE)=0,"N/A",VLOOKUP($A43,LASTYR,'2017'!$F$3,FALSE)),"N/A")</f>
        <v>3.5</v>
      </c>
      <c r="I43" s="133">
        <f t="shared" ca="1" si="8"/>
        <v>2.83</v>
      </c>
      <c r="J43" s="133">
        <f t="shared" ca="1" si="8"/>
        <v>2</v>
      </c>
      <c r="K43" s="133">
        <f t="shared" ca="1" si="8"/>
        <v>3.06</v>
      </c>
      <c r="L43" s="133">
        <f t="shared" ca="1" si="8"/>
        <v>1.83</v>
      </c>
      <c r="M43" s="133">
        <f t="shared" ca="1" si="8"/>
        <v>2.0699999999999998</v>
      </c>
      <c r="N43" s="133">
        <f t="shared" ca="1" si="8"/>
        <v>2.78</v>
      </c>
      <c r="O43" s="133">
        <f t="shared" ca="1" si="8"/>
        <v>2.82</v>
      </c>
      <c r="P43" s="133">
        <f t="shared" ca="1" si="8"/>
        <v>3.03</v>
      </c>
      <c r="Q43" s="133">
        <f t="shared" ca="1" si="8"/>
        <v>3.22</v>
      </c>
      <c r="R43" s="133">
        <f t="shared" ca="1" si="8"/>
        <v>2.78</v>
      </c>
      <c r="S43" s="133">
        <f t="shared" ca="1" si="8"/>
        <v>2.76</v>
      </c>
      <c r="U43" s="80"/>
      <c r="V43" s="211"/>
      <c r="W43" s="208"/>
      <c r="X43" s="217"/>
      <c r="Y43" s="213"/>
      <c r="Z43" s="214"/>
      <c r="AA43" s="214"/>
      <c r="AB43" s="215"/>
    </row>
    <row r="44" spans="1:28" x14ac:dyDescent="0.2">
      <c r="A44" s="45" t="s">
        <v>31</v>
      </c>
      <c r="B44" s="117">
        <f t="shared" ca="1" si="2"/>
        <v>49</v>
      </c>
      <c r="C44" s="1">
        <f>IF(ISERROR(D44),"",IF(D44="","",MAX($C$13:C43)+1))</f>
        <v>31</v>
      </c>
      <c r="D44" t="str">
        <f t="shared" si="3"/>
        <v xml:space="preserve">Pinnacle West Capital         </v>
      </c>
      <c r="E44" s="15"/>
      <c r="F44" s="133">
        <f t="shared" ca="1" si="4"/>
        <v>3.3861538461538458</v>
      </c>
      <c r="G44" s="133">
        <f t="shared" si="5"/>
        <v>4.4000000000000004</v>
      </c>
      <c r="H44" s="133">
        <f ca="1">IFERROR(IF(VLOOKUP($A44,LASTYR,'2017'!$F$3,FALSE)=0,"N/A",VLOOKUP($A44,LASTYR,'2017'!$F$3,FALSE)),"N/A")</f>
        <v>4.43</v>
      </c>
      <c r="I44" s="133">
        <f t="shared" ca="1" si="8"/>
        <v>3.95</v>
      </c>
      <c r="J44" s="133">
        <f t="shared" ca="1" si="8"/>
        <v>3.92</v>
      </c>
      <c r="K44" s="133">
        <f t="shared" ca="1" si="8"/>
        <v>3.58</v>
      </c>
      <c r="L44" s="133">
        <f t="shared" ca="1" si="8"/>
        <v>3.66</v>
      </c>
      <c r="M44" s="133">
        <f t="shared" ca="1" si="8"/>
        <v>3.5</v>
      </c>
      <c r="N44" s="133">
        <f t="shared" ca="1" si="8"/>
        <v>2.99</v>
      </c>
      <c r="O44" s="133">
        <f t="shared" ca="1" si="8"/>
        <v>3.08</v>
      </c>
      <c r="P44" s="133">
        <f t="shared" ca="1" si="8"/>
        <v>2.2599999999999998</v>
      </c>
      <c r="Q44" s="133">
        <f t="shared" ca="1" si="8"/>
        <v>2.12</v>
      </c>
      <c r="R44" s="133">
        <f t="shared" ca="1" si="8"/>
        <v>2.96</v>
      </c>
      <c r="S44" s="133">
        <f t="shared" ca="1" si="8"/>
        <v>3.17</v>
      </c>
      <c r="U44" s="80"/>
      <c r="V44" s="211"/>
      <c r="W44" s="208"/>
      <c r="X44" s="217"/>
      <c r="Y44" s="213"/>
      <c r="Z44" s="214"/>
      <c r="AA44" s="214"/>
      <c r="AB44" s="215"/>
    </row>
    <row r="45" spans="1:28" x14ac:dyDescent="0.2">
      <c r="A45" s="45" t="s">
        <v>32</v>
      </c>
      <c r="B45" s="117">
        <f t="shared" ca="1" si="2"/>
        <v>50</v>
      </c>
      <c r="C45" s="1">
        <f>IF(ISERROR(D45),"",IF(D45="","",MAX($C$13:C44)+1))</f>
        <v>32</v>
      </c>
      <c r="D45" t="str">
        <f t="shared" si="3"/>
        <v xml:space="preserve">PNM Resources                 </v>
      </c>
      <c r="E45" s="15"/>
      <c r="F45" s="133">
        <f t="shared" ca="1" si="4"/>
        <v>1.2615384615384615</v>
      </c>
      <c r="G45" s="133">
        <f t="shared" si="5"/>
        <v>1.9</v>
      </c>
      <c r="H45" s="133">
        <f ca="1">IFERROR(IF(VLOOKUP($A45,LASTYR,'2017'!$F$3,FALSE)=0,"N/A",VLOOKUP($A45,LASTYR,'2017'!$F$3,FALSE)),"N/A")</f>
        <v>1.92</v>
      </c>
      <c r="I45" s="133">
        <f t="shared" ref="I45:S55" ca="1" si="9">IFERROR(IF(INDEX(Earnings,$B45,I$13)=0,"N/A",INDEX(Earnings,$B45,I$13)),"N/A")</f>
        <v>1.65</v>
      </c>
      <c r="J45" s="133">
        <f t="shared" ca="1" si="9"/>
        <v>1.64</v>
      </c>
      <c r="K45" s="133">
        <f t="shared" ca="1" si="9"/>
        <v>1.45</v>
      </c>
      <c r="L45" s="133">
        <f t="shared" ca="1" si="9"/>
        <v>1.41</v>
      </c>
      <c r="M45" s="133">
        <f t="shared" ca="1" si="9"/>
        <v>1.31</v>
      </c>
      <c r="N45" s="133">
        <f t="shared" ca="1" si="9"/>
        <v>1.08</v>
      </c>
      <c r="O45" s="133">
        <f t="shared" ca="1" si="9"/>
        <v>0.87</v>
      </c>
      <c r="P45" s="133">
        <f t="shared" ca="1" si="9"/>
        <v>0.57999999999999996</v>
      </c>
      <c r="Q45" s="133">
        <f t="shared" ca="1" si="9"/>
        <v>0.11</v>
      </c>
      <c r="R45" s="133">
        <f t="shared" ca="1" si="9"/>
        <v>0.76</v>
      </c>
      <c r="S45" s="133">
        <f t="shared" ca="1" si="9"/>
        <v>1.72</v>
      </c>
      <c r="U45" s="80"/>
      <c r="V45" s="211"/>
      <c r="W45" s="208"/>
      <c r="X45" s="217"/>
      <c r="Y45" s="213"/>
      <c r="Z45" s="214"/>
      <c r="AA45" s="214"/>
      <c r="AB45" s="215"/>
    </row>
    <row r="46" spans="1:28" x14ac:dyDescent="0.2">
      <c r="A46" s="45" t="s">
        <v>33</v>
      </c>
      <c r="B46" s="117">
        <f t="shared" ca="1" si="2"/>
        <v>51</v>
      </c>
      <c r="C46" s="1">
        <f>IF(ISERROR(D46),"",IF(D46="","",MAX($C$13:C45)+1))</f>
        <v>33</v>
      </c>
      <c r="D46" t="str">
        <f t="shared" si="3"/>
        <v xml:space="preserve">Portland General              </v>
      </c>
      <c r="E46" s="15"/>
      <c r="F46" s="133">
        <f t="shared" ca="1" si="4"/>
        <v>1.8761538461538463</v>
      </c>
      <c r="G46" s="133">
        <f t="shared" si="5"/>
        <v>2.2999999999999998</v>
      </c>
      <c r="H46" s="133">
        <f ca="1">IFERROR(IF(VLOOKUP($A46,LASTYR,'2017'!$F$3,FALSE)=0,"N/A",VLOOKUP($A46,LASTYR,'2017'!$F$3,FALSE)),"N/A")</f>
        <v>2.29</v>
      </c>
      <c r="I46" s="133">
        <f t="shared" ca="1" si="9"/>
        <v>2.16</v>
      </c>
      <c r="J46" s="133">
        <f t="shared" ca="1" si="9"/>
        <v>2.04</v>
      </c>
      <c r="K46" s="133">
        <f t="shared" ca="1" si="9"/>
        <v>2.1800000000000002</v>
      </c>
      <c r="L46" s="133">
        <f t="shared" ca="1" si="9"/>
        <v>1.77</v>
      </c>
      <c r="M46" s="133">
        <f t="shared" ca="1" si="9"/>
        <v>1.87</v>
      </c>
      <c r="N46" s="133">
        <f t="shared" ca="1" si="9"/>
        <v>1.95</v>
      </c>
      <c r="O46" s="133">
        <f t="shared" ca="1" si="9"/>
        <v>1.66</v>
      </c>
      <c r="P46" s="133">
        <f t="shared" ca="1" si="9"/>
        <v>1.31</v>
      </c>
      <c r="Q46" s="133">
        <f t="shared" ca="1" si="9"/>
        <v>1.39</v>
      </c>
      <c r="R46" s="133">
        <f t="shared" ca="1" si="9"/>
        <v>2.33</v>
      </c>
      <c r="S46" s="133">
        <f t="shared" ca="1" si="9"/>
        <v>1.1399999999999999</v>
      </c>
      <c r="U46" s="80"/>
      <c r="V46" s="211"/>
      <c r="W46" s="208"/>
      <c r="X46" s="217"/>
      <c r="Y46" s="213"/>
      <c r="Z46" s="214"/>
      <c r="AA46" s="214"/>
      <c r="AB46" s="215"/>
    </row>
    <row r="47" spans="1:28" x14ac:dyDescent="0.2">
      <c r="A47" s="45" t="s">
        <v>34</v>
      </c>
      <c r="B47" s="117">
        <f t="shared" ca="1" si="2"/>
        <v>52</v>
      </c>
      <c r="C47" s="1">
        <f>IF(ISERROR(D47),"",IF(D47="","",MAX($C$13:C46)+1))</f>
        <v>34</v>
      </c>
      <c r="D47" t="str">
        <f t="shared" si="3"/>
        <v xml:space="preserve">PPL Corp.                     </v>
      </c>
      <c r="E47" s="15"/>
      <c r="F47" s="133">
        <f t="shared" ca="1" si="4"/>
        <v>2.3538461538461535</v>
      </c>
      <c r="G47" s="133">
        <f t="shared" si="5"/>
        <v>2.5</v>
      </c>
      <c r="H47" s="133">
        <f ca="1">IFERROR(IF(VLOOKUP($A47,LASTYR,'2017'!$F$3,FALSE)=0,"N/A",VLOOKUP($A47,LASTYR,'2017'!$F$3,FALSE)),"N/A")</f>
        <v>2.11</v>
      </c>
      <c r="I47" s="133">
        <f t="shared" ca="1" si="9"/>
        <v>2.79</v>
      </c>
      <c r="J47" s="133">
        <f t="shared" ca="1" si="9"/>
        <v>2.37</v>
      </c>
      <c r="K47" s="133">
        <f t="shared" ca="1" si="9"/>
        <v>2.38</v>
      </c>
      <c r="L47" s="133">
        <f t="shared" ca="1" si="9"/>
        <v>2.38</v>
      </c>
      <c r="M47" s="133">
        <f t="shared" ca="1" si="9"/>
        <v>2.61</v>
      </c>
      <c r="N47" s="133">
        <f t="shared" ca="1" si="9"/>
        <v>2.61</v>
      </c>
      <c r="O47" s="133">
        <f t="shared" ca="1" si="9"/>
        <v>2.29</v>
      </c>
      <c r="P47" s="133">
        <f t="shared" ca="1" si="9"/>
        <v>1.19</v>
      </c>
      <c r="Q47" s="133">
        <f t="shared" ca="1" si="9"/>
        <v>2.4500000000000002</v>
      </c>
      <c r="R47" s="133">
        <f t="shared" ca="1" si="9"/>
        <v>2.63</v>
      </c>
      <c r="S47" s="133">
        <f t="shared" ca="1" si="9"/>
        <v>2.29</v>
      </c>
      <c r="U47" s="80"/>
      <c r="V47" s="211"/>
      <c r="W47" s="208"/>
      <c r="X47" s="217"/>
      <c r="Y47" s="213"/>
      <c r="Z47" s="214"/>
      <c r="AA47" s="214"/>
      <c r="AB47" s="215"/>
    </row>
    <row r="48" spans="1:28" x14ac:dyDescent="0.2">
      <c r="A48" s="45" t="s">
        <v>35</v>
      </c>
      <c r="B48" s="117">
        <f t="shared" ca="1" si="2"/>
        <v>53</v>
      </c>
      <c r="C48" s="1">
        <f>IF(ISERROR(D48),"",IF(D48="","",MAX($C$13:C47)+1))</f>
        <v>35</v>
      </c>
      <c r="D48" t="str">
        <f t="shared" si="3"/>
        <v xml:space="preserve">Public Serv. Enterprise       </v>
      </c>
      <c r="E48" s="15"/>
      <c r="F48" s="133">
        <f t="shared" ca="1" si="4"/>
        <v>2.8019230769230767</v>
      </c>
      <c r="G48" s="133">
        <f t="shared" si="5"/>
        <v>3</v>
      </c>
      <c r="H48" s="133">
        <f ca="1">IFERROR(IF(VLOOKUP($A48,LASTYR,'2017'!$F$3,FALSE)=0,"N/A",VLOOKUP($A48,LASTYR,'2017'!$F$3,FALSE)),"N/A")</f>
        <v>2.82</v>
      </c>
      <c r="I48" s="133">
        <f t="shared" ca="1" si="9"/>
        <v>2.83</v>
      </c>
      <c r="J48" s="133">
        <f t="shared" ca="1" si="9"/>
        <v>3.3</v>
      </c>
      <c r="K48" s="133">
        <f t="shared" ca="1" si="9"/>
        <v>2.99</v>
      </c>
      <c r="L48" s="133">
        <f t="shared" ca="1" si="9"/>
        <v>2.4500000000000002</v>
      </c>
      <c r="M48" s="133">
        <f t="shared" ca="1" si="9"/>
        <v>2.44</v>
      </c>
      <c r="N48" s="133">
        <f t="shared" ca="1" si="9"/>
        <v>3.11</v>
      </c>
      <c r="O48" s="133">
        <f t="shared" ca="1" si="9"/>
        <v>3.07</v>
      </c>
      <c r="P48" s="133">
        <f t="shared" ca="1" si="9"/>
        <v>3.08</v>
      </c>
      <c r="Q48" s="133">
        <f t="shared" ca="1" si="9"/>
        <v>2.9</v>
      </c>
      <c r="R48" s="133">
        <f t="shared" ca="1" si="9"/>
        <v>2.59</v>
      </c>
      <c r="S48" s="133">
        <f t="shared" ca="1" si="9"/>
        <v>1.845</v>
      </c>
      <c r="U48" s="80"/>
      <c r="V48" s="211"/>
      <c r="W48" s="208"/>
      <c r="X48" s="217"/>
      <c r="Y48" s="213"/>
      <c r="Z48" s="214"/>
      <c r="AA48" s="214"/>
      <c r="AB48" s="215"/>
    </row>
    <row r="49" spans="1:32" x14ac:dyDescent="0.2">
      <c r="A49" s="45" t="s">
        <v>36</v>
      </c>
      <c r="B49" s="117">
        <f t="shared" ca="1" si="2"/>
        <v>55</v>
      </c>
      <c r="C49" s="1">
        <f>IF(ISERROR(D49),"",IF(D49="","",MAX($C$13:C48)+1))</f>
        <v>36</v>
      </c>
      <c r="D49" t="str">
        <f t="shared" si="3"/>
        <v xml:space="preserve">SCANA Corp.                   </v>
      </c>
      <c r="E49" s="15"/>
      <c r="F49" s="133">
        <f t="shared" ca="1" si="4"/>
        <v>3.183076923076924</v>
      </c>
      <c r="G49" s="133">
        <f t="shared" si="5"/>
        <v>1.8</v>
      </c>
      <c r="H49" s="133">
        <f ca="1">IFERROR(IF(VLOOKUP($A49,LASTYR,'2017'!$F$3,FALSE)=0,"N/A",VLOOKUP($A49,LASTYR,'2017'!$F$3,FALSE)),"N/A")</f>
        <v>4.2</v>
      </c>
      <c r="I49" s="133">
        <f t="shared" ca="1" si="9"/>
        <v>4.16</v>
      </c>
      <c r="J49" s="133">
        <f t="shared" ca="1" si="9"/>
        <v>3.81</v>
      </c>
      <c r="K49" s="133">
        <f t="shared" ca="1" si="9"/>
        <v>3.79</v>
      </c>
      <c r="L49" s="133">
        <f t="shared" ca="1" si="9"/>
        <v>3.39</v>
      </c>
      <c r="M49" s="133">
        <f t="shared" ca="1" si="9"/>
        <v>3.15</v>
      </c>
      <c r="N49" s="133">
        <f t="shared" ca="1" si="9"/>
        <v>2.97</v>
      </c>
      <c r="O49" s="133">
        <f t="shared" ca="1" si="9"/>
        <v>2.98</v>
      </c>
      <c r="P49" s="133">
        <f t="shared" ca="1" si="9"/>
        <v>2.85</v>
      </c>
      <c r="Q49" s="133">
        <f t="shared" ca="1" si="9"/>
        <v>2.95</v>
      </c>
      <c r="R49" s="133">
        <f t="shared" ca="1" si="9"/>
        <v>2.74</v>
      </c>
      <c r="S49" s="133">
        <f t="shared" ca="1" si="9"/>
        <v>2.59</v>
      </c>
      <c r="U49" s="80"/>
      <c r="V49" s="211"/>
      <c r="W49" s="208"/>
      <c r="X49" s="217"/>
      <c r="Y49" s="213"/>
      <c r="Z49" s="214"/>
      <c r="AA49" s="214"/>
      <c r="AB49" s="215"/>
    </row>
    <row r="50" spans="1:32" x14ac:dyDescent="0.2">
      <c r="A50" s="45" t="s">
        <v>37</v>
      </c>
      <c r="B50" s="117">
        <f t="shared" ca="1" si="2"/>
        <v>56</v>
      </c>
      <c r="C50" s="1">
        <f>IF(ISERROR(D50),"",IF(D50="","",MAX($C$13:C49)+1))</f>
        <v>37</v>
      </c>
      <c r="D50" t="str">
        <f t="shared" si="3"/>
        <v xml:space="preserve">Sempra Energy                 </v>
      </c>
      <c r="E50" s="15"/>
      <c r="F50" s="133">
        <f t="shared" ca="1" si="4"/>
        <v>4.5492307692307694</v>
      </c>
      <c r="G50" s="133">
        <f t="shared" si="5"/>
        <v>5.65</v>
      </c>
      <c r="H50" s="133">
        <f ca="1">IFERROR(IF(VLOOKUP($A50,LASTYR,'2017'!$F$3,FALSE)=0,"N/A",VLOOKUP($A50,LASTYR,'2017'!$F$3,FALSE)),"N/A")</f>
        <v>4.63</v>
      </c>
      <c r="I50" s="133">
        <f t="shared" ca="1" si="9"/>
        <v>4.24</v>
      </c>
      <c r="J50" s="133">
        <f t="shared" ca="1" si="9"/>
        <v>5.23</v>
      </c>
      <c r="K50" s="133">
        <f t="shared" ca="1" si="9"/>
        <v>4.63</v>
      </c>
      <c r="L50" s="133">
        <f t="shared" ca="1" si="9"/>
        <v>4.22</v>
      </c>
      <c r="M50" s="133">
        <f t="shared" ca="1" si="9"/>
        <v>4.3499999999999996</v>
      </c>
      <c r="N50" s="133">
        <f t="shared" ca="1" si="9"/>
        <v>4.47</v>
      </c>
      <c r="O50" s="133">
        <f t="shared" ca="1" si="9"/>
        <v>4.0199999999999996</v>
      </c>
      <c r="P50" s="133">
        <f t="shared" ca="1" si="9"/>
        <v>4.78</v>
      </c>
      <c r="Q50" s="133">
        <f t="shared" ca="1" si="9"/>
        <v>4.43</v>
      </c>
      <c r="R50" s="133">
        <f t="shared" ca="1" si="9"/>
        <v>4.26</v>
      </c>
      <c r="S50" s="133">
        <f t="shared" ca="1" si="9"/>
        <v>4.2300000000000004</v>
      </c>
      <c r="U50" s="80"/>
      <c r="V50" s="211"/>
      <c r="W50" s="208"/>
      <c r="X50" s="217"/>
      <c r="Y50" s="213"/>
      <c r="Z50" s="214"/>
      <c r="AA50" s="214"/>
      <c r="AB50" s="215"/>
    </row>
    <row r="51" spans="1:32" x14ac:dyDescent="0.2">
      <c r="A51" s="45" t="s">
        <v>38</v>
      </c>
      <c r="B51" s="117">
        <f t="shared" ca="1" si="2"/>
        <v>59</v>
      </c>
      <c r="C51" s="1">
        <f>IF(ISERROR(D51),"",IF(D51="","",MAX($C$13:C50)+1))</f>
        <v>38</v>
      </c>
      <c r="D51" t="str">
        <f t="shared" si="3"/>
        <v xml:space="preserve">Southern Co.                  </v>
      </c>
      <c r="E51" s="15"/>
      <c r="F51" s="133">
        <f t="shared" ca="1" si="4"/>
        <v>2.5984615384615384</v>
      </c>
      <c r="G51" s="133">
        <f t="shared" si="5"/>
        <v>2.9</v>
      </c>
      <c r="H51" s="133">
        <f ca="1">IFERROR(IF(VLOOKUP($A51,LASTYR,'2017'!$F$3,FALSE)=0,"N/A",VLOOKUP($A51,LASTYR,'2017'!$F$3,FALSE)),"N/A")</f>
        <v>3.21</v>
      </c>
      <c r="I51" s="133">
        <f t="shared" ca="1" si="9"/>
        <v>2.83</v>
      </c>
      <c r="J51" s="133">
        <f t="shared" ca="1" si="9"/>
        <v>2.84</v>
      </c>
      <c r="K51" s="133">
        <f t="shared" ca="1" si="9"/>
        <v>2.77</v>
      </c>
      <c r="L51" s="133">
        <f t="shared" ca="1" si="9"/>
        <v>2.7</v>
      </c>
      <c r="M51" s="133">
        <f t="shared" ca="1" si="9"/>
        <v>2.67</v>
      </c>
      <c r="N51" s="133">
        <f t="shared" ca="1" si="9"/>
        <v>2.5499999999999998</v>
      </c>
      <c r="O51" s="133">
        <f t="shared" ca="1" si="9"/>
        <v>2.36</v>
      </c>
      <c r="P51" s="133">
        <f t="shared" ca="1" si="9"/>
        <v>2.3199999999999998</v>
      </c>
      <c r="Q51" s="133">
        <f t="shared" ca="1" si="9"/>
        <v>2.25</v>
      </c>
      <c r="R51" s="133">
        <f t="shared" ca="1" si="9"/>
        <v>2.2799999999999998</v>
      </c>
      <c r="S51" s="133">
        <f t="shared" ca="1" si="9"/>
        <v>2.1</v>
      </c>
      <c r="U51" s="80"/>
      <c r="V51" s="211"/>
      <c r="W51" s="208"/>
      <c r="X51" s="217"/>
      <c r="Y51" s="213"/>
      <c r="Z51" s="214"/>
      <c r="AA51" s="214"/>
      <c r="AB51" s="215"/>
    </row>
    <row r="52" spans="1:32" x14ac:dyDescent="0.2">
      <c r="A52" s="45" t="s">
        <v>42</v>
      </c>
      <c r="B52" s="117">
        <f t="shared" ca="1" si="2"/>
        <v>65</v>
      </c>
      <c r="C52" s="1">
        <f>IF(ISERROR(D52),"",IF(D52="","",MAX($C$13:C51)+1))</f>
        <v>39</v>
      </c>
      <c r="D52" t="str">
        <f t="shared" si="3"/>
        <v xml:space="preserve">Vectren Corp.                 </v>
      </c>
      <c r="E52" s="15"/>
      <c r="F52" s="133">
        <f t="shared" ca="1" si="4"/>
        <v>1.9746153846153844</v>
      </c>
      <c r="G52" s="133">
        <f t="shared" si="5"/>
        <v>2.4500000000000002</v>
      </c>
      <c r="H52" s="133">
        <f ca="1">IFERROR(IF(VLOOKUP($A52,LASTYR,'2017'!$F$3,FALSE)=0,"N/A",VLOOKUP($A52,LASTYR,'2017'!$F$3,FALSE)),"N/A")</f>
        <v>2.6</v>
      </c>
      <c r="I52" s="133">
        <f t="shared" ca="1" si="9"/>
        <v>2.5499999999999998</v>
      </c>
      <c r="J52" s="133">
        <f t="shared" ca="1" si="9"/>
        <v>2.39</v>
      </c>
      <c r="K52" s="133">
        <f t="shared" ca="1" si="9"/>
        <v>2.02</v>
      </c>
      <c r="L52" s="133">
        <f t="shared" ca="1" si="9"/>
        <v>1.66</v>
      </c>
      <c r="M52" s="133">
        <f t="shared" ca="1" si="9"/>
        <v>1.94</v>
      </c>
      <c r="N52" s="133">
        <f t="shared" ca="1" si="9"/>
        <v>1.73</v>
      </c>
      <c r="O52" s="133">
        <f t="shared" ca="1" si="9"/>
        <v>1.64</v>
      </c>
      <c r="P52" s="133">
        <f t="shared" ca="1" si="9"/>
        <v>1.79</v>
      </c>
      <c r="Q52" s="133">
        <f t="shared" ca="1" si="9"/>
        <v>1.63</v>
      </c>
      <c r="R52" s="133">
        <f t="shared" ca="1" si="9"/>
        <v>1.83</v>
      </c>
      <c r="S52" s="133">
        <f t="shared" ca="1" si="9"/>
        <v>1.44</v>
      </c>
      <c r="U52" s="80"/>
      <c r="V52" s="211"/>
      <c r="W52" s="208"/>
      <c r="X52" s="217"/>
      <c r="Y52" s="213"/>
      <c r="Z52" s="214"/>
      <c r="AA52" s="214"/>
      <c r="AB52" s="215"/>
    </row>
    <row r="53" spans="1:32" x14ac:dyDescent="0.2">
      <c r="A53" s="45" t="s">
        <v>44</v>
      </c>
      <c r="B53" s="117">
        <f t="shared" ca="1" si="2"/>
        <v>66</v>
      </c>
      <c r="C53" s="1">
        <f>IF(ISERROR(D53),"",IF(D53="","",MAX($C$13:C52)+1))</f>
        <v>40</v>
      </c>
      <c r="D53" t="str">
        <f t="shared" si="3"/>
        <v>WEC Energy Group</v>
      </c>
      <c r="E53" s="15"/>
      <c r="F53" s="133">
        <f t="shared" ca="1" si="4"/>
        <v>2.2457692307692314</v>
      </c>
      <c r="G53" s="133">
        <f t="shared" si="5"/>
        <v>3.35</v>
      </c>
      <c r="H53" s="133">
        <f ca="1">IFERROR(IF(VLOOKUP($A53,LASTYR,'2017'!$F$3,FALSE)=0,"N/A",VLOOKUP($A53,LASTYR,'2017'!$F$3,FALSE)),"N/A")</f>
        <v>3.14</v>
      </c>
      <c r="I53" s="133">
        <f t="shared" ca="1" si="9"/>
        <v>2.96</v>
      </c>
      <c r="J53" s="133">
        <f t="shared" ca="1" si="9"/>
        <v>2.34</v>
      </c>
      <c r="K53" s="133">
        <f t="shared" ca="1" si="9"/>
        <v>2.59</v>
      </c>
      <c r="L53" s="133">
        <f t="shared" ca="1" si="9"/>
        <v>2.5099999999999998</v>
      </c>
      <c r="M53" s="133">
        <f t="shared" ca="1" si="9"/>
        <v>2.35</v>
      </c>
      <c r="N53" s="133">
        <f t="shared" ca="1" si="9"/>
        <v>2.1800000000000002</v>
      </c>
      <c r="O53" s="133">
        <f t="shared" ca="1" si="9"/>
        <v>1.92</v>
      </c>
      <c r="P53" s="133">
        <f t="shared" ca="1" si="9"/>
        <v>1.6</v>
      </c>
      <c r="Q53" s="133">
        <f t="shared" ca="1" si="9"/>
        <v>1.5149999999999999</v>
      </c>
      <c r="R53" s="133">
        <f t="shared" ca="1" si="9"/>
        <v>1.42</v>
      </c>
      <c r="S53" s="133">
        <f t="shared" ca="1" si="9"/>
        <v>1.32</v>
      </c>
      <c r="U53" s="80"/>
      <c r="V53" s="211"/>
      <c r="W53" s="208"/>
      <c r="X53" s="217"/>
      <c r="Y53" s="213"/>
      <c r="Z53" s="214"/>
      <c r="AA53" s="214"/>
      <c r="AB53" s="215"/>
    </row>
    <row r="54" spans="1:32" x14ac:dyDescent="0.2">
      <c r="A54" s="45" t="s">
        <v>43</v>
      </c>
      <c r="B54" s="117">
        <f t="shared" ca="1" si="2"/>
        <v>67</v>
      </c>
      <c r="C54" s="1">
        <f>IF(ISERROR(D54),"",IF(D54="","",MAX($C$13:C53)+1))</f>
        <v>41</v>
      </c>
      <c r="D54" t="str">
        <f t="shared" si="3"/>
        <v xml:space="preserve">Westar Energy                 </v>
      </c>
      <c r="E54" s="15"/>
      <c r="F54" s="133">
        <f t="shared" ca="1" si="4"/>
        <v>1.9550000000000001</v>
      </c>
      <c r="G54" s="133" t="str">
        <f t="shared" si="5"/>
        <v>N/A</v>
      </c>
      <c r="H54" s="133">
        <f ca="1">IFERROR(IF(VLOOKUP($A54,LASTYR,'2017'!$F$3,FALSE)=0,"N/A",VLOOKUP($A54,LASTYR,'2017'!$F$3,FALSE)),"N/A")</f>
        <v>2.27</v>
      </c>
      <c r="I54" s="133">
        <f t="shared" ca="1" si="9"/>
        <v>2.4300000000000002</v>
      </c>
      <c r="J54" s="133">
        <f t="shared" ca="1" si="9"/>
        <v>2.09</v>
      </c>
      <c r="K54" s="133">
        <f t="shared" ca="1" si="9"/>
        <v>2.35</v>
      </c>
      <c r="L54" s="133">
        <f t="shared" ca="1" si="9"/>
        <v>2.27</v>
      </c>
      <c r="M54" s="133">
        <f t="shared" ca="1" si="9"/>
        <v>2.15</v>
      </c>
      <c r="N54" s="133">
        <f t="shared" ca="1" si="9"/>
        <v>1.79</v>
      </c>
      <c r="O54" s="133">
        <f t="shared" ca="1" si="9"/>
        <v>1.8</v>
      </c>
      <c r="P54" s="133">
        <f t="shared" ca="1" si="9"/>
        <v>1.28</v>
      </c>
      <c r="Q54" s="133">
        <f t="shared" ca="1" si="9"/>
        <v>1.31</v>
      </c>
      <c r="R54" s="133">
        <f t="shared" ca="1" si="9"/>
        <v>1.84</v>
      </c>
      <c r="S54" s="133">
        <f t="shared" ca="1" si="9"/>
        <v>1.88</v>
      </c>
      <c r="U54" s="80"/>
      <c r="V54" s="211"/>
      <c r="W54" s="208"/>
      <c r="X54" s="217"/>
      <c r="Y54" s="213"/>
      <c r="Z54" s="214"/>
      <c r="AA54" s="214"/>
      <c r="AB54" s="215"/>
    </row>
    <row r="55" spans="1:32" x14ac:dyDescent="0.2">
      <c r="A55" s="45" t="s">
        <v>45</v>
      </c>
      <c r="B55" s="117">
        <f t="shared" ca="1" si="2"/>
        <v>69</v>
      </c>
      <c r="C55" s="1">
        <f>IF(ISERROR(D55),"",IF(D55="","",MAX($C$13:C54)+1))</f>
        <v>42</v>
      </c>
      <c r="D55" t="str">
        <f t="shared" si="3"/>
        <v xml:space="preserve">Xcel Energy Inc.              </v>
      </c>
      <c r="E55" s="15"/>
      <c r="F55" s="133">
        <f t="shared" ca="1" si="4"/>
        <v>1.8292307692307692</v>
      </c>
      <c r="G55" s="133">
        <f t="shared" si="5"/>
        <v>2.4500000000000002</v>
      </c>
      <c r="H55" s="133">
        <f ca="1">IFERROR(IF(VLOOKUP($A55,LASTYR,'2017'!$F$3,FALSE)=0,"N/A",VLOOKUP($A55,LASTYR,'2017'!$F$3,FALSE)),"N/A")</f>
        <v>2.2999999999999998</v>
      </c>
      <c r="I55" s="133">
        <f t="shared" ca="1" si="9"/>
        <v>2.21</v>
      </c>
      <c r="J55" s="133">
        <f t="shared" ca="1" si="9"/>
        <v>2.1</v>
      </c>
      <c r="K55" s="133">
        <f t="shared" ca="1" si="9"/>
        <v>2.0299999999999998</v>
      </c>
      <c r="L55" s="133">
        <f t="shared" ca="1" si="9"/>
        <v>1.91</v>
      </c>
      <c r="M55" s="133">
        <f t="shared" ca="1" si="9"/>
        <v>1.85</v>
      </c>
      <c r="N55" s="133">
        <f t="shared" ca="1" si="9"/>
        <v>1.72</v>
      </c>
      <c r="O55" s="133">
        <f t="shared" ca="1" si="9"/>
        <v>1.56</v>
      </c>
      <c r="P55" s="133">
        <f t="shared" ca="1" si="9"/>
        <v>1.49</v>
      </c>
      <c r="Q55" s="133">
        <f t="shared" ca="1" si="9"/>
        <v>1.46</v>
      </c>
      <c r="R55" s="133">
        <f t="shared" ca="1" si="9"/>
        <v>1.35</v>
      </c>
      <c r="S55" s="133">
        <f t="shared" ca="1" si="9"/>
        <v>1.35</v>
      </c>
      <c r="U55" s="80"/>
      <c r="V55" s="211"/>
      <c r="W55" s="208"/>
      <c r="X55" s="217"/>
      <c r="Y55" s="213"/>
      <c r="Z55" s="214"/>
      <c r="AA55" s="214"/>
      <c r="AB55" s="215"/>
    </row>
    <row r="56" spans="1:32" hidden="1" x14ac:dyDescent="0.2">
      <c r="A56" s="45"/>
      <c r="B56" s="117" t="str">
        <f t="shared" ca="1" si="2"/>
        <v/>
      </c>
      <c r="C56" s="1" t="str">
        <f>IF(ISERROR(D56),"",IF(D56="","",MAX($C$13:C55)+1))</f>
        <v/>
      </c>
      <c r="D56" t="e">
        <f t="shared" si="3"/>
        <v>#N/A</v>
      </c>
      <c r="E56" s="15"/>
      <c r="F56" s="133" t="str">
        <f t="shared" ca="1" si="4"/>
        <v>N/A</v>
      </c>
      <c r="G56" s="133" t="str">
        <f t="shared" si="5"/>
        <v>N/A</v>
      </c>
      <c r="H56" s="133" t="str">
        <f ca="1">IFERROR(IF(VLOOKUP($A56,LASTYR,'2017'!$F$3,FALSE)=0,"N/A",VLOOKUP($A56,LASTYR,'2017'!$F$3,FALSE)),"N/A")</f>
        <v>N/A</v>
      </c>
      <c r="I56" s="133"/>
      <c r="J56" s="133" t="str">
        <f t="shared" ref="J56:S59" ca="1" si="10">IFERROR(IF(INDEX(Dividends,$B56,J$13)=0,"N/A",INDEX(Dividends,$B56,J$13)),"N/A")</f>
        <v>N/A</v>
      </c>
      <c r="K56" s="133" t="str">
        <f t="shared" ca="1" si="10"/>
        <v>N/A</v>
      </c>
      <c r="L56" s="133" t="str">
        <f t="shared" ca="1" si="10"/>
        <v>N/A</v>
      </c>
      <c r="M56" s="133" t="str">
        <f t="shared" ca="1" si="10"/>
        <v>N/A</v>
      </c>
      <c r="N56" s="133" t="str">
        <f t="shared" ca="1" si="10"/>
        <v>N/A</v>
      </c>
      <c r="O56" s="133" t="str">
        <f t="shared" ca="1" si="10"/>
        <v>N/A</v>
      </c>
      <c r="P56" s="133" t="str">
        <f t="shared" ca="1" si="10"/>
        <v>N/A</v>
      </c>
      <c r="Q56" s="133" t="str">
        <f t="shared" ca="1" si="10"/>
        <v>N/A</v>
      </c>
      <c r="R56" s="133" t="str">
        <f t="shared" ca="1" si="10"/>
        <v>N/A</v>
      </c>
      <c r="S56" s="133" t="str">
        <f t="shared" ca="1" si="10"/>
        <v>N/A</v>
      </c>
      <c r="U56" s="80"/>
      <c r="V56" s="211">
        <f t="shared" ref="V56:V59" si="11">AT56-2</f>
        <v>-2</v>
      </c>
      <c r="W56" s="211">
        <v>43100</v>
      </c>
      <c r="X56" s="209" t="str">
        <f>IFERROR(IF(VLOOKUP(A56,LUCurYr,16,FALSE)=0,"",VLOOKUP(A56,LUCurYr,16,FALSE)),"N/A")</f>
        <v>N/A</v>
      </c>
      <c r="Y56" s="213" t="e">
        <f t="shared" ref="Y56:Y59" si="12">W56-X56</f>
        <v>#VALUE!</v>
      </c>
      <c r="Z56" s="214" t="e">
        <f t="shared" ref="Z56:Z59" si="13">Y56/365</f>
        <v>#VALUE!</v>
      </c>
      <c r="AA56" s="214" t="e">
        <f t="shared" ref="AA56:AA59" si="14">V56+Z56</f>
        <v>#VALUE!</v>
      </c>
      <c r="AB56" s="215" t="e">
        <f ca="1">(G56/S56)^(1/AA56)-1</f>
        <v>#VALUE!</v>
      </c>
      <c r="AC56" s="63"/>
      <c r="AD56" s="63"/>
      <c r="AE56" s="63"/>
      <c r="AF56" s="63"/>
    </row>
    <row r="57" spans="1:32" hidden="1" x14ac:dyDescent="0.2">
      <c r="A57" s="51"/>
      <c r="B57" s="117" t="str">
        <f t="shared" ca="1" si="2"/>
        <v/>
      </c>
      <c r="C57" s="1" t="str">
        <f>IF(ISERROR(D57),"",IF(D57="","",MAX($C$13:C56)+1))</f>
        <v/>
      </c>
      <c r="D57" t="e">
        <f t="shared" si="3"/>
        <v>#N/A</v>
      </c>
      <c r="F57" s="133" t="str">
        <f t="shared" ca="1" si="4"/>
        <v>N/A</v>
      </c>
      <c r="G57" s="133" t="str">
        <f t="shared" si="5"/>
        <v>N/A</v>
      </c>
      <c r="H57" s="133" t="str">
        <f ca="1">IFERROR(IF(VLOOKUP($A57,LASTYR,'2017'!$F$3,FALSE)=0,"N/A",VLOOKUP($A57,LASTYR,'2017'!$F$3,FALSE)),"N/A")</f>
        <v>N/A</v>
      </c>
      <c r="I57" s="133"/>
      <c r="J57" s="133" t="str">
        <f t="shared" ca="1" si="10"/>
        <v>N/A</v>
      </c>
      <c r="K57" s="133" t="str">
        <f t="shared" ca="1" si="10"/>
        <v>N/A</v>
      </c>
      <c r="L57" s="133" t="str">
        <f t="shared" ca="1" si="10"/>
        <v>N/A</v>
      </c>
      <c r="M57" s="133" t="str">
        <f t="shared" ca="1" si="10"/>
        <v>N/A</v>
      </c>
      <c r="N57" s="133" t="str">
        <f t="shared" ca="1" si="10"/>
        <v>N/A</v>
      </c>
      <c r="O57" s="133" t="str">
        <f t="shared" ca="1" si="10"/>
        <v>N/A</v>
      </c>
      <c r="P57" s="133" t="str">
        <f t="shared" ca="1" si="10"/>
        <v>N/A</v>
      </c>
      <c r="Q57" s="133" t="str">
        <f t="shared" ca="1" si="10"/>
        <v>N/A</v>
      </c>
      <c r="R57" s="133" t="str">
        <f t="shared" ca="1" si="10"/>
        <v>N/A</v>
      </c>
      <c r="S57" s="133" t="str">
        <f t="shared" ca="1" si="10"/>
        <v>N/A</v>
      </c>
      <c r="U57" s="80"/>
      <c r="V57" s="211">
        <f t="shared" si="11"/>
        <v>-2</v>
      </c>
      <c r="W57" s="211">
        <v>43100</v>
      </c>
      <c r="X57" s="209" t="str">
        <f>IFERROR(IF(VLOOKUP(A57,LUCurYr,16,FALSE)=0,"",VLOOKUP(A57,LUCurYr,16,FALSE)),"N/A")</f>
        <v>N/A</v>
      </c>
      <c r="Y57" s="213" t="e">
        <f t="shared" si="12"/>
        <v>#VALUE!</v>
      </c>
      <c r="Z57" s="214" t="e">
        <f t="shared" si="13"/>
        <v>#VALUE!</v>
      </c>
      <c r="AA57" s="214" t="e">
        <f t="shared" si="14"/>
        <v>#VALUE!</v>
      </c>
      <c r="AB57" s="215" t="e">
        <f ca="1">(G57/S57)^(1/AA57)-1</f>
        <v>#VALUE!</v>
      </c>
      <c r="AC57" s="63"/>
      <c r="AD57" s="63"/>
      <c r="AE57" s="63"/>
      <c r="AF57" s="63"/>
    </row>
    <row r="58" spans="1:32" hidden="1" x14ac:dyDescent="0.2">
      <c r="A58" s="51"/>
      <c r="B58" s="117" t="str">
        <f t="shared" ca="1" si="2"/>
        <v/>
      </c>
      <c r="C58" s="1" t="str">
        <f>IF(ISERROR(D58),"",IF(D58="","",MAX($C$13:C57)+1))</f>
        <v/>
      </c>
      <c r="D58" t="e">
        <f t="shared" si="3"/>
        <v>#N/A</v>
      </c>
      <c r="F58" s="133" t="str">
        <f t="shared" ca="1" si="4"/>
        <v>N/A</v>
      </c>
      <c r="G58" s="133" t="str">
        <f t="shared" si="5"/>
        <v>N/A</v>
      </c>
      <c r="H58" s="133" t="str">
        <f ca="1">IFERROR(IF(VLOOKUP($A58,LASTYR,'2017'!$F$3,FALSE)=0,"N/A",VLOOKUP($A58,LASTYR,'2017'!$F$3,FALSE)),"N/A")</f>
        <v>N/A</v>
      </c>
      <c r="I58" s="133"/>
      <c r="J58" s="133" t="str">
        <f t="shared" ca="1" si="10"/>
        <v>N/A</v>
      </c>
      <c r="K58" s="133" t="str">
        <f t="shared" ca="1" si="10"/>
        <v>N/A</v>
      </c>
      <c r="L58" s="133" t="str">
        <f t="shared" ca="1" si="10"/>
        <v>N/A</v>
      </c>
      <c r="M58" s="133" t="str">
        <f t="shared" ca="1" si="10"/>
        <v>N/A</v>
      </c>
      <c r="N58" s="133" t="str">
        <f t="shared" ca="1" si="10"/>
        <v>N/A</v>
      </c>
      <c r="O58" s="133" t="str">
        <f t="shared" ca="1" si="10"/>
        <v>N/A</v>
      </c>
      <c r="P58" s="133" t="str">
        <f t="shared" ca="1" si="10"/>
        <v>N/A</v>
      </c>
      <c r="Q58" s="133" t="str">
        <f t="shared" ca="1" si="10"/>
        <v>N/A</v>
      </c>
      <c r="R58" s="133" t="str">
        <f t="shared" ca="1" si="10"/>
        <v>N/A</v>
      </c>
      <c r="S58" s="133" t="str">
        <f t="shared" ca="1" si="10"/>
        <v>N/A</v>
      </c>
      <c r="U58" s="80"/>
      <c r="V58" s="211">
        <f t="shared" si="11"/>
        <v>-2</v>
      </c>
      <c r="W58" s="211">
        <v>43100</v>
      </c>
      <c r="X58" s="209" t="str">
        <f>IFERROR(IF(VLOOKUP(A58,LUCurYr,16,FALSE)=0,"",VLOOKUP(A58,LUCurYr,16,FALSE)),"N/A")</f>
        <v>N/A</v>
      </c>
      <c r="Y58" s="213" t="e">
        <f t="shared" si="12"/>
        <v>#VALUE!</v>
      </c>
      <c r="Z58" s="214" t="e">
        <f t="shared" si="13"/>
        <v>#VALUE!</v>
      </c>
      <c r="AA58" s="214" t="e">
        <f t="shared" si="14"/>
        <v>#VALUE!</v>
      </c>
      <c r="AB58" s="215" t="e">
        <f ca="1">(G58/S58)^(1/AA58)-1</f>
        <v>#VALUE!</v>
      </c>
      <c r="AC58" s="63"/>
      <c r="AD58" s="63"/>
      <c r="AE58" s="63"/>
      <c r="AF58" s="63"/>
    </row>
    <row r="59" spans="1:32" hidden="1" x14ac:dyDescent="0.2">
      <c r="A59" s="51"/>
      <c r="B59" s="117" t="str">
        <f t="shared" ca="1" si="2"/>
        <v/>
      </c>
      <c r="C59" s="1" t="str">
        <f>IF(ISERROR(D59),"",IF(D59="","",MAX($C$13:C58)+1))</f>
        <v/>
      </c>
      <c r="D59" t="e">
        <f t="shared" si="3"/>
        <v>#N/A</v>
      </c>
      <c r="F59" s="133" t="str">
        <f t="shared" ca="1" si="4"/>
        <v>N/A</v>
      </c>
      <c r="G59" s="133" t="str">
        <f t="shared" si="5"/>
        <v>N/A</v>
      </c>
      <c r="H59" s="133" t="str">
        <f ca="1">IFERROR(IF(VLOOKUP($A59,LASTYR,'2017'!$F$3,FALSE)=0,"N/A",VLOOKUP($A59,LASTYR,'2017'!$F$3,FALSE)),"N/A")</f>
        <v>N/A</v>
      </c>
      <c r="I59" s="133"/>
      <c r="J59" s="133" t="str">
        <f t="shared" ca="1" si="10"/>
        <v>N/A</v>
      </c>
      <c r="K59" s="133" t="str">
        <f t="shared" ca="1" si="10"/>
        <v>N/A</v>
      </c>
      <c r="L59" s="133" t="str">
        <f t="shared" ca="1" si="10"/>
        <v>N/A</v>
      </c>
      <c r="M59" s="133" t="str">
        <f t="shared" ca="1" si="10"/>
        <v>N/A</v>
      </c>
      <c r="N59" s="133" t="str">
        <f t="shared" ca="1" si="10"/>
        <v>N/A</v>
      </c>
      <c r="O59" s="133" t="str">
        <f t="shared" ca="1" si="10"/>
        <v>N/A</v>
      </c>
      <c r="P59" s="133" t="str">
        <f t="shared" ca="1" si="10"/>
        <v>N/A</v>
      </c>
      <c r="Q59" s="133" t="str">
        <f t="shared" ca="1" si="10"/>
        <v>N/A</v>
      </c>
      <c r="R59" s="133" t="str">
        <f t="shared" ca="1" si="10"/>
        <v>N/A</v>
      </c>
      <c r="S59" s="133" t="str">
        <f t="shared" ca="1" si="10"/>
        <v>N/A</v>
      </c>
      <c r="U59" s="80"/>
      <c r="V59" s="211">
        <f t="shared" si="11"/>
        <v>-2</v>
      </c>
      <c r="W59" s="211">
        <v>43100</v>
      </c>
      <c r="X59" s="209" t="str">
        <f>IFERROR(IF(VLOOKUP(A59,LUCurYr,16,FALSE)=0,"",VLOOKUP(A59,LUCurYr,16,FALSE)),"N/A")</f>
        <v>N/A</v>
      </c>
      <c r="Y59" s="213" t="e">
        <f t="shared" si="12"/>
        <v>#VALUE!</v>
      </c>
      <c r="Z59" s="214" t="e">
        <f t="shared" si="13"/>
        <v>#VALUE!</v>
      </c>
      <c r="AA59" s="214" t="e">
        <f t="shared" si="14"/>
        <v>#VALUE!</v>
      </c>
      <c r="AB59" s="215" t="e">
        <f ca="1">(G59/S59)^(1/AA59)-1</f>
        <v>#VALUE!</v>
      </c>
      <c r="AC59" s="63"/>
      <c r="AD59" s="63"/>
      <c r="AE59" s="63"/>
      <c r="AF59" s="63"/>
    </row>
    <row r="60" spans="1:32" x14ac:dyDescent="0.2">
      <c r="A60" s="31"/>
      <c r="B60" s="31"/>
      <c r="C60" s="1" t="str">
        <f>IF(ISERROR(D60),"",IF(D60="","",MAX($C$13:C59)+1))</f>
        <v/>
      </c>
      <c r="F60" s="80"/>
      <c r="G60" s="80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80"/>
      <c r="U60" s="80"/>
      <c r="V60" s="211"/>
      <c r="W60" s="211"/>
      <c r="X60" s="209"/>
      <c r="Y60" s="213"/>
      <c r="Z60" s="214"/>
      <c r="AA60" s="214"/>
      <c r="AB60" s="215"/>
      <c r="AC60" s="63"/>
      <c r="AD60" s="63"/>
      <c r="AE60" s="63"/>
      <c r="AF60" s="63"/>
    </row>
    <row r="61" spans="1:32" ht="15" x14ac:dyDescent="0.25">
      <c r="A61" s="31"/>
      <c r="B61" s="31"/>
      <c r="C61" s="1">
        <f>IF(ISERROR(D61),"",IF(D61="","",MAX($C$13:C60)+1))</f>
        <v>43</v>
      </c>
      <c r="D61" s="111" t="s">
        <v>98</v>
      </c>
      <c r="E61" s="111"/>
      <c r="F61" s="135">
        <f ca="1">AVERAGE(G61:S61)</f>
        <v>2.5964851601962762</v>
      </c>
      <c r="G61" s="135">
        <f>AVERAGE(G14:G42,G44:G55)</f>
        <v>3.1423076923076927</v>
      </c>
      <c r="H61" s="135">
        <f ca="1">AVERAGE(H14:H42,H44:H55)</f>
        <v>3.0189999999999992</v>
      </c>
      <c r="I61" s="135">
        <f t="shared" ref="I61:R61" ca="1" si="15">AVERAGE(I14:I60)</f>
        <v>2.9119512195121953</v>
      </c>
      <c r="J61" s="135">
        <f t="shared" ca="1" si="15"/>
        <v>2.7770731707317076</v>
      </c>
      <c r="K61" s="135">
        <f t="shared" ca="1" si="15"/>
        <v>2.76925</v>
      </c>
      <c r="L61" s="135">
        <f t="shared" ca="1" si="15"/>
        <v>2.5953749999999998</v>
      </c>
      <c r="M61" s="135">
        <f t="shared" ca="1" si="15"/>
        <v>2.5113750000000001</v>
      </c>
      <c r="N61" s="135">
        <f t="shared" ca="1" si="15"/>
        <v>2.5332499999999998</v>
      </c>
      <c r="O61" s="135">
        <f t="shared" ca="1" si="15"/>
        <v>2.4466749999999999</v>
      </c>
      <c r="P61" s="135">
        <f t="shared" ca="1" si="15"/>
        <v>2.2636999999999992</v>
      </c>
      <c r="Q61" s="135">
        <f t="shared" ca="1" si="15"/>
        <v>2.2891750000000011</v>
      </c>
      <c r="R61" s="135">
        <f t="shared" ca="1" si="15"/>
        <v>2.323375</v>
      </c>
      <c r="S61" s="135">
        <f ca="1">AVERAGE(S14:S60)</f>
        <v>2.1717999999999997</v>
      </c>
      <c r="U61" s="136"/>
      <c r="V61" s="136"/>
      <c r="W61" s="136"/>
      <c r="X61" s="63"/>
      <c r="Y61" s="63"/>
      <c r="Z61" s="63"/>
      <c r="AA61" s="63"/>
      <c r="AB61" s="63"/>
      <c r="AC61" s="63"/>
      <c r="AD61" s="63"/>
      <c r="AE61" s="63"/>
      <c r="AF61" s="63"/>
    </row>
    <row r="62" spans="1:32" ht="15" x14ac:dyDescent="0.25">
      <c r="A62" s="31"/>
      <c r="B62" s="31"/>
      <c r="C62" s="1">
        <f>IF(ISERROR(D62),"",IF(D62="","",MAX($C$13:C61)+1))</f>
        <v>44</v>
      </c>
      <c r="D62" s="111" t="s">
        <v>485</v>
      </c>
      <c r="F62" s="115">
        <f ca="1">AVERAGE(G62:R62)</f>
        <v>3.1747062171165547E-2</v>
      </c>
      <c r="G62" s="115">
        <f t="shared" ref="G62:Q62" ca="1" si="16">G61/H61-1</f>
        <v>4.0843886156904041E-2</v>
      </c>
      <c r="H62" s="115">
        <f t="shared" ca="1" si="16"/>
        <v>3.6761872853672495E-2</v>
      </c>
      <c r="I62" s="115">
        <f t="shared" ca="1" si="16"/>
        <v>4.8568417354646121E-2</v>
      </c>
      <c r="J62" s="115">
        <f t="shared" ca="1" si="16"/>
        <v>2.8250142571841774E-3</v>
      </c>
      <c r="K62" s="115">
        <f t="shared" ca="1" si="16"/>
        <v>6.6994172325771872E-2</v>
      </c>
      <c r="L62" s="115">
        <f t="shared" ca="1" si="16"/>
        <v>3.3447812453337056E-2</v>
      </c>
      <c r="M62" s="115">
        <f t="shared" ca="1" si="16"/>
        <v>-8.6351524721206552E-3</v>
      </c>
      <c r="N62" s="115">
        <f t="shared" ca="1" si="16"/>
        <v>3.5384756863907185E-2</v>
      </c>
      <c r="O62" s="115">
        <f t="shared" ca="1" si="16"/>
        <v>8.0830056986350263E-2</v>
      </c>
      <c r="P62" s="115">
        <f t="shared" ca="1" si="16"/>
        <v>-1.1128463311019021E-2</v>
      </c>
      <c r="Q62" s="115">
        <f t="shared" ca="1" si="16"/>
        <v>-1.4719965567331572E-2</v>
      </c>
      <c r="R62" s="115">
        <f ca="1">R61/S61-1</f>
        <v>6.9792338152684597E-2</v>
      </c>
      <c r="S62" s="133"/>
      <c r="T62" s="63"/>
      <c r="U62" s="63"/>
      <c r="V62" s="63"/>
      <c r="W62" s="63"/>
      <c r="X62" s="63"/>
      <c r="Y62" s="63"/>
      <c r="Z62" s="63"/>
      <c r="AA62" s="63"/>
      <c r="AB62" s="63"/>
      <c r="AC62" s="63"/>
      <c r="AD62" s="63"/>
      <c r="AE62" s="63"/>
      <c r="AF62" s="63"/>
    </row>
    <row r="63" spans="1:32" s="102" customFormat="1" ht="15" x14ac:dyDescent="0.25">
      <c r="C63" s="10"/>
      <c r="D63" s="10"/>
      <c r="E63" s="10"/>
      <c r="F63" s="12"/>
      <c r="G63" s="115"/>
      <c r="H63" s="115"/>
      <c r="I63" s="115"/>
      <c r="J63" s="115"/>
      <c r="K63" s="115"/>
      <c r="L63" s="115"/>
      <c r="M63" s="115"/>
      <c r="N63" s="115"/>
      <c r="O63" s="115"/>
      <c r="P63" s="115"/>
      <c r="Q63" s="115"/>
      <c r="R63" s="115"/>
      <c r="S63" s="133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</row>
    <row r="64" spans="1:32" s="102" customFormat="1" x14ac:dyDescent="0.2">
      <c r="B64" s="105"/>
      <c r="C64" s="106"/>
      <c r="E64" s="20"/>
      <c r="F64" s="104"/>
      <c r="G64" s="104"/>
      <c r="H64" s="104"/>
      <c r="I64" s="104"/>
      <c r="J64" s="206"/>
      <c r="K64" s="104"/>
      <c r="L64" s="104"/>
      <c r="M64" s="104"/>
      <c r="N64" s="104"/>
      <c r="O64" s="104"/>
      <c r="P64" s="104"/>
      <c r="Q64" s="104"/>
      <c r="R64" s="104"/>
      <c r="S64" s="104"/>
      <c r="T64" s="104"/>
      <c r="U64" s="104"/>
      <c r="V64" s="104"/>
      <c r="W64" s="104"/>
      <c r="X64" s="104"/>
      <c r="Y64" s="104"/>
      <c r="Z64" s="104"/>
      <c r="AA64" s="104"/>
      <c r="AB64" s="104"/>
      <c r="AC64" s="104"/>
      <c r="AD64" s="104"/>
      <c r="AE64" s="104"/>
      <c r="AF64" s="104"/>
    </row>
    <row r="65" spans="1:32" s="102" customFormat="1" x14ac:dyDescent="0.2">
      <c r="B65" s="105"/>
      <c r="C65" s="106"/>
      <c r="E65" s="20"/>
      <c r="F65" s="104"/>
      <c r="G65" s="104"/>
      <c r="H65" s="104"/>
      <c r="I65" s="104"/>
      <c r="J65" s="104"/>
      <c r="K65" s="104"/>
      <c r="L65" s="104"/>
      <c r="M65" s="104"/>
      <c r="N65" s="104"/>
      <c r="O65" s="104"/>
      <c r="P65" s="104"/>
      <c r="Q65" s="104"/>
      <c r="R65" s="104"/>
      <c r="S65" s="104"/>
      <c r="T65" s="104"/>
      <c r="U65" s="104"/>
      <c r="V65" s="104"/>
      <c r="W65" s="104"/>
      <c r="X65" s="104"/>
      <c r="Y65" s="104"/>
      <c r="Z65" s="104"/>
      <c r="AA65" s="104"/>
      <c r="AB65" s="104"/>
      <c r="AC65" s="104"/>
      <c r="AD65" s="104"/>
      <c r="AE65" s="104"/>
      <c r="AF65" s="104"/>
    </row>
    <row r="66" spans="1:32" s="102" customFormat="1" x14ac:dyDescent="0.2">
      <c r="B66" s="105"/>
      <c r="C66" s="106"/>
      <c r="D66" s="18"/>
      <c r="E66" s="91"/>
      <c r="F66"/>
      <c r="G66"/>
      <c r="H66"/>
      <c r="I66"/>
      <c r="J66" s="104"/>
      <c r="K66" s="104"/>
      <c r="L66" s="104"/>
      <c r="M66" s="104"/>
      <c r="N66" s="104"/>
      <c r="O66" s="207"/>
      <c r="P66" s="104"/>
      <c r="Q66" s="104"/>
      <c r="R66" s="104"/>
      <c r="S66" s="104"/>
      <c r="T66" s="103"/>
      <c r="U66" s="103"/>
      <c r="V66" s="103"/>
      <c r="W66" s="103"/>
      <c r="X66" s="103"/>
      <c r="Y66" s="103"/>
      <c r="Z66" s="103"/>
      <c r="AA66" s="103"/>
      <c r="AB66" s="103"/>
      <c r="AC66" s="103"/>
      <c r="AD66" s="103"/>
      <c r="AE66" s="103"/>
      <c r="AF66" s="103"/>
    </row>
    <row r="67" spans="1:32" s="102" customFormat="1" x14ac:dyDescent="0.2">
      <c r="B67" s="105"/>
      <c r="C67" s="1"/>
      <c r="D67" s="20" t="s">
        <v>107</v>
      </c>
      <c r="E67"/>
      <c r="F67"/>
      <c r="G67"/>
      <c r="H67"/>
      <c r="I67"/>
      <c r="J67" s="104"/>
      <c r="K67" s="104"/>
      <c r="L67" s="104"/>
      <c r="M67" s="104"/>
      <c r="N67" s="104"/>
      <c r="O67" s="207"/>
      <c r="P67" s="104"/>
      <c r="Q67" s="104"/>
      <c r="R67" s="104"/>
      <c r="S67" s="104"/>
      <c r="T67" s="103"/>
      <c r="U67" s="103"/>
      <c r="V67" s="103"/>
      <c r="W67" s="103"/>
      <c r="X67" s="103"/>
      <c r="Y67" s="103"/>
      <c r="Z67" s="103"/>
      <c r="AA67" s="103"/>
      <c r="AB67" s="103"/>
      <c r="AC67" s="103"/>
      <c r="AD67" s="103"/>
      <c r="AE67" s="103"/>
      <c r="AF67" s="103"/>
    </row>
    <row r="68" spans="1:32" s="102" customFormat="1" ht="16.5" x14ac:dyDescent="0.2">
      <c r="B68" s="105"/>
      <c r="C68"/>
      <c r="D68" s="79">
        <v>1</v>
      </c>
      <c r="E68" s="21" t="str">
        <f>"The Value Line Investment Survey Investment Analyzer Software, downloaded on "&amp;TEXT('2017'!$A$1,"mmmm d, yyyy.")</f>
        <v>The Value Line Investment Survey Investment Analyzer Software, downloaded on June 21, 2018.</v>
      </c>
      <c r="F68"/>
      <c r="G68"/>
      <c r="H68"/>
      <c r="I68"/>
      <c r="J68"/>
      <c r="K68"/>
      <c r="L68"/>
      <c r="M68"/>
      <c r="N68"/>
      <c r="O68" s="2"/>
      <c r="P68"/>
      <c r="Q68"/>
      <c r="R68"/>
      <c r="S68"/>
      <c r="T68" s="103"/>
      <c r="U68" s="103"/>
      <c r="V68" s="103"/>
      <c r="W68" s="103"/>
      <c r="X68" s="103"/>
      <c r="Y68" s="103"/>
      <c r="Z68" s="103"/>
      <c r="AA68" s="103"/>
      <c r="AB68" s="103"/>
      <c r="AC68" s="103"/>
      <c r="AD68" s="103"/>
      <c r="AE68" s="103"/>
      <c r="AF68" s="103"/>
    </row>
    <row r="69" spans="1:32" ht="16.5" x14ac:dyDescent="0.2">
      <c r="A69" s="31"/>
      <c r="B69" s="31"/>
      <c r="D69" s="79">
        <v>2</v>
      </c>
      <c r="E69" s="21" t="str">
        <f>"The Value Line Investment Survey, "&amp;'2018 Data (WP)'!$D$1</f>
        <v>The Value Line Investment Survey, October 26, November 16, and December 14, 2018.</v>
      </c>
    </row>
    <row r="70" spans="1:32" x14ac:dyDescent="0.2">
      <c r="A70" s="31"/>
      <c r="B70" s="31"/>
      <c r="D70" s="20" t="s">
        <v>329</v>
      </c>
    </row>
    <row r="71" spans="1:32" x14ac:dyDescent="0.2">
      <c r="D71" t="s">
        <v>484</v>
      </c>
    </row>
  </sheetData>
  <mergeCells count="6">
    <mergeCell ref="C5:T5"/>
    <mergeCell ref="C6:T6"/>
    <mergeCell ref="D11:E11"/>
    <mergeCell ref="F9:T9"/>
    <mergeCell ref="C1:T1"/>
    <mergeCell ref="C2:T2"/>
  </mergeCells>
  <printOptions horizontalCentered="1"/>
  <pageMargins left="0.7" right="0.7" top="1" bottom="0.75" header="0.55000000000000004" footer="0.51"/>
  <pageSetup scale="44" orientation="landscape" useFirstPageNumber="1" r:id="rId1"/>
  <headerFooter>
    <oddHeader>&amp;R&amp;19Exhibit CCW-1
Page 6 of 7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pageSetUpPr fitToPage="1"/>
  </sheetPr>
  <dimension ref="A1:X75"/>
  <sheetViews>
    <sheetView zoomScale="80" zoomScaleNormal="80" workbookViewId="0">
      <selection activeCell="F71" sqref="F71"/>
    </sheetView>
  </sheetViews>
  <sheetFormatPr defaultRowHeight="14.25" x14ac:dyDescent="0.2"/>
  <cols>
    <col min="1" max="2" width="8" customWidth="1"/>
    <col min="3" max="3" width="9" customWidth="1"/>
    <col min="4" max="4" width="4.75" bestFit="1" customWidth="1"/>
    <col min="5" max="5" width="2.125" customWidth="1"/>
    <col min="6" max="6" width="18.75" customWidth="1"/>
    <col min="7" max="9" width="9" customWidth="1"/>
    <col min="10" max="10" width="3.375" customWidth="1"/>
    <col min="11" max="20" width="9" customWidth="1"/>
    <col min="21" max="21" width="9" hidden="1" customWidth="1"/>
    <col min="22" max="24" width="0" hidden="1" customWidth="1"/>
  </cols>
  <sheetData>
    <row r="1" spans="1:24" ht="27.75" x14ac:dyDescent="0.4">
      <c r="C1" s="236" t="str">
        <f>ElectricU</f>
        <v>Louisville Gas and Electric Company</v>
      </c>
      <c r="D1" s="236"/>
      <c r="E1" s="236"/>
      <c r="F1" s="236"/>
      <c r="G1" s="236"/>
      <c r="H1" s="236"/>
      <c r="I1" s="236"/>
      <c r="J1" s="236"/>
      <c r="K1" s="236"/>
      <c r="L1" s="236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</row>
    <row r="2" spans="1:24" ht="27.75" x14ac:dyDescent="0.4">
      <c r="C2" s="236" t="s">
        <v>526</v>
      </c>
      <c r="D2" s="236"/>
      <c r="E2" s="236"/>
      <c r="F2" s="236"/>
      <c r="G2" s="236"/>
      <c r="H2" s="236"/>
      <c r="I2" s="236"/>
      <c r="J2" s="236"/>
      <c r="K2" s="236"/>
      <c r="L2" s="236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</row>
    <row r="3" spans="1:24" x14ac:dyDescent="0.2">
      <c r="D3" s="4"/>
      <c r="E3" s="5"/>
      <c r="F3" s="6"/>
      <c r="G3" s="6"/>
      <c r="H3" s="6"/>
      <c r="I3" s="6"/>
      <c r="J3" s="6"/>
      <c r="K3" s="6"/>
      <c r="L3" s="6"/>
      <c r="M3" s="6"/>
      <c r="N3" s="6"/>
      <c r="O3" s="6"/>
      <c r="P3" s="7"/>
      <c r="Q3" s="7"/>
      <c r="R3" s="7"/>
      <c r="S3" s="7"/>
      <c r="T3" s="7"/>
      <c r="U3" s="7"/>
      <c r="V3" s="7"/>
      <c r="W3" s="7"/>
    </row>
    <row r="4" spans="1:24" x14ac:dyDescent="0.2">
      <c r="D4" s="4"/>
      <c r="E4" s="5"/>
      <c r="F4" s="6"/>
      <c r="G4" s="6"/>
      <c r="H4" s="6"/>
      <c r="I4" s="6"/>
      <c r="J4" s="6"/>
      <c r="K4" s="6"/>
      <c r="L4" s="6"/>
      <c r="M4" s="6"/>
      <c r="N4" s="6"/>
      <c r="O4" s="6"/>
      <c r="P4" s="7"/>
      <c r="Q4" s="7"/>
      <c r="R4" s="7"/>
      <c r="S4" s="7"/>
      <c r="T4" s="7"/>
      <c r="U4" s="7"/>
      <c r="V4" s="7"/>
      <c r="W4" s="7"/>
    </row>
    <row r="5" spans="1:24" ht="20.25" x14ac:dyDescent="0.3">
      <c r="D5" s="237" t="s">
        <v>272</v>
      </c>
      <c r="E5" s="237"/>
      <c r="F5" s="237"/>
      <c r="G5" s="237"/>
      <c r="H5" s="237"/>
      <c r="I5" s="237"/>
      <c r="J5" s="237"/>
      <c r="K5" s="237"/>
      <c r="L5" s="122"/>
      <c r="M5" s="122"/>
      <c r="N5" s="122"/>
      <c r="O5" s="122"/>
      <c r="P5" s="122"/>
      <c r="Q5" s="122"/>
      <c r="R5" s="122"/>
      <c r="S5" s="122"/>
      <c r="T5" s="122"/>
      <c r="U5" s="122"/>
      <c r="V5" s="122"/>
      <c r="W5" s="122"/>
      <c r="X5" s="122"/>
    </row>
    <row r="6" spans="1:24" ht="18" x14ac:dyDescent="0.25">
      <c r="D6" s="238" t="s">
        <v>274</v>
      </c>
      <c r="E6" s="238"/>
      <c r="F6" s="238"/>
      <c r="G6" s="238"/>
      <c r="H6" s="238"/>
      <c r="I6" s="238"/>
      <c r="J6" s="238"/>
      <c r="K6" s="238"/>
      <c r="L6" s="123"/>
      <c r="M6" s="123"/>
      <c r="N6" s="123"/>
      <c r="O6" s="123"/>
      <c r="P6" s="123"/>
      <c r="Q6" s="123"/>
      <c r="R6" s="123"/>
      <c r="S6" s="123"/>
      <c r="T6" s="123"/>
      <c r="U6" s="123"/>
      <c r="V6" s="123"/>
      <c r="W6" s="123"/>
      <c r="X6" s="123"/>
    </row>
    <row r="7" spans="1:24" x14ac:dyDescent="0.2">
      <c r="D7" s="6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4" x14ac:dyDescent="0.2">
      <c r="D8" s="6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4" ht="15" x14ac:dyDescent="0.25">
      <c r="A9" s="31"/>
      <c r="B9" s="31"/>
      <c r="C9" s="31"/>
      <c r="E9" s="126"/>
      <c r="F9" s="126"/>
      <c r="G9" s="126"/>
      <c r="H9" s="126"/>
      <c r="I9" s="126"/>
      <c r="J9" s="126"/>
      <c r="K9" s="126"/>
    </row>
    <row r="10" spans="1:24" ht="15" x14ac:dyDescent="0.25">
      <c r="A10" s="31"/>
      <c r="B10" s="31"/>
      <c r="C10" s="31"/>
      <c r="D10" s="6"/>
      <c r="E10" s="6"/>
      <c r="F10" s="19"/>
      <c r="G10" s="240" t="s">
        <v>377</v>
      </c>
      <c r="H10" s="240"/>
      <c r="I10" s="240"/>
      <c r="J10" s="240"/>
      <c r="K10" s="240"/>
      <c r="L10" s="118"/>
      <c r="M10" s="118"/>
      <c r="N10" s="118"/>
      <c r="O10" s="118"/>
      <c r="P10" s="118"/>
      <c r="Q10" s="118"/>
      <c r="R10" s="118"/>
      <c r="S10" s="118"/>
      <c r="T10" s="118"/>
      <c r="U10" s="118"/>
      <c r="V10" s="118"/>
      <c r="W10" s="118"/>
      <c r="X10" s="118"/>
    </row>
    <row r="11" spans="1:24" ht="15" x14ac:dyDescent="0.25">
      <c r="A11" s="31"/>
      <c r="B11" s="31"/>
      <c r="C11" s="31"/>
      <c r="D11" s="6"/>
      <c r="E11" s="7"/>
      <c r="F11" s="7"/>
      <c r="G11" s="8"/>
      <c r="H11" s="8"/>
      <c r="I11" s="8"/>
      <c r="J11" s="8"/>
      <c r="K11" s="8" t="s">
        <v>372</v>
      </c>
      <c r="L11" s="8"/>
      <c r="M11" s="8"/>
      <c r="N11" s="8"/>
      <c r="O11" s="8"/>
      <c r="P11" s="8"/>
      <c r="Q11" s="7"/>
      <c r="R11" s="7"/>
      <c r="S11" s="7"/>
      <c r="T11" s="7"/>
      <c r="U11" s="7"/>
      <c r="V11" s="7"/>
      <c r="W11" s="7"/>
    </row>
    <row r="12" spans="1:24" ht="15" x14ac:dyDescent="0.25">
      <c r="A12" s="31"/>
      <c r="B12" s="31"/>
      <c r="C12" s="31"/>
      <c r="D12" s="9" t="s">
        <v>96</v>
      </c>
      <c r="E12" s="234" t="s">
        <v>97</v>
      </c>
      <c r="F12" s="234"/>
      <c r="G12" s="10" t="s">
        <v>374</v>
      </c>
      <c r="H12" s="41">
        <v>2018</v>
      </c>
      <c r="I12" s="10" t="s">
        <v>468</v>
      </c>
      <c r="J12" s="41"/>
      <c r="K12" s="41" t="s">
        <v>373</v>
      </c>
      <c r="L12" s="41"/>
      <c r="M12" s="41"/>
      <c r="N12" s="41"/>
      <c r="O12" s="41"/>
      <c r="P12" s="41"/>
      <c r="Q12" s="41"/>
      <c r="R12" s="41"/>
      <c r="S12" s="41"/>
      <c r="T12" s="41"/>
      <c r="U12" s="41">
        <v>2005</v>
      </c>
      <c r="V12" s="41"/>
      <c r="W12" s="41"/>
      <c r="X12" s="41"/>
    </row>
    <row r="13" spans="1:24" ht="15" x14ac:dyDescent="0.25">
      <c r="A13" s="42"/>
      <c r="B13" s="42"/>
      <c r="C13" s="42"/>
      <c r="D13" s="9"/>
      <c r="E13" s="11"/>
      <c r="F13" s="11"/>
      <c r="G13" s="12">
        <f>0-1</f>
        <v>-1</v>
      </c>
      <c r="H13" s="12">
        <f t="shared" ref="H13:U13" si="0">+G13-1</f>
        <v>-2</v>
      </c>
      <c r="I13" s="12">
        <f t="shared" si="0"/>
        <v>-3</v>
      </c>
      <c r="J13" s="12"/>
      <c r="K13" s="12">
        <f>+I13-1</f>
        <v>-4</v>
      </c>
      <c r="L13" s="12"/>
      <c r="M13" s="12"/>
      <c r="N13" s="12"/>
      <c r="O13" s="12"/>
      <c r="P13" s="12"/>
      <c r="Q13" s="12"/>
      <c r="R13" s="12"/>
      <c r="S13" s="12"/>
      <c r="T13" s="12"/>
      <c r="U13" s="12">
        <f t="shared" si="0"/>
        <v>-1</v>
      </c>
      <c r="V13" s="12"/>
      <c r="W13" s="12"/>
      <c r="X13" s="12"/>
    </row>
    <row r="14" spans="1:24" x14ac:dyDescent="0.2">
      <c r="A14" s="43"/>
      <c r="B14" s="44"/>
      <c r="C14" s="44"/>
      <c r="D14" s="6"/>
      <c r="F14" s="22"/>
      <c r="G14" s="3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 t="e">
        <f t="shared" ref="U14:X14" ca="1" si="1">MATCH(VALUE(LEFT(U12,4)),OFFSET(CF_CAP_WP,-1,0,1,),0)</f>
        <v>#N/A</v>
      </c>
      <c r="V14" s="16" t="e">
        <f t="shared" ca="1" si="1"/>
        <v>#VALUE!</v>
      </c>
      <c r="W14" s="16" t="e">
        <f t="shared" ca="1" si="1"/>
        <v>#VALUE!</v>
      </c>
      <c r="X14" s="16" t="e">
        <f t="shared" ca="1" si="1"/>
        <v>#VALUE!</v>
      </c>
    </row>
    <row r="15" spans="1:24" x14ac:dyDescent="0.2">
      <c r="A15" s="51" t="s">
        <v>0</v>
      </c>
      <c r="B15" s="46">
        <f t="shared" ref="B15:B60" si="2">MATCH(A15,CapCashTic,0)</f>
        <v>5</v>
      </c>
      <c r="C15" s="46"/>
      <c r="D15" s="1">
        <f>IF(ISERROR(E15),"",IF(E15="","",MAX($D$13:D14)+1))</f>
        <v>1</v>
      </c>
      <c r="E15" t="s">
        <v>91</v>
      </c>
      <c r="F15" s="22"/>
      <c r="G15" s="124">
        <f t="shared" ref="G15:G60" si="3">IFERROR(INDEX(CapCash,$B15,7)/INDEX(CapCash,$B15,3),"N/A")</f>
        <v>1.6149509803921569</v>
      </c>
      <c r="H15" s="124">
        <f t="shared" ref="H15:H60" si="4">IFERROR(VLOOKUP($A15,LUCurYr,21,0),"N/A")</f>
        <v>1.0873015873015872</v>
      </c>
      <c r="I15" s="124">
        <f t="shared" ref="I15:I60" si="5">IFERROR(VLOOKUP($A15,LUCurYr,23,0),"N/A")</f>
        <v>1.036231884057971</v>
      </c>
      <c r="J15" s="124"/>
      <c r="K15" s="124">
        <f t="shared" ref="K15:K60" si="6">IFERROR(VLOOKUP($A15,LUCurYr,24,0),"N/A")</f>
        <v>1.2222222222222223</v>
      </c>
      <c r="L15" s="63"/>
      <c r="M15" s="63"/>
      <c r="N15" s="63"/>
      <c r="O15" s="63"/>
      <c r="P15" s="63"/>
      <c r="Q15" s="63"/>
      <c r="R15" s="63"/>
      <c r="S15" s="63"/>
      <c r="T15" s="63"/>
      <c r="U15" s="63"/>
      <c r="V15" s="17"/>
      <c r="W15" s="17"/>
      <c r="X15" s="17"/>
    </row>
    <row r="16" spans="1:24" x14ac:dyDescent="0.2">
      <c r="A16" s="51" t="s">
        <v>1</v>
      </c>
      <c r="B16" s="46">
        <f t="shared" si="2"/>
        <v>6</v>
      </c>
      <c r="C16" s="46"/>
      <c r="D16" s="1">
        <f>IF(ISERROR(E16),"",IF(E16="","",MAX($D$13:D15)+1))</f>
        <v>2</v>
      </c>
      <c r="E16" t="s">
        <v>84</v>
      </c>
      <c r="F16" s="22"/>
      <c r="G16" s="124">
        <f t="shared" si="3"/>
        <v>0.48919728749408609</v>
      </c>
      <c r="H16" s="124">
        <f t="shared" si="4"/>
        <v>0.58503401360544216</v>
      </c>
      <c r="I16" s="124">
        <f t="shared" si="5"/>
        <v>0.66417910447761197</v>
      </c>
      <c r="J16" s="124"/>
      <c r="K16" s="124">
        <f t="shared" si="6"/>
        <v>0.93457943925233655</v>
      </c>
      <c r="L16" s="63"/>
      <c r="M16" s="63"/>
      <c r="N16" s="63"/>
      <c r="O16" s="63"/>
      <c r="P16" s="63"/>
      <c r="Q16" s="63"/>
      <c r="R16" s="63"/>
      <c r="S16" s="63"/>
      <c r="T16" s="63"/>
      <c r="U16" s="63"/>
      <c r="V16" s="17"/>
      <c r="W16" s="17"/>
      <c r="X16" s="17"/>
    </row>
    <row r="17" spans="1:24" x14ac:dyDescent="0.2">
      <c r="A17" s="51" t="s">
        <v>3</v>
      </c>
      <c r="B17" s="46">
        <f t="shared" si="2"/>
        <v>10</v>
      </c>
      <c r="C17" s="46"/>
      <c r="D17" s="1">
        <f>IF(ISERROR(E17),"",IF(E17="","",MAX($D$13:D16)+1))</f>
        <v>3</v>
      </c>
      <c r="E17" t="s">
        <v>80</v>
      </c>
      <c r="F17" s="22"/>
      <c r="G17" s="124">
        <f t="shared" si="3"/>
        <v>0.75207251022438371</v>
      </c>
      <c r="H17" s="124">
        <f t="shared" si="4"/>
        <v>0.7857142857142857</v>
      </c>
      <c r="I17" s="124">
        <f t="shared" si="5"/>
        <v>0.67796610169491522</v>
      </c>
      <c r="J17" s="124"/>
      <c r="K17" s="124">
        <f t="shared" si="6"/>
        <v>0.9285714285714286</v>
      </c>
      <c r="L17" s="63"/>
      <c r="M17" s="63"/>
      <c r="N17" s="63"/>
      <c r="O17" s="63"/>
      <c r="P17" s="63"/>
      <c r="Q17" s="63"/>
      <c r="R17" s="63"/>
      <c r="S17" s="63"/>
      <c r="T17" s="63"/>
      <c r="U17" s="63"/>
      <c r="V17" s="17"/>
      <c r="W17" s="17"/>
      <c r="X17" s="17"/>
    </row>
    <row r="18" spans="1:24" x14ac:dyDescent="0.2">
      <c r="A18" s="51" t="s">
        <v>2</v>
      </c>
      <c r="B18" s="46">
        <f t="shared" si="2"/>
        <v>7</v>
      </c>
      <c r="C18" s="46"/>
      <c r="D18" s="1">
        <f>IF(ISERROR(E18),"",IF(E18="","",MAX($D$13:D17)+1))</f>
        <v>4</v>
      </c>
      <c r="E18" t="s">
        <v>103</v>
      </c>
      <c r="F18" s="22"/>
      <c r="G18" s="124">
        <f t="shared" si="3"/>
        <v>0.67413251887672854</v>
      </c>
      <c r="H18" s="124">
        <f t="shared" si="4"/>
        <v>0.68799999999999994</v>
      </c>
      <c r="I18" s="124">
        <f t="shared" si="5"/>
        <v>0.66789667896678973</v>
      </c>
      <c r="J18" s="124"/>
      <c r="K18" s="124">
        <f t="shared" si="6"/>
        <v>0.76363636363636367</v>
      </c>
      <c r="L18" s="63"/>
      <c r="M18" s="63"/>
      <c r="N18" s="63"/>
      <c r="O18" s="63"/>
      <c r="P18" s="63"/>
      <c r="Q18" s="63"/>
      <c r="R18" s="63"/>
      <c r="S18" s="63"/>
      <c r="T18" s="63"/>
      <c r="U18" s="63"/>
      <c r="V18" s="17"/>
      <c r="W18" s="17"/>
      <c r="X18" s="17"/>
    </row>
    <row r="19" spans="1:24" x14ac:dyDescent="0.2">
      <c r="A19" s="51" t="s">
        <v>260</v>
      </c>
      <c r="B19" s="46">
        <f t="shared" si="2"/>
        <v>15</v>
      </c>
      <c r="C19" s="46"/>
      <c r="D19" s="1">
        <f>IF(ISERROR(E19),"",IF(E19="","",MAX($D$13:D18)+1))</f>
        <v>5</v>
      </c>
      <c r="E19" t="s">
        <v>261</v>
      </c>
      <c r="F19" s="22"/>
      <c r="G19" s="124">
        <f t="shared" si="3"/>
        <v>0.57411433687172275</v>
      </c>
      <c r="H19" s="124">
        <f t="shared" si="4"/>
        <v>0.65806451612903216</v>
      </c>
      <c r="I19" s="124">
        <f t="shared" si="5"/>
        <v>0.72258064516129028</v>
      </c>
      <c r="J19" s="124"/>
      <c r="K19" s="124">
        <f t="shared" si="6"/>
        <v>0.87096774193548387</v>
      </c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17"/>
      <c r="W19" s="17"/>
      <c r="X19" s="17"/>
    </row>
    <row r="20" spans="1:24" x14ac:dyDescent="0.2">
      <c r="A20" s="51" t="s">
        <v>4</v>
      </c>
      <c r="B20" s="46">
        <f t="shared" si="2"/>
        <v>16</v>
      </c>
      <c r="C20" s="46"/>
      <c r="D20" s="1">
        <f>IF(ISERROR(E20),"",IF(E20="","",MAX($D$13:D19)+1))</f>
        <v>6</v>
      </c>
      <c r="E20" t="s">
        <v>86</v>
      </c>
      <c r="F20" s="22"/>
      <c r="G20" s="124">
        <f t="shared" si="3"/>
        <v>0.77414231257941546</v>
      </c>
      <c r="H20" s="124">
        <f t="shared" si="4"/>
        <v>0.81967213114754101</v>
      </c>
      <c r="I20" s="124">
        <f t="shared" si="5"/>
        <v>0.88429752066115697</v>
      </c>
      <c r="J20" s="124"/>
      <c r="K20" s="124">
        <f t="shared" si="6"/>
        <v>1.04</v>
      </c>
      <c r="L20" s="63"/>
      <c r="M20" s="63"/>
      <c r="N20" s="63"/>
      <c r="O20" s="63"/>
      <c r="P20" s="63"/>
      <c r="Q20" s="63"/>
      <c r="R20" s="63"/>
      <c r="S20" s="63"/>
      <c r="T20" s="63"/>
      <c r="U20" s="63"/>
      <c r="V20" s="17"/>
      <c r="W20" s="17"/>
      <c r="X20" s="17"/>
    </row>
    <row r="21" spans="1:24" x14ac:dyDescent="0.2">
      <c r="A21" s="51" t="s">
        <v>5</v>
      </c>
      <c r="B21" s="46">
        <f t="shared" si="2"/>
        <v>17</v>
      </c>
      <c r="C21" s="46"/>
      <c r="D21" s="1">
        <f>IF(ISERROR(E21),"",IF(E21="","",MAX($D$13:D20)+1))</f>
        <v>7</v>
      </c>
      <c r="E21" t="s">
        <v>46</v>
      </c>
      <c r="F21" s="22"/>
      <c r="G21" s="124">
        <f t="shared" si="3"/>
        <v>1.1749055674166529</v>
      </c>
      <c r="H21" s="124">
        <f t="shared" si="4"/>
        <v>0.83750000000000002</v>
      </c>
      <c r="I21" s="124">
        <f t="shared" si="5"/>
        <v>0.72864321608040206</v>
      </c>
      <c r="J21" s="124"/>
      <c r="K21" s="124">
        <f t="shared" si="6"/>
        <v>1.1724137931034482</v>
      </c>
      <c r="L21" s="63"/>
      <c r="M21" s="63"/>
      <c r="N21" s="63"/>
      <c r="O21" s="63"/>
      <c r="P21" s="63"/>
      <c r="Q21" s="63"/>
      <c r="R21" s="63"/>
      <c r="S21" s="63"/>
      <c r="T21" s="63"/>
      <c r="U21" s="63"/>
      <c r="V21" s="17"/>
      <c r="W21" s="17"/>
      <c r="X21" s="17"/>
    </row>
    <row r="22" spans="1:24" x14ac:dyDescent="0.2">
      <c r="A22" s="51" t="s">
        <v>6</v>
      </c>
      <c r="B22" s="46">
        <f t="shared" si="2"/>
        <v>19</v>
      </c>
      <c r="C22" s="46"/>
      <c r="D22" s="1">
        <f>IF(ISERROR(E22),"",IF(E22="","",MAX($D$13:D21)+1))</f>
        <v>8</v>
      </c>
      <c r="E22" t="s">
        <v>90</v>
      </c>
      <c r="F22" s="22"/>
      <c r="G22" s="124">
        <f t="shared" si="3"/>
        <v>1.2194679564691657</v>
      </c>
      <c r="H22" s="124">
        <f t="shared" si="4"/>
        <v>1.0909090909090911</v>
      </c>
      <c r="I22" s="124">
        <f t="shared" si="5"/>
        <v>1.2307692307692308</v>
      </c>
      <c r="J22" s="124"/>
      <c r="K22" s="124">
        <f t="shared" si="6"/>
        <v>1.5</v>
      </c>
      <c r="L22" s="63"/>
      <c r="M22" s="63"/>
      <c r="N22" s="63"/>
      <c r="O22" s="63"/>
      <c r="P22" s="63"/>
      <c r="Q22" s="63"/>
      <c r="R22" s="63"/>
      <c r="S22" s="63"/>
      <c r="T22" s="63"/>
      <c r="U22" s="63"/>
      <c r="V22" s="17"/>
      <c r="W22" s="17"/>
      <c r="X22" s="17"/>
    </row>
    <row r="23" spans="1:24" x14ac:dyDescent="0.2">
      <c r="A23" s="51" t="s">
        <v>9</v>
      </c>
      <c r="B23" s="46">
        <f t="shared" si="2"/>
        <v>21</v>
      </c>
      <c r="C23" s="46"/>
      <c r="D23" s="1">
        <f>IF(ISERROR(E23),"",IF(E23="","",MAX($D$13:D22)+1))</f>
        <v>9</v>
      </c>
      <c r="E23" t="s">
        <v>47</v>
      </c>
      <c r="F23" s="22"/>
      <c r="G23" s="124">
        <f t="shared" si="3"/>
        <v>0.89428281461434367</v>
      </c>
      <c r="H23" s="124">
        <f t="shared" si="4"/>
        <v>0.76351351351351349</v>
      </c>
      <c r="I23" s="124">
        <f t="shared" si="5"/>
        <v>0.70833333333333337</v>
      </c>
      <c r="J23" s="124"/>
      <c r="K23" s="124">
        <f t="shared" si="6"/>
        <v>1.1153846153846154</v>
      </c>
      <c r="L23" s="63"/>
      <c r="M23" s="63"/>
      <c r="N23" s="63"/>
      <c r="O23" s="63"/>
      <c r="P23" s="63"/>
      <c r="Q23" s="63"/>
      <c r="R23" s="63"/>
      <c r="S23" s="63"/>
      <c r="T23" s="63"/>
      <c r="U23" s="63"/>
      <c r="V23" s="17"/>
      <c r="W23" s="17"/>
      <c r="X23" s="17"/>
    </row>
    <row r="24" spans="1:24" x14ac:dyDescent="0.2">
      <c r="A24" s="51" t="s">
        <v>10</v>
      </c>
      <c r="B24" s="46">
        <f t="shared" si="2"/>
        <v>23</v>
      </c>
      <c r="C24" s="46"/>
      <c r="D24" s="1">
        <f>IF(ISERROR(E24),"",IF(E24="","",MAX($D$13:D23)+1))</f>
        <v>10</v>
      </c>
      <c r="E24" t="s">
        <v>50</v>
      </c>
      <c r="F24" s="22"/>
      <c r="G24" s="124">
        <f t="shared" si="3"/>
        <v>0.7572483342337476</v>
      </c>
      <c r="H24" s="124">
        <f t="shared" si="4"/>
        <v>0.69200000000000006</v>
      </c>
      <c r="I24" s="124">
        <f t="shared" si="5"/>
        <v>0.73199999999999998</v>
      </c>
      <c r="J24" s="124"/>
      <c r="K24" s="124">
        <f t="shared" si="6"/>
        <v>0.93333333333333335</v>
      </c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17"/>
      <c r="W24" s="17"/>
      <c r="X24" s="17"/>
    </row>
    <row r="25" spans="1:24" x14ac:dyDescent="0.2">
      <c r="A25" s="51" t="s">
        <v>11</v>
      </c>
      <c r="B25" s="46">
        <f t="shared" si="2"/>
        <v>25</v>
      </c>
      <c r="C25" s="46"/>
      <c r="D25" s="1">
        <f>IF(ISERROR(E25),"",IF(E25="","",MAX($D$13:D24)+1))</f>
        <v>11</v>
      </c>
      <c r="E25" t="s">
        <v>52</v>
      </c>
      <c r="F25" s="22"/>
      <c r="G25" s="124">
        <f t="shared" si="3"/>
        <v>0.80770582035367144</v>
      </c>
      <c r="H25" s="124">
        <f t="shared" si="4"/>
        <v>0.98639455782312935</v>
      </c>
      <c r="I25" s="124">
        <f t="shared" si="5"/>
        <v>1.1654676258992804</v>
      </c>
      <c r="J25" s="124"/>
      <c r="K25" s="124">
        <f t="shared" si="6"/>
        <v>1.2666666666666666</v>
      </c>
      <c r="L25" s="63"/>
      <c r="M25" s="63"/>
      <c r="N25" s="63"/>
      <c r="O25" s="63"/>
      <c r="P25" s="63"/>
      <c r="Q25" s="63"/>
      <c r="R25" s="63"/>
      <c r="S25" s="63"/>
      <c r="T25" s="63"/>
      <c r="U25" s="63"/>
      <c r="V25" s="17"/>
      <c r="W25" s="17"/>
      <c r="X25" s="17"/>
    </row>
    <row r="26" spans="1:24" x14ac:dyDescent="0.2">
      <c r="A26" s="51" t="s">
        <v>12</v>
      </c>
      <c r="B26" s="46">
        <f t="shared" si="2"/>
        <v>26</v>
      </c>
      <c r="C26" s="46"/>
      <c r="D26" s="1">
        <f>IF(ISERROR(E26),"",IF(E26="","",MAX($D$13:D25)+1))</f>
        <v>12</v>
      </c>
      <c r="E26" t="s">
        <v>51</v>
      </c>
      <c r="F26" s="22"/>
      <c r="G26" s="124">
        <f t="shared" si="3"/>
        <v>0.93861117754923062</v>
      </c>
      <c r="H26" s="124">
        <f t="shared" si="4"/>
        <v>0.64961636828644498</v>
      </c>
      <c r="I26" s="124">
        <f t="shared" si="5"/>
        <v>0.96616541353383456</v>
      </c>
      <c r="J26" s="124"/>
      <c r="K26" s="124">
        <f t="shared" si="6"/>
        <v>1.2075471698113207</v>
      </c>
      <c r="L26" s="63"/>
      <c r="M26" s="63"/>
      <c r="N26" s="63"/>
      <c r="O26" s="63"/>
      <c r="P26" s="63"/>
      <c r="Q26" s="63"/>
      <c r="R26" s="63"/>
      <c r="S26" s="63"/>
      <c r="T26" s="63"/>
      <c r="U26" s="63"/>
      <c r="V26" s="17"/>
      <c r="W26" s="17"/>
      <c r="X26" s="17"/>
    </row>
    <row r="27" spans="1:24" x14ac:dyDescent="0.2">
      <c r="A27" s="51" t="s">
        <v>13</v>
      </c>
      <c r="B27" s="46">
        <f t="shared" si="2"/>
        <v>27</v>
      </c>
      <c r="C27" s="46"/>
      <c r="D27" s="1">
        <f>IF(ISERROR(E27),"",IF(E27="","",MAX($D$13:D26)+1))</f>
        <v>13</v>
      </c>
      <c r="E27" t="s">
        <v>93</v>
      </c>
      <c r="F27" s="22"/>
      <c r="G27" s="124">
        <f t="shared" si="3"/>
        <v>0.87046857341563066</v>
      </c>
      <c r="H27" s="124">
        <f t="shared" si="4"/>
        <v>0.70957095709570961</v>
      </c>
      <c r="I27" s="124">
        <f t="shared" si="5"/>
        <v>0.76567656765676562</v>
      </c>
      <c r="J27" s="124"/>
      <c r="K27" s="124">
        <f t="shared" si="6"/>
        <v>1.1276595744680851</v>
      </c>
      <c r="L27" s="63"/>
      <c r="M27" s="63"/>
      <c r="N27" s="63"/>
      <c r="O27" s="63"/>
      <c r="P27" s="63"/>
      <c r="Q27" s="63"/>
      <c r="R27" s="63"/>
      <c r="S27" s="63"/>
      <c r="T27" s="63"/>
      <c r="U27" s="63"/>
      <c r="V27" s="17"/>
      <c r="W27" s="17"/>
      <c r="X27" s="17"/>
    </row>
    <row r="28" spans="1:24" x14ac:dyDescent="0.2">
      <c r="A28" s="51" t="s">
        <v>14</v>
      </c>
      <c r="B28" s="46">
        <f t="shared" si="2"/>
        <v>28</v>
      </c>
      <c r="C28" s="46"/>
      <c r="D28" s="1">
        <f>IF(ISERROR(E28),"",IF(E28="","",MAX($D$13:D27)+1))</f>
        <v>14</v>
      </c>
      <c r="E28" t="s">
        <v>53</v>
      </c>
      <c r="F28" s="22"/>
      <c r="G28" s="124">
        <f t="shared" si="3"/>
        <v>0.93888841603540729</v>
      </c>
      <c r="H28" s="124">
        <f t="shared" si="4"/>
        <v>0.84586466165413532</v>
      </c>
      <c r="I28" s="124">
        <f t="shared" si="5"/>
        <v>0.79734219269102991</v>
      </c>
      <c r="J28" s="124"/>
      <c r="K28" s="124">
        <f t="shared" si="6"/>
        <v>0.90476190476190477</v>
      </c>
      <c r="L28" s="63"/>
      <c r="M28" s="63"/>
      <c r="N28" s="63"/>
      <c r="O28" s="63"/>
      <c r="P28" s="63"/>
      <c r="Q28" s="63"/>
      <c r="R28" s="63"/>
      <c r="S28" s="63"/>
      <c r="T28" s="63"/>
      <c r="U28" s="63"/>
      <c r="V28" s="17"/>
      <c r="W28" s="17"/>
      <c r="X28" s="17"/>
    </row>
    <row r="29" spans="1:24" x14ac:dyDescent="0.2">
      <c r="A29" s="51" t="s">
        <v>15</v>
      </c>
      <c r="B29" s="46">
        <f t="shared" si="2"/>
        <v>29</v>
      </c>
      <c r="C29" s="46"/>
      <c r="D29" s="1">
        <f>IF(ISERROR(E29),"",IF(E29="","",MAX($D$13:D28)+1))</f>
        <v>15</v>
      </c>
      <c r="E29" t="s">
        <v>88</v>
      </c>
      <c r="F29" s="22"/>
      <c r="G29" s="124">
        <f t="shared" si="3"/>
        <v>1.0446776104247759</v>
      </c>
      <c r="H29" s="124">
        <f t="shared" si="4"/>
        <v>0.94852941176470595</v>
      </c>
      <c r="I29" s="124">
        <f t="shared" si="5"/>
        <v>0.97080291970802934</v>
      </c>
      <c r="J29" s="124"/>
      <c r="K29" s="124">
        <f t="shared" si="6"/>
        <v>1.0689655172413792</v>
      </c>
      <c r="L29" s="63"/>
      <c r="M29" s="63"/>
      <c r="N29" s="63"/>
      <c r="O29" s="63"/>
      <c r="P29" s="63"/>
      <c r="Q29" s="63"/>
      <c r="R29" s="63"/>
      <c r="S29" s="63"/>
      <c r="T29" s="63"/>
      <c r="U29" s="63"/>
      <c r="V29" s="17"/>
      <c r="W29" s="17"/>
      <c r="X29" s="17"/>
    </row>
    <row r="30" spans="1:24" x14ac:dyDescent="0.2">
      <c r="A30" s="51" t="s">
        <v>17</v>
      </c>
      <c r="B30" s="46">
        <f t="shared" si="2"/>
        <v>30</v>
      </c>
      <c r="C30" s="46"/>
      <c r="D30" s="1">
        <f>IF(ISERROR(E30),"",IF(E30="","",MAX($D$13:D29)+1))</f>
        <v>16</v>
      </c>
      <c r="E30" t="s">
        <v>55</v>
      </c>
      <c r="F30" s="22"/>
      <c r="G30" s="124">
        <f t="shared" si="3"/>
        <v>0.75673839184597957</v>
      </c>
      <c r="H30" s="124">
        <f t="shared" si="4"/>
        <v>0.70742358078602618</v>
      </c>
      <c r="I30" s="124">
        <f t="shared" si="5"/>
        <v>0.73618090452261309</v>
      </c>
      <c r="J30" s="124"/>
      <c r="K30" s="124">
        <f t="shared" si="6"/>
        <v>1.15625</v>
      </c>
      <c r="L30" s="63"/>
      <c r="M30" s="63"/>
      <c r="N30" s="63"/>
      <c r="O30" s="63"/>
      <c r="P30" s="63"/>
      <c r="Q30" s="63"/>
      <c r="R30" s="63"/>
      <c r="S30" s="63"/>
      <c r="T30" s="63"/>
      <c r="U30" s="63"/>
      <c r="V30" s="17"/>
      <c r="W30" s="17"/>
      <c r="X30" s="17"/>
    </row>
    <row r="31" spans="1:24" x14ac:dyDescent="0.2">
      <c r="A31" s="51" t="s">
        <v>211</v>
      </c>
      <c r="B31" s="46">
        <f t="shared" si="2"/>
        <v>31</v>
      </c>
      <c r="C31" s="46"/>
      <c r="D31" s="1">
        <f>IF(ISERROR(E31),"",IF(E31="","",MAX($D$13:D30)+1))</f>
        <v>17</v>
      </c>
      <c r="E31" t="s">
        <v>212</v>
      </c>
      <c r="F31" s="22"/>
      <c r="G31" s="124">
        <f t="shared" si="3"/>
        <v>0.78866396761133606</v>
      </c>
      <c r="H31" s="124">
        <f t="shared" si="4"/>
        <v>0.6875</v>
      </c>
      <c r="I31" s="124">
        <f t="shared" si="5"/>
        <v>0.65420560747663559</v>
      </c>
      <c r="J31" s="124"/>
      <c r="K31" s="124">
        <f t="shared" si="6"/>
        <v>1.1785714285714286</v>
      </c>
      <c r="L31" s="63"/>
      <c r="M31" s="63"/>
      <c r="N31" s="63"/>
      <c r="O31" s="63"/>
      <c r="P31" s="63"/>
      <c r="Q31" s="63"/>
      <c r="R31" s="63"/>
      <c r="S31" s="63"/>
      <c r="T31" s="63"/>
      <c r="U31" s="63"/>
      <c r="V31" s="17"/>
      <c r="W31" s="17"/>
      <c r="X31" s="17"/>
    </row>
    <row r="32" spans="1:24" x14ac:dyDescent="0.2">
      <c r="A32" s="51" t="s">
        <v>487</v>
      </c>
      <c r="B32" s="46" t="e">
        <f t="shared" ref="B32" si="7">MATCH(A32,CapCashTic,0)</f>
        <v>#N/A</v>
      </c>
      <c r="C32" s="46"/>
      <c r="D32" s="1">
        <f>IF(ISERROR(E32),"",IF(E32="","",MAX($D$13:D31)+1))</f>
        <v>18</v>
      </c>
      <c r="E32" t="s">
        <v>488</v>
      </c>
      <c r="F32" s="22"/>
      <c r="G32" s="124" t="str">
        <f t="shared" si="3"/>
        <v>N/A</v>
      </c>
      <c r="H32" s="124">
        <f t="shared" si="4"/>
        <v>1.0217391304347827</v>
      </c>
      <c r="I32" s="124">
        <f t="shared" si="5"/>
        <v>1.3714285714285714</v>
      </c>
      <c r="J32" s="124"/>
      <c r="K32" s="124">
        <f t="shared" si="6"/>
        <v>1.6363636363636365</v>
      </c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17"/>
      <c r="W32" s="17"/>
      <c r="X32" s="17"/>
    </row>
    <row r="33" spans="1:24" x14ac:dyDescent="0.2">
      <c r="A33" s="51" t="s">
        <v>18</v>
      </c>
      <c r="B33" s="46">
        <f t="shared" si="2"/>
        <v>32</v>
      </c>
      <c r="C33" s="46"/>
      <c r="D33" s="1">
        <f>IF(ISERROR(E33),"",IF(E33="","",MAX($D$13:D32)+1))</f>
        <v>19</v>
      </c>
      <c r="E33" t="s">
        <v>69</v>
      </c>
      <c r="F33" s="22"/>
      <c r="G33" s="124">
        <f t="shared" si="3"/>
        <v>1.0631271434014986</v>
      </c>
      <c r="H33" s="124">
        <f t="shared" si="4"/>
        <v>1.0925925925925926</v>
      </c>
      <c r="I33" s="124">
        <f t="shared" si="5"/>
        <v>1.375</v>
      </c>
      <c r="J33" s="124"/>
      <c r="K33" s="124">
        <f t="shared" si="6"/>
        <v>1.6206896551724137</v>
      </c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17"/>
      <c r="W33" s="17"/>
      <c r="X33" s="17"/>
    </row>
    <row r="34" spans="1:24" x14ac:dyDescent="0.2">
      <c r="A34" s="51" t="s">
        <v>19</v>
      </c>
      <c r="B34" s="46">
        <f t="shared" si="2"/>
        <v>33</v>
      </c>
      <c r="C34" s="46"/>
      <c r="D34" s="1">
        <f>IF(ISERROR(E34),"",IF(E34="","",MAX($D$13:D33)+1))</f>
        <v>20</v>
      </c>
      <c r="E34" t="s">
        <v>66</v>
      </c>
      <c r="F34" s="22"/>
      <c r="G34" s="124">
        <f t="shared" si="3"/>
        <v>1.0253958300674089</v>
      </c>
      <c r="H34" s="124">
        <f t="shared" si="4"/>
        <v>0.72897196261682251</v>
      </c>
      <c r="I34" s="124">
        <f t="shared" si="5"/>
        <v>1.053763440860215</v>
      </c>
      <c r="J34" s="124"/>
      <c r="K34" s="124">
        <f t="shared" si="6"/>
        <v>1.2</v>
      </c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17"/>
      <c r="W34" s="17"/>
      <c r="X34" s="17"/>
    </row>
    <row r="35" spans="1:24" x14ac:dyDescent="0.2">
      <c r="A35" s="51" t="s">
        <v>266</v>
      </c>
      <c r="B35" s="46">
        <f t="shared" si="2"/>
        <v>34</v>
      </c>
      <c r="C35" s="46"/>
      <c r="D35" s="1">
        <f>IF(ISERROR(E35),"",IF(E35="","",MAX($D$13:D34)+1))</f>
        <v>21</v>
      </c>
      <c r="E35" t="s">
        <v>265</v>
      </c>
      <c r="F35" s="22"/>
      <c r="G35" s="124">
        <f t="shared" si="3"/>
        <v>0.75657986352875639</v>
      </c>
      <c r="H35" s="124">
        <f t="shared" si="4"/>
        <v>0.73648648648648651</v>
      </c>
      <c r="I35" s="124">
        <f t="shared" si="5"/>
        <v>0.68421052631578938</v>
      </c>
      <c r="J35" s="124"/>
      <c r="K35" s="124">
        <f t="shared" si="6"/>
        <v>0.96666666666666667</v>
      </c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17"/>
      <c r="W35" s="17"/>
      <c r="X35" s="17"/>
    </row>
    <row r="36" spans="1:24" hidden="1" x14ac:dyDescent="0.2">
      <c r="A36" s="51" t="s">
        <v>20</v>
      </c>
      <c r="B36" s="46" t="e">
        <f t="shared" si="2"/>
        <v>#N/A</v>
      </c>
      <c r="C36" s="46"/>
      <c r="D36" s="1"/>
      <c r="E36" t="s">
        <v>104</v>
      </c>
      <c r="F36" s="22"/>
      <c r="G36" s="124" t="str">
        <f t="shared" si="3"/>
        <v>N/A</v>
      </c>
      <c r="H36" s="124" t="str">
        <f t="shared" si="4"/>
        <v>N/A</v>
      </c>
      <c r="I36" s="124" t="str">
        <f t="shared" si="5"/>
        <v>N/A</v>
      </c>
      <c r="J36" s="124"/>
      <c r="K36" s="124" t="str">
        <f t="shared" si="6"/>
        <v/>
      </c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17"/>
      <c r="W36" s="17"/>
      <c r="X36" s="17"/>
    </row>
    <row r="37" spans="1:24" x14ac:dyDescent="0.2">
      <c r="A37" s="51" t="s">
        <v>21</v>
      </c>
      <c r="B37" s="46">
        <f t="shared" si="2"/>
        <v>35</v>
      </c>
      <c r="C37" s="46"/>
      <c r="D37" s="1">
        <f>IF(ISERROR(E37),"",IF(E37="","",MAX($D$13:D36)+1))</f>
        <v>22</v>
      </c>
      <c r="E37" t="s">
        <v>58</v>
      </c>
      <c r="F37" s="22"/>
      <c r="G37" s="124">
        <f t="shared" si="3"/>
        <v>0.80909490333919165</v>
      </c>
      <c r="H37" s="124">
        <f t="shared" si="4"/>
        <v>1.0810810810810809</v>
      </c>
      <c r="I37" s="124">
        <f t="shared" si="5"/>
        <v>1.024390243902439</v>
      </c>
      <c r="J37" s="124"/>
      <c r="K37" s="124">
        <f t="shared" si="6"/>
        <v>1.0555555555555556</v>
      </c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17"/>
      <c r="W37" s="17"/>
      <c r="X37" s="17"/>
    </row>
    <row r="38" spans="1:24" x14ac:dyDescent="0.2">
      <c r="A38" s="51" t="s">
        <v>22</v>
      </c>
      <c r="B38" s="46">
        <f t="shared" si="2"/>
        <v>36</v>
      </c>
      <c r="C38" s="46"/>
      <c r="D38" s="1">
        <f>IF(ISERROR(E38),"",IF(E38="","",MAX($D$13:D37)+1))</f>
        <v>23</v>
      </c>
      <c r="E38" t="s">
        <v>59</v>
      </c>
      <c r="F38" s="22"/>
      <c r="G38" s="124">
        <f t="shared" si="3"/>
        <v>1.3253267396679618</v>
      </c>
      <c r="H38" s="124">
        <f t="shared" si="4"/>
        <v>1.248</v>
      </c>
      <c r="I38" s="124">
        <f t="shared" si="5"/>
        <v>1.2578125</v>
      </c>
      <c r="J38" s="124"/>
      <c r="K38" s="124">
        <f t="shared" si="6"/>
        <v>1.3703703703703705</v>
      </c>
      <c r="L38" s="63"/>
      <c r="M38" s="63"/>
      <c r="N38" s="63"/>
      <c r="O38" s="63"/>
      <c r="P38" s="63"/>
      <c r="Q38" s="63"/>
      <c r="R38" s="63"/>
      <c r="S38" s="63"/>
      <c r="T38" s="63"/>
      <c r="U38" s="63"/>
      <c r="V38" s="17"/>
      <c r="W38" s="17"/>
      <c r="X38" s="17"/>
    </row>
    <row r="39" spans="1:24" x14ac:dyDescent="0.2">
      <c r="A39" s="51" t="s">
        <v>25</v>
      </c>
      <c r="B39" s="46">
        <f t="shared" si="2"/>
        <v>37</v>
      </c>
      <c r="C39" s="46"/>
      <c r="D39" s="1">
        <f>IF(ISERROR(E39),"",IF(E39="","",MAX($D$13:D38)+1))</f>
        <v>24</v>
      </c>
      <c r="E39" t="s">
        <v>61</v>
      </c>
      <c r="F39" s="22"/>
      <c r="G39" s="124">
        <f t="shared" si="3"/>
        <v>1.1946136582237896</v>
      </c>
      <c r="H39" s="124">
        <f t="shared" si="4"/>
        <v>0.70175438596491224</v>
      </c>
      <c r="I39" s="124">
        <f t="shared" si="5"/>
        <v>0.66666666666666663</v>
      </c>
      <c r="J39" s="124"/>
      <c r="K39" s="124">
        <f t="shared" si="6"/>
        <v>0.72549019607843135</v>
      </c>
      <c r="L39" s="63"/>
      <c r="M39" s="63"/>
      <c r="N39" s="63"/>
      <c r="O39" s="63"/>
      <c r="P39" s="63"/>
      <c r="Q39" s="63"/>
      <c r="R39" s="63"/>
      <c r="S39" s="63"/>
      <c r="T39" s="63"/>
      <c r="U39" s="63"/>
      <c r="V39" s="17"/>
      <c r="W39" s="17"/>
      <c r="X39" s="17"/>
    </row>
    <row r="40" spans="1:24" x14ac:dyDescent="0.2">
      <c r="A40" s="51" t="s">
        <v>141</v>
      </c>
      <c r="B40" s="46">
        <f t="shared" si="2"/>
        <v>40</v>
      </c>
      <c r="C40" s="46"/>
      <c r="D40" s="1">
        <f>IF(ISERROR(E40),"",IF(E40="","",MAX($D$13:D39)+1))</f>
        <v>25</v>
      </c>
      <c r="E40" t="s">
        <v>209</v>
      </c>
      <c r="F40" s="22"/>
      <c r="G40" s="124">
        <f t="shared" si="3"/>
        <v>0.53098276542560185</v>
      </c>
      <c r="H40" s="124">
        <f t="shared" si="4"/>
        <v>0.75</v>
      </c>
      <c r="I40" s="124">
        <f t="shared" si="5"/>
        <v>0.83422459893048129</v>
      </c>
      <c r="J40" s="124"/>
      <c r="K40" s="124">
        <f t="shared" si="6"/>
        <v>1.0133333333333334</v>
      </c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17"/>
      <c r="W40" s="17"/>
      <c r="X40" s="17"/>
    </row>
    <row r="41" spans="1:24" x14ac:dyDescent="0.2">
      <c r="A41" s="51" t="s">
        <v>144</v>
      </c>
      <c r="B41" s="46">
        <f t="shared" si="2"/>
        <v>43</v>
      </c>
      <c r="C41" s="46"/>
      <c r="D41" s="1">
        <f>IF(ISERROR(E41),"",IF(E41="","",MAX($D$13:D40)+1))</f>
        <v>26</v>
      </c>
      <c r="E41" t="s">
        <v>94</v>
      </c>
      <c r="F41" s="22"/>
      <c r="G41" s="124">
        <f t="shared" si="3"/>
        <v>1.2068226469012322</v>
      </c>
      <c r="H41" s="124">
        <f t="shared" si="4"/>
        <v>1.2280701754385965</v>
      </c>
      <c r="I41" s="124">
        <f t="shared" si="5"/>
        <v>1.0820895522388059</v>
      </c>
      <c r="J41" s="124"/>
      <c r="K41" s="124">
        <f t="shared" si="6"/>
        <v>1.32</v>
      </c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17"/>
      <c r="W41" s="17"/>
      <c r="X41" s="17"/>
    </row>
    <row r="42" spans="1:24" x14ac:dyDescent="0.2">
      <c r="A42" s="51" t="s">
        <v>27</v>
      </c>
      <c r="B42" s="46">
        <f t="shared" si="2"/>
        <v>44</v>
      </c>
      <c r="C42" s="46"/>
      <c r="D42" s="1">
        <f>IF(ISERROR(E42),"",IF(E42="","",MAX($D$13:D41)+1))</f>
        <v>27</v>
      </c>
      <c r="E42" t="s">
        <v>67</v>
      </c>
      <c r="F42" s="22"/>
      <c r="G42" s="124">
        <f t="shared" si="3"/>
        <v>0.81027380663920523</v>
      </c>
      <c r="H42" s="124">
        <f t="shared" si="4"/>
        <v>1.1746031746031746</v>
      </c>
      <c r="I42" s="124">
        <f t="shared" si="5"/>
        <v>1.2857142857142856</v>
      </c>
      <c r="J42" s="124"/>
      <c r="K42" s="124">
        <f t="shared" si="6"/>
        <v>1.7272727272727273</v>
      </c>
      <c r="L42" s="63"/>
      <c r="M42" s="63"/>
      <c r="N42" s="63"/>
      <c r="O42" s="63"/>
      <c r="P42" s="63"/>
      <c r="Q42" s="63"/>
      <c r="R42" s="63"/>
      <c r="S42" s="63"/>
      <c r="T42" s="63"/>
      <c r="U42" s="63"/>
      <c r="V42" s="17"/>
      <c r="W42" s="17"/>
      <c r="X42" s="17"/>
    </row>
    <row r="43" spans="1:24" x14ac:dyDescent="0.2">
      <c r="A43" s="51" t="s">
        <v>28</v>
      </c>
      <c r="B43" s="46">
        <f t="shared" si="2"/>
        <v>46</v>
      </c>
      <c r="C43" s="46"/>
      <c r="D43" s="1">
        <f>IF(ISERROR(E43),"",IF(E43="","",MAX($D$13:D42)+1))</f>
        <v>28</v>
      </c>
      <c r="E43" t="s">
        <v>68</v>
      </c>
      <c r="F43" s="22"/>
      <c r="G43" s="124">
        <f t="shared" si="3"/>
        <v>1.1014880952380952</v>
      </c>
      <c r="H43" s="124">
        <f t="shared" si="4"/>
        <v>1.5090909090909093</v>
      </c>
      <c r="I43" s="124">
        <f t="shared" si="5"/>
        <v>0.45595854922279794</v>
      </c>
      <c r="J43" s="124"/>
      <c r="K43" s="124">
        <f t="shared" si="6"/>
        <v>2.1836734693877546</v>
      </c>
      <c r="L43" s="63"/>
      <c r="M43" s="63"/>
      <c r="N43" s="63"/>
      <c r="O43" s="63"/>
      <c r="P43" s="63"/>
      <c r="Q43" s="63"/>
      <c r="R43" s="63"/>
      <c r="S43" s="63"/>
      <c r="T43" s="63"/>
      <c r="U43" s="63"/>
      <c r="V43" s="17"/>
      <c r="W43" s="17"/>
      <c r="X43" s="17"/>
    </row>
    <row r="44" spans="1:24" x14ac:dyDescent="0.2">
      <c r="A44" s="51" t="s">
        <v>30</v>
      </c>
      <c r="B44" s="46">
        <f t="shared" si="2"/>
        <v>47</v>
      </c>
      <c r="C44" s="46"/>
      <c r="D44" s="1">
        <f>IF(ISERROR(E44),"",IF(E44="","",MAX($D$13:D43)+1))</f>
        <v>29</v>
      </c>
      <c r="E44" t="s">
        <v>71</v>
      </c>
      <c r="F44" s="22"/>
      <c r="G44" s="124">
        <f t="shared" si="3"/>
        <v>0.82379779176932211</v>
      </c>
      <c r="H44" s="124">
        <f t="shared" si="4"/>
        <v>0.52479338842975209</v>
      </c>
      <c r="I44" s="124">
        <f t="shared" si="5"/>
        <v>0.82969432314410485</v>
      </c>
      <c r="J44" s="124"/>
      <c r="K44" s="124">
        <f t="shared" si="6"/>
        <v>0.93478260869565222</v>
      </c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17"/>
      <c r="W44" s="17"/>
      <c r="X44" s="17"/>
    </row>
    <row r="45" spans="1:24" x14ac:dyDescent="0.2">
      <c r="A45" s="51" t="s">
        <v>31</v>
      </c>
      <c r="B45" s="46">
        <f t="shared" si="2"/>
        <v>48</v>
      </c>
      <c r="C45" s="46"/>
      <c r="D45" s="1">
        <f>IF(ISERROR(E45),"",IF(E45="","",MAX($D$13:D44)+1))</f>
        <v>30</v>
      </c>
      <c r="E45" t="s">
        <v>72</v>
      </c>
      <c r="F45" s="22"/>
      <c r="G45" s="124">
        <f t="shared" si="3"/>
        <v>0.76429240862230552</v>
      </c>
      <c r="H45" s="124">
        <f t="shared" si="4"/>
        <v>0.88888888888888884</v>
      </c>
      <c r="I45" s="124">
        <f t="shared" si="5"/>
        <v>0.97222222222222221</v>
      </c>
      <c r="J45" s="124"/>
      <c r="K45" s="124">
        <f t="shared" si="6"/>
        <v>1.1363636363636365</v>
      </c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17"/>
      <c r="W45" s="17"/>
      <c r="X45" s="17"/>
    </row>
    <row r="46" spans="1:24" x14ac:dyDescent="0.2">
      <c r="A46" s="51" t="s">
        <v>32</v>
      </c>
      <c r="B46" s="46">
        <f t="shared" si="2"/>
        <v>49</v>
      </c>
      <c r="C46" s="46"/>
      <c r="D46" s="1">
        <f>IF(ISERROR(E46),"",IF(E46="","",MAX($D$13:D45)+1))</f>
        <v>31</v>
      </c>
      <c r="E46" t="s">
        <v>74</v>
      </c>
      <c r="F46" s="22"/>
      <c r="G46" s="124">
        <f t="shared" si="3"/>
        <v>0.84338691707782909</v>
      </c>
      <c r="H46" s="124">
        <f t="shared" si="4"/>
        <v>0.82945736434108519</v>
      </c>
      <c r="I46" s="124">
        <f t="shared" si="5"/>
        <v>0.87121212121212122</v>
      </c>
      <c r="J46" s="124"/>
      <c r="K46" s="124">
        <f t="shared" si="6"/>
        <v>0.81818181818181823</v>
      </c>
      <c r="L46" s="63"/>
      <c r="M46" s="63"/>
      <c r="N46" s="63"/>
      <c r="O46" s="63"/>
      <c r="P46" s="63"/>
      <c r="Q46" s="63"/>
      <c r="R46" s="63"/>
      <c r="S46" s="63"/>
      <c r="T46" s="63"/>
      <c r="U46" s="63"/>
      <c r="V46" s="17"/>
      <c r="W46" s="17"/>
      <c r="X46" s="17"/>
    </row>
    <row r="47" spans="1:24" x14ac:dyDescent="0.2">
      <c r="A47" s="51" t="s">
        <v>33</v>
      </c>
      <c r="B47" s="46">
        <f t="shared" si="2"/>
        <v>50</v>
      </c>
      <c r="C47" s="46"/>
      <c r="D47" s="1">
        <f>IF(ISERROR(E47),"",IF(E47="","",MAX($D$13:D46)+1))</f>
        <v>32</v>
      </c>
      <c r="E47" t="s">
        <v>92</v>
      </c>
      <c r="F47" s="22"/>
      <c r="G47" s="124">
        <f t="shared" si="3"/>
        <v>1.0681345353675451</v>
      </c>
      <c r="H47" s="124">
        <f t="shared" si="4"/>
        <v>0.87837837837837829</v>
      </c>
      <c r="I47" s="124">
        <f t="shared" si="5"/>
        <v>1.349514563106796</v>
      </c>
      <c r="J47" s="124"/>
      <c r="K47" s="124">
        <f t="shared" si="6"/>
        <v>1.65</v>
      </c>
      <c r="L47" s="63"/>
      <c r="M47" s="63"/>
      <c r="N47" s="63"/>
      <c r="O47" s="63"/>
      <c r="P47" s="63"/>
      <c r="Q47" s="63"/>
      <c r="R47" s="63"/>
      <c r="S47" s="63"/>
      <c r="T47" s="63"/>
      <c r="U47" s="63"/>
      <c r="V47" s="17"/>
      <c r="W47" s="17"/>
      <c r="X47" s="17"/>
    </row>
    <row r="48" spans="1:24" x14ac:dyDescent="0.2">
      <c r="A48" s="51" t="s">
        <v>34</v>
      </c>
      <c r="B48" s="46">
        <f t="shared" si="2"/>
        <v>51</v>
      </c>
      <c r="C48" s="46"/>
      <c r="D48" s="1">
        <f>IF(ISERROR(E48),"",IF(E48="","",MAX($D$13:D47)+1))</f>
        <v>33</v>
      </c>
      <c r="E48" t="s">
        <v>70</v>
      </c>
      <c r="F48" s="22"/>
      <c r="G48" s="124">
        <f t="shared" si="3"/>
        <v>0.81518370960602038</v>
      </c>
      <c r="H48" s="124">
        <f t="shared" si="4"/>
        <v>0.82828282828282818</v>
      </c>
      <c r="I48" s="124">
        <f t="shared" si="5"/>
        <v>0.91860465116279078</v>
      </c>
      <c r="J48" s="124"/>
      <c r="K48" s="124">
        <f t="shared" si="6"/>
        <v>1.4615384615384615</v>
      </c>
      <c r="L48" s="63"/>
      <c r="M48" s="63"/>
      <c r="N48" s="63"/>
      <c r="O48" s="63"/>
      <c r="P48" s="63"/>
      <c r="Q48" s="63"/>
      <c r="R48" s="63"/>
      <c r="S48" s="63"/>
      <c r="T48" s="63"/>
      <c r="U48" s="63"/>
      <c r="V48" s="17"/>
      <c r="W48" s="17"/>
      <c r="X48" s="17"/>
    </row>
    <row r="49" spans="1:24" x14ac:dyDescent="0.2">
      <c r="A49" s="51" t="s">
        <v>35</v>
      </c>
      <c r="B49" s="46">
        <f t="shared" si="2"/>
        <v>52</v>
      </c>
      <c r="C49" s="46"/>
      <c r="D49" s="1">
        <f>IF(ISERROR(E49),"",IF(E49="","",MAX($D$13:D48)+1))</f>
        <v>34</v>
      </c>
      <c r="E49" t="s">
        <v>75</v>
      </c>
      <c r="F49" s="22"/>
      <c r="G49" s="124">
        <f t="shared" si="3"/>
        <v>0.63914667952271897</v>
      </c>
      <c r="H49" s="124">
        <f t="shared" si="4"/>
        <v>0.79720279720279719</v>
      </c>
      <c r="I49" s="124">
        <f t="shared" si="5"/>
        <v>1.099099099099099</v>
      </c>
      <c r="J49" s="124"/>
      <c r="K49" s="124">
        <f t="shared" si="6"/>
        <v>1.3636363636363635</v>
      </c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17"/>
      <c r="W49" s="17"/>
      <c r="X49" s="17"/>
    </row>
    <row r="50" spans="1:24" x14ac:dyDescent="0.2">
      <c r="A50" s="51" t="s">
        <v>36</v>
      </c>
      <c r="B50" s="46">
        <f t="shared" si="2"/>
        <v>54</v>
      </c>
      <c r="C50" s="46"/>
      <c r="D50" s="1">
        <f>IF(ISERROR(E50),"",IF(E50="","",MAX($D$13:D49)+1))</f>
        <v>35</v>
      </c>
      <c r="E50" t="s">
        <v>76</v>
      </c>
      <c r="F50" s="22"/>
      <c r="G50" s="124">
        <f t="shared" si="3"/>
        <v>0.8580434275040858</v>
      </c>
      <c r="H50" s="124">
        <f t="shared" si="4"/>
        <v>0.83606557377049184</v>
      </c>
      <c r="I50" s="124">
        <f t="shared" si="5"/>
        <v>0.78512396694214881</v>
      </c>
      <c r="J50" s="124"/>
      <c r="K50" s="124">
        <f t="shared" si="6"/>
        <v>0.88461538461538458</v>
      </c>
      <c r="L50" s="63"/>
      <c r="M50" s="63"/>
      <c r="N50" s="63"/>
      <c r="O50" s="63"/>
      <c r="P50" s="63"/>
      <c r="Q50" s="63"/>
      <c r="R50" s="63"/>
      <c r="S50" s="63"/>
      <c r="T50" s="63"/>
      <c r="U50" s="63"/>
      <c r="V50" s="17"/>
      <c r="W50" s="17"/>
      <c r="X50" s="17"/>
    </row>
    <row r="51" spans="1:24" x14ac:dyDescent="0.2">
      <c r="A51" s="51" t="s">
        <v>37</v>
      </c>
      <c r="B51" s="46">
        <f t="shared" si="2"/>
        <v>55</v>
      </c>
      <c r="C51" s="46"/>
      <c r="D51" s="1">
        <f>IF(ISERROR(E51),"",IF(E51="","",MAX($D$13:D50)+1))</f>
        <v>36</v>
      </c>
      <c r="E51" t="s">
        <v>54</v>
      </c>
      <c r="F51" s="22"/>
      <c r="G51" s="124">
        <f t="shared" si="3"/>
        <v>0.6730952835592896</v>
      </c>
      <c r="H51" s="124">
        <f t="shared" si="4"/>
        <v>0.7992700729927007</v>
      </c>
      <c r="I51" s="124">
        <f t="shared" si="5"/>
        <v>0.93253968253968256</v>
      </c>
      <c r="J51" s="124"/>
      <c r="K51" s="124">
        <f t="shared" si="6"/>
        <v>1.5555555555555556</v>
      </c>
      <c r="L51" s="63"/>
      <c r="M51" s="63"/>
      <c r="N51" s="63"/>
      <c r="O51" s="63"/>
      <c r="P51" s="63"/>
      <c r="Q51" s="63"/>
      <c r="R51" s="63"/>
      <c r="S51" s="63"/>
      <c r="T51" s="63"/>
      <c r="U51" s="63"/>
      <c r="V51" s="17"/>
      <c r="W51" s="17"/>
      <c r="X51" s="17"/>
    </row>
    <row r="52" spans="1:24" x14ac:dyDescent="0.2">
      <c r="A52" s="51" t="s">
        <v>38</v>
      </c>
      <c r="B52" s="46">
        <f t="shared" si="2"/>
        <v>58</v>
      </c>
      <c r="C52" s="46"/>
      <c r="D52" s="1">
        <f>IF(ISERROR(E52),"",IF(E52="","",MAX($D$13:D51)+1))</f>
        <v>37</v>
      </c>
      <c r="E52" t="s">
        <v>77</v>
      </c>
      <c r="F52" s="22"/>
      <c r="G52" s="124">
        <f t="shared" si="3"/>
        <v>0.90104520157458934</v>
      </c>
      <c r="H52" s="124">
        <f t="shared" si="4"/>
        <v>0.76646706586826352</v>
      </c>
      <c r="I52" s="124">
        <f t="shared" si="5"/>
        <v>0.93706293706293708</v>
      </c>
      <c r="J52" s="124"/>
      <c r="K52" s="124">
        <f t="shared" si="6"/>
        <v>1.4285714285714286</v>
      </c>
      <c r="L52" s="63"/>
      <c r="M52" s="63"/>
      <c r="N52" s="63"/>
      <c r="O52" s="63"/>
      <c r="P52" s="63"/>
      <c r="Q52" s="63"/>
      <c r="R52" s="63"/>
      <c r="S52" s="63"/>
      <c r="T52" s="63"/>
      <c r="U52" s="63"/>
      <c r="V52" s="17"/>
      <c r="W52" s="17"/>
      <c r="X52" s="17"/>
    </row>
    <row r="53" spans="1:24" x14ac:dyDescent="0.2">
      <c r="A53" s="51" t="s">
        <v>42</v>
      </c>
      <c r="B53" s="46">
        <f t="shared" si="2"/>
        <v>64</v>
      </c>
      <c r="C53" s="46"/>
      <c r="D53" s="1">
        <f>IF(ISERROR(E53),"",IF(E53="","",MAX($D$13:D52)+1))</f>
        <v>38</v>
      </c>
      <c r="E53" t="s">
        <v>89</v>
      </c>
      <c r="F53" s="22"/>
      <c r="G53" s="124">
        <f t="shared" si="3"/>
        <v>0.8168044077134986</v>
      </c>
      <c r="H53" s="124">
        <f t="shared" si="4"/>
        <v>0.79333333333333333</v>
      </c>
      <c r="I53" s="124">
        <f t="shared" si="5"/>
        <v>0.80745341614906829</v>
      </c>
      <c r="J53" s="124"/>
      <c r="K53" s="124">
        <f t="shared" si="6"/>
        <v>0.79292929292929282</v>
      </c>
      <c r="L53" s="63"/>
      <c r="M53" s="63"/>
      <c r="N53" s="63"/>
      <c r="O53" s="63"/>
      <c r="P53" s="63"/>
      <c r="Q53" s="63"/>
      <c r="R53" s="63"/>
      <c r="S53" s="63"/>
      <c r="T53" s="63"/>
      <c r="U53" s="63"/>
      <c r="V53" s="17"/>
      <c r="W53" s="17"/>
      <c r="X53" s="17"/>
    </row>
    <row r="54" spans="1:24" x14ac:dyDescent="0.2">
      <c r="A54" s="51" t="s">
        <v>44</v>
      </c>
      <c r="B54" s="46">
        <f t="shared" si="2"/>
        <v>65</v>
      </c>
      <c r="C54" s="46"/>
      <c r="D54" s="1">
        <f>IF(ISERROR(E54),"",IF(E54="","",MAX($D$13:D53)+1))</f>
        <v>39</v>
      </c>
      <c r="E54" t="s">
        <v>217</v>
      </c>
      <c r="F54" s="22"/>
      <c r="G54" s="124">
        <f t="shared" si="3"/>
        <v>0.91641166049283307</v>
      </c>
      <c r="H54" s="124">
        <f t="shared" si="4"/>
        <v>0.78064516129032258</v>
      </c>
      <c r="I54" s="124">
        <f t="shared" si="5"/>
        <v>0.76506024096385528</v>
      </c>
      <c r="J54" s="124"/>
      <c r="K54" s="124">
        <f t="shared" si="6"/>
        <v>0.90909090909090906</v>
      </c>
      <c r="L54" s="63"/>
      <c r="M54" s="63"/>
      <c r="N54" s="63"/>
      <c r="O54" s="63"/>
      <c r="P54" s="63"/>
      <c r="Q54" s="63"/>
      <c r="R54" s="63"/>
      <c r="S54" s="63"/>
      <c r="T54" s="63"/>
      <c r="U54" s="63"/>
      <c r="V54" s="17"/>
      <c r="W54" s="17"/>
      <c r="X54" s="17"/>
    </row>
    <row r="55" spans="1:24" hidden="1" x14ac:dyDescent="0.2">
      <c r="A55" s="51" t="s">
        <v>43</v>
      </c>
      <c r="B55" s="46" t="e">
        <f t="shared" si="2"/>
        <v>#N/A</v>
      </c>
      <c r="C55" s="46"/>
      <c r="D55" s="1">
        <f>IF(ISERROR(E55),"",IF(E55="","",MAX($D$13:D54)+1))</f>
        <v>40</v>
      </c>
      <c r="E55" t="s">
        <v>87</v>
      </c>
      <c r="F55" s="22"/>
      <c r="G55" s="124" t="str">
        <f t="shared" si="3"/>
        <v>N/A</v>
      </c>
      <c r="H55" s="124" t="str">
        <f t="shared" si="4"/>
        <v>N/A</v>
      </c>
      <c r="I55" s="124" t="str">
        <f t="shared" si="5"/>
        <v>N/A</v>
      </c>
      <c r="J55" s="124"/>
      <c r="K55" s="124" t="str">
        <f t="shared" si="6"/>
        <v/>
      </c>
      <c r="L55" s="63"/>
      <c r="M55" s="63"/>
      <c r="N55" s="63"/>
      <c r="O55" s="63"/>
      <c r="P55" s="63"/>
      <c r="Q55" s="63"/>
      <c r="R55" s="63"/>
      <c r="S55" s="63"/>
      <c r="T55" s="63"/>
      <c r="U55" s="63"/>
      <c r="V55" s="17"/>
      <c r="W55" s="17"/>
      <c r="X55" s="17"/>
    </row>
    <row r="56" spans="1:24" x14ac:dyDescent="0.2">
      <c r="A56" s="51" t="s">
        <v>45</v>
      </c>
      <c r="B56" s="46">
        <f t="shared" si="2"/>
        <v>67</v>
      </c>
      <c r="C56" s="46"/>
      <c r="D56" s="1">
        <v>40</v>
      </c>
      <c r="E56" t="s">
        <v>65</v>
      </c>
      <c r="F56" s="22"/>
      <c r="G56" s="124">
        <f t="shared" si="3"/>
        <v>0.83601040232522561</v>
      </c>
      <c r="H56" s="124">
        <f t="shared" si="4"/>
        <v>0.71779141104294475</v>
      </c>
      <c r="I56" s="124">
        <f t="shared" si="5"/>
        <v>0.77987421383647804</v>
      </c>
      <c r="J56" s="124"/>
      <c r="K56" s="124">
        <f t="shared" si="6"/>
        <v>1.0740740740740742</v>
      </c>
      <c r="L56" s="63"/>
      <c r="M56" s="63"/>
      <c r="N56" s="63"/>
      <c r="O56" s="63"/>
      <c r="P56" s="63"/>
      <c r="Q56" s="63"/>
      <c r="R56" s="63"/>
      <c r="S56" s="63"/>
      <c r="T56" s="63"/>
      <c r="U56" s="63"/>
      <c r="V56" s="17"/>
      <c r="W56" s="17"/>
      <c r="X56" s="17"/>
    </row>
    <row r="57" spans="1:24" hidden="1" x14ac:dyDescent="0.2">
      <c r="A57" s="51" t="e">
        <f>#REF!</f>
        <v>#REF!</v>
      </c>
      <c r="B57" s="46" t="e">
        <f t="shared" si="2"/>
        <v>#REF!</v>
      </c>
      <c r="C57" s="46"/>
      <c r="D57" s="1" t="str">
        <f>IF(ISERROR(E57),"",IF(E57="","",MAX($D$13:D56)+1))</f>
        <v/>
      </c>
      <c r="E57" t="e">
        <f>#REF!</f>
        <v>#REF!</v>
      </c>
      <c r="F57" s="22"/>
      <c r="G57" s="99" t="str">
        <f t="shared" si="3"/>
        <v>N/A</v>
      </c>
      <c r="H57" s="124" t="str">
        <f t="shared" si="4"/>
        <v>N/A</v>
      </c>
      <c r="I57" s="124" t="str">
        <f t="shared" si="5"/>
        <v>N/A</v>
      </c>
      <c r="J57" s="99"/>
      <c r="K57" s="124" t="str">
        <f t="shared" si="6"/>
        <v>N/A</v>
      </c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17"/>
      <c r="W57" s="17"/>
      <c r="X57" s="17"/>
    </row>
    <row r="58" spans="1:24" hidden="1" x14ac:dyDescent="0.2">
      <c r="A58" s="51" t="e">
        <f>#REF!</f>
        <v>#REF!</v>
      </c>
      <c r="B58" s="46" t="e">
        <f t="shared" si="2"/>
        <v>#REF!</v>
      </c>
      <c r="C58" s="46"/>
      <c r="D58" s="1" t="str">
        <f>IF(ISERROR(E58),"",IF(E58="","",MAX($D$13:D57)+1))</f>
        <v/>
      </c>
      <c r="E58" t="e">
        <f>#REF!</f>
        <v>#REF!</v>
      </c>
      <c r="G58" s="99" t="str">
        <f t="shared" si="3"/>
        <v>N/A</v>
      </c>
      <c r="H58" s="124" t="str">
        <f t="shared" si="4"/>
        <v>N/A</v>
      </c>
      <c r="I58" s="124" t="str">
        <f t="shared" si="5"/>
        <v>N/A</v>
      </c>
      <c r="J58" s="99"/>
      <c r="K58" s="124" t="str">
        <f t="shared" si="6"/>
        <v>N/A</v>
      </c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17"/>
      <c r="W58" s="17"/>
      <c r="X58" s="17"/>
    </row>
    <row r="59" spans="1:24" hidden="1" x14ac:dyDescent="0.2">
      <c r="A59" s="51" t="e">
        <f>#REF!</f>
        <v>#REF!</v>
      </c>
      <c r="B59" s="46" t="e">
        <f t="shared" si="2"/>
        <v>#REF!</v>
      </c>
      <c r="C59" s="46"/>
      <c r="D59" s="1" t="str">
        <f>IF(ISERROR(E59),"",IF(E59="","",MAX($D$13:D58)+1))</f>
        <v/>
      </c>
      <c r="E59" t="e">
        <f>#REF!</f>
        <v>#REF!</v>
      </c>
      <c r="G59" s="99" t="str">
        <f t="shared" si="3"/>
        <v>N/A</v>
      </c>
      <c r="H59" s="124" t="str">
        <f t="shared" si="4"/>
        <v>N/A</v>
      </c>
      <c r="I59" s="124" t="str">
        <f t="shared" si="5"/>
        <v>N/A</v>
      </c>
      <c r="J59" s="99"/>
      <c r="K59" s="124" t="str">
        <f t="shared" si="6"/>
        <v>N/A</v>
      </c>
      <c r="L59" s="63"/>
      <c r="M59" s="63"/>
      <c r="N59" s="63"/>
      <c r="O59" s="63"/>
      <c r="P59" s="63"/>
      <c r="Q59" s="63"/>
      <c r="R59" s="63"/>
      <c r="S59" s="63"/>
      <c r="T59" s="63"/>
      <c r="U59" s="63"/>
      <c r="V59" s="17"/>
      <c r="W59" s="17"/>
      <c r="X59" s="17"/>
    </row>
    <row r="60" spans="1:24" hidden="1" x14ac:dyDescent="0.2">
      <c r="A60" s="51" t="e">
        <f>#REF!</f>
        <v>#REF!</v>
      </c>
      <c r="B60" s="46" t="e">
        <f t="shared" si="2"/>
        <v>#REF!</v>
      </c>
      <c r="C60" s="46"/>
      <c r="D60" s="1" t="str">
        <f>IF(ISERROR(E60),"",IF(E60="","",MAX($D$13:D59)+1))</f>
        <v/>
      </c>
      <c r="E60" t="e">
        <f>#REF!</f>
        <v>#REF!</v>
      </c>
      <c r="G60" s="99" t="str">
        <f t="shared" si="3"/>
        <v>N/A</v>
      </c>
      <c r="H60" s="124" t="str">
        <f t="shared" si="4"/>
        <v>N/A</v>
      </c>
      <c r="I60" s="124" t="str">
        <f t="shared" si="5"/>
        <v>N/A</v>
      </c>
      <c r="J60" s="99"/>
      <c r="K60" s="124" t="str">
        <f t="shared" si="6"/>
        <v>N/A</v>
      </c>
      <c r="L60" s="63"/>
      <c r="M60" s="63"/>
      <c r="N60" s="63"/>
      <c r="O60" s="63"/>
      <c r="P60" s="63"/>
      <c r="Q60" s="63"/>
      <c r="R60" s="63"/>
      <c r="S60" s="63"/>
      <c r="T60" s="63"/>
      <c r="U60" s="63"/>
      <c r="V60" s="17"/>
      <c r="W60" s="17"/>
      <c r="X60" s="17"/>
    </row>
    <row r="61" spans="1:24" x14ac:dyDescent="0.2">
      <c r="A61" s="31"/>
      <c r="B61" s="31"/>
      <c r="C61" s="31"/>
      <c r="D61" s="1" t="str">
        <f>IF(ISERROR(E61),"",IF(E61="","",MAX($D$13:D60)+1))</f>
        <v/>
      </c>
      <c r="G61" s="63"/>
      <c r="H61" s="63"/>
      <c r="I61" s="63"/>
      <c r="J61" s="63"/>
      <c r="K61" s="63"/>
      <c r="L61" s="63"/>
      <c r="M61" s="63"/>
      <c r="N61" s="63"/>
      <c r="O61" s="63"/>
      <c r="P61" s="63"/>
      <c r="Q61" s="63"/>
      <c r="R61" s="63"/>
      <c r="S61" s="63"/>
      <c r="T61" s="63"/>
      <c r="U61" s="63"/>
      <c r="V61" s="17"/>
      <c r="W61" s="17"/>
    </row>
    <row r="62" spans="1:24" x14ac:dyDescent="0.2">
      <c r="A62" s="31"/>
      <c r="B62" s="31"/>
      <c r="C62" s="31"/>
      <c r="D62" s="1">
        <f>IF(ISERROR(E62),"",IF(E62="","",MAX($D$13:D61)+1))</f>
        <v>41</v>
      </c>
      <c r="E62" t="s">
        <v>98</v>
      </c>
      <c r="G62" s="124">
        <f t="shared" ref="G62:K62" si="8">AVERAGE(G15:G61)</f>
        <v>0.89357247317888322</v>
      </c>
      <c r="H62" s="124">
        <f t="shared" si="8"/>
        <v>0.85638937094654466</v>
      </c>
      <c r="I62" s="124">
        <f t="shared" ref="I62" si="9">AVERAGE(I15:I61)</f>
        <v>0.90618648298530624</v>
      </c>
      <c r="J62" s="124"/>
      <c r="K62" s="124">
        <f t="shared" si="8"/>
        <v>1.1805071585603371</v>
      </c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17"/>
      <c r="W62" s="17"/>
      <c r="X62" s="17"/>
    </row>
    <row r="63" spans="1:24" x14ac:dyDescent="0.2">
      <c r="A63" s="31"/>
      <c r="B63" s="31"/>
      <c r="C63" s="31"/>
      <c r="D63" s="1">
        <f>IF(ISERROR(E63),"",IF(E63="","",MAX($D$13:D62)+1))</f>
        <v>42</v>
      </c>
      <c r="E63" t="s">
        <v>257</v>
      </c>
      <c r="G63" s="124">
        <f>MEDIAN(G15:G61)</f>
        <v>0.83601040232522561</v>
      </c>
      <c r="H63" s="124">
        <f t="shared" ref="H63:K63" si="10">MEDIAN(H15:H61)</f>
        <v>0.79823643509774889</v>
      </c>
      <c r="I63" s="124">
        <f t="shared" ref="I63" si="11">MEDIAN(I15:I61)</f>
        <v>0.85271836007130131</v>
      </c>
      <c r="J63" s="124"/>
      <c r="K63" s="124">
        <f t="shared" si="10"/>
        <v>1.1320116054158609</v>
      </c>
      <c r="L63" s="63"/>
      <c r="M63" s="63"/>
      <c r="N63" s="63"/>
      <c r="O63" s="63"/>
      <c r="P63" s="63"/>
      <c r="Q63" s="63"/>
      <c r="R63" s="63"/>
      <c r="S63" s="63"/>
      <c r="T63" s="63"/>
      <c r="U63" s="63"/>
      <c r="V63" s="17"/>
      <c r="W63" s="17"/>
      <c r="X63" s="17"/>
    </row>
    <row r="64" spans="1:24" x14ac:dyDescent="0.2">
      <c r="A64" s="31"/>
      <c r="B64" s="31"/>
      <c r="C64" s="31"/>
      <c r="D64" s="1"/>
    </row>
    <row r="65" spans="1:6" x14ac:dyDescent="0.2">
      <c r="A65" s="31"/>
      <c r="B65" s="31"/>
      <c r="C65" s="31"/>
      <c r="E65" s="18"/>
      <c r="F65" s="91"/>
    </row>
    <row r="66" spans="1:6" x14ac:dyDescent="0.2">
      <c r="A66" s="31"/>
      <c r="B66" s="31"/>
      <c r="C66" s="31"/>
      <c r="E66" s="20" t="s">
        <v>107</v>
      </c>
    </row>
    <row r="67" spans="1:6" ht="16.5" x14ac:dyDescent="0.2">
      <c r="A67" s="31"/>
      <c r="B67" s="31"/>
      <c r="C67" s="31"/>
      <c r="E67" s="79"/>
      <c r="F67" s="21" t="str">
        <f>"The Value Line Investment Survey Investment Analyzer Software,"</f>
        <v>The Value Line Investment Survey Investment Analyzer Software,</v>
      </c>
    </row>
    <row r="68" spans="1:6" ht="16.5" x14ac:dyDescent="0.2">
      <c r="A68" s="31"/>
      <c r="B68" s="31"/>
      <c r="C68" s="31"/>
      <c r="E68" s="79"/>
      <c r="F68" s="21" t="str">
        <f>" downloaded on "&amp;TEXT(CapSpendCashFlow!$A$1,"mmmm d, yyyy.")</f>
        <v xml:space="preserve"> downloaded on July 9, 2018.</v>
      </c>
    </row>
    <row r="69" spans="1:6" ht="16.5" x14ac:dyDescent="0.2">
      <c r="A69" s="31"/>
      <c r="B69" s="31"/>
      <c r="C69" s="31"/>
      <c r="E69" s="79"/>
      <c r="F69" s="21" t="s">
        <v>527</v>
      </c>
    </row>
    <row r="70" spans="1:6" ht="16.5" x14ac:dyDescent="0.2">
      <c r="A70" s="31"/>
      <c r="B70" s="31"/>
      <c r="C70" s="31"/>
      <c r="E70" s="79"/>
      <c r="F70" s="21" t="s">
        <v>528</v>
      </c>
    </row>
    <row r="71" spans="1:6" x14ac:dyDescent="0.2">
      <c r="A71" s="31"/>
      <c r="B71" s="31"/>
      <c r="C71" s="31"/>
      <c r="E71" s="20" t="s">
        <v>329</v>
      </c>
    </row>
    <row r="72" spans="1:6" ht="16.5" x14ac:dyDescent="0.2">
      <c r="A72" s="31"/>
      <c r="B72" s="31"/>
      <c r="C72" s="31"/>
      <c r="E72" s="93"/>
      <c r="F72" s="21" t="s">
        <v>375</v>
      </c>
    </row>
    <row r="73" spans="1:6" x14ac:dyDescent="0.2">
      <c r="A73" s="31"/>
      <c r="B73" s="31"/>
      <c r="C73" s="31"/>
      <c r="F73" s="23"/>
    </row>
    <row r="74" spans="1:6" x14ac:dyDescent="0.2">
      <c r="A74" s="31"/>
      <c r="B74" s="31"/>
      <c r="C74" s="31"/>
      <c r="E74" s="21"/>
    </row>
    <row r="75" spans="1:6" x14ac:dyDescent="0.2">
      <c r="E75" s="23"/>
    </row>
  </sheetData>
  <mergeCells count="6">
    <mergeCell ref="E12:F12"/>
    <mergeCell ref="D5:K5"/>
    <mergeCell ref="D6:K6"/>
    <mergeCell ref="C1:L1"/>
    <mergeCell ref="G10:K10"/>
    <mergeCell ref="C2:L2"/>
  </mergeCells>
  <printOptions horizontalCentered="1"/>
  <pageMargins left="0.7" right="0.7" top="1" bottom="0.75" header="0.55000000000000004" footer="0.51"/>
  <pageSetup scale="60" orientation="portrait" useFirstPageNumber="1" r:id="rId1"/>
  <headerFooter>
    <oddHeader xml:space="preserve">&amp;R&amp;20Exhibit CCW-1
Page 7 of 7 </oddHeader>
  </headerFooter>
  <rowBreaks count="1" manualBreakCount="1">
    <brk id="8" min="2" max="10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>
    <pageSetUpPr fitToPage="1"/>
  </sheetPr>
  <dimension ref="A1:W196"/>
  <sheetViews>
    <sheetView topLeftCell="A16" zoomScale="80" zoomScaleNormal="80" workbookViewId="0">
      <selection activeCell="C5" sqref="C5:W5"/>
    </sheetView>
  </sheetViews>
  <sheetFormatPr defaultRowHeight="14.25" x14ac:dyDescent="0.2"/>
  <cols>
    <col min="1" max="2" width="8" customWidth="1"/>
    <col min="3" max="3" width="4.75" bestFit="1" customWidth="1"/>
    <col min="4" max="4" width="2.125" customWidth="1"/>
    <col min="5" max="5" width="18.75" customWidth="1"/>
    <col min="6" max="19" width="9" customWidth="1"/>
    <col min="20" max="20" width="9" hidden="1" customWidth="1"/>
    <col min="21" max="23" width="0" hidden="1" customWidth="1"/>
  </cols>
  <sheetData>
    <row r="1" spans="1:23" ht="27.75" x14ac:dyDescent="0.4">
      <c r="C1" s="236" t="str">
        <f>ElectricU</f>
        <v>Louisville Gas and Electric Company</v>
      </c>
      <c r="D1" s="236"/>
      <c r="E1" s="236"/>
      <c r="F1" s="236"/>
      <c r="G1" s="236"/>
      <c r="H1" s="236"/>
      <c r="I1" s="236"/>
      <c r="J1" s="236"/>
      <c r="K1" s="236"/>
      <c r="L1" s="236"/>
      <c r="M1" s="236"/>
      <c r="N1" s="236"/>
      <c r="O1" s="236"/>
      <c r="P1" s="236"/>
      <c r="Q1" s="236"/>
      <c r="R1" s="236"/>
      <c r="S1" s="236"/>
      <c r="T1" s="236"/>
      <c r="U1" s="236"/>
      <c r="V1" s="236"/>
      <c r="W1" s="236"/>
    </row>
    <row r="2" spans="1:23" x14ac:dyDescent="0.2">
      <c r="C2" s="4"/>
      <c r="D2" s="5"/>
      <c r="E2" s="6"/>
      <c r="F2" s="6"/>
      <c r="G2" s="6"/>
      <c r="H2" s="6"/>
      <c r="I2" s="6"/>
      <c r="J2" s="6"/>
      <c r="K2" s="6"/>
      <c r="L2" s="6"/>
      <c r="M2" s="6"/>
      <c r="N2" s="6"/>
      <c r="O2" s="7"/>
      <c r="P2" s="7"/>
      <c r="Q2" s="7"/>
      <c r="R2" s="7"/>
      <c r="S2" s="7"/>
      <c r="T2" s="7"/>
      <c r="U2" s="7"/>
      <c r="V2" s="7"/>
    </row>
    <row r="3" spans="1:23" x14ac:dyDescent="0.2">
      <c r="C3" s="4"/>
      <c r="D3" s="5"/>
      <c r="E3" s="6"/>
      <c r="F3" s="6"/>
      <c r="G3" s="6"/>
      <c r="H3" s="6"/>
      <c r="I3" s="6"/>
      <c r="J3" s="6"/>
      <c r="K3" s="6"/>
      <c r="L3" s="6"/>
      <c r="M3" s="6"/>
      <c r="N3" s="6"/>
      <c r="O3" s="7"/>
      <c r="P3" s="7"/>
      <c r="Q3" s="7"/>
      <c r="R3" s="7"/>
      <c r="S3" s="7"/>
      <c r="T3" s="7"/>
      <c r="U3" s="7"/>
      <c r="V3" s="7"/>
    </row>
    <row r="4" spans="1:23" ht="20.25" x14ac:dyDescent="0.3">
      <c r="C4" s="237" t="s">
        <v>272</v>
      </c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</row>
    <row r="5" spans="1:23" ht="18" x14ac:dyDescent="0.25">
      <c r="C5" s="238" t="s">
        <v>274</v>
      </c>
      <c r="D5" s="238"/>
      <c r="E5" s="238"/>
      <c r="F5" s="238"/>
      <c r="G5" s="238"/>
      <c r="H5" s="238"/>
      <c r="I5" s="238"/>
      <c r="J5" s="238"/>
      <c r="K5" s="238"/>
      <c r="L5" s="238"/>
      <c r="M5" s="238"/>
      <c r="N5" s="238"/>
      <c r="O5" s="238"/>
      <c r="P5" s="238"/>
      <c r="Q5" s="238"/>
      <c r="R5" s="238"/>
      <c r="S5" s="238"/>
      <c r="T5" s="238"/>
      <c r="U5" s="238"/>
      <c r="V5" s="238"/>
      <c r="W5" s="238"/>
    </row>
    <row r="6" spans="1:23" x14ac:dyDescent="0.2">
      <c r="C6" s="6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3" x14ac:dyDescent="0.2">
      <c r="C7" s="6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3" ht="17.25" x14ac:dyDescent="0.25">
      <c r="C8" s="6"/>
      <c r="D8" s="7"/>
      <c r="E8" s="7"/>
      <c r="F8" s="239" t="s">
        <v>330</v>
      </c>
      <c r="G8" s="239"/>
      <c r="H8" s="239"/>
      <c r="I8" s="239"/>
      <c r="J8" s="239"/>
      <c r="K8" s="239"/>
      <c r="L8" s="239"/>
      <c r="M8" s="239"/>
      <c r="N8" s="239"/>
      <c r="O8" s="239"/>
      <c r="P8" s="239"/>
      <c r="Q8" s="239"/>
      <c r="R8" s="239"/>
      <c r="S8" s="239"/>
      <c r="T8" s="239"/>
      <c r="U8" s="239"/>
      <c r="V8" s="239"/>
      <c r="W8" s="239"/>
    </row>
    <row r="9" spans="1:23" ht="15" x14ac:dyDescent="0.25">
      <c r="A9" s="42" t="s">
        <v>99</v>
      </c>
      <c r="B9" s="42" t="s">
        <v>241</v>
      </c>
      <c r="C9" s="6"/>
      <c r="D9" s="7"/>
      <c r="E9" s="7"/>
      <c r="F9" s="8" t="s">
        <v>429</v>
      </c>
      <c r="G9" s="8"/>
      <c r="H9" s="8"/>
      <c r="I9" s="8"/>
      <c r="J9" s="8"/>
      <c r="K9" s="8"/>
      <c r="L9" s="8"/>
      <c r="M9" s="8"/>
      <c r="N9" s="7"/>
      <c r="O9" s="7"/>
      <c r="P9" s="7"/>
      <c r="Q9" s="7"/>
      <c r="R9" s="7"/>
      <c r="S9" s="7"/>
      <c r="T9" s="7"/>
      <c r="U9" s="7"/>
      <c r="V9" s="7"/>
    </row>
    <row r="10" spans="1:23" ht="17.25" x14ac:dyDescent="0.25">
      <c r="A10" s="42" t="s">
        <v>100</v>
      </c>
      <c r="B10" s="42" t="s">
        <v>242</v>
      </c>
      <c r="C10" s="9" t="s">
        <v>96</v>
      </c>
      <c r="D10" s="234" t="s">
        <v>97</v>
      </c>
      <c r="E10" s="234"/>
      <c r="F10" s="10" t="s">
        <v>98</v>
      </c>
      <c r="G10" s="41" t="s">
        <v>423</v>
      </c>
      <c r="H10" s="41">
        <v>2017</v>
      </c>
      <c r="I10" s="41">
        <v>2016</v>
      </c>
      <c r="J10" s="41">
        <v>2015</v>
      </c>
      <c r="K10" s="41">
        <v>2014</v>
      </c>
      <c r="L10" s="41">
        <v>2013</v>
      </c>
      <c r="M10" s="41">
        <v>2012</v>
      </c>
      <c r="N10" s="41">
        <v>2011</v>
      </c>
      <c r="O10" s="41">
        <v>2010</v>
      </c>
      <c r="P10" s="41">
        <v>2009</v>
      </c>
      <c r="Q10" s="41">
        <v>2008</v>
      </c>
      <c r="R10" s="41">
        <v>2007</v>
      </c>
      <c r="S10" s="41">
        <v>2006</v>
      </c>
      <c r="T10" s="41">
        <v>2005</v>
      </c>
      <c r="U10" s="41">
        <v>2004</v>
      </c>
      <c r="V10" s="41">
        <v>2003</v>
      </c>
      <c r="W10" s="41">
        <v>2002</v>
      </c>
    </row>
    <row r="11" spans="1:23" ht="15" x14ac:dyDescent="0.25">
      <c r="A11" s="42"/>
      <c r="B11" s="42"/>
      <c r="C11" s="9"/>
      <c r="D11" s="85"/>
      <c r="E11" s="85"/>
      <c r="F11" s="12">
        <v>-1</v>
      </c>
      <c r="G11" s="12">
        <f>+F11-1</f>
        <v>-2</v>
      </c>
      <c r="H11" s="12">
        <f t="shared" ref="H11:S11" si="0">+G11-1</f>
        <v>-3</v>
      </c>
      <c r="I11" s="12">
        <f t="shared" si="0"/>
        <v>-4</v>
      </c>
      <c r="J11" s="12">
        <f t="shared" si="0"/>
        <v>-5</v>
      </c>
      <c r="K11" s="12">
        <f t="shared" si="0"/>
        <v>-6</v>
      </c>
      <c r="L11" s="12">
        <f t="shared" si="0"/>
        <v>-7</v>
      </c>
      <c r="M11" s="12">
        <f t="shared" si="0"/>
        <v>-8</v>
      </c>
      <c r="N11" s="12">
        <f t="shared" si="0"/>
        <v>-9</v>
      </c>
      <c r="O11" s="12">
        <f t="shared" si="0"/>
        <v>-10</v>
      </c>
      <c r="P11" s="12">
        <f t="shared" si="0"/>
        <v>-11</v>
      </c>
      <c r="Q11" s="12">
        <f t="shared" si="0"/>
        <v>-12</v>
      </c>
      <c r="R11" s="12">
        <f t="shared" si="0"/>
        <v>-13</v>
      </c>
      <c r="S11" s="12">
        <f t="shared" si="0"/>
        <v>-14</v>
      </c>
      <c r="T11" s="12">
        <f t="shared" ref="T11:W11" si="1">+S11-1</f>
        <v>-15</v>
      </c>
      <c r="U11" s="12">
        <f t="shared" si="1"/>
        <v>-16</v>
      </c>
      <c r="V11" s="12">
        <f t="shared" si="1"/>
        <v>-17</v>
      </c>
      <c r="W11" s="12">
        <f t="shared" si="1"/>
        <v>-18</v>
      </c>
    </row>
    <row r="12" spans="1:23" ht="15" x14ac:dyDescent="0.25">
      <c r="A12" s="43"/>
      <c r="B12" s="44"/>
      <c r="C12" s="9"/>
      <c r="D12" s="14" t="s">
        <v>101</v>
      </c>
      <c r="E12" s="11"/>
      <c r="F12" s="36"/>
      <c r="G12" s="36"/>
      <c r="H12" s="16"/>
      <c r="I12" s="16">
        <f t="shared" ref="I12:W12" ca="1" si="2">MATCH(I10,OFFSET(DIV_BV_WP,-1,0,1,),0)</f>
        <v>6</v>
      </c>
      <c r="J12" s="16">
        <f t="shared" ca="1" si="2"/>
        <v>7</v>
      </c>
      <c r="K12" s="16">
        <f t="shared" ca="1" si="2"/>
        <v>8</v>
      </c>
      <c r="L12" s="16">
        <f t="shared" ca="1" si="2"/>
        <v>9</v>
      </c>
      <c r="M12" s="16">
        <f t="shared" ca="1" si="2"/>
        <v>10</v>
      </c>
      <c r="N12" s="16">
        <f t="shared" ca="1" si="2"/>
        <v>11</v>
      </c>
      <c r="O12" s="16">
        <f t="shared" ca="1" si="2"/>
        <v>12</v>
      </c>
      <c r="P12" s="16">
        <f t="shared" ca="1" si="2"/>
        <v>13</v>
      </c>
      <c r="Q12" s="16">
        <f t="shared" ca="1" si="2"/>
        <v>14</v>
      </c>
      <c r="R12" s="16">
        <f t="shared" ca="1" si="2"/>
        <v>15</v>
      </c>
      <c r="S12" s="16">
        <f t="shared" ca="1" si="2"/>
        <v>16</v>
      </c>
      <c r="T12" s="16" t="e">
        <f t="shared" ca="1" si="2"/>
        <v>#N/A</v>
      </c>
      <c r="U12" s="16" t="e">
        <f t="shared" ca="1" si="2"/>
        <v>#N/A</v>
      </c>
      <c r="V12" s="16" t="e">
        <f t="shared" ca="1" si="2"/>
        <v>#N/A</v>
      </c>
      <c r="W12" s="16" t="e">
        <f t="shared" ca="1" si="2"/>
        <v>#N/A</v>
      </c>
    </row>
    <row r="13" spans="1:23" x14ac:dyDescent="0.2">
      <c r="A13" s="45" t="s">
        <v>0</v>
      </c>
      <c r="B13" s="46">
        <f t="shared" ref="B13:B29" ca="1" si="3">IFERROR(MATCH(A13,OFFSET(DIV_BV_WP,0,0,,1),0),"")</f>
        <v>2</v>
      </c>
      <c r="C13" s="1">
        <f>IF(ISERROR(D13),"",IF(D13="","",MAX($C$12:C12)+1))</f>
        <v>1</v>
      </c>
      <c r="D13" t="str">
        <f t="shared" ref="D13:D58" si="4">VLOOKUP(A13,LUCurYr,2,FALSE)</f>
        <v xml:space="preserve">ALLETE                        </v>
      </c>
      <c r="E13" s="15"/>
      <c r="F13" s="80">
        <f ca="1">IFERROR(AVERAGE(G13:S13),"N/A")</f>
        <v>6.0427685538457163E-2</v>
      </c>
      <c r="G13" s="80">
        <f t="shared" ref="G13:G58" si="5">IFERROR(IF(VLOOKUP(A13,LUCurYr,19,FALSE)=0,"",VLOOKUP(A13,LUCurYr,19,FALSE)),"N/A")</f>
        <v>5.3781512605042027E-2</v>
      </c>
      <c r="H13" s="80">
        <f ca="1">IFERROR(VLOOKUP($A13,LASTYR,'2017'!$N$3,FALSE),"N/A")</f>
        <v>5.2873449621979547E-2</v>
      </c>
      <c r="I13" s="80">
        <f t="shared" ref="I13:S28" ca="1" si="6">IFERROR(INDEX(DIV_BV_WP,$B13,I$12),"N/A")</f>
        <v>5.4500196515131667E-2</v>
      </c>
      <c r="J13" s="80">
        <f t="shared" ca="1" si="6"/>
        <v>5.4490032640069061E-2</v>
      </c>
      <c r="K13" s="80">
        <f t="shared" ca="1" si="6"/>
        <v>5.5899381113994805E-2</v>
      </c>
      <c r="L13" s="80">
        <f t="shared" ca="1" si="6"/>
        <v>5.8575084009002069E-2</v>
      </c>
      <c r="M13" s="80">
        <f t="shared" ca="1" si="6"/>
        <v>6.0363493209107021E-2</v>
      </c>
      <c r="N13" s="80">
        <f t="shared" ca="1" si="6"/>
        <v>6.1846356971613219E-2</v>
      </c>
      <c r="O13" s="80">
        <f t="shared" ca="1" si="6"/>
        <v>6.4556358434508299E-2</v>
      </c>
      <c r="P13" s="80">
        <f t="shared" ca="1" si="6"/>
        <v>6.6651518594258885E-2</v>
      </c>
      <c r="Q13" s="80">
        <f t="shared" ca="1" si="6"/>
        <v>6.7793937960663755E-2</v>
      </c>
      <c r="R13" s="80">
        <f t="shared" ca="1" si="6"/>
        <v>6.8021567814184988E-2</v>
      </c>
      <c r="S13" s="80">
        <f t="shared" ca="1" si="6"/>
        <v>6.6207022510387653E-2</v>
      </c>
      <c r="T13" s="63"/>
      <c r="U13" s="63"/>
      <c r="V13" s="63"/>
      <c r="W13" s="63"/>
    </row>
    <row r="14" spans="1:23" x14ac:dyDescent="0.2">
      <c r="A14" s="45" t="s">
        <v>1</v>
      </c>
      <c r="B14" s="46">
        <f t="shared" ca="1" si="3"/>
        <v>3</v>
      </c>
      <c r="C14" s="1">
        <f>IF(ISERROR(D14),"",IF(D14="","",MAX($C$12:C13)+1))</f>
        <v>2</v>
      </c>
      <c r="D14" t="str">
        <f t="shared" si="4"/>
        <v xml:space="preserve">Alliant Energy                </v>
      </c>
      <c r="E14" s="15"/>
      <c r="F14" s="80">
        <f t="shared" ref="F14:F58" ca="1" si="7">IFERROR(AVERAGE(G14:S14),"N/A")</f>
        <v>6.2265153462802827E-2</v>
      </c>
      <c r="G14" s="80">
        <f t="shared" si="5"/>
        <v>6.633663366336634E-2</v>
      </c>
      <c r="H14" s="80">
        <f ca="1">IFERROR(VLOOKUP($A14,LASTYR,'2017'!$N$3,FALSE),"N/A")</f>
        <v>7.320048800325335E-2</v>
      </c>
      <c r="I14" s="80">
        <f t="shared" ca="1" si="6"/>
        <v>6.9563166892648701E-2</v>
      </c>
      <c r="J14" s="80">
        <f t="shared" ca="1" si="6"/>
        <v>6.7024128686327081E-2</v>
      </c>
      <c r="K14" s="80">
        <f t="shared" ca="1" si="6"/>
        <v>6.5620174987133295E-2</v>
      </c>
      <c r="L14" s="80">
        <f t="shared" ca="1" si="6"/>
        <v>6.356075461491649E-2</v>
      </c>
      <c r="M14" s="80">
        <f t="shared" ca="1" si="6"/>
        <v>6.3725837286695466E-2</v>
      </c>
      <c r="N14" s="80">
        <f t="shared" ca="1" si="6"/>
        <v>6.2638172439204123E-2</v>
      </c>
      <c r="O14" s="80">
        <f t="shared" ca="1" si="6"/>
        <v>6.0550318080784857E-2</v>
      </c>
      <c r="P14" s="80">
        <f t="shared" ca="1" si="6"/>
        <v>5.9822924144532177E-2</v>
      </c>
      <c r="Q14" s="80">
        <f t="shared" ca="1" si="6"/>
        <v>5.4764512595837894E-2</v>
      </c>
      <c r="R14" s="80">
        <f t="shared" ca="1" si="6"/>
        <v>5.2271978926572274E-2</v>
      </c>
      <c r="S14" s="80">
        <f t="shared" ca="1" si="6"/>
        <v>5.0367904695164674E-2</v>
      </c>
      <c r="T14" s="63"/>
      <c r="U14" s="63"/>
      <c r="V14" s="63"/>
      <c r="W14" s="63"/>
    </row>
    <row r="15" spans="1:23" x14ac:dyDescent="0.2">
      <c r="A15" s="45" t="s">
        <v>3</v>
      </c>
      <c r="B15" s="46">
        <f t="shared" ca="1" si="3"/>
        <v>6</v>
      </c>
      <c r="C15" s="1">
        <f>IF(ISERROR(D15),"",IF(D15="","",MAX($C$12:C14)+1))</f>
        <v>3</v>
      </c>
      <c r="D15" t="str">
        <f t="shared" si="4"/>
        <v xml:space="preserve">Ameren Corp.                  </v>
      </c>
      <c r="E15" s="15"/>
      <c r="F15" s="80">
        <f t="shared" ca="1" si="7"/>
        <v>6.0719256156506744E-2</v>
      </c>
      <c r="G15" s="80">
        <f t="shared" si="5"/>
        <v>5.9105431309904158E-2</v>
      </c>
      <c r="H15" s="80">
        <f ca="1">IFERROR(VLOOKUP($A15,LASTYR,'2017'!$N$3,FALSE),"N/A")</f>
        <v>6.0051337476357741E-2</v>
      </c>
      <c r="I15" s="80">
        <f t="shared" ca="1" si="6"/>
        <v>5.8584409373505501E-2</v>
      </c>
      <c r="J15" s="80">
        <f t="shared" ca="1" si="6"/>
        <v>5.7812554581339298E-2</v>
      </c>
      <c r="K15" s="80">
        <f t="shared" ca="1" si="6"/>
        <v>5.8192069975060538E-2</v>
      </c>
      <c r="L15" s="80">
        <f t="shared" ca="1" si="6"/>
        <v>5.9322976530347411E-2</v>
      </c>
      <c r="M15" s="80">
        <f t="shared" ca="1" si="6"/>
        <v>5.8678989254410098E-2</v>
      </c>
      <c r="N15" s="80">
        <f t="shared" ca="1" si="6"/>
        <v>4.7638012376692601E-2</v>
      </c>
      <c r="O15" s="80">
        <f t="shared" ca="1" si="6"/>
        <v>4.7893018193127038E-2</v>
      </c>
      <c r="P15" s="80">
        <f t="shared" ca="1" si="6"/>
        <v>4.6555216300371835E-2</v>
      </c>
      <c r="Q15" s="80">
        <f t="shared" ca="1" si="6"/>
        <v>7.7443746569912791E-2</v>
      </c>
      <c r="R15" s="80">
        <f t="shared" ca="1" si="6"/>
        <v>7.8358784513342591E-2</v>
      </c>
      <c r="S15" s="80">
        <f t="shared" ca="1" si="6"/>
        <v>7.9713783580215913E-2</v>
      </c>
      <c r="T15" s="63"/>
      <c r="U15" s="63"/>
      <c r="V15" s="63"/>
      <c r="W15" s="63"/>
    </row>
    <row r="16" spans="1:23" x14ac:dyDescent="0.2">
      <c r="A16" s="45" t="s">
        <v>2</v>
      </c>
      <c r="B16" s="46">
        <f t="shared" ca="1" si="3"/>
        <v>7</v>
      </c>
      <c r="C16" s="1">
        <f>IF(ISERROR(D16),"",IF(D16="","",MAX($C$12:C15)+1))</f>
        <v>4</v>
      </c>
      <c r="D16" t="str">
        <f t="shared" si="4"/>
        <v>American Electric Power</v>
      </c>
      <c r="E16" s="15"/>
      <c r="F16" s="80">
        <f t="shared" ca="1" si="7"/>
        <v>6.1564266731582433E-2</v>
      </c>
      <c r="G16" s="80">
        <f t="shared" si="5"/>
        <v>6.545924967658473E-2</v>
      </c>
      <c r="H16" s="80">
        <f ca="1">IFERROR(VLOOKUP($A16,LASTYR,'2017'!$N$3,FALSE),"N/A")</f>
        <v>6.4302625914765391E-2</v>
      </c>
      <c r="I16" s="80">
        <f t="shared" ca="1" si="6"/>
        <v>6.4160542679479932E-2</v>
      </c>
      <c r="J16" s="80">
        <f t="shared" ca="1" si="6"/>
        <v>5.9009194455880327E-2</v>
      </c>
      <c r="K16" s="80">
        <f t="shared" ca="1" si="6"/>
        <v>5.9066573556797008E-2</v>
      </c>
      <c r="L16" s="80">
        <f t="shared" ca="1" si="6"/>
        <v>5.9133915574963614E-2</v>
      </c>
      <c r="M16" s="80">
        <f t="shared" ca="1" si="6"/>
        <v>5.9924138590507756E-2</v>
      </c>
      <c r="N16" s="80">
        <f t="shared" ca="1" si="6"/>
        <v>6.0987670600646145E-2</v>
      </c>
      <c r="O16" s="80">
        <f t="shared" ca="1" si="6"/>
        <v>6.0355781448538752E-2</v>
      </c>
      <c r="P16" s="80">
        <f t="shared" ca="1" si="6"/>
        <v>5.9666739430983044E-2</v>
      </c>
      <c r="Q16" s="80">
        <f t="shared" ca="1" si="6"/>
        <v>6.2279269357839971E-2</v>
      </c>
      <c r="R16" s="80">
        <f t="shared" ca="1" si="6"/>
        <v>6.2770648762464742E-2</v>
      </c>
      <c r="S16" s="80">
        <f t="shared" ca="1" si="6"/>
        <v>6.3219117461120244E-2</v>
      </c>
      <c r="T16" s="63"/>
      <c r="U16" s="63"/>
      <c r="V16" s="63"/>
      <c r="W16" s="63"/>
    </row>
    <row r="17" spans="1:23" x14ac:dyDescent="0.2">
      <c r="A17" s="45" t="s">
        <v>260</v>
      </c>
      <c r="B17" s="46">
        <f t="shared" ca="1" si="3"/>
        <v>10</v>
      </c>
      <c r="C17" s="1">
        <f>IF(ISERROR(D17),"",IF(D17="","",MAX($C$12:C16)+1))</f>
        <v>5</v>
      </c>
      <c r="D17" t="str">
        <f t="shared" si="4"/>
        <v>Avangrid, Inc.</v>
      </c>
      <c r="E17" s="15"/>
      <c r="F17" s="80">
        <f t="shared" ca="1" si="7"/>
        <v>2.652111495311834E-2</v>
      </c>
      <c r="G17" s="80">
        <f t="shared" si="5"/>
        <v>3.5329949238578677E-2</v>
      </c>
      <c r="H17" s="80">
        <f ca="1">IFERROR(VLOOKUP($A17,LASTYR,'2017'!$N$3,FALSE),"N/A")</f>
        <v>3.5415641908509592E-2</v>
      </c>
      <c r="I17" s="80">
        <f t="shared" ca="1" si="6"/>
        <v>3.5338868665385083E-2</v>
      </c>
      <c r="J17" s="80">
        <f ca="1">IFERROR(INDEX(DIV_BV_WP,$B17,J$12),"N/A")</f>
        <v>0</v>
      </c>
      <c r="K17" s="80" t="str">
        <f t="shared" ca="1" si="6"/>
        <v>N/A</v>
      </c>
      <c r="L17" s="80" t="str">
        <f t="shared" ca="1" si="6"/>
        <v>N/A</v>
      </c>
      <c r="M17" s="80" t="str">
        <f t="shared" ca="1" si="6"/>
        <v>N/A</v>
      </c>
      <c r="N17" s="80" t="str">
        <f t="shared" ca="1" si="6"/>
        <v>N/A</v>
      </c>
      <c r="O17" s="80" t="str">
        <f t="shared" ca="1" si="6"/>
        <v>N/A</v>
      </c>
      <c r="P17" s="80" t="str">
        <f t="shared" ca="1" si="6"/>
        <v>N/A</v>
      </c>
      <c r="Q17" s="80" t="str">
        <f t="shared" ca="1" si="6"/>
        <v>N/A</v>
      </c>
      <c r="R17" s="80" t="str">
        <f t="shared" ca="1" si="6"/>
        <v>N/A</v>
      </c>
      <c r="S17" s="80" t="str">
        <f t="shared" ca="1" si="6"/>
        <v>N/A</v>
      </c>
      <c r="T17" s="63"/>
      <c r="U17" s="63"/>
      <c r="V17" s="63"/>
      <c r="W17" s="63"/>
    </row>
    <row r="18" spans="1:23" x14ac:dyDescent="0.2">
      <c r="A18" s="45" t="s">
        <v>4</v>
      </c>
      <c r="B18" s="46">
        <f t="shared" ca="1" si="3"/>
        <v>11</v>
      </c>
      <c r="C18" s="1">
        <f>IF(ISERROR(D18),"",IF(D18="","",MAX($C$12:C17)+1))</f>
        <v>6</v>
      </c>
      <c r="D18" t="str">
        <f t="shared" si="4"/>
        <v xml:space="preserve">Avista Corp.                  </v>
      </c>
      <c r="E18" s="15"/>
      <c r="F18" s="80">
        <f t="shared" ca="1" si="7"/>
        <v>4.8667920915727282E-2</v>
      </c>
      <c r="G18" s="80">
        <f t="shared" si="5"/>
        <v>5.4578754578754579E-2</v>
      </c>
      <c r="H18" s="80">
        <f ca="1">IFERROR(VLOOKUP($A18,LASTYR,'2017'!$N$3,FALSE),"N/A")</f>
        <v>5.4142056640920797E-2</v>
      </c>
      <c r="I18" s="80">
        <f t="shared" ca="1" si="6"/>
        <v>5.3336447870435261E-2</v>
      </c>
      <c r="J18" s="80">
        <f t="shared" ca="1" si="6"/>
        <v>5.3807272134355127E-2</v>
      </c>
      <c r="K18" s="80">
        <f t="shared" ca="1" si="6"/>
        <v>5.3278516591853002E-2</v>
      </c>
      <c r="L18" s="80">
        <f t="shared" ca="1" si="6"/>
        <v>5.6455344747801943E-2</v>
      </c>
      <c r="M18" s="80">
        <f t="shared" ca="1" si="6"/>
        <v>5.5088569121907204E-2</v>
      </c>
      <c r="N18" s="80">
        <f t="shared" ca="1" si="6"/>
        <v>5.4200542005420051E-2</v>
      </c>
      <c r="O18" s="80">
        <f t="shared" ca="1" si="6"/>
        <v>5.0738241412552641E-2</v>
      </c>
      <c r="P18" s="80">
        <f t="shared" ca="1" si="6"/>
        <v>4.2251317093526683E-2</v>
      </c>
      <c r="Q18" s="80">
        <f t="shared" ca="1" si="6"/>
        <v>3.7713161346742456E-2</v>
      </c>
      <c r="R18" s="80">
        <f t="shared" ca="1" si="6"/>
        <v>3.4444830380919299E-2</v>
      </c>
      <c r="S18" s="80">
        <f t="shared" ca="1" si="6"/>
        <v>3.2647917979265709E-2</v>
      </c>
      <c r="T18" s="63"/>
      <c r="U18" s="63"/>
      <c r="V18" s="63"/>
      <c r="W18" s="63"/>
    </row>
    <row r="19" spans="1:23" x14ac:dyDescent="0.2">
      <c r="A19" s="45" t="s">
        <v>5</v>
      </c>
      <c r="B19" s="46">
        <f t="shared" ca="1" si="3"/>
        <v>12</v>
      </c>
      <c r="C19" s="1">
        <f>IF(ISERROR(D19),"",IF(D19="","",MAX($C$12:C18)+1))</f>
        <v>7</v>
      </c>
      <c r="D19" t="str">
        <f t="shared" si="4"/>
        <v xml:space="preserve">Black Hills                   </v>
      </c>
      <c r="E19" s="15"/>
      <c r="F19" s="80">
        <f t="shared" ca="1" si="7"/>
        <v>5.3344609243309832E-2</v>
      </c>
      <c r="G19" s="80">
        <f t="shared" si="5"/>
        <v>5.3146853146853142E-2</v>
      </c>
      <c r="H19" s="80">
        <f ca="1">IFERROR(VLOOKUP($A19,LASTYR,'2017'!$N$3,FALSE),"N/A")</f>
        <v>5.6706037156552522E-2</v>
      </c>
      <c r="I19" s="80">
        <f t="shared" ca="1" si="6"/>
        <v>5.5542698449432999E-2</v>
      </c>
      <c r="J19" s="80">
        <f t="shared" ca="1" si="6"/>
        <v>5.6574122577265587E-2</v>
      </c>
      <c r="K19" s="80">
        <f t="shared" ca="1" si="6"/>
        <v>5.0644417751517706E-2</v>
      </c>
      <c r="L19" s="80">
        <f t="shared" ca="1" si="6"/>
        <v>5.1721791207295489E-2</v>
      </c>
      <c r="M19" s="80">
        <f t="shared" ca="1" si="6"/>
        <v>5.3082744521358631E-2</v>
      </c>
      <c r="N19" s="80">
        <f t="shared" ca="1" si="6"/>
        <v>5.3029202382681967E-2</v>
      </c>
      <c r="O19" s="80">
        <f t="shared" ca="1" si="6"/>
        <v>5.1393697134087583E-2</v>
      </c>
      <c r="P19" s="80">
        <f t="shared" ca="1" si="6"/>
        <v>5.1007579295233307E-2</v>
      </c>
      <c r="Q19" s="80">
        <f t="shared" ca="1" si="6"/>
        <v>5.1487624581663047E-2</v>
      </c>
      <c r="R19" s="80">
        <f t="shared" ca="1" si="6"/>
        <v>5.3390491036632896E-2</v>
      </c>
      <c r="S19" s="80">
        <f t="shared" ca="1" si="6"/>
        <v>5.5752660922453123E-2</v>
      </c>
      <c r="T19" s="63"/>
      <c r="U19" s="63"/>
      <c r="V19" s="63"/>
      <c r="W19" s="63"/>
    </row>
    <row r="20" spans="1:23" x14ac:dyDescent="0.2">
      <c r="A20" s="45" t="s">
        <v>6</v>
      </c>
      <c r="B20" s="46">
        <f t="shared" ca="1" si="3"/>
        <v>14</v>
      </c>
      <c r="C20" s="1">
        <f>IF(ISERROR(D20),"",IF(D20="","",MAX($C$12:C19)+1))</f>
        <v>8</v>
      </c>
      <c r="D20" t="str">
        <f t="shared" si="4"/>
        <v xml:space="preserve">CenterPoint Energy            </v>
      </c>
      <c r="E20" s="15"/>
      <c r="F20" s="80">
        <f t="shared" ca="1" si="7"/>
        <v>0.10583749365912586</v>
      </c>
      <c r="G20" s="80">
        <f t="shared" si="5"/>
        <v>8.6046511627906982E-2</v>
      </c>
      <c r="H20" s="80">
        <f ca="1">IFERROR(VLOOKUP($A20,LASTYR,'2017'!$N$3,FALSE),"N/A")</f>
        <v>0.12394262596542847</v>
      </c>
      <c r="I20" s="80">
        <f t="shared" ca="1" si="6"/>
        <v>0.12820512820512819</v>
      </c>
      <c r="J20" s="80">
        <f t="shared" ca="1" si="6"/>
        <v>0.12299664554603057</v>
      </c>
      <c r="K20" s="80">
        <f t="shared" ca="1" si="6"/>
        <v>8.9614187340816887E-2</v>
      </c>
      <c r="L20" s="80">
        <f t="shared" ca="1" si="6"/>
        <v>8.2251511247646417E-2</v>
      </c>
      <c r="M20" s="80">
        <f t="shared" ca="1" si="6"/>
        <v>8.050089445438284E-2</v>
      </c>
      <c r="N20" s="80">
        <f t="shared" ca="1" si="6"/>
        <v>7.9717457114026238E-2</v>
      </c>
      <c r="O20" s="80">
        <f t="shared" ca="1" si="6"/>
        <v>0.10358565737051793</v>
      </c>
      <c r="P20" s="80">
        <f t="shared" ca="1" si="6"/>
        <v>0.11282660332541568</v>
      </c>
      <c r="Q20" s="80">
        <f t="shared" ca="1" si="6"/>
        <v>0.12402310567448181</v>
      </c>
      <c r="R20" s="80">
        <f t="shared" ca="1" si="6"/>
        <v>0.12123373150294171</v>
      </c>
      <c r="S20" s="80">
        <f t="shared" ca="1" si="6"/>
        <v>0.12094335819391251</v>
      </c>
      <c r="T20" s="63"/>
      <c r="U20" s="63"/>
      <c r="V20" s="63"/>
      <c r="W20" s="63"/>
    </row>
    <row r="21" spans="1:23" x14ac:dyDescent="0.2">
      <c r="A21" s="45" t="s">
        <v>9</v>
      </c>
      <c r="B21" s="46">
        <f t="shared" ca="1" si="3"/>
        <v>18</v>
      </c>
      <c r="C21" s="1">
        <f>IF(ISERROR(D21),"",IF(D21="","",MAX($C$12:C20)+1))</f>
        <v>9</v>
      </c>
      <c r="D21" t="str">
        <f t="shared" si="4"/>
        <v xml:space="preserve">CMS Energy Corp.              </v>
      </c>
      <c r="E21" s="15"/>
      <c r="F21" s="80">
        <f t="shared" ca="1" si="7"/>
        <v>6.1400229915257919E-2</v>
      </c>
      <c r="G21" s="80">
        <f t="shared" si="5"/>
        <v>8.4365781710914453E-2</v>
      </c>
      <c r="H21" s="80">
        <f ca="1">IFERROR(VLOOKUP($A21,LASTYR,'2017'!$N$3,FALSE),"N/A")</f>
        <v>8.4348046676813795E-2</v>
      </c>
      <c r="I21" s="80">
        <f t="shared" ca="1" si="6"/>
        <v>8.1407563025210086E-2</v>
      </c>
      <c r="J21" s="80">
        <f t="shared" ca="1" si="6"/>
        <v>8.1644144144144143E-2</v>
      </c>
      <c r="K21" s="80">
        <f t="shared" ca="1" si="6"/>
        <v>8.0983803239352128E-2</v>
      </c>
      <c r="L21" s="80">
        <f t="shared" ca="1" si="6"/>
        <v>7.8582434514637908E-2</v>
      </c>
      <c r="M21" s="80">
        <f t="shared" ca="1" si="6"/>
        <v>7.9378204068132965E-2</v>
      </c>
      <c r="N21" s="80">
        <f t="shared" ca="1" si="6"/>
        <v>7.0487538810103209E-2</v>
      </c>
      <c r="O21" s="80">
        <f t="shared" ca="1" si="6"/>
        <v>5.8981233243967833E-2</v>
      </c>
      <c r="P21" s="80">
        <f t="shared" ca="1" si="6"/>
        <v>4.3790506218251889E-2</v>
      </c>
      <c r="Q21" s="80">
        <f t="shared" ca="1" si="6"/>
        <v>3.3094318808604521E-2</v>
      </c>
      <c r="R21" s="80">
        <f t="shared" ca="1" si="6"/>
        <v>2.1139414438220063E-2</v>
      </c>
      <c r="S21" s="80">
        <f t="shared" ca="1" si="6"/>
        <v>0</v>
      </c>
      <c r="T21" s="63"/>
      <c r="U21" s="63"/>
      <c r="V21" s="63"/>
      <c r="W21" s="63"/>
    </row>
    <row r="22" spans="1:23" x14ac:dyDescent="0.2">
      <c r="A22" s="45" t="s">
        <v>10</v>
      </c>
      <c r="B22" s="46">
        <f t="shared" ca="1" si="3"/>
        <v>20</v>
      </c>
      <c r="C22" s="1">
        <f>IF(ISERROR(D22),"",IF(D22="","",MAX($C$12:C21)+1))</f>
        <v>10</v>
      </c>
      <c r="D22" t="str">
        <f t="shared" si="4"/>
        <v xml:space="preserve">Consol. Edison                </v>
      </c>
      <c r="E22" s="15"/>
      <c r="F22" s="80">
        <f t="shared" ca="1" si="7"/>
        <v>6.1844679641338288E-2</v>
      </c>
      <c r="G22" s="80">
        <f t="shared" si="5"/>
        <v>5.5533980582524269E-2</v>
      </c>
      <c r="H22" s="80">
        <f ca="1">IFERROR(VLOOKUP($A22,LASTYR,'2017'!$N$3,FALSE),"N/A")</f>
        <v>5.5494118829797927E-2</v>
      </c>
      <c r="I22" s="80">
        <f t="shared" ca="1" si="6"/>
        <v>5.7168454958510216E-2</v>
      </c>
      <c r="J22" s="80">
        <f t="shared" ca="1" si="6"/>
        <v>5.8366632245319447E-2</v>
      </c>
      <c r="K22" s="80">
        <f t="shared" ca="1" si="6"/>
        <v>5.8686539357242669E-2</v>
      </c>
      <c r="L22" s="80">
        <f t="shared" ca="1" si="6"/>
        <v>5.8837598660607504E-2</v>
      </c>
      <c r="M22" s="80">
        <f t="shared" ca="1" si="6"/>
        <v>5.9714751024033945E-2</v>
      </c>
      <c r="N22" s="80">
        <f t="shared" ca="1" si="6"/>
        <v>6.1465963222865336E-2</v>
      </c>
      <c r="O22" s="80">
        <f t="shared" ca="1" si="6"/>
        <v>6.2747165831795404E-2</v>
      </c>
      <c r="P22" s="80">
        <f t="shared" ca="1" si="6"/>
        <v>6.4733795978824366E-2</v>
      </c>
      <c r="Q22" s="80">
        <f t="shared" ca="1" si="6"/>
        <v>6.6045723962743441E-2</v>
      </c>
      <c r="R22" s="80">
        <f t="shared" ca="1" si="6"/>
        <v>7.1204959793751146E-2</v>
      </c>
      <c r="S22" s="80">
        <f t="shared" ca="1" si="6"/>
        <v>7.3981150889382091E-2</v>
      </c>
      <c r="T22" s="63"/>
      <c r="U22" s="63"/>
      <c r="V22" s="63"/>
      <c r="W22" s="63"/>
    </row>
    <row r="23" spans="1:23" x14ac:dyDescent="0.2">
      <c r="A23" s="45" t="s">
        <v>11</v>
      </c>
      <c r="B23" s="46">
        <f t="shared" ca="1" si="3"/>
        <v>22</v>
      </c>
      <c r="C23" s="1">
        <f>IF(ISERROR(D23),"",IF(D23="","",MAX($C$12:C22)+1))</f>
        <v>11</v>
      </c>
      <c r="D23" t="str">
        <f t="shared" si="4"/>
        <v xml:space="preserve">Dominion Resources            </v>
      </c>
      <c r="E23" s="15"/>
      <c r="F23" s="80">
        <f t="shared" ca="1" si="7"/>
        <v>0.10430686484591251</v>
      </c>
      <c r="G23" s="80">
        <f t="shared" si="5"/>
        <v>0.11457975986277873</v>
      </c>
      <c r="H23" s="80">
        <f ca="1">IFERROR(VLOOKUP($A23,LASTYR,'2017'!$N$3,FALSE),"N/A")</f>
        <v>0.11412777798668823</v>
      </c>
      <c r="I23" s="80">
        <f t="shared" ca="1" si="6"/>
        <v>0.12035763411279229</v>
      </c>
      <c r="J23" s="80">
        <f t="shared" ca="1" si="6"/>
        <v>0.12195121951219512</v>
      </c>
      <c r="K23" s="80">
        <f t="shared" ca="1" si="6"/>
        <v>0.12156823016918245</v>
      </c>
      <c r="L23" s="80">
        <f t="shared" ca="1" si="6"/>
        <v>0.11238199890115379</v>
      </c>
      <c r="M23" s="80">
        <f t="shared" ca="1" si="6"/>
        <v>0.11502398604448319</v>
      </c>
      <c r="N23" s="80">
        <f t="shared" ca="1" si="6"/>
        <v>9.8053854959932296E-2</v>
      </c>
      <c r="O23" s="80">
        <f t="shared" ca="1" si="6"/>
        <v>8.8594113090627424E-2</v>
      </c>
      <c r="P23" s="80">
        <f t="shared" ca="1" si="6"/>
        <v>9.3783494105037515E-2</v>
      </c>
      <c r="Q23" s="80">
        <f t="shared" ca="1" si="6"/>
        <v>9.1440476879449048E-2</v>
      </c>
      <c r="R23" s="80">
        <f t="shared" ca="1" si="6"/>
        <v>8.9532102777948125E-2</v>
      </c>
      <c r="S23" s="80">
        <f t="shared" ca="1" si="6"/>
        <v>7.4594594594594582E-2</v>
      </c>
      <c r="T23" s="63"/>
      <c r="U23" s="63"/>
      <c r="V23" s="63"/>
      <c r="W23" s="63"/>
    </row>
    <row r="24" spans="1:23" x14ac:dyDescent="0.2">
      <c r="A24" s="45" t="s">
        <v>12</v>
      </c>
      <c r="B24" s="46">
        <f t="shared" ca="1" si="3"/>
        <v>23</v>
      </c>
      <c r="C24" s="1">
        <f>IF(ISERROR(D24),"",IF(D24="","",MAX($C$12:C23)+1))</f>
        <v>12</v>
      </c>
      <c r="D24" t="str">
        <f t="shared" si="4"/>
        <v xml:space="preserve">DTE Energy                    </v>
      </c>
      <c r="E24" s="15"/>
      <c r="F24" s="80">
        <f t="shared" ca="1" si="7"/>
        <v>5.8797620905717871E-2</v>
      </c>
      <c r="G24" s="80">
        <f t="shared" si="5"/>
        <v>6.3879003558718853E-2</v>
      </c>
      <c r="H24" s="80">
        <f ca="1">IFERROR(VLOOKUP($A24,LASTYR,'2017'!$N$3,FALSE),"N/A")</f>
        <v>6.3366336633663367E-2</v>
      </c>
      <c r="I24" s="80">
        <f t="shared" ca="1" si="6"/>
        <v>6.0933112965212366E-2</v>
      </c>
      <c r="J24" s="80">
        <f t="shared" ca="1" si="6"/>
        <v>5.8105039179982401E-2</v>
      </c>
      <c r="K24" s="80">
        <f t="shared" ca="1" si="6"/>
        <v>5.7175650399591903E-2</v>
      </c>
      <c r="L24" s="80">
        <f t="shared" ca="1" si="6"/>
        <v>5.7904267924612667E-2</v>
      </c>
      <c r="M24" s="80">
        <f t="shared" ca="1" si="6"/>
        <v>5.6569812291077388E-2</v>
      </c>
      <c r="N24" s="80">
        <f t="shared" ca="1" si="6"/>
        <v>5.6021056190085239E-2</v>
      </c>
      <c r="O24" s="80">
        <f t="shared" ca="1" si="6"/>
        <v>5.4946439823566486E-2</v>
      </c>
      <c r="P24" s="80">
        <f t="shared" ca="1" si="6"/>
        <v>5.5854146906944881E-2</v>
      </c>
      <c r="Q24" s="80">
        <f t="shared" ca="1" si="6"/>
        <v>5.7647858599592122E-2</v>
      </c>
      <c r="R24" s="80">
        <f t="shared" ca="1" si="6"/>
        <v>5.9123741528850714E-2</v>
      </c>
      <c r="S24" s="80">
        <f t="shared" ca="1" si="6"/>
        <v>6.2842605772434057E-2</v>
      </c>
      <c r="T24" s="63"/>
      <c r="U24" s="63"/>
      <c r="V24" s="63"/>
      <c r="W24" s="63"/>
    </row>
    <row r="25" spans="1:23" x14ac:dyDescent="0.2">
      <c r="A25" s="45" t="s">
        <v>13</v>
      </c>
      <c r="B25" s="46">
        <f t="shared" ca="1" si="3"/>
        <v>24</v>
      </c>
      <c r="C25" s="1">
        <f>IF(ISERROR(D25),"",IF(D25="","",MAX($C$12:C24)+1))</f>
        <v>13</v>
      </c>
      <c r="D25" t="str">
        <f t="shared" si="4"/>
        <v xml:space="preserve">Duke Energy                   </v>
      </c>
      <c r="E25" s="15"/>
      <c r="F25" s="80">
        <f t="shared" ca="1" si="7"/>
        <v>5.1473313539855264E-2</v>
      </c>
      <c r="G25" s="80">
        <f t="shared" si="5"/>
        <v>6.011560693641619E-2</v>
      </c>
      <c r="H25" s="80">
        <f ca="1">IFERROR(VLOOKUP($A25,LASTYR,'2017'!$N$3,FALSE),"N/A")</f>
        <v>5.8530531470642494E-2</v>
      </c>
      <c r="I25" s="80">
        <f t="shared" ca="1" si="6"/>
        <v>5.7319299203329975E-2</v>
      </c>
      <c r="J25" s="80">
        <f t="shared" ca="1" si="6"/>
        <v>5.6110697400550719E-2</v>
      </c>
      <c r="K25" s="80">
        <f t="shared" ca="1" si="6"/>
        <v>5.4484130415982011E-2</v>
      </c>
      <c r="L25" s="80">
        <f t="shared" ca="1" si="6"/>
        <v>5.2783519242923765E-2</v>
      </c>
      <c r="M25" s="80">
        <f t="shared" ca="1" si="6"/>
        <v>5.220177796154641E-2</v>
      </c>
      <c r="N25" s="80">
        <f t="shared" ca="1" si="6"/>
        <v>5.8075870160344156E-2</v>
      </c>
      <c r="O25" s="80">
        <f t="shared" ca="1" si="6"/>
        <v>5.7232766250368772E-2</v>
      </c>
      <c r="P25" s="80">
        <f t="shared" ca="1" si="6"/>
        <v>5.6567439621278984E-2</v>
      </c>
      <c r="Q25" s="80">
        <f t="shared" ca="1" si="6"/>
        <v>5.4539945460054542E-2</v>
      </c>
      <c r="R25" s="80">
        <f t="shared" ca="1" si="6"/>
        <v>5.1191491894680453E-2</v>
      </c>
      <c r="S25" s="80">
        <f t="shared" ca="1" si="6"/>
        <v>0</v>
      </c>
      <c r="T25" s="63"/>
      <c r="U25" s="63"/>
      <c r="V25" s="63"/>
      <c r="W25" s="63"/>
    </row>
    <row r="26" spans="1:23" x14ac:dyDescent="0.2">
      <c r="A26" s="45" t="s">
        <v>14</v>
      </c>
      <c r="B26" s="46">
        <f t="shared" ca="1" si="3"/>
        <v>25</v>
      </c>
      <c r="C26" s="1">
        <f>IF(ISERROR(D26),"",IF(D26="","",MAX($C$12:C25)+1))</f>
        <v>14</v>
      </c>
      <c r="D26" t="str">
        <f t="shared" si="4"/>
        <v xml:space="preserve">Edison Int'l                  </v>
      </c>
      <c r="E26" s="15"/>
      <c r="F26" s="80">
        <f t="shared" ca="1" si="7"/>
        <v>4.7845070263741699E-2</v>
      </c>
      <c r="G26" s="80">
        <f t="shared" si="5"/>
        <v>6.621621621621622E-2</v>
      </c>
      <c r="H26" s="80">
        <f ca="1">IFERROR(VLOOKUP($A26,LASTYR,'2017'!$N$3,FALSE),"N/A")</f>
        <v>6.2337734848273367E-2</v>
      </c>
      <c r="I26" s="80">
        <f t="shared" ca="1" si="6"/>
        <v>5.3858062413427846E-2</v>
      </c>
      <c r="J26" s="80">
        <f t="shared" ca="1" si="6"/>
        <v>4.9668969075119661E-2</v>
      </c>
      <c r="K26" s="80">
        <f t="shared" ca="1" si="6"/>
        <v>4.4085733820862685E-2</v>
      </c>
      <c r="L26" s="80">
        <f t="shared" ca="1" si="6"/>
        <v>4.4849518064389228E-2</v>
      </c>
      <c r="M26" s="80">
        <f t="shared" ca="1" si="6"/>
        <v>4.5355625410204145E-2</v>
      </c>
      <c r="N26" s="80">
        <f t="shared" ca="1" si="6"/>
        <v>4.1638313729302351E-2</v>
      </c>
      <c r="O26" s="80">
        <f t="shared" ca="1" si="6"/>
        <v>3.899266383083657E-2</v>
      </c>
      <c r="P26" s="80">
        <f t="shared" ca="1" si="6"/>
        <v>4.1218341334216195E-2</v>
      </c>
      <c r="Q26" s="80">
        <f t="shared" ca="1" si="6"/>
        <v>4.193769257103732E-2</v>
      </c>
      <c r="R26" s="80">
        <f t="shared" ca="1" si="6"/>
        <v>4.5337037465756069E-2</v>
      </c>
      <c r="S26" s="80">
        <f t="shared" ca="1" si="6"/>
        <v>4.6490004649000466E-2</v>
      </c>
      <c r="T26" s="63"/>
      <c r="U26" s="63"/>
      <c r="V26" s="63"/>
      <c r="W26" s="63"/>
    </row>
    <row r="27" spans="1:23" x14ac:dyDescent="0.2">
      <c r="A27" s="45" t="s">
        <v>15</v>
      </c>
      <c r="B27" s="46">
        <f t="shared" ca="1" si="3"/>
        <v>26</v>
      </c>
      <c r="C27" s="1">
        <f>IF(ISERROR(D27),"",IF(D27="","",MAX($C$12:C26)+1))</f>
        <v>15</v>
      </c>
      <c r="D27" t="str">
        <f t="shared" si="4"/>
        <v xml:space="preserve">El Paso Electric              </v>
      </c>
      <c r="E27" s="15"/>
      <c r="F27" s="80">
        <f t="shared" ca="1" si="7"/>
        <v>2.7652140863504499E-2</v>
      </c>
      <c r="G27" s="80">
        <f t="shared" si="5"/>
        <v>4.8464163822525594E-2</v>
      </c>
      <c r="H27" s="80">
        <f ca="1">IFERROR(VLOOKUP($A27,LASTYR,'2017'!$N$3,FALSE),"N/A")</f>
        <v>4.67256511388267E-2</v>
      </c>
      <c r="I27" s="80">
        <f t="shared" ca="1" si="6"/>
        <v>4.6196779424520121E-2</v>
      </c>
      <c r="J27" s="80">
        <f t="shared" ca="1" si="6"/>
        <v>4.6349711557589018E-2</v>
      </c>
      <c r="K27" s="80">
        <f t="shared" ca="1" si="6"/>
        <v>4.5307310672844318E-2</v>
      </c>
      <c r="L27" s="80">
        <f t="shared" ca="1" si="6"/>
        <v>4.4581911262798632E-2</v>
      </c>
      <c r="M27" s="80">
        <f t="shared" ca="1" si="6"/>
        <v>4.7162930908737292E-2</v>
      </c>
      <c r="N27" s="80">
        <f t="shared" ca="1" si="6"/>
        <v>3.468937243771681E-2</v>
      </c>
      <c r="O27" s="80">
        <f t="shared" ca="1" si="6"/>
        <v>0</v>
      </c>
      <c r="P27" s="80">
        <f t="shared" ca="1" si="6"/>
        <v>0</v>
      </c>
      <c r="Q27" s="80">
        <f t="shared" ca="1" si="6"/>
        <v>0</v>
      </c>
      <c r="R27" s="80">
        <f t="shared" ca="1" si="6"/>
        <v>0</v>
      </c>
      <c r="S27" s="80">
        <f t="shared" ca="1" si="6"/>
        <v>0</v>
      </c>
      <c r="T27" s="63"/>
      <c r="U27" s="63"/>
      <c r="V27" s="63"/>
      <c r="W27" s="63"/>
    </row>
    <row r="28" spans="1:23" x14ac:dyDescent="0.2">
      <c r="A28" s="45" t="s">
        <v>17</v>
      </c>
      <c r="B28" s="46">
        <f t="shared" ca="1" si="3"/>
        <v>28</v>
      </c>
      <c r="C28" s="1">
        <f>IF(ISERROR(D28),"",IF(D28="","",MAX($C$12:C27)+1))</f>
        <v>16</v>
      </c>
      <c r="D28" t="str">
        <f t="shared" si="4"/>
        <v xml:space="preserve">Entergy Corp.                 </v>
      </c>
      <c r="E28" s="15"/>
      <c r="F28" s="80">
        <f t="shared" ca="1" si="7"/>
        <v>6.6835512758889395E-2</v>
      </c>
      <c r="G28" s="80">
        <f t="shared" si="5"/>
        <v>7.707212055974165E-2</v>
      </c>
      <c r="H28" s="80">
        <f ca="1">IFERROR(VLOOKUP($A28,LASTYR,'2017'!$N$3,FALSE),"N/A")</f>
        <v>7.904959797633028E-2</v>
      </c>
      <c r="I28" s="80">
        <f t="shared" ca="1" si="6"/>
        <v>7.580291242768801E-2</v>
      </c>
      <c r="J28" s="80">
        <f t="shared" ca="1" si="6"/>
        <v>6.4365689618623656E-2</v>
      </c>
      <c r="K28" s="80">
        <f t="shared" ca="1" si="6"/>
        <v>5.9461976573414045E-2</v>
      </c>
      <c r="L28" s="80">
        <f t="shared" ca="1" si="6"/>
        <v>6.1479204473908367E-2</v>
      </c>
      <c r="M28" s="80">
        <f t="shared" ca="1" si="6"/>
        <v>6.4185596906718212E-2</v>
      </c>
      <c r="N28" s="80">
        <f t="shared" ca="1" si="6"/>
        <v>6.5336324634943127E-2</v>
      </c>
      <c r="O28" s="80">
        <f t="shared" ca="1" si="6"/>
        <v>6.8163170849725452E-2</v>
      </c>
      <c r="P28" s="80">
        <f t="shared" ca="1" si="6"/>
        <v>6.5868920847513446E-2</v>
      </c>
      <c r="Q28" s="80">
        <f t="shared" ca="1" si="6"/>
        <v>7.1308026906895486E-2</v>
      </c>
      <c r="R28" s="80">
        <f t="shared" ca="1" si="6"/>
        <v>6.3368865746426292E-2</v>
      </c>
      <c r="S28" s="80">
        <f t="shared" ca="1" si="6"/>
        <v>5.3399258343634119E-2</v>
      </c>
      <c r="T28" s="63"/>
      <c r="U28" s="63"/>
      <c r="V28" s="63"/>
      <c r="W28" s="63"/>
    </row>
    <row r="29" spans="1:23" x14ac:dyDescent="0.2">
      <c r="A29" s="45" t="s">
        <v>211</v>
      </c>
      <c r="B29" s="46">
        <f t="shared" ca="1" si="3"/>
        <v>29</v>
      </c>
      <c r="C29" s="1">
        <f>IF(ISERROR(D29),"",IF(D29="","",MAX($C$12:C28)+1))</f>
        <v>17</v>
      </c>
      <c r="D29" t="str">
        <f t="shared" si="4"/>
        <v xml:space="preserve">Eversource Energy    </v>
      </c>
      <c r="E29" s="15"/>
      <c r="F29" s="80">
        <f t="shared" ca="1" si="7"/>
        <v>4.796680651514728E-2</v>
      </c>
      <c r="G29" s="80">
        <f t="shared" si="5"/>
        <v>5.5724137931034486E-2</v>
      </c>
      <c r="H29" s="80">
        <f ca="1">IFERROR(VLOOKUP($A29,LASTYR,'2017'!$N$3,FALSE),"N/A")</f>
        <v>5.4308989566957268E-2</v>
      </c>
      <c r="I29" s="80">
        <f t="shared" ref="I29:I58" ca="1" si="8">IFERROR(INDEX(DIV_BV_WP,$B29,I$12),"N/A")</f>
        <v>5.2658048102239452E-2</v>
      </c>
      <c r="J29" s="80">
        <f t="shared" ref="J29:S45" ca="1" si="9">IFERROR(INDEX(DIV_BV_WP,$B29,J$12),"N/A")</f>
        <v>5.1168918711891408E-2</v>
      </c>
      <c r="K29" s="80">
        <f t="shared" ca="1" si="9"/>
        <v>4.988244265107708E-2</v>
      </c>
      <c r="L29" s="80">
        <f t="shared" ca="1" si="9"/>
        <v>4.8218854556189725E-2</v>
      </c>
      <c r="M29" s="80">
        <f t="shared" ca="1" si="9"/>
        <v>4.4879640962872301E-2</v>
      </c>
      <c r="N29" s="80">
        <f t="shared" ca="1" si="9"/>
        <v>4.8565121412803537E-2</v>
      </c>
      <c r="O29" s="80">
        <f t="shared" ca="1" si="9"/>
        <v>4.7455900736145189E-2</v>
      </c>
      <c r="P29" s="80">
        <f t="shared" ca="1" si="9"/>
        <v>4.6630344082854755E-2</v>
      </c>
      <c r="Q29" s="80">
        <f t="shared" ca="1" si="9"/>
        <v>4.2565266742338244E-2</v>
      </c>
      <c r="R29" s="80">
        <f t="shared" ca="1" si="9"/>
        <v>4.1550503967402959E-2</v>
      </c>
      <c r="S29" s="80">
        <f t="shared" ca="1" si="9"/>
        <v>3.9960315273108081E-2</v>
      </c>
      <c r="T29" s="63"/>
      <c r="U29" s="63"/>
      <c r="V29" s="63"/>
      <c r="W29" s="63"/>
    </row>
    <row r="30" spans="1:23" x14ac:dyDescent="0.2">
      <c r="A30" s="45" t="s">
        <v>487</v>
      </c>
      <c r="B30" s="46">
        <f t="shared" ref="B30:B31" ca="1" si="10">IFERROR(MATCH(A30,OFFSET(DIV_BV_WP,0,0,,1),0),"")</f>
        <v>30</v>
      </c>
      <c r="C30" s="1">
        <f>IF(ISERROR(D30),"",IF(D30="","",MAX($C$12:C29)+1))</f>
        <v>18</v>
      </c>
      <c r="D30" t="str">
        <f t="shared" si="4"/>
        <v>Evergy, Inc.</v>
      </c>
      <c r="E30" s="15"/>
      <c r="F30" s="80">
        <f t="shared" ca="1" si="7"/>
        <v>4.9856733524355303E-2</v>
      </c>
      <c r="G30" s="80">
        <f t="shared" si="5"/>
        <v>4.9856733524355303E-2</v>
      </c>
      <c r="H30" s="80" t="str">
        <f ca="1">IFERROR(VLOOKUP($A30,LASTYR,'2017'!$N$3,FALSE),"N/A")</f>
        <v>N/A</v>
      </c>
      <c r="I30" s="80" t="str">
        <f ca="1">IFERROR(VLOOKUP($A30,LASTYR,'2017'!$N$3,FALSE),"N/A")</f>
        <v>N/A</v>
      </c>
      <c r="J30" s="80" t="str">
        <f ca="1">IFERROR(VLOOKUP($A30,LASTYR,'2017'!$N$3,FALSE),"N/A")</f>
        <v>N/A</v>
      </c>
      <c r="K30" s="80" t="str">
        <f ca="1">IFERROR(VLOOKUP($A30,LASTYR,'2017'!$N$3,FALSE),"N/A")</f>
        <v>N/A</v>
      </c>
      <c r="L30" s="80" t="str">
        <f ca="1">IFERROR(VLOOKUP($A30,LASTYR,'2017'!$N$3,FALSE),"N/A")</f>
        <v>N/A</v>
      </c>
      <c r="M30" s="80" t="str">
        <f ca="1">IFERROR(VLOOKUP($A30,LASTYR,'2017'!$N$3,FALSE),"N/A")</f>
        <v>N/A</v>
      </c>
      <c r="N30" s="80" t="str">
        <f ca="1">IFERROR(VLOOKUP($A30,LASTYR,'2017'!$N$3,FALSE),"N/A")</f>
        <v>N/A</v>
      </c>
      <c r="O30" s="80" t="str">
        <f ca="1">IFERROR(VLOOKUP($A30,LASTYR,'2017'!$N$3,FALSE),"N/A")</f>
        <v>N/A</v>
      </c>
      <c r="P30" s="80" t="str">
        <f ca="1">IFERROR(VLOOKUP($A30,LASTYR,'2017'!$N$3,FALSE),"N/A")</f>
        <v>N/A</v>
      </c>
      <c r="Q30" s="80" t="str">
        <f ca="1">IFERROR(VLOOKUP($A30,LASTYR,'2017'!$N$3,FALSE),"N/A")</f>
        <v>N/A</v>
      </c>
      <c r="R30" s="80" t="str">
        <f ca="1">IFERROR(VLOOKUP($A30,LASTYR,'2017'!$N$3,FALSE),"N/A")</f>
        <v>N/A</v>
      </c>
      <c r="S30" s="80" t="str">
        <f ca="1">IFERROR(VLOOKUP($A30,LASTYR,'2017'!$N$3,FALSE),"N/A")</f>
        <v>N/A</v>
      </c>
      <c r="T30" s="63"/>
      <c r="U30" s="63"/>
      <c r="V30" s="63"/>
      <c r="W30" s="63"/>
    </row>
    <row r="31" spans="1:23" x14ac:dyDescent="0.2">
      <c r="A31" s="45" t="s">
        <v>18</v>
      </c>
      <c r="B31" s="46">
        <f t="shared" ca="1" si="10"/>
        <v>31</v>
      </c>
      <c r="C31" s="1">
        <f>IF(ISERROR(D31),"",IF(D31="","",MAX($C$12:C30)+1))</f>
        <v>19</v>
      </c>
      <c r="D31" t="str">
        <f t="shared" si="4"/>
        <v xml:space="preserve">Exelon Corp.                  </v>
      </c>
      <c r="E31" s="15"/>
      <c r="F31" s="80">
        <f t="shared" ca="1" si="7"/>
        <v>7.8473978292678118E-2</v>
      </c>
      <c r="G31" s="80">
        <f t="shared" si="5"/>
        <v>4.2923794712286155E-2</v>
      </c>
      <c r="H31" s="80">
        <f ca="1">IFERROR(VLOOKUP($A31,LASTYR,'2017'!$N$3,FALSE),"N/A")</f>
        <v>4.2267608814893692E-2</v>
      </c>
      <c r="I31" s="80">
        <f t="shared" ca="1" si="8"/>
        <v>4.5062765995493727E-2</v>
      </c>
      <c r="J31" s="80">
        <f t="shared" ca="1" si="9"/>
        <v>4.4225693701405236E-2</v>
      </c>
      <c r="K31" s="80">
        <f t="shared" ca="1" si="9"/>
        <v>4.7160841288555889E-2</v>
      </c>
      <c r="L31" s="80">
        <f t="shared" ca="1" si="9"/>
        <v>5.4872529793332334E-2</v>
      </c>
      <c r="M31" s="80">
        <f t="shared" ca="1" si="9"/>
        <v>8.3758774728781113E-2</v>
      </c>
      <c r="N31" s="80">
        <f t="shared" ca="1" si="9"/>
        <v>9.6841134424717562E-2</v>
      </c>
      <c r="O31" s="80">
        <f t="shared" ca="1" si="9"/>
        <v>0.10249902381882078</v>
      </c>
      <c r="P31" s="80">
        <f t="shared" ca="1" si="9"/>
        <v>0.10960906101571065</v>
      </c>
      <c r="Q31" s="80">
        <f t="shared" ca="1" si="9"/>
        <v>0.12213285671730711</v>
      </c>
      <c r="R31" s="80">
        <f t="shared" ca="1" si="9"/>
        <v>0.11865180259469327</v>
      </c>
      <c r="S31" s="80">
        <f t="shared" ca="1" si="9"/>
        <v>0.11015583019881783</v>
      </c>
      <c r="T31" s="63"/>
      <c r="U31" s="63"/>
      <c r="V31" s="63"/>
      <c r="W31" s="63"/>
    </row>
    <row r="32" spans="1:23" x14ac:dyDescent="0.2">
      <c r="A32" s="45" t="s">
        <v>19</v>
      </c>
      <c r="B32" s="46">
        <f t="shared" ref="B32:B58" ca="1" si="11">IFERROR(MATCH(A32,OFFSET(DIV_BV_WP,0,0,,1),0),"")</f>
        <v>32</v>
      </c>
      <c r="C32" s="1">
        <f>IF(ISERROR(D32),"",IF(D32="","",MAX($C$12:C31)+1))</f>
        <v>20</v>
      </c>
      <c r="D32" t="str">
        <f t="shared" si="4"/>
        <v xml:space="preserve">FirstEnergy Corp.             </v>
      </c>
      <c r="E32" s="15"/>
      <c r="F32" s="80">
        <f t="shared" ca="1" si="7"/>
        <v>8.1018917722601433E-2</v>
      </c>
      <c r="G32" s="80">
        <f t="shared" si="5"/>
        <v>0.12307692307692308</v>
      </c>
      <c r="H32" s="80">
        <f ca="1">IFERROR(VLOOKUP($A32,LASTYR,'2017'!$N$3,FALSE),"N/A")</f>
        <v>0.16337644656228725</v>
      </c>
      <c r="I32" s="80">
        <f t="shared" ca="1" si="8"/>
        <v>0.10206251328938974</v>
      </c>
      <c r="J32" s="80">
        <f t="shared" ca="1" si="9"/>
        <v>4.9104859335038366E-2</v>
      </c>
      <c r="K32" s="80">
        <f t="shared" ca="1" si="9"/>
        <v>4.8823489523292872E-2</v>
      </c>
      <c r="L32" s="80">
        <f t="shared" ca="1" si="9"/>
        <v>5.4423114981199283E-2</v>
      </c>
      <c r="M32" s="80">
        <f t="shared" ca="1" si="9"/>
        <v>7.0321240210963726E-2</v>
      </c>
      <c r="N32" s="80">
        <f t="shared" ca="1" si="9"/>
        <v>6.9282610064873726E-2</v>
      </c>
      <c r="O32" s="80">
        <f t="shared" ca="1" si="9"/>
        <v>7.8481735159817365E-2</v>
      </c>
      <c r="P32" s="80">
        <f t="shared" ca="1" si="9"/>
        <v>7.8355949709726827E-2</v>
      </c>
      <c r="Q32" s="80">
        <f t="shared" ca="1" si="9"/>
        <v>8.0965699985278972E-2</v>
      </c>
      <c r="R32" s="80">
        <f t="shared" ca="1" si="9"/>
        <v>6.96118713708445E-2</v>
      </c>
      <c r="S32" s="80">
        <f t="shared" ca="1" si="9"/>
        <v>6.535947712418301E-2</v>
      </c>
      <c r="T32" s="63"/>
      <c r="U32" s="63"/>
      <c r="V32" s="63"/>
      <c r="W32" s="63"/>
    </row>
    <row r="33" spans="1:23" x14ac:dyDescent="0.2">
      <c r="A33" s="45" t="s">
        <v>266</v>
      </c>
      <c r="B33" s="46">
        <f t="shared" ca="1" si="11"/>
        <v>33</v>
      </c>
      <c r="C33" s="1">
        <f>IF(ISERROR(D33),"",IF(D33="","",MAX($C$12:C32)+1))</f>
        <v>21</v>
      </c>
      <c r="D33" t="str">
        <f t="shared" si="4"/>
        <v>Fortis Inc.</v>
      </c>
      <c r="E33" s="15"/>
      <c r="F33" s="80">
        <f t="shared" ca="1" si="7"/>
        <v>5.3811577115056901E-2</v>
      </c>
      <c r="G33" s="80">
        <f t="shared" si="5"/>
        <v>5.2238805970149252E-2</v>
      </c>
      <c r="H33" s="80">
        <f ca="1">IFERROR(VLOOKUP($A33,LASTYR,'2017'!$N$3,FALSE),"N/A")</f>
        <v>5.1929250330458865E-2</v>
      </c>
      <c r="I33" s="80">
        <f t="shared" ca="1" si="8"/>
        <v>4.796534117282996E-2</v>
      </c>
      <c r="J33" s="80">
        <f t="shared" ca="1" si="9"/>
        <v>4.9954586739327879E-2</v>
      </c>
      <c r="K33" s="80">
        <f t="shared" ca="1" si="9"/>
        <v>5.2219321148825069E-2</v>
      </c>
      <c r="L33" s="80">
        <f t="shared" ca="1" si="9"/>
        <v>5.5838470472616815E-2</v>
      </c>
      <c r="M33" s="80">
        <f t="shared" ca="1" si="9"/>
        <v>5.8064206535822262E-2</v>
      </c>
      <c r="N33" s="80">
        <f t="shared" ca="1" si="9"/>
        <v>5.6984219754529511E-2</v>
      </c>
      <c r="O33" s="80">
        <f t="shared" ca="1" si="9"/>
        <v>5.9099783652577703E-2</v>
      </c>
      <c r="P33" s="80">
        <f t="shared" ca="1" si="9"/>
        <v>5.6007324034681463E-2</v>
      </c>
      <c r="Q33" s="80">
        <f t="shared" ca="1" si="9"/>
        <v>5.5546297839249012E-2</v>
      </c>
      <c r="R33" s="80">
        <f t="shared" ca="1" si="9"/>
        <v>4.9031332217172922E-2</v>
      </c>
      <c r="S33" s="80">
        <f t="shared" ca="1" si="9"/>
        <v>5.4671562627498976E-2</v>
      </c>
      <c r="T33" s="63"/>
      <c r="U33" s="63"/>
      <c r="V33" s="63"/>
      <c r="W33" s="63"/>
    </row>
    <row r="34" spans="1:23" x14ac:dyDescent="0.2">
      <c r="A34" s="45" t="s">
        <v>20</v>
      </c>
      <c r="B34" s="46">
        <f t="shared" ca="1" si="11"/>
        <v>35</v>
      </c>
      <c r="C34" s="1">
        <f>IF(ISERROR(D34),"",IF(D34="","",MAX($C$12:C33)+1))</f>
        <v>22</v>
      </c>
      <c r="D34" t="str">
        <f t="shared" si="4"/>
        <v xml:space="preserve">Great Plains Energy             </v>
      </c>
      <c r="E34" s="15"/>
      <c r="F34" s="80">
        <f t="shared" ca="1" si="7"/>
        <v>5.3094849050262717E-2</v>
      </c>
      <c r="G34" s="80" t="str">
        <f t="shared" si="5"/>
        <v>N/A</v>
      </c>
      <c r="H34" s="80">
        <f ca="1">IFERROR(VLOOKUP($A34,LASTYR,'2017'!$N$3,FALSE),"N/A")</f>
        <v>4.7784535186794097E-2</v>
      </c>
      <c r="I34" s="80">
        <f t="shared" ca="1" si="8"/>
        <v>4.2659010957907077E-2</v>
      </c>
      <c r="J34" s="80">
        <f t="shared" ca="1" si="9"/>
        <v>4.2143490562053965E-2</v>
      </c>
      <c r="K34" s="80">
        <f t="shared" ca="1" si="9"/>
        <v>4.0194308313988479E-2</v>
      </c>
      <c r="L34" s="80">
        <f t="shared" ca="1" si="9"/>
        <v>3.9059386209645275E-2</v>
      </c>
      <c r="M34" s="80">
        <f t="shared" ca="1" si="9"/>
        <v>3.9301310043668124E-2</v>
      </c>
      <c r="N34" s="80">
        <f t="shared" ca="1" si="9"/>
        <v>3.8406697024055927E-2</v>
      </c>
      <c r="O34" s="80">
        <f t="shared" ca="1" si="9"/>
        <v>3.9031272043263579E-2</v>
      </c>
      <c r="P34" s="80">
        <f t="shared" ca="1" si="9"/>
        <v>4.0250230347703801E-2</v>
      </c>
      <c r="Q34" s="80">
        <f t="shared" ca="1" si="9"/>
        <v>7.7613615111277345E-2</v>
      </c>
      <c r="R34" s="80">
        <f t="shared" ca="1" si="9"/>
        <v>9.1299087009129906E-2</v>
      </c>
      <c r="S34" s="80">
        <f t="shared" ca="1" si="9"/>
        <v>9.9395245793665044E-2</v>
      </c>
      <c r="T34" s="63"/>
      <c r="U34" s="63"/>
      <c r="V34" s="63"/>
      <c r="W34" s="63"/>
    </row>
    <row r="35" spans="1:23" x14ac:dyDescent="0.2">
      <c r="A35" s="45" t="s">
        <v>21</v>
      </c>
      <c r="B35" s="46">
        <f t="shared" ca="1" si="11"/>
        <v>36</v>
      </c>
      <c r="C35" s="1">
        <f>IF(ISERROR(D35),"",IF(D35="","",MAX($C$12:C34)+1))</f>
        <v>23</v>
      </c>
      <c r="D35" t="str">
        <f t="shared" si="4"/>
        <v xml:space="preserve">Hawaiian Elec.                </v>
      </c>
      <c r="E35" s="15"/>
      <c r="F35" s="80">
        <f t="shared" ca="1" si="7"/>
        <v>7.4720487952727246E-2</v>
      </c>
      <c r="G35" s="80">
        <f t="shared" si="5"/>
        <v>6.2311557788944726E-2</v>
      </c>
      <c r="H35" s="80">
        <f ca="1">IFERROR(VLOOKUP($A35,LASTYR,'2017'!$N$3,FALSE),"N/A")</f>
        <v>6.4315352697095429E-2</v>
      </c>
      <c r="I35" s="80">
        <f t="shared" ca="1" si="8"/>
        <v>6.5146579804560262E-2</v>
      </c>
      <c r="J35" s="80">
        <f t="shared" ca="1" si="9"/>
        <v>6.912699297580556E-2</v>
      </c>
      <c r="K35" s="80">
        <f t="shared" ca="1" si="9"/>
        <v>7.0995076147944577E-2</v>
      </c>
      <c r="L35" s="80">
        <f t="shared" ca="1" si="9"/>
        <v>7.2701688555347088E-2</v>
      </c>
      <c r="M35" s="80">
        <f t="shared" ca="1" si="9"/>
        <v>7.6185795035635287E-2</v>
      </c>
      <c r="N35" s="80">
        <f t="shared" ca="1" si="9"/>
        <v>7.7738072848097292E-2</v>
      </c>
      <c r="O35" s="80">
        <f t="shared" ca="1" si="9"/>
        <v>7.9142200663773296E-2</v>
      </c>
      <c r="P35" s="80">
        <f t="shared" ca="1" si="9"/>
        <v>7.9579001411885508E-2</v>
      </c>
      <c r="Q35" s="80">
        <f t="shared" ca="1" si="9"/>
        <v>8.0781758957654728E-2</v>
      </c>
      <c r="R35" s="80">
        <f t="shared" ca="1" si="9"/>
        <v>8.111467259763197E-2</v>
      </c>
      <c r="S35" s="80">
        <f t="shared" ca="1" si="9"/>
        <v>9.2227593901078458E-2</v>
      </c>
      <c r="T35" s="63"/>
      <c r="U35" s="63"/>
      <c r="V35" s="63"/>
      <c r="W35" s="63"/>
    </row>
    <row r="36" spans="1:23" x14ac:dyDescent="0.2">
      <c r="A36" s="45" t="s">
        <v>22</v>
      </c>
      <c r="B36" s="46">
        <f t="shared" ca="1" si="11"/>
        <v>37</v>
      </c>
      <c r="C36" s="1">
        <f>IF(ISERROR(D36),"",IF(D36="","",MAX($C$12:C35)+1))</f>
        <v>24</v>
      </c>
      <c r="D36" t="str">
        <f t="shared" si="4"/>
        <v xml:space="preserve">IDACORP, Inc.                 </v>
      </c>
      <c r="E36" s="15"/>
      <c r="F36" s="80">
        <f t="shared" ca="1" si="7"/>
        <v>4.4224694022698352E-2</v>
      </c>
      <c r="G36" s="80">
        <f t="shared" si="5"/>
        <v>5.155746509129968E-2</v>
      </c>
      <c r="H36" s="80">
        <f ca="1">IFERROR(VLOOKUP($A36,LASTYR,'2017'!$N$3,FALSE),"N/A")</f>
        <v>5.0164602602288763E-2</v>
      </c>
      <c r="I36" s="80">
        <f t="shared" ca="1" si="8"/>
        <v>4.8667493390112081E-2</v>
      </c>
      <c r="J36" s="80">
        <f t="shared" ca="1" si="9"/>
        <v>4.6967880819002425E-2</v>
      </c>
      <c r="K36" s="80">
        <f t="shared" ca="1" si="9"/>
        <v>4.5297781438204565E-2</v>
      </c>
      <c r="L36" s="80">
        <f t="shared" ca="1" si="9"/>
        <v>4.2614407469735632E-2</v>
      </c>
      <c r="M36" s="80">
        <f t="shared" ca="1" si="9"/>
        <v>3.9070298017966638E-2</v>
      </c>
      <c r="N36" s="80">
        <f t="shared" ca="1" si="9"/>
        <v>3.6160916076540602E-2</v>
      </c>
      <c r="O36" s="80">
        <f t="shared" ca="1" si="9"/>
        <v>3.8695946599593689E-2</v>
      </c>
      <c r="P36" s="80">
        <f t="shared" ca="1" si="9"/>
        <v>4.1132515253307737E-2</v>
      </c>
      <c r="Q36" s="80">
        <f t="shared" ca="1" si="9"/>
        <v>4.3229222954717386E-2</v>
      </c>
      <c r="R36" s="80">
        <f t="shared" ca="1" si="9"/>
        <v>4.4789489399820838E-2</v>
      </c>
      <c r="S36" s="80">
        <f t="shared" ca="1" si="9"/>
        <v>4.6573003182488554E-2</v>
      </c>
      <c r="T36" s="63"/>
      <c r="U36" s="63"/>
      <c r="V36" s="63"/>
      <c r="W36" s="63"/>
    </row>
    <row r="37" spans="1:23" x14ac:dyDescent="0.2">
      <c r="A37" s="45" t="s">
        <v>25</v>
      </c>
      <c r="B37" s="46">
        <f t="shared" ca="1" si="11"/>
        <v>41</v>
      </c>
      <c r="C37" s="1">
        <f>IF(ISERROR(D37),"",IF(D37="","",MAX($C$12:C36)+1))</f>
        <v>25</v>
      </c>
      <c r="D37" t="str">
        <f t="shared" si="4"/>
        <v xml:space="preserve">MGE Energy                    </v>
      </c>
      <c r="E37" s="15"/>
      <c r="F37" s="80">
        <f t="shared" ca="1" si="7"/>
        <v>6.3400677775633588E-2</v>
      </c>
      <c r="G37" s="80">
        <f t="shared" si="5"/>
        <v>5.605095541401274E-2</v>
      </c>
      <c r="H37" s="80">
        <f ca="1">IFERROR(VLOOKUP($A37,LASTYR,'2017'!$N$3,FALSE),"N/A")</f>
        <v>5.6132222568717423E-2</v>
      </c>
      <c r="I37" s="80">
        <f t="shared" ca="1" si="8"/>
        <v>5.7933544000766064E-2</v>
      </c>
      <c r="J37" s="80">
        <f t="shared" ca="1" si="9"/>
        <v>5.8244627435227951E-2</v>
      </c>
      <c r="K37" s="80">
        <f t="shared" ca="1" si="9"/>
        <v>5.8359621451104106E-2</v>
      </c>
      <c r="L37" s="80">
        <f t="shared" ca="1" si="9"/>
        <v>6.0071861666292387E-2</v>
      </c>
      <c r="M37" s="80">
        <f t="shared" ca="1" si="9"/>
        <v>6.2230732407850646E-2</v>
      </c>
      <c r="N37" s="80">
        <f t="shared" ca="1" si="9"/>
        <v>6.3624921334172427E-2</v>
      </c>
      <c r="O37" s="80">
        <f t="shared" ca="1" si="9"/>
        <v>6.5570522979397777E-2</v>
      </c>
      <c r="P37" s="80">
        <f t="shared" ca="1" si="9"/>
        <v>6.7228632626269602E-2</v>
      </c>
      <c r="Q37" s="80">
        <f t="shared" ca="1" si="9"/>
        <v>6.8688029889351923E-2</v>
      </c>
      <c r="R37" s="80">
        <f t="shared" ca="1" si="9"/>
        <v>7.2363356428021552E-2</v>
      </c>
      <c r="S37" s="80">
        <f t="shared" ca="1" si="9"/>
        <v>7.7709782882052145E-2</v>
      </c>
      <c r="T37" s="63"/>
      <c r="U37" s="63"/>
      <c r="V37" s="63"/>
      <c r="W37" s="63"/>
    </row>
    <row r="38" spans="1:23" x14ac:dyDescent="0.2">
      <c r="A38" s="45" t="s">
        <v>141</v>
      </c>
      <c r="B38" s="46">
        <f t="shared" ca="1" si="11"/>
        <v>44</v>
      </c>
      <c r="C38" s="1">
        <f>IF(ISERROR(D38),"",IF(D38="","",MAX($C$12:C37)+1))</f>
        <v>26</v>
      </c>
      <c r="D38" t="str">
        <f t="shared" si="4"/>
        <v>NextEra Energy, Inc.</v>
      </c>
      <c r="E38" s="15"/>
      <c r="F38" s="80">
        <f t="shared" ca="1" si="7"/>
        <v>6.2855511560090171E-2</v>
      </c>
      <c r="G38" s="80">
        <f t="shared" si="5"/>
        <v>6.4675892206846317E-2</v>
      </c>
      <c r="H38" s="80">
        <f ca="1">IFERROR(VLOOKUP($A38,LASTYR,'2017'!$N$3,FALSE),"N/A")</f>
        <v>6.5620303890465859E-2</v>
      </c>
      <c r="I38" s="80">
        <f t="shared" ca="1" si="8"/>
        <v>6.6908923112418528E-2</v>
      </c>
      <c r="J38" s="80">
        <f t="shared" ca="1" si="9"/>
        <v>6.2899503747421731E-2</v>
      </c>
      <c r="K38" s="80">
        <f t="shared" ca="1" si="9"/>
        <v>6.4506083590986946E-2</v>
      </c>
      <c r="L38" s="80">
        <f t="shared" ca="1" si="9"/>
        <v>6.3658942393479787E-2</v>
      </c>
      <c r="M38" s="80">
        <f t="shared" ca="1" si="9"/>
        <v>6.333122229259025E-2</v>
      </c>
      <c r="N38" s="80">
        <f t="shared" ca="1" si="9"/>
        <v>6.1245510982433679E-2</v>
      </c>
      <c r="O38" s="80">
        <f t="shared" ca="1" si="9"/>
        <v>5.8207217694994179E-2</v>
      </c>
      <c r="P38" s="80">
        <f t="shared" ca="1" si="9"/>
        <v>6.028708133971291E-2</v>
      </c>
      <c r="Q38" s="80">
        <f t="shared" ca="1" si="9"/>
        <v>6.23118392494574E-2</v>
      </c>
      <c r="R38" s="80">
        <f t="shared" ca="1" si="9"/>
        <v>6.2229642559004324E-2</v>
      </c>
      <c r="S38" s="80">
        <f t="shared" ca="1" si="9"/>
        <v>6.1239487221360335E-2</v>
      </c>
      <c r="T38" s="63"/>
      <c r="U38" s="63"/>
      <c r="V38" s="63"/>
      <c r="W38" s="63"/>
    </row>
    <row r="39" spans="1:23" x14ac:dyDescent="0.2">
      <c r="A39" s="45" t="s">
        <v>144</v>
      </c>
      <c r="B39" s="46">
        <f t="shared" ca="1" si="11"/>
        <v>47</v>
      </c>
      <c r="C39" s="1">
        <f>IF(ISERROR(D39),"",IF(D39="","",MAX($C$12:C38)+1))</f>
        <v>27</v>
      </c>
      <c r="D39" t="str">
        <f t="shared" si="4"/>
        <v xml:space="preserve">NorthWestern Corp             </v>
      </c>
      <c r="E39" s="15"/>
      <c r="F39" s="80">
        <f t="shared" ca="1" si="7"/>
        <v>5.8657479758142256E-2</v>
      </c>
      <c r="G39" s="80">
        <f t="shared" si="5"/>
        <v>5.7591623036649213E-2</v>
      </c>
      <c r="H39" s="80">
        <f ca="1">IFERROR(VLOOKUP($A39,LASTYR,'2017'!$N$3,FALSE),"N/A")</f>
        <v>5.7635305741574272E-2</v>
      </c>
      <c r="I39" s="80">
        <f t="shared" ca="1" si="8"/>
        <v>5.7666801222536181E-2</v>
      </c>
      <c r="J39" s="80">
        <f t="shared" ca="1" si="9"/>
        <v>5.7799987958335831E-2</v>
      </c>
      <c r="K39" s="80">
        <f t="shared" ca="1" si="9"/>
        <v>5.0795263341693389E-2</v>
      </c>
      <c r="L39" s="80">
        <f t="shared" ca="1" si="9"/>
        <v>5.7140708995902414E-2</v>
      </c>
      <c r="M39" s="80">
        <f t="shared" ca="1" si="9"/>
        <v>5.8978241810791421E-2</v>
      </c>
      <c r="N39" s="80">
        <f t="shared" ca="1" si="9"/>
        <v>6.0808242895148003E-2</v>
      </c>
      <c r="O39" s="80">
        <f t="shared" ca="1" si="9"/>
        <v>6.0062712538091242E-2</v>
      </c>
      <c r="P39" s="80">
        <f t="shared" ca="1" si="9"/>
        <v>6.1299176578225076E-2</v>
      </c>
      <c r="Q39" s="80">
        <f t="shared" ca="1" si="9"/>
        <v>6.2114724012987621E-2</v>
      </c>
      <c r="R39" s="80">
        <f t="shared" ca="1" si="9"/>
        <v>6.0608930347080828E-2</v>
      </c>
      <c r="S39" s="80">
        <f t="shared" ca="1" si="9"/>
        <v>6.0045518376834049E-2</v>
      </c>
      <c r="T39" s="63"/>
      <c r="U39" s="63"/>
      <c r="V39" s="63"/>
      <c r="W39" s="63"/>
    </row>
    <row r="40" spans="1:23" x14ac:dyDescent="0.2">
      <c r="A40" s="45" t="s">
        <v>27</v>
      </c>
      <c r="B40" s="46">
        <f t="shared" ca="1" si="11"/>
        <v>48</v>
      </c>
      <c r="C40" s="1">
        <f>IF(ISERROR(D40),"",IF(D40="","",MAX($C$12:C39)+1))</f>
        <v>28</v>
      </c>
      <c r="D40" t="str">
        <f t="shared" si="4"/>
        <v xml:space="preserve">OGE Energy                    </v>
      </c>
      <c r="E40" s="15"/>
      <c r="F40" s="80">
        <f t="shared" ca="1" si="7"/>
        <v>6.4996037879313559E-2</v>
      </c>
      <c r="G40" s="80">
        <f t="shared" si="5"/>
        <v>6.9999999999999993E-2</v>
      </c>
      <c r="H40" s="80">
        <f ca="1">IFERROR(VLOOKUP($A40,LASTYR,'2017'!$N$3,FALSE),"N/A")</f>
        <v>6.5857705870151426E-2</v>
      </c>
      <c r="I40" s="80">
        <f t="shared" ca="1" si="8"/>
        <v>6.6975935053638733E-2</v>
      </c>
      <c r="J40" s="80">
        <f t="shared" ca="1" si="9"/>
        <v>6.3044130891624139E-2</v>
      </c>
      <c r="K40" s="80">
        <f t="shared" ca="1" si="9"/>
        <v>5.8386085673898344E-2</v>
      </c>
      <c r="L40" s="80">
        <f t="shared" ca="1" si="9"/>
        <v>5.5620915032679734E-2</v>
      </c>
      <c r="M40" s="80">
        <f t="shared" ca="1" si="9"/>
        <v>5.698371893744645E-2</v>
      </c>
      <c r="N40" s="80">
        <f t="shared" ca="1" si="9"/>
        <v>5.8094144661308841E-2</v>
      </c>
      <c r="O40" s="80">
        <f t="shared" ca="1" si="9"/>
        <v>6.2404092071611253E-2</v>
      </c>
      <c r="P40" s="80">
        <f t="shared" ca="1" si="9"/>
        <v>6.7870722433460082E-2</v>
      </c>
      <c r="Q40" s="80">
        <f t="shared" ca="1" si="9"/>
        <v>6.8914522330671385E-2</v>
      </c>
      <c r="R40" s="80">
        <f t="shared" ca="1" si="9"/>
        <v>7.4713271436373574E-2</v>
      </c>
      <c r="S40" s="80">
        <f t="shared" ca="1" si="9"/>
        <v>7.6083248038212231E-2</v>
      </c>
      <c r="T40" s="63"/>
      <c r="U40" s="63"/>
      <c r="V40" s="63"/>
      <c r="W40" s="63"/>
    </row>
    <row r="41" spans="1:23" x14ac:dyDescent="0.2">
      <c r="A41" s="45" t="s">
        <v>28</v>
      </c>
      <c r="B41" s="46">
        <f t="shared" ca="1" si="11"/>
        <v>50</v>
      </c>
      <c r="C41" s="1">
        <f>IF(ISERROR(D41),"",IF(D41="","",MAX($C$12:C40)+1))</f>
        <v>29</v>
      </c>
      <c r="D41" t="str">
        <f t="shared" si="4"/>
        <v xml:space="preserve">Otter Tail Corp.              </v>
      </c>
      <c r="E41" s="15"/>
      <c r="F41" s="80">
        <f t="shared" ca="1" si="7"/>
        <v>7.2337479812357774E-2</v>
      </c>
      <c r="G41" s="80">
        <f t="shared" si="5"/>
        <v>7.1466666666666664E-2</v>
      </c>
      <c r="H41" s="80">
        <f ca="1">IFERROR(VLOOKUP($A41,LASTYR,'2017'!$N$3,FALSE),"N/A")</f>
        <v>7.2657092581029689E-2</v>
      </c>
      <c r="I41" s="80">
        <f t="shared" ca="1" si="8"/>
        <v>7.3399882560187896E-2</v>
      </c>
      <c r="J41" s="80">
        <f t="shared" ca="1" si="9"/>
        <v>7.6961581779501936E-2</v>
      </c>
      <c r="K41" s="80">
        <f t="shared" ca="1" si="9"/>
        <v>7.8627591136526093E-2</v>
      </c>
      <c r="L41" s="80">
        <f t="shared" ca="1" si="9"/>
        <v>8.0705323838589346E-2</v>
      </c>
      <c r="M41" s="80">
        <f t="shared" ca="1" si="9"/>
        <v>8.2455654101995554E-2</v>
      </c>
      <c r="N41" s="80">
        <f t="shared" ca="1" si="9"/>
        <v>7.5178469897024439E-2</v>
      </c>
      <c r="O41" s="80">
        <f t="shared" ca="1" si="9"/>
        <v>6.7748363222317101E-2</v>
      </c>
      <c r="P41" s="80">
        <f t="shared" ca="1" si="9"/>
        <v>6.3348416289592757E-2</v>
      </c>
      <c r="Q41" s="80">
        <f t="shared" ca="1" si="9"/>
        <v>6.2176707246982599E-2</v>
      </c>
      <c r="R41" s="80">
        <f t="shared" ca="1" si="9"/>
        <v>6.6662868212637463E-2</v>
      </c>
      <c r="S41" s="80">
        <f t="shared" ca="1" si="9"/>
        <v>6.8998620027599433E-2</v>
      </c>
      <c r="T41" s="63"/>
      <c r="U41" s="63"/>
      <c r="V41" s="63"/>
      <c r="W41" s="63"/>
    </row>
    <row r="42" spans="1:23" x14ac:dyDescent="0.2">
      <c r="A42" s="45" t="s">
        <v>30</v>
      </c>
      <c r="B42" s="46">
        <f t="shared" ca="1" si="11"/>
        <v>52</v>
      </c>
      <c r="C42" s="1">
        <f>IF(ISERROR(D42),"",IF(D42="","",MAX($C$12:C41)+1))</f>
        <v>30</v>
      </c>
      <c r="D42" t="str">
        <f t="shared" si="4"/>
        <v xml:space="preserve">PG&amp;E Corp.                    </v>
      </c>
      <c r="E42" s="15"/>
      <c r="F42" s="80">
        <f t="shared" ca="1" si="7"/>
        <v>5.7275393828734616E-2</v>
      </c>
      <c r="G42" s="80" t="str">
        <f t="shared" si="5"/>
        <v>N/A</v>
      </c>
      <c r="H42" s="80">
        <f ca="1">IFERROR(VLOOKUP($A42,LASTYR,'2017'!$N$3,FALSE),"N/A")</f>
        <v>4.1512668059349722E-2</v>
      </c>
      <c r="I42" s="80">
        <f t="shared" ca="1" si="8"/>
        <v>5.4390822784810125E-2</v>
      </c>
      <c r="J42" s="80">
        <f t="shared" ca="1" si="9"/>
        <v>5.4023568523850519E-2</v>
      </c>
      <c r="K42" s="80">
        <f t="shared" ca="1" si="9"/>
        <v>5.5001511030522809E-2</v>
      </c>
      <c r="L42" s="80">
        <f t="shared" ca="1" si="9"/>
        <v>5.7950710055403427E-2</v>
      </c>
      <c r="M42" s="80">
        <f t="shared" ca="1" si="9"/>
        <v>5.9959148711866646E-2</v>
      </c>
      <c r="N42" s="80">
        <f t="shared" ca="1" si="9"/>
        <v>6.2003883759751986E-2</v>
      </c>
      <c r="O42" s="80">
        <f t="shared" ca="1" si="9"/>
        <v>6.3756743501716534E-2</v>
      </c>
      <c r="P42" s="80">
        <f t="shared" ca="1" si="9"/>
        <v>6.0253927264902085E-2</v>
      </c>
      <c r="Q42" s="80">
        <f t="shared" ca="1" si="9"/>
        <v>6.0066997805244313E-2</v>
      </c>
      <c r="R42" s="80">
        <f t="shared" ca="1" si="9"/>
        <v>5.9553349875930521E-2</v>
      </c>
      <c r="S42" s="80">
        <f t="shared" ca="1" si="9"/>
        <v>5.8831394571466772E-2</v>
      </c>
      <c r="T42" s="63"/>
      <c r="U42" s="63"/>
      <c r="V42" s="63"/>
      <c r="W42" s="63"/>
    </row>
    <row r="43" spans="1:23" x14ac:dyDescent="0.2">
      <c r="A43" s="45" t="s">
        <v>31</v>
      </c>
      <c r="B43" s="46">
        <f t="shared" ca="1" si="11"/>
        <v>53</v>
      </c>
      <c r="C43" s="1">
        <f>IF(ISERROR(D43),"",IF(D43="","",MAX($C$12:C42)+1))</f>
        <v>31</v>
      </c>
      <c r="D43" t="str">
        <f t="shared" si="4"/>
        <v xml:space="preserve">Pinnacle West Capital         </v>
      </c>
      <c r="E43" s="15"/>
      <c r="F43" s="80">
        <f t="shared" ca="1" si="7"/>
        <v>6.1371152845907995E-2</v>
      </c>
      <c r="G43" s="80">
        <f t="shared" si="5"/>
        <v>6.1837837837837833E-2</v>
      </c>
      <c r="H43" s="80">
        <f ca="1">IFERROR(VLOOKUP($A43,LASTYR,'2017'!$N$3,FALSE),"N/A")</f>
        <v>6.0265166733627966E-2</v>
      </c>
      <c r="I43" s="80">
        <f t="shared" ca="1" si="8"/>
        <v>5.9334801251593461E-2</v>
      </c>
      <c r="J43" s="80">
        <f t="shared" ca="1" si="9"/>
        <v>5.9074181677319385E-2</v>
      </c>
      <c r="K43" s="80">
        <f t="shared" ca="1" si="9"/>
        <v>5.8862249677207018E-2</v>
      </c>
      <c r="L43" s="80">
        <f t="shared" ca="1" si="9"/>
        <v>5.8446505030339643E-2</v>
      </c>
      <c r="M43" s="80">
        <f t="shared" ca="1" si="9"/>
        <v>7.3754868650037289E-2</v>
      </c>
      <c r="N43" s="80">
        <f t="shared" ca="1" si="9"/>
        <v>6.0027441115938718E-2</v>
      </c>
      <c r="O43" s="80">
        <f t="shared" ca="1" si="9"/>
        <v>6.2012756909992924E-2</v>
      </c>
      <c r="P43" s="80">
        <f t="shared" ca="1" si="9"/>
        <v>6.4235898690811213E-2</v>
      </c>
      <c r="Q43" s="80">
        <f t="shared" ca="1" si="9"/>
        <v>6.1482609204824928E-2</v>
      </c>
      <c r="R43" s="80">
        <f t="shared" ca="1" si="9"/>
        <v>5.9752454118651301E-2</v>
      </c>
      <c r="S43" s="80">
        <f t="shared" ca="1" si="9"/>
        <v>5.8738216098622183E-2</v>
      </c>
      <c r="T43" s="63"/>
      <c r="U43" s="63"/>
      <c r="V43" s="63"/>
      <c r="W43" s="63"/>
    </row>
    <row r="44" spans="1:23" x14ac:dyDescent="0.2">
      <c r="A44" s="45" t="s">
        <v>32</v>
      </c>
      <c r="B44" s="46">
        <f t="shared" ca="1" si="11"/>
        <v>54</v>
      </c>
      <c r="C44" s="1">
        <f>IF(ISERROR(D44),"",IF(D44="","",MAX($C$12:C43)+1))</f>
        <v>32</v>
      </c>
      <c r="D44" t="str">
        <f t="shared" si="4"/>
        <v xml:space="preserve">PNM Resources                 </v>
      </c>
      <c r="E44" s="15"/>
      <c r="F44" s="80">
        <f t="shared" ca="1" si="7"/>
        <v>3.5687273932062183E-2</v>
      </c>
      <c r="G44" s="80">
        <f t="shared" si="5"/>
        <v>4.9090909090909095E-2</v>
      </c>
      <c r="H44" s="80">
        <f ca="1">IFERROR(VLOOKUP($A44,LASTYR,'2017'!$N$3,FALSE),"N/A")</f>
        <v>4.6656956256166893E-2</v>
      </c>
      <c r="I44" s="80">
        <f t="shared" ca="1" si="8"/>
        <v>4.1825095057034224E-2</v>
      </c>
      <c r="J44" s="80">
        <f t="shared" ca="1" si="9"/>
        <v>3.8507821901323708E-2</v>
      </c>
      <c r="K44" s="80">
        <f t="shared" ca="1" si="9"/>
        <v>3.3718904917154215E-2</v>
      </c>
      <c r="L44" s="80">
        <f t="shared" ca="1" si="9"/>
        <v>3.2588900603853159E-2</v>
      </c>
      <c r="M44" s="80">
        <f t="shared" ca="1" si="9"/>
        <v>2.893489648291344E-2</v>
      </c>
      <c r="N44" s="80">
        <f t="shared" ca="1" si="9"/>
        <v>2.5489396411092987E-2</v>
      </c>
      <c r="O44" s="80">
        <f t="shared" ca="1" si="9"/>
        <v>2.8413934193328407E-2</v>
      </c>
      <c r="P44" s="80">
        <f t="shared" ca="1" si="9"/>
        <v>2.6453626792233214E-2</v>
      </c>
      <c r="Q44" s="80">
        <f t="shared" ca="1" si="9"/>
        <v>3.2022442174350289E-2</v>
      </c>
      <c r="R44" s="80">
        <f t="shared" ca="1" si="9"/>
        <v>4.1303558460421205E-2</v>
      </c>
      <c r="S44" s="80">
        <f t="shared" ca="1" si="9"/>
        <v>3.8928118776027525E-2</v>
      </c>
      <c r="T44" s="63"/>
      <c r="U44" s="63"/>
      <c r="V44" s="63"/>
      <c r="W44" s="63"/>
    </row>
    <row r="45" spans="1:23" x14ac:dyDescent="0.2">
      <c r="A45" s="45" t="s">
        <v>33</v>
      </c>
      <c r="B45" s="46">
        <f t="shared" ca="1" si="11"/>
        <v>55</v>
      </c>
      <c r="C45" s="1">
        <f>IF(ISERROR(D45),"",IF(D45="","",MAX($C$12:C44)+1))</f>
        <v>33</v>
      </c>
      <c r="D45" t="str">
        <f t="shared" si="4"/>
        <v xml:space="preserve">Portland General              </v>
      </c>
      <c r="E45" s="15"/>
      <c r="F45" s="80">
        <f t="shared" ca="1" si="7"/>
        <v>4.6460252655564499E-2</v>
      </c>
      <c r="G45" s="80">
        <f t="shared" si="5"/>
        <v>5.1162790697674418E-2</v>
      </c>
      <c r="H45" s="80">
        <f ca="1">IFERROR(VLOOKUP($A45,LASTYR,'2017'!$N$3,FALSE),"N/A")</f>
        <v>4.9426432075541295E-2</v>
      </c>
      <c r="I45" s="80">
        <f t="shared" ca="1" si="8"/>
        <v>4.7812393275907861E-2</v>
      </c>
      <c r="J45" s="80">
        <f t="shared" ca="1" si="9"/>
        <v>4.640188753440818E-2</v>
      </c>
      <c r="K45" s="80">
        <f t="shared" ca="1" si="9"/>
        <v>4.5644342557720645E-2</v>
      </c>
      <c r="L45" s="80">
        <f t="shared" ca="1" si="9"/>
        <v>4.7005795235028972E-2</v>
      </c>
      <c r="M45" s="80">
        <f t="shared" ca="1" si="9"/>
        <v>4.7004809794490593E-2</v>
      </c>
      <c r="N45" s="80">
        <f t="shared" ca="1" si="9"/>
        <v>4.7808945484207187E-2</v>
      </c>
      <c r="O45" s="80">
        <f t="shared" ca="1" si="9"/>
        <v>4.8966267682263323E-2</v>
      </c>
      <c r="P45" s="80">
        <f t="shared" ca="1" si="9"/>
        <v>4.9263486489123015E-2</v>
      </c>
      <c r="Q45" s="80">
        <f t="shared" ca="1" si="9"/>
        <v>4.4828542379147789E-2</v>
      </c>
      <c r="R45" s="80">
        <f t="shared" ca="1" si="9"/>
        <v>4.4188919509645541E-2</v>
      </c>
      <c r="S45" s="80">
        <f t="shared" ca="1" si="9"/>
        <v>3.4468671807179704E-2</v>
      </c>
      <c r="T45" s="63"/>
      <c r="U45" s="63"/>
      <c r="V45" s="63"/>
      <c r="W45" s="63"/>
    </row>
    <row r="46" spans="1:23" x14ac:dyDescent="0.2">
      <c r="A46" s="45" t="s">
        <v>34</v>
      </c>
      <c r="B46" s="46">
        <f t="shared" ca="1" si="11"/>
        <v>56</v>
      </c>
      <c r="C46" s="1">
        <f>IF(ISERROR(D46),"",IF(D46="","",MAX($C$12:C45)+1))</f>
        <v>34</v>
      </c>
      <c r="D46" t="str">
        <f t="shared" si="4"/>
        <v xml:space="preserve">PPL Corp.                     </v>
      </c>
      <c r="E46" s="15"/>
      <c r="F46" s="80">
        <f t="shared" ca="1" si="7"/>
        <v>8.834811142619918E-2</v>
      </c>
      <c r="G46" s="80">
        <f t="shared" si="5"/>
        <v>9.7910447761194022E-2</v>
      </c>
      <c r="H46" s="80">
        <f ca="1">IFERROR(VLOOKUP($A46,LASTYR,'2017'!$N$3,FALSE),"N/A")</f>
        <v>0.10181068367807204</v>
      </c>
      <c r="I46" s="80">
        <f t="shared" ca="1" si="8"/>
        <v>0.10437409874339078</v>
      </c>
      <c r="J46" s="80">
        <f t="shared" ref="J46:S58" ca="1" si="12">IFERROR(INDEX(DIV_BV_WP,$B46,J$12),"N/A")</f>
        <v>0.10190217391304347</v>
      </c>
      <c r="K46" s="80">
        <f t="shared" ca="1" si="12"/>
        <v>7.2800117261933847E-2</v>
      </c>
      <c r="L46" s="80">
        <f t="shared" ca="1" si="12"/>
        <v>7.4328765737978461E-2</v>
      </c>
      <c r="M46" s="80">
        <f t="shared" ca="1" si="12"/>
        <v>7.9960019990004988E-2</v>
      </c>
      <c r="N46" s="80">
        <f t="shared" ca="1" si="12"/>
        <v>7.4786324786324784E-2</v>
      </c>
      <c r="O46" s="80">
        <f t="shared" ca="1" si="12"/>
        <v>8.2430522845030607E-2</v>
      </c>
      <c r="P46" s="80">
        <f t="shared" ca="1" si="12"/>
        <v>9.4708667901997112E-2</v>
      </c>
      <c r="Q46" s="80">
        <f t="shared" ca="1" si="12"/>
        <v>9.8863804043086909E-2</v>
      </c>
      <c r="R46" s="80">
        <f t="shared" ca="1" si="12"/>
        <v>8.1961706415854887E-2</v>
      </c>
      <c r="S46" s="80">
        <f t="shared" ca="1" si="12"/>
        <v>8.2688115462677597E-2</v>
      </c>
      <c r="T46" s="63"/>
      <c r="U46" s="63"/>
      <c r="V46" s="63"/>
      <c r="W46" s="63"/>
    </row>
    <row r="47" spans="1:23" x14ac:dyDescent="0.2">
      <c r="A47" s="45" t="s">
        <v>35</v>
      </c>
      <c r="B47" s="46">
        <f t="shared" ca="1" si="11"/>
        <v>57</v>
      </c>
      <c r="C47" s="1">
        <f>IF(ISERROR(D47),"",IF(D47="","",MAX($C$12:C46)+1))</f>
        <v>35</v>
      </c>
      <c r="D47" t="str">
        <f t="shared" si="4"/>
        <v xml:space="preserve">Public Serv. Enterprise       </v>
      </c>
      <c r="E47" s="15"/>
      <c r="F47" s="80">
        <f t="shared" ca="1" si="7"/>
        <v>6.9745385001265162E-2</v>
      </c>
      <c r="G47" s="80">
        <f t="shared" si="5"/>
        <v>6.2827225130890063E-2</v>
      </c>
      <c r="H47" s="80">
        <f ca="1">IFERROR(VLOOKUP($A47,LASTYR,'2017'!$N$3,FALSE),"N/A")</f>
        <v>6.2727935813274974E-2</v>
      </c>
      <c r="I47" s="80">
        <f t="shared" ca="1" si="8"/>
        <v>6.3059945399315559E-2</v>
      </c>
      <c r="J47" s="80">
        <f t="shared" ca="1" si="12"/>
        <v>6.0327158822846977E-2</v>
      </c>
      <c r="K47" s="80">
        <f t="shared" ca="1" si="12"/>
        <v>6.1438831001702027E-2</v>
      </c>
      <c r="L47" s="80">
        <f t="shared" ca="1" si="12"/>
        <v>6.2753301085109167E-2</v>
      </c>
      <c r="M47" s="80">
        <f t="shared" ca="1" si="12"/>
        <v>6.6638509549955413E-2</v>
      </c>
      <c r="N47" s="80">
        <f t="shared" ca="1" si="12"/>
        <v>6.7491009409330519E-2</v>
      </c>
      <c r="O47" s="80">
        <f t="shared" ca="1" si="12"/>
        <v>7.1957560796260311E-2</v>
      </c>
      <c r="P47" s="80">
        <f t="shared" ca="1" si="12"/>
        <v>7.6577614002763708E-2</v>
      </c>
      <c r="Q47" s="80">
        <f t="shared" ca="1" si="12"/>
        <v>8.40007814026177E-2</v>
      </c>
      <c r="R47" s="80">
        <f t="shared" ca="1" si="12"/>
        <v>8.1516059360412452E-2</v>
      </c>
      <c r="S47" s="80">
        <f t="shared" ca="1" si="12"/>
        <v>8.5374073241968093E-2</v>
      </c>
      <c r="T47" s="63"/>
      <c r="U47" s="63"/>
      <c r="V47" s="63"/>
      <c r="W47" s="63"/>
    </row>
    <row r="48" spans="1:23" x14ac:dyDescent="0.2">
      <c r="A48" s="45" t="s">
        <v>36</v>
      </c>
      <c r="B48" s="46">
        <f t="shared" ca="1" si="11"/>
        <v>58</v>
      </c>
      <c r="C48" s="1">
        <f>IF(ISERROR(D48),"",IF(D48="","",MAX($C$12:C47)+1))</f>
        <v>36</v>
      </c>
      <c r="D48" t="str">
        <f t="shared" si="4"/>
        <v xml:space="preserve">SCANA Corp.                   </v>
      </c>
      <c r="E48" s="15"/>
      <c r="F48" s="80">
        <f t="shared" ca="1" si="7"/>
        <v>6.1495361565062315E-2</v>
      </c>
      <c r="G48" s="80">
        <f t="shared" si="5"/>
        <v>2.6098535286284953E-2</v>
      </c>
      <c r="H48" s="80">
        <f ca="1">IFERROR(VLOOKUP($A48,LASTYR,'2017'!$N$3,FALSE),"N/A")</f>
        <v>6.6670294982039843E-2</v>
      </c>
      <c r="I48" s="80">
        <f t="shared" ca="1" si="8"/>
        <v>5.7409579911639162E-2</v>
      </c>
      <c r="J48" s="80">
        <f t="shared" ca="1" si="12"/>
        <v>5.7232869519558936E-2</v>
      </c>
      <c r="K48" s="80">
        <f t="shared" ca="1" si="12"/>
        <v>6.0090994935187568E-2</v>
      </c>
      <c r="L48" s="80">
        <f t="shared" ca="1" si="12"/>
        <v>6.1370094927141898E-2</v>
      </c>
      <c r="M48" s="80">
        <f t="shared" ca="1" si="12"/>
        <v>6.2923062255696452E-2</v>
      </c>
      <c r="N48" s="80">
        <f t="shared" ca="1" si="12"/>
        <v>6.4789767224393002E-2</v>
      </c>
      <c r="O48" s="80">
        <f t="shared" ca="1" si="12"/>
        <v>6.5408978242908297E-2</v>
      </c>
      <c r="P48" s="80">
        <f t="shared" ca="1" si="12"/>
        <v>6.8039520828055436E-2</v>
      </c>
      <c r="Q48" s="80">
        <f t="shared" ca="1" si="12"/>
        <v>7.117162418288013E-2</v>
      </c>
      <c r="R48" s="80">
        <f t="shared" ca="1" si="12"/>
        <v>6.9367807031373172E-2</v>
      </c>
      <c r="S48" s="80">
        <f t="shared" ca="1" si="12"/>
        <v>6.886657101865136E-2</v>
      </c>
      <c r="T48" s="63"/>
      <c r="U48" s="63"/>
      <c r="V48" s="63"/>
      <c r="W48" s="63"/>
    </row>
    <row r="49" spans="1:23" x14ac:dyDescent="0.2">
      <c r="A49" s="45" t="s">
        <v>37</v>
      </c>
      <c r="B49" s="46">
        <f t="shared" ca="1" si="11"/>
        <v>59</v>
      </c>
      <c r="C49" s="1">
        <f>IF(ISERROR(D49),"",IF(D49="","",MAX($C$12:C48)+1))</f>
        <v>37</v>
      </c>
      <c r="D49" t="str">
        <f t="shared" si="4"/>
        <v xml:space="preserve">Sempra Energy                 </v>
      </c>
      <c r="E49" s="15"/>
      <c r="F49" s="80">
        <f t="shared" ca="1" si="7"/>
        <v>5.1738332688149757E-2</v>
      </c>
      <c r="G49" s="80">
        <f t="shared" si="5"/>
        <v>6.6480965645311044E-2</v>
      </c>
      <c r="H49" s="80">
        <f ca="1">IFERROR(VLOOKUP($A49,LASTYR,'2017'!$N$3,FALSE),"N/A")</f>
        <v>6.5270007538785063E-2</v>
      </c>
      <c r="I49" s="80">
        <f t="shared" ca="1" si="8"/>
        <v>5.8332689484663525E-2</v>
      </c>
      <c r="J49" s="80">
        <f t="shared" ca="1" si="12"/>
        <v>5.8873002523128673E-2</v>
      </c>
      <c r="K49" s="80">
        <f t="shared" ca="1" si="12"/>
        <v>5.741751669240306E-2</v>
      </c>
      <c r="L49" s="80">
        <f t="shared" ca="1" si="12"/>
        <v>5.5962691538974013E-2</v>
      </c>
      <c r="M49" s="80">
        <f t="shared" ca="1" si="12"/>
        <v>5.6573085354642526E-2</v>
      </c>
      <c r="N49" s="80">
        <f t="shared" ca="1" si="12"/>
        <v>4.6825842011560127E-2</v>
      </c>
      <c r="O49" s="80">
        <f t="shared" ca="1" si="12"/>
        <v>4.1552353301547558E-2</v>
      </c>
      <c r="P49" s="80">
        <f t="shared" ca="1" si="12"/>
        <v>4.2695276150856651E-2</v>
      </c>
      <c r="Q49" s="80">
        <f t="shared" ca="1" si="12"/>
        <v>4.1830783792861294E-2</v>
      </c>
      <c r="R49" s="80">
        <f t="shared" ca="1" si="12"/>
        <v>3.8908064010040787E-2</v>
      </c>
      <c r="S49" s="80">
        <f t="shared" ca="1" si="12"/>
        <v>4.1876046901172533E-2</v>
      </c>
      <c r="T49" s="63"/>
      <c r="U49" s="63"/>
      <c r="V49" s="63"/>
      <c r="W49" s="63"/>
    </row>
    <row r="50" spans="1:23" x14ac:dyDescent="0.2">
      <c r="A50" s="45" t="s">
        <v>38</v>
      </c>
      <c r="B50" s="46">
        <f t="shared" ca="1" si="11"/>
        <v>63</v>
      </c>
      <c r="C50" s="1">
        <f>IF(ISERROR(D50),"",IF(D50="","",MAX($C$12:C49)+1))</f>
        <v>38</v>
      </c>
      <c r="D50" t="str">
        <f t="shared" si="4"/>
        <v xml:space="preserve">Southern Co.                  </v>
      </c>
      <c r="E50" s="15"/>
      <c r="F50" s="80">
        <f t="shared" ca="1" si="7"/>
        <v>9.512637793309256E-2</v>
      </c>
      <c r="G50" s="80">
        <f t="shared" si="5"/>
        <v>9.7741273100616005E-2</v>
      </c>
      <c r="H50" s="80">
        <f ca="1">IFERROR(VLOOKUP($A50,LASTYR,'2017'!$N$3,FALSE),"N/A")</f>
        <v>9.5893266624973938E-2</v>
      </c>
      <c r="I50" s="80">
        <f t="shared" ca="1" si="8"/>
        <v>8.8927114169133528E-2</v>
      </c>
      <c r="J50" s="80">
        <f t="shared" ca="1" si="12"/>
        <v>9.5324537324006031E-2</v>
      </c>
      <c r="K50" s="80">
        <f t="shared" ca="1" si="12"/>
        <v>9.4785220240262119E-2</v>
      </c>
      <c r="L50" s="80">
        <f t="shared" ca="1" si="12"/>
        <v>9.394688943855882E-2</v>
      </c>
      <c r="M50" s="80">
        <f t="shared" ca="1" si="12"/>
        <v>9.2150818117144886E-2</v>
      </c>
      <c r="N50" s="80">
        <f t="shared" ca="1" si="12"/>
        <v>9.2184270105325317E-2</v>
      </c>
      <c r="O50" s="80">
        <f t="shared" ca="1" si="12"/>
        <v>9.3847595252966889E-2</v>
      </c>
      <c r="P50" s="80">
        <f t="shared" ca="1" si="12"/>
        <v>9.5471573380343761E-2</v>
      </c>
      <c r="Q50" s="80">
        <f t="shared" ca="1" si="12"/>
        <v>9.7353939819693244E-2</v>
      </c>
      <c r="R50" s="80">
        <f t="shared" ca="1" si="12"/>
        <v>9.8274799753542821E-2</v>
      </c>
      <c r="S50" s="80">
        <f t="shared" ca="1" si="12"/>
        <v>0.10074161580363589</v>
      </c>
      <c r="T50" s="63"/>
      <c r="U50" s="63"/>
      <c r="V50" s="63"/>
      <c r="W50" s="63"/>
    </row>
    <row r="51" spans="1:23" x14ac:dyDescent="0.2">
      <c r="A51" s="45" t="s">
        <v>42</v>
      </c>
      <c r="B51" s="46">
        <f t="shared" ca="1" si="11"/>
        <v>71</v>
      </c>
      <c r="C51" s="1">
        <f>IF(ISERROR(D51),"",IF(D51="","",MAX($C$12:C50)+1))</f>
        <v>39</v>
      </c>
      <c r="D51" t="str">
        <f t="shared" si="4"/>
        <v xml:space="preserve">Vectren Corp.                 </v>
      </c>
      <c r="E51" s="15"/>
      <c r="F51" s="80">
        <f t="shared" ca="1" si="7"/>
        <v>7.7269905618804188E-2</v>
      </c>
      <c r="G51" s="80">
        <f t="shared" si="5"/>
        <v>7.9392624728850322E-2</v>
      </c>
      <c r="H51" s="80">
        <f ca="1">IFERROR(VLOOKUP($A51,LASTYR,'2017'!$N$3,FALSE),"N/A")</f>
        <v>7.6747004173959882E-2</v>
      </c>
      <c r="I51" s="80">
        <f t="shared" ca="1" si="8"/>
        <v>7.5956489122280577E-2</v>
      </c>
      <c r="J51" s="80">
        <f t="shared" ca="1" si="12"/>
        <v>7.5727773406766327E-2</v>
      </c>
      <c r="K51" s="80">
        <f t="shared" ca="1" si="12"/>
        <v>7.5064267352185091E-2</v>
      </c>
      <c r="L51" s="80">
        <f t="shared" ca="1" si="12"/>
        <v>7.5544717171181677E-2</v>
      </c>
      <c r="M51" s="80">
        <f t="shared" ca="1" si="12"/>
        <v>7.5675966821070778E-2</v>
      </c>
      <c r="N51" s="80">
        <f t="shared" ca="1" si="12"/>
        <v>7.7400245892477931E-2</v>
      </c>
      <c r="O51" s="80">
        <f t="shared" ca="1" si="12"/>
        <v>7.7787871905518974E-2</v>
      </c>
      <c r="P51" s="80">
        <f t="shared" ca="1" si="12"/>
        <v>7.8360807986997905E-2</v>
      </c>
      <c r="Q51" s="80">
        <f t="shared" ca="1" si="12"/>
        <v>7.8532462082608959E-2</v>
      </c>
      <c r="R51" s="80">
        <f t="shared" ca="1" si="12"/>
        <v>7.8603701182150154E-2</v>
      </c>
      <c r="S51" s="80">
        <f t="shared" ca="1" si="12"/>
        <v>7.9714841218405705E-2</v>
      </c>
      <c r="T51" s="63"/>
      <c r="U51" s="63"/>
      <c r="V51" s="63"/>
      <c r="W51" s="63"/>
    </row>
    <row r="52" spans="1:23" x14ac:dyDescent="0.2">
      <c r="A52" s="45" t="s">
        <v>44</v>
      </c>
      <c r="B52" s="46">
        <f t="shared" ca="1" si="11"/>
        <v>72</v>
      </c>
      <c r="C52" s="1">
        <f>IF(ISERROR(D52),"",IF(D52="","",MAX($C$12:C51)+1))</f>
        <v>40</v>
      </c>
      <c r="D52" t="str">
        <f t="shared" si="4"/>
        <v>WEC Energy Group</v>
      </c>
      <c r="E52" s="15"/>
      <c r="F52" s="80">
        <f t="shared" ca="1" si="7"/>
        <v>5.8782972349026269E-2</v>
      </c>
      <c r="G52" s="80">
        <f t="shared" si="5"/>
        <v>7.1405492730210018E-2</v>
      </c>
      <c r="H52" s="80">
        <f ca="1">IFERROR(VLOOKUP($A52,LASTYR,'2017'!$N$3,FALSE),"N/A")</f>
        <v>6.9377272272439214E-2</v>
      </c>
      <c r="I52" s="80">
        <f t="shared" ca="1" si="8"/>
        <v>6.9981974339942743E-2</v>
      </c>
      <c r="J52" s="80">
        <f t="shared" ca="1" si="12"/>
        <v>6.3466588853224398E-2</v>
      </c>
      <c r="K52" s="80">
        <f t="shared" ca="1" si="12"/>
        <v>7.9599959179508115E-2</v>
      </c>
      <c r="L52" s="80">
        <f t="shared" ca="1" si="12"/>
        <v>7.7136603854161101E-2</v>
      </c>
      <c r="M52" s="80">
        <f t="shared" ca="1" si="12"/>
        <v>6.6467264872050513E-2</v>
      </c>
      <c r="N52" s="80">
        <f t="shared" ca="1" si="12"/>
        <v>6.0482698458854317E-2</v>
      </c>
      <c r="O52" s="80">
        <f t="shared" ca="1" si="12"/>
        <v>4.9188391539596657E-2</v>
      </c>
      <c r="P52" s="80">
        <f t="shared" ca="1" si="12"/>
        <v>4.4247787610619468E-2</v>
      </c>
      <c r="Q52" s="80">
        <f t="shared" ca="1" si="12"/>
        <v>3.7841625788367209E-2</v>
      </c>
      <c r="R52" s="80">
        <f t="shared" ca="1" si="12"/>
        <v>3.7733001282922042E-2</v>
      </c>
      <c r="S52" s="80">
        <f t="shared" ca="1" si="12"/>
        <v>3.7249979755445785E-2</v>
      </c>
      <c r="T52" s="63"/>
      <c r="U52" s="63"/>
      <c r="V52" s="63"/>
      <c r="W52" s="63"/>
    </row>
    <row r="53" spans="1:23" x14ac:dyDescent="0.2">
      <c r="A53" s="45" t="s">
        <v>43</v>
      </c>
      <c r="B53" s="46">
        <f t="shared" ca="1" si="11"/>
        <v>73</v>
      </c>
      <c r="C53" s="1">
        <f>IF(ISERROR(D53),"",IF(D53="","",MAX($C$12:C52)+1))</f>
        <v>41</v>
      </c>
      <c r="D53" t="str">
        <f t="shared" si="4"/>
        <v xml:space="preserve">Westar Energy                 </v>
      </c>
      <c r="E53" s="15"/>
      <c r="F53" s="80">
        <f t="shared" ca="1" si="7"/>
        <v>5.7109990938186313E-2</v>
      </c>
      <c r="G53" s="80" t="str">
        <f t="shared" si="5"/>
        <v>N/A</v>
      </c>
      <c r="H53" s="80">
        <f ca="1">IFERROR(VLOOKUP($A53,LASTYR,'2017'!$N$3,FALSE),"N/A")</f>
        <v>5.8181818181818182E-2</v>
      </c>
      <c r="I53" s="80">
        <f t="shared" ca="1" si="8"/>
        <v>5.662978279497783E-2</v>
      </c>
      <c r="J53" s="80">
        <f t="shared" ca="1" si="12"/>
        <v>5.5665081758088833E-2</v>
      </c>
      <c r="K53" s="80">
        <f t="shared" ca="1" si="12"/>
        <v>5.5955235811350916E-2</v>
      </c>
      <c r="L53" s="80">
        <f t="shared" ca="1" si="12"/>
        <v>5.6953808785962561E-2</v>
      </c>
      <c r="M53" s="80">
        <f t="shared" ca="1" si="12"/>
        <v>5.765702804228183E-2</v>
      </c>
      <c r="N53" s="80">
        <f t="shared" ca="1" si="12"/>
        <v>5.8099950070355413E-2</v>
      </c>
      <c r="O53" s="80">
        <f t="shared" ca="1" si="12"/>
        <v>5.8350195284927762E-2</v>
      </c>
      <c r="P53" s="80">
        <f t="shared" ca="1" si="12"/>
        <v>5.8292043136111922E-2</v>
      </c>
      <c r="Q53" s="80">
        <f t="shared" ca="1" si="12"/>
        <v>5.7471264367816084E-2</v>
      </c>
      <c r="R53" s="80">
        <f t="shared" ca="1" si="12"/>
        <v>5.6429280526673294E-2</v>
      </c>
      <c r="S53" s="80">
        <f t="shared" ca="1" si="12"/>
        <v>5.563440249787114E-2</v>
      </c>
      <c r="T53" s="63"/>
      <c r="U53" s="63"/>
      <c r="V53" s="63"/>
      <c r="W53" s="63"/>
    </row>
    <row r="54" spans="1:23" x14ac:dyDescent="0.2">
      <c r="A54" s="45" t="s">
        <v>45</v>
      </c>
      <c r="B54" s="46">
        <f t="shared" ca="1" si="11"/>
        <v>75</v>
      </c>
      <c r="C54" s="1">
        <f>IF(ISERROR(D54),"",IF(D54="","",MAX($C$12:C53)+1))</f>
        <v>42</v>
      </c>
      <c r="D54" t="str">
        <f t="shared" si="4"/>
        <v xml:space="preserve">Xcel Energy Inc.              </v>
      </c>
      <c r="E54" s="15"/>
      <c r="F54" s="80">
        <f t="shared" ca="1" si="7"/>
        <v>6.0918794946871295E-2</v>
      </c>
      <c r="G54" s="80">
        <f t="shared" si="5"/>
        <v>6.3731656184486368E-2</v>
      </c>
      <c r="H54" s="80">
        <f ca="1">IFERROR(VLOOKUP($A54,LASTYR,'2017'!$N$3,FALSE),"N/A")</f>
        <v>6.3829787234042548E-2</v>
      </c>
      <c r="I54" s="80">
        <f t="shared" ca="1" si="8"/>
        <v>6.2592047128129602E-2</v>
      </c>
      <c r="J54" s="80">
        <f t="shared" ca="1" si="12"/>
        <v>6.1282137214535355E-2</v>
      </c>
      <c r="K54" s="80">
        <f t="shared" ca="1" si="12"/>
        <v>5.9414764568995394E-2</v>
      </c>
      <c r="L54" s="80">
        <f t="shared" ca="1" si="12"/>
        <v>5.7782404997397188E-2</v>
      </c>
      <c r="M54" s="80">
        <f t="shared" ca="1" si="12"/>
        <v>5.8836467612449143E-2</v>
      </c>
      <c r="N54" s="80">
        <f t="shared" ca="1" si="12"/>
        <v>5.9076570117579587E-2</v>
      </c>
      <c r="O54" s="80">
        <f t="shared" ca="1" si="12"/>
        <v>5.9669431350319227E-2</v>
      </c>
      <c r="P54" s="80">
        <f t="shared" ca="1" si="12"/>
        <v>6.0933475720836731E-2</v>
      </c>
      <c r="Q54" s="80">
        <f t="shared" ca="1" si="12"/>
        <v>6.1253746904730871E-2</v>
      </c>
      <c r="R54" s="80">
        <f t="shared" ca="1" si="12"/>
        <v>6.1925825110581832E-2</v>
      </c>
      <c r="S54" s="80">
        <f t="shared" ca="1" si="12"/>
        <v>6.1616020165242966E-2</v>
      </c>
      <c r="T54" s="63"/>
      <c r="U54" s="63"/>
      <c r="V54" s="63"/>
      <c r="W54" s="63"/>
    </row>
    <row r="55" spans="1:23" hidden="1" x14ac:dyDescent="0.2">
      <c r="A55" s="45"/>
      <c r="B55" s="46" t="str">
        <f t="shared" ca="1" si="11"/>
        <v/>
      </c>
      <c r="C55" s="1" t="str">
        <f>IF(ISERROR(D55),"",IF(D55="","",MAX($C$12:C54)+1))</f>
        <v/>
      </c>
      <c r="D55" t="e">
        <f t="shared" si="4"/>
        <v>#N/A</v>
      </c>
      <c r="E55" s="15"/>
      <c r="F55" s="80" t="str">
        <f t="shared" ca="1" si="7"/>
        <v>N/A</v>
      </c>
      <c r="G55" s="80" t="str">
        <f t="shared" si="5"/>
        <v>N/A</v>
      </c>
      <c r="H55" s="80"/>
      <c r="I55" s="80" t="str">
        <f t="shared" ca="1" si="8"/>
        <v>N/A</v>
      </c>
      <c r="J55" s="80" t="str">
        <f t="shared" ca="1" si="12"/>
        <v>N/A</v>
      </c>
      <c r="K55" s="80" t="str">
        <f t="shared" ca="1" si="12"/>
        <v>N/A</v>
      </c>
      <c r="L55" s="80" t="str">
        <f t="shared" ca="1" si="12"/>
        <v>N/A</v>
      </c>
      <c r="M55" s="80" t="str">
        <f t="shared" ca="1" si="12"/>
        <v>N/A</v>
      </c>
      <c r="N55" s="80" t="str">
        <f t="shared" ca="1" si="12"/>
        <v>N/A</v>
      </c>
      <c r="O55" s="80" t="str">
        <f t="shared" ca="1" si="12"/>
        <v>N/A</v>
      </c>
      <c r="P55" s="80" t="str">
        <f t="shared" ca="1" si="12"/>
        <v>N/A</v>
      </c>
      <c r="Q55" s="80" t="str">
        <f t="shared" ca="1" si="12"/>
        <v>N/A</v>
      </c>
      <c r="R55" s="80" t="str">
        <f t="shared" ca="1" si="12"/>
        <v>N/A</v>
      </c>
      <c r="S55" s="80" t="str">
        <f t="shared" ca="1" si="12"/>
        <v>N/A</v>
      </c>
      <c r="T55" s="63"/>
      <c r="U55" s="63"/>
      <c r="V55" s="63"/>
      <c r="W55" s="63"/>
    </row>
    <row r="56" spans="1:23" hidden="1" x14ac:dyDescent="0.2">
      <c r="A56" s="51"/>
      <c r="B56" s="46" t="str">
        <f t="shared" ca="1" si="11"/>
        <v/>
      </c>
      <c r="C56" s="1" t="str">
        <f>IF(ISERROR(D56),"",IF(D56="","",MAX($C$12:C55)+1))</f>
        <v/>
      </c>
      <c r="D56" t="e">
        <f t="shared" si="4"/>
        <v>#N/A</v>
      </c>
      <c r="F56" s="80" t="str">
        <f t="shared" ca="1" si="7"/>
        <v>N/A</v>
      </c>
      <c r="G56" s="80" t="str">
        <f t="shared" si="5"/>
        <v>N/A</v>
      </c>
      <c r="H56" s="80"/>
      <c r="I56" s="80" t="str">
        <f t="shared" ca="1" si="8"/>
        <v>N/A</v>
      </c>
      <c r="J56" s="80" t="str">
        <f t="shared" ca="1" si="12"/>
        <v>N/A</v>
      </c>
      <c r="K56" s="80" t="str">
        <f t="shared" ca="1" si="12"/>
        <v>N/A</v>
      </c>
      <c r="L56" s="80" t="str">
        <f t="shared" ca="1" si="12"/>
        <v>N/A</v>
      </c>
      <c r="M56" s="80" t="str">
        <f t="shared" ca="1" si="12"/>
        <v>N/A</v>
      </c>
      <c r="N56" s="80" t="str">
        <f t="shared" ca="1" si="12"/>
        <v>N/A</v>
      </c>
      <c r="O56" s="80" t="str">
        <f t="shared" ca="1" si="12"/>
        <v>N/A</v>
      </c>
      <c r="P56" s="80" t="str">
        <f t="shared" ca="1" si="12"/>
        <v>N/A</v>
      </c>
      <c r="Q56" s="80" t="str">
        <f t="shared" ca="1" si="12"/>
        <v>N/A</v>
      </c>
      <c r="R56" s="80" t="str">
        <f t="shared" ca="1" si="12"/>
        <v>N/A</v>
      </c>
      <c r="S56" s="80" t="str">
        <f t="shared" ca="1" si="12"/>
        <v>N/A</v>
      </c>
      <c r="T56" s="63"/>
      <c r="U56" s="63"/>
      <c r="V56" s="63"/>
      <c r="W56" s="63"/>
    </row>
    <row r="57" spans="1:23" hidden="1" x14ac:dyDescent="0.2">
      <c r="A57" s="51"/>
      <c r="B57" s="46" t="str">
        <f t="shared" ca="1" si="11"/>
        <v/>
      </c>
      <c r="C57" s="1" t="str">
        <f>IF(ISERROR(D57),"",IF(D57="","",MAX($C$12:C56)+1))</f>
        <v/>
      </c>
      <c r="D57" t="e">
        <f t="shared" si="4"/>
        <v>#N/A</v>
      </c>
      <c r="F57" s="80" t="str">
        <f t="shared" ca="1" si="7"/>
        <v>N/A</v>
      </c>
      <c r="G57" s="80" t="str">
        <f t="shared" si="5"/>
        <v>N/A</v>
      </c>
      <c r="H57" s="80"/>
      <c r="I57" s="80" t="str">
        <f t="shared" ca="1" si="8"/>
        <v>N/A</v>
      </c>
      <c r="J57" s="80" t="str">
        <f t="shared" ca="1" si="12"/>
        <v>N/A</v>
      </c>
      <c r="K57" s="80" t="str">
        <f t="shared" ca="1" si="12"/>
        <v>N/A</v>
      </c>
      <c r="L57" s="80" t="str">
        <f t="shared" ca="1" si="12"/>
        <v>N/A</v>
      </c>
      <c r="M57" s="80" t="str">
        <f t="shared" ca="1" si="12"/>
        <v>N/A</v>
      </c>
      <c r="N57" s="80" t="str">
        <f t="shared" ca="1" si="12"/>
        <v>N/A</v>
      </c>
      <c r="O57" s="80" t="str">
        <f t="shared" ca="1" si="12"/>
        <v>N/A</v>
      </c>
      <c r="P57" s="80" t="str">
        <f t="shared" ca="1" si="12"/>
        <v>N/A</v>
      </c>
      <c r="Q57" s="80" t="str">
        <f t="shared" ca="1" si="12"/>
        <v>N/A</v>
      </c>
      <c r="R57" s="80" t="str">
        <f t="shared" ca="1" si="12"/>
        <v>N/A</v>
      </c>
      <c r="S57" s="80" t="str">
        <f t="shared" ca="1" si="12"/>
        <v>N/A</v>
      </c>
      <c r="T57" s="63"/>
      <c r="U57" s="63"/>
      <c r="V57" s="63"/>
      <c r="W57" s="63"/>
    </row>
    <row r="58" spans="1:23" hidden="1" x14ac:dyDescent="0.2">
      <c r="A58" s="51"/>
      <c r="B58" s="46" t="str">
        <f t="shared" ca="1" si="11"/>
        <v/>
      </c>
      <c r="C58" s="1" t="str">
        <f>IF(ISERROR(D58),"",IF(D58="","",MAX($C$12:C57)+1))</f>
        <v/>
      </c>
      <c r="D58" t="e">
        <f t="shared" si="4"/>
        <v>#N/A</v>
      </c>
      <c r="F58" s="80" t="str">
        <f t="shared" ca="1" si="7"/>
        <v>N/A</v>
      </c>
      <c r="G58" s="80" t="str">
        <f t="shared" si="5"/>
        <v>N/A</v>
      </c>
      <c r="H58" s="80"/>
      <c r="I58" s="80" t="str">
        <f t="shared" ca="1" si="8"/>
        <v>N/A</v>
      </c>
      <c r="J58" s="80" t="str">
        <f t="shared" ca="1" si="12"/>
        <v>N/A</v>
      </c>
      <c r="K58" s="80" t="str">
        <f t="shared" ca="1" si="12"/>
        <v>N/A</v>
      </c>
      <c r="L58" s="80" t="str">
        <f t="shared" ca="1" si="12"/>
        <v>N/A</v>
      </c>
      <c r="M58" s="80" t="str">
        <f t="shared" ca="1" si="12"/>
        <v>N/A</v>
      </c>
      <c r="N58" s="80" t="str">
        <f t="shared" ca="1" si="12"/>
        <v>N/A</v>
      </c>
      <c r="O58" s="80" t="str">
        <f t="shared" ca="1" si="12"/>
        <v>N/A</v>
      </c>
      <c r="P58" s="80" t="str">
        <f t="shared" ca="1" si="12"/>
        <v>N/A</v>
      </c>
      <c r="Q58" s="80" t="str">
        <f t="shared" ca="1" si="12"/>
        <v>N/A</v>
      </c>
      <c r="R58" s="80" t="str">
        <f t="shared" ca="1" si="12"/>
        <v>N/A</v>
      </c>
      <c r="S58" s="80" t="str">
        <f t="shared" ca="1" si="12"/>
        <v>N/A</v>
      </c>
      <c r="T58" s="63"/>
      <c r="U58" s="63"/>
      <c r="V58" s="63"/>
      <c r="W58" s="63"/>
    </row>
    <row r="59" spans="1:23" x14ac:dyDescent="0.2">
      <c r="A59" s="31"/>
      <c r="B59" s="31"/>
      <c r="C59" s="1" t="str">
        <f>IF(ISERROR(D59),"",IF(D59="","",MAX($C$12:C58)+1))</f>
        <v/>
      </c>
      <c r="F59" s="80"/>
      <c r="G59" s="80"/>
      <c r="H59" s="80"/>
      <c r="I59" s="80"/>
      <c r="J59" s="80"/>
      <c r="K59" s="80"/>
      <c r="L59" s="80"/>
      <c r="M59" s="80"/>
      <c r="N59" s="80"/>
      <c r="O59" s="80"/>
      <c r="P59" s="80"/>
      <c r="Q59" s="80"/>
      <c r="R59" s="80"/>
      <c r="S59" s="80"/>
      <c r="T59" s="63"/>
      <c r="U59" s="63"/>
      <c r="V59" s="63"/>
      <c r="W59" s="63"/>
    </row>
    <row r="60" spans="1:23" x14ac:dyDescent="0.2">
      <c r="A60" s="31"/>
      <c r="B60" s="31"/>
      <c r="C60" s="1">
        <f>IF(ISERROR(D60),"",IF(D60="","",MAX($C$12:C59)+1))</f>
        <v>43</v>
      </c>
      <c r="D60" t="s">
        <v>98</v>
      </c>
      <c r="F60" s="80">
        <f ca="1">AVERAGE(G60:S60)</f>
        <v>6.2479526525059677E-2</v>
      </c>
      <c r="G60" s="80">
        <f t="shared" ref="G60:S60" si="13">AVERAGE(G13:G59)</f>
        <v>6.4850406223339943E-2</v>
      </c>
      <c r="H60" s="80">
        <f t="shared" ref="H60" ca="1" si="14">AVERAGE(H13:H59)</f>
        <v>6.6708116299649012E-2</v>
      </c>
      <c r="I60" s="80">
        <f t="shared" ca="1" si="13"/>
        <v>6.4390462178213106E-2</v>
      </c>
      <c r="J60" s="80">
        <f t="shared" ca="1" si="13"/>
        <v>6.1164075389842157E-2</v>
      </c>
      <c r="K60" s="80">
        <f t="shared" ca="1" si="13"/>
        <v>6.0727762922446894E-2</v>
      </c>
      <c r="L60" s="80">
        <f t="shared" ca="1" si="13"/>
        <v>6.097798058507764E-2</v>
      </c>
      <c r="M60" s="80">
        <f t="shared" ca="1" si="13"/>
        <v>6.282635330985728E-2</v>
      </c>
      <c r="N60" s="80">
        <f t="shared" ca="1" si="13"/>
        <v>6.1130552856461864E-2</v>
      </c>
      <c r="O60" s="80">
        <f t="shared" ca="1" si="13"/>
        <v>6.0761799974544638E-2</v>
      </c>
      <c r="P60" s="80">
        <f t="shared" ca="1" si="13"/>
        <v>6.1293267606879309E-2</v>
      </c>
      <c r="Q60" s="80">
        <f t="shared" ca="1" si="13"/>
        <v>6.3632014156525529E-2</v>
      </c>
      <c r="R60" s="80">
        <f t="shared" ca="1" si="13"/>
        <v>6.2838375034017638E-2</v>
      </c>
      <c r="S60" s="80">
        <f t="shared" ca="1" si="13"/>
        <v>6.0932678288920759E-2</v>
      </c>
      <c r="T60" s="63"/>
      <c r="U60" s="63"/>
      <c r="V60" s="63"/>
      <c r="W60" s="63"/>
    </row>
    <row r="61" spans="1:23" x14ac:dyDescent="0.2">
      <c r="A61" s="31"/>
      <c r="B61" s="31"/>
      <c r="C61" s="1">
        <f>IF(ISERROR(D61),"",IF(D61="","",MAX($C$12:C60)+1))</f>
        <v>44</v>
      </c>
      <c r="D61" t="s">
        <v>257</v>
      </c>
      <c r="F61" s="80">
        <f ca="1">AVERAGE(G61:S61)</f>
        <v>6.0348617646969568E-2</v>
      </c>
      <c r="G61" s="80">
        <f>MEDIAN(G13:G59)</f>
        <v>6.2311557788944726E-2</v>
      </c>
      <c r="H61" s="80">
        <f t="shared" ref="H61" ca="1" si="15">MEDIAN(H13:H59)</f>
        <v>6.2337734848273367E-2</v>
      </c>
      <c r="I61" s="80">
        <f t="shared" ref="I61:S61" ca="1" si="16">MEDIAN(I13:I59)</f>
        <v>5.8332689484663525E-2</v>
      </c>
      <c r="J61" s="80">
        <f t="shared" ca="1" si="16"/>
        <v>5.8105039179982401E-2</v>
      </c>
      <c r="K61" s="80">
        <f t="shared" ca="1" si="16"/>
        <v>5.8275845713082322E-2</v>
      </c>
      <c r="L61" s="80">
        <f t="shared" ca="1" si="16"/>
        <v>5.8198607542871539E-2</v>
      </c>
      <c r="M61" s="80">
        <f t="shared" ca="1" si="16"/>
        <v>5.9941643651187204E-2</v>
      </c>
      <c r="N61" s="80">
        <f t="shared" ca="1" si="16"/>
        <v>6.0897956747897074E-2</v>
      </c>
      <c r="O61" s="80">
        <f t="shared" ca="1" si="16"/>
        <v>6.0209246993314994E-2</v>
      </c>
      <c r="P61" s="80">
        <f t="shared" ca="1" si="16"/>
        <v>6.0270504302307501E-2</v>
      </c>
      <c r="Q61" s="80">
        <f t="shared" ca="1" si="16"/>
        <v>6.214571562998511E-2</v>
      </c>
      <c r="R61" s="80">
        <f t="shared" ca="1" si="16"/>
        <v>6.2077733834793078E-2</v>
      </c>
      <c r="S61" s="80">
        <f t="shared" ca="1" si="16"/>
        <v>6.1427753693301654E-2</v>
      </c>
      <c r="T61" s="63"/>
      <c r="U61" s="63"/>
      <c r="V61" s="63"/>
      <c r="W61" s="63"/>
    </row>
    <row r="62" spans="1:23" x14ac:dyDescent="0.2">
      <c r="A62" s="31"/>
      <c r="B62" s="31"/>
      <c r="C62" s="1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</row>
    <row r="63" spans="1:23" x14ac:dyDescent="0.2">
      <c r="A63" s="31"/>
      <c r="B63" s="31"/>
      <c r="C63" s="1"/>
      <c r="D63" s="18"/>
      <c r="E63" s="91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</row>
    <row r="64" spans="1:23" x14ac:dyDescent="0.2">
      <c r="A64" s="31"/>
      <c r="B64" s="31"/>
      <c r="C64" s="1"/>
      <c r="D64" s="20" t="s">
        <v>107</v>
      </c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</row>
    <row r="65" spans="1:23" ht="16.5" x14ac:dyDescent="0.2">
      <c r="A65" s="31"/>
      <c r="B65" s="31"/>
      <c r="C65" s="1"/>
      <c r="D65" s="79">
        <v>1</v>
      </c>
      <c r="E65" s="21" t="str">
        <f>"The Value Line Investment Survey Investment Analyzer Software, downloaded on "&amp;TEXT('2017'!$A$1,"mmmm d, yyyy.")</f>
        <v>The Value Line Investment Survey Investment Analyzer Software, downloaded on June 21, 2018.</v>
      </c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</row>
    <row r="66" spans="1:23" ht="16.5" x14ac:dyDescent="0.2">
      <c r="A66" s="31"/>
      <c r="B66" s="31"/>
      <c r="C66" s="1"/>
      <c r="D66" s="79">
        <v>2</v>
      </c>
      <c r="E66" s="21" t="str">
        <f>"The Value Line Investment Survey, "&amp;'2018 Data (WP)'!$D$1</f>
        <v>The Value Line Investment Survey, October 26, November 16, and December 14, 2018.</v>
      </c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</row>
    <row r="67" spans="1:23" ht="16.5" x14ac:dyDescent="0.2">
      <c r="A67" s="31"/>
      <c r="B67" s="31"/>
      <c r="C67" s="1"/>
      <c r="D67" s="93" t="s">
        <v>355</v>
      </c>
      <c r="E67" s="21" t="s">
        <v>431</v>
      </c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</row>
    <row r="68" spans="1:23" x14ac:dyDescent="0.2">
      <c r="A68" s="31"/>
      <c r="B68" s="31"/>
      <c r="C68" s="1"/>
      <c r="E68" s="23" t="str">
        <f>"published in The Value Line Investment Survey, "&amp;'2018 Data (WP)'!$D$1</f>
        <v>published in The Value Line Investment Survey, October 26, November 16, and December 14, 2018.</v>
      </c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</row>
    <row r="69" spans="1:23" x14ac:dyDescent="0.2">
      <c r="A69" s="31"/>
      <c r="B69" s="31"/>
      <c r="C69" s="1"/>
    </row>
    <row r="70" spans="1:23" ht="17.25" x14ac:dyDescent="0.25">
      <c r="A70" s="31"/>
      <c r="B70" s="31"/>
      <c r="C70" s="6"/>
      <c r="D70" s="6"/>
      <c r="E70" s="19"/>
      <c r="F70" s="235" t="s">
        <v>327</v>
      </c>
      <c r="G70" s="235"/>
      <c r="H70" s="235"/>
      <c r="I70" s="235"/>
      <c r="J70" s="235"/>
      <c r="K70" s="235"/>
      <c r="L70" s="235"/>
      <c r="M70" s="235"/>
      <c r="N70" s="235"/>
      <c r="O70" s="235"/>
      <c r="P70" s="235"/>
      <c r="Q70" s="235"/>
      <c r="R70" s="235"/>
      <c r="S70" s="235"/>
      <c r="T70" s="235"/>
      <c r="U70" s="235"/>
      <c r="V70" s="235"/>
      <c r="W70" s="235"/>
    </row>
    <row r="71" spans="1:23" ht="15" x14ac:dyDescent="0.25">
      <c r="A71" s="31"/>
      <c r="B71" s="31"/>
      <c r="C71" s="6"/>
      <c r="D71" s="7"/>
      <c r="E71" s="7"/>
      <c r="F71" s="8" t="s">
        <v>429</v>
      </c>
      <c r="G71" s="8"/>
      <c r="H71" s="8"/>
      <c r="I71" s="8"/>
      <c r="J71" s="8"/>
      <c r="K71" s="8"/>
      <c r="L71" s="8"/>
      <c r="M71" s="8"/>
      <c r="N71" s="8"/>
      <c r="O71" s="8"/>
      <c r="P71" s="7"/>
      <c r="Q71" s="7"/>
      <c r="R71" s="7"/>
      <c r="S71" s="7"/>
      <c r="T71" s="7"/>
      <c r="U71" s="7"/>
      <c r="V71" s="7"/>
    </row>
    <row r="72" spans="1:23" ht="17.25" x14ac:dyDescent="0.25">
      <c r="A72" s="31"/>
      <c r="B72" s="31"/>
      <c r="C72" s="9" t="s">
        <v>96</v>
      </c>
      <c r="D72" s="234" t="s">
        <v>97</v>
      </c>
      <c r="E72" s="234"/>
      <c r="F72" s="10" t="s">
        <v>98</v>
      </c>
      <c r="G72" s="10" t="s">
        <v>424</v>
      </c>
      <c r="H72" s="41">
        <v>2017</v>
      </c>
      <c r="I72" s="41">
        <v>2016</v>
      </c>
      <c r="J72" s="41">
        <v>2015</v>
      </c>
      <c r="K72" s="41">
        <v>2014</v>
      </c>
      <c r="L72" s="41">
        <v>2013</v>
      </c>
      <c r="M72" s="41">
        <v>2012</v>
      </c>
      <c r="N72" s="41">
        <v>2011</v>
      </c>
      <c r="O72" s="41">
        <v>2010</v>
      </c>
      <c r="P72" s="41">
        <v>2009</v>
      </c>
      <c r="Q72" s="41">
        <v>2008</v>
      </c>
      <c r="R72" s="41">
        <v>2007</v>
      </c>
      <c r="S72" s="41">
        <v>2006</v>
      </c>
      <c r="T72" s="41">
        <v>2005</v>
      </c>
      <c r="U72" s="41">
        <v>2004</v>
      </c>
      <c r="V72" s="41">
        <v>2003</v>
      </c>
      <c r="W72" s="41">
        <v>2002</v>
      </c>
    </row>
    <row r="73" spans="1:23" ht="15" x14ac:dyDescent="0.25">
      <c r="A73" s="42"/>
      <c r="B73" s="42"/>
      <c r="C73" s="9"/>
      <c r="D73" s="11"/>
      <c r="E73" s="11"/>
      <c r="F73" s="12">
        <v>-1</v>
      </c>
      <c r="G73" s="12">
        <f t="shared" ref="G73:W73" si="17">+F73-1</f>
        <v>-2</v>
      </c>
      <c r="H73" s="12">
        <f t="shared" ref="H73" si="18">+G73-1</f>
        <v>-3</v>
      </c>
      <c r="I73" s="12">
        <f t="shared" ref="I73" si="19">+H73-1</f>
        <v>-4</v>
      </c>
      <c r="J73" s="12">
        <f t="shared" ref="J73" si="20">+I73-1</f>
        <v>-5</v>
      </c>
      <c r="K73" s="12">
        <f t="shared" ref="K73" si="21">+J73-1</f>
        <v>-6</v>
      </c>
      <c r="L73" s="12">
        <f t="shared" ref="L73" si="22">+K73-1</f>
        <v>-7</v>
      </c>
      <c r="M73" s="12">
        <f t="shared" ref="M73" si="23">+L73-1</f>
        <v>-8</v>
      </c>
      <c r="N73" s="12">
        <f t="shared" ref="N73" si="24">+M73-1</f>
        <v>-9</v>
      </c>
      <c r="O73" s="12">
        <f t="shared" ref="O73" si="25">+N73-1</f>
        <v>-10</v>
      </c>
      <c r="P73" s="12">
        <f t="shared" ref="P73" si="26">+O73-1</f>
        <v>-11</v>
      </c>
      <c r="Q73" s="12">
        <f t="shared" ref="Q73" si="27">+P73-1</f>
        <v>-12</v>
      </c>
      <c r="R73" s="12">
        <f t="shared" ref="R73" si="28">+Q73-1</f>
        <v>-13</v>
      </c>
      <c r="S73" s="12">
        <f t="shared" ref="S73" si="29">+R73-1</f>
        <v>-14</v>
      </c>
      <c r="T73" s="12">
        <f t="shared" si="17"/>
        <v>-15</v>
      </c>
      <c r="U73" s="12">
        <f t="shared" si="17"/>
        <v>-16</v>
      </c>
      <c r="V73" s="12">
        <f t="shared" si="17"/>
        <v>-17</v>
      </c>
      <c r="W73" s="12">
        <f t="shared" si="17"/>
        <v>-18</v>
      </c>
    </row>
    <row r="74" spans="1:23" x14ac:dyDescent="0.2">
      <c r="A74" s="43"/>
      <c r="B74" s="44"/>
      <c r="C74" s="6"/>
      <c r="E74" s="22"/>
      <c r="F74" s="36"/>
      <c r="G74" s="36"/>
      <c r="H74" s="36"/>
      <c r="I74" s="16">
        <f t="shared" ref="I74:S74" ca="1" si="30">MATCH(VALUE(LEFT(I72,4)),OFFSET(DIV_EARN_WP,-1,0,1,),0)</f>
        <v>6</v>
      </c>
      <c r="J74" s="16">
        <f t="shared" ca="1" si="30"/>
        <v>7</v>
      </c>
      <c r="K74" s="16">
        <f t="shared" ca="1" si="30"/>
        <v>8</v>
      </c>
      <c r="L74" s="16">
        <f t="shared" ca="1" si="30"/>
        <v>9</v>
      </c>
      <c r="M74" s="16">
        <f t="shared" ca="1" si="30"/>
        <v>10</v>
      </c>
      <c r="N74" s="16">
        <f t="shared" ca="1" si="30"/>
        <v>11</v>
      </c>
      <c r="O74" s="16">
        <f t="shared" ca="1" si="30"/>
        <v>12</v>
      </c>
      <c r="P74" s="16">
        <f t="shared" ca="1" si="30"/>
        <v>13</v>
      </c>
      <c r="Q74" s="16">
        <f t="shared" ca="1" si="30"/>
        <v>14</v>
      </c>
      <c r="R74" s="16">
        <f t="shared" ca="1" si="30"/>
        <v>15</v>
      </c>
      <c r="S74" s="16">
        <f t="shared" ca="1" si="30"/>
        <v>16</v>
      </c>
      <c r="T74" s="16">
        <f t="shared" ref="T74:W74" ca="1" si="31">MATCH(VALUE(LEFT(T72,4)),OFFSET(MP_CF_WP,-1,0,1,),0)</f>
        <v>17</v>
      </c>
      <c r="U74" s="16">
        <f t="shared" ca="1" si="31"/>
        <v>18</v>
      </c>
      <c r="V74" s="16">
        <f t="shared" ca="1" si="31"/>
        <v>19</v>
      </c>
      <c r="W74" s="16">
        <f t="shared" ca="1" si="31"/>
        <v>20</v>
      </c>
    </row>
    <row r="75" spans="1:23" x14ac:dyDescent="0.2">
      <c r="A75" s="51" t="str">
        <f t="shared" ref="A75:A92" si="32">A13</f>
        <v>ALE</v>
      </c>
      <c r="B75" s="46">
        <f t="shared" ref="B75:B91" ca="1" si="33">IFERROR(MATCH(A75,OFFSET(DIV_EARN_WP,0,0,,1),0),"")</f>
        <v>2</v>
      </c>
      <c r="C75" s="1">
        <f>IF(ISERROR(D75),"",IF(D75="","",MAX($C$73:C74)+1))</f>
        <v>1</v>
      </c>
      <c r="D75" t="str">
        <f>D13</f>
        <v xml:space="preserve">ALLETE                        </v>
      </c>
      <c r="E75" s="22"/>
      <c r="F75" s="63">
        <f ca="1">IFERROR(AVERAGE(G75:S75),"N/A")</f>
        <v>0.67664003503806014</v>
      </c>
      <c r="G75" s="63">
        <f t="shared" ref="G75:G120" si="34">IFERROR(IF(VLOOKUP(A75,LUCurYr,20,FALSE)=0,"",VLOOKUP(A75,LUCurYr,20,FALSE)),"N/A")</f>
        <v>0.66865671641791047</v>
      </c>
      <c r="H75" s="63">
        <f ca="1">IFERROR(VLOOKUP($A75,LASTYR,'2017'!$O$3,FALSE),"N/A")</f>
        <v>0.68370607028754005</v>
      </c>
      <c r="I75" s="63">
        <f t="shared" ref="I75:S90" ca="1" si="35">IFERROR(IF(INDEX(DIV_EARN_WP,$B75,I$74)=0,"N/A",INDEX(DIV_EARN_WP,$B75,I$74)),"N/A")</f>
        <v>0.66242038216560506</v>
      </c>
      <c r="J75" s="63">
        <f t="shared" ca="1" si="35"/>
        <v>0.59763313609467461</v>
      </c>
      <c r="K75" s="63">
        <f t="shared" ca="1" si="35"/>
        <v>0.67586206896551726</v>
      </c>
      <c r="L75" s="63">
        <f t="shared" ca="1" si="35"/>
        <v>0.72243346007604559</v>
      </c>
      <c r="M75" s="63">
        <f t="shared" ca="1" si="35"/>
        <v>0.71317829457364346</v>
      </c>
      <c r="N75" s="63">
        <f t="shared" ca="1" si="35"/>
        <v>0.67169811320754724</v>
      </c>
      <c r="O75" s="63">
        <f t="shared" ca="1" si="35"/>
        <v>0.80365296803652975</v>
      </c>
      <c r="P75" s="63">
        <f t="shared" ca="1" si="35"/>
        <v>0.93121693121693128</v>
      </c>
      <c r="Q75" s="63">
        <f t="shared" ca="1" si="35"/>
        <v>0.60992907801418439</v>
      </c>
      <c r="R75" s="63">
        <f t="shared" ca="1" si="35"/>
        <v>0.53246753246753242</v>
      </c>
      <c r="S75" s="63">
        <f t="shared" ca="1" si="35"/>
        <v>0.52346570397111913</v>
      </c>
      <c r="T75" s="63"/>
      <c r="U75" s="63"/>
      <c r="V75" s="63"/>
      <c r="W75" s="63"/>
    </row>
    <row r="76" spans="1:23" x14ac:dyDescent="0.2">
      <c r="A76" s="51" t="str">
        <f t="shared" si="32"/>
        <v>LNT</v>
      </c>
      <c r="B76" s="46">
        <f t="shared" ca="1" si="33"/>
        <v>3</v>
      </c>
      <c r="C76" s="1">
        <f>IF(ISERROR(D76),"",IF(D76="","",MAX($C$73:C75)+1))</f>
        <v>2</v>
      </c>
      <c r="D76" t="str">
        <f t="shared" ref="D76:D91" si="36">D14</f>
        <v xml:space="preserve">Alliant Energy                </v>
      </c>
      <c r="E76" s="22"/>
      <c r="F76" s="63">
        <f t="shared" ref="F76:F120" ca="1" si="37">IFERROR(AVERAGE(G76:S76),"N/A")</f>
        <v>0.61063005305033058</v>
      </c>
      <c r="G76" s="63">
        <f t="shared" si="34"/>
        <v>0.62325581395348839</v>
      </c>
      <c r="H76" s="63">
        <f ca="1">IFERROR(VLOOKUP($A76,LASTYR,'2017'!$O$3,FALSE),"N/A")</f>
        <v>0.63316582914572861</v>
      </c>
      <c r="I76" s="63">
        <f t="shared" ca="1" si="35"/>
        <v>0.7151515151515152</v>
      </c>
      <c r="J76" s="63">
        <f t="shared" ca="1" si="35"/>
        <v>0.65088757396449715</v>
      </c>
      <c r="K76" s="63">
        <f t="shared" ca="1" si="35"/>
        <v>0.5862068965517242</v>
      </c>
      <c r="L76" s="63">
        <f t="shared" ca="1" si="35"/>
        <v>0.5714285714285714</v>
      </c>
      <c r="M76" s="63">
        <f t="shared" ca="1" si="35"/>
        <v>0.59016393442622961</v>
      </c>
      <c r="N76" s="63">
        <f t="shared" ca="1" si="35"/>
        <v>0.61818181818181817</v>
      </c>
      <c r="O76" s="63">
        <f t="shared" ca="1" si="35"/>
        <v>0.57454545454545458</v>
      </c>
      <c r="P76" s="63">
        <f t="shared" ca="1" si="35"/>
        <v>0.79365079365079372</v>
      </c>
      <c r="Q76" s="63">
        <f t="shared" ca="1" si="35"/>
        <v>0.55118110236220463</v>
      </c>
      <c r="R76" s="63">
        <f t="shared" ca="1" si="35"/>
        <v>0.47211895910780671</v>
      </c>
      <c r="S76" s="63">
        <f t="shared" ca="1" si="35"/>
        <v>0.55825242718446599</v>
      </c>
      <c r="T76" s="63"/>
      <c r="U76" s="63"/>
      <c r="V76" s="63"/>
      <c r="W76" s="63"/>
    </row>
    <row r="77" spans="1:23" x14ac:dyDescent="0.2">
      <c r="A77" s="51" t="str">
        <f t="shared" si="32"/>
        <v>AEE</v>
      </c>
      <c r="B77" s="46">
        <f t="shared" ca="1" si="33"/>
        <v>6</v>
      </c>
      <c r="C77" s="1">
        <f>IF(ISERROR(D77),"",IF(D77="","",MAX($C$73:C76)+1))</f>
        <v>3</v>
      </c>
      <c r="D77" t="str">
        <f t="shared" si="36"/>
        <v xml:space="preserve">Ameren Corp.                  </v>
      </c>
      <c r="E77" s="22"/>
      <c r="F77" s="63">
        <f t="shared" ca="1" si="37"/>
        <v>0.69651591705691185</v>
      </c>
      <c r="G77" s="63">
        <f t="shared" si="34"/>
        <v>0.55223880597014929</v>
      </c>
      <c r="H77" s="63">
        <f ca="1">IFERROR(VLOOKUP($A77,LASTYR,'2017'!$O$3,FALSE),"N/A")</f>
        <v>0.64187725631768955</v>
      </c>
      <c r="I77" s="63">
        <f t="shared" ca="1" si="35"/>
        <v>0.6399253731343284</v>
      </c>
      <c r="J77" s="63">
        <f t="shared" ca="1" si="35"/>
        <v>0.69537815126050428</v>
      </c>
      <c r="K77" s="63">
        <f t="shared" ca="1" si="35"/>
        <v>0.67083333333333339</v>
      </c>
      <c r="L77" s="63">
        <f t="shared" ca="1" si="35"/>
        <v>0.76190476190476186</v>
      </c>
      <c r="M77" s="63">
        <f t="shared" ca="1" si="35"/>
        <v>0.66390041493775931</v>
      </c>
      <c r="N77" s="63">
        <f t="shared" ca="1" si="35"/>
        <v>0.62955465587044523</v>
      </c>
      <c r="O77" s="63">
        <f t="shared" ca="1" si="35"/>
        <v>0.55595667870036103</v>
      </c>
      <c r="P77" s="63">
        <f t="shared" ca="1" si="35"/>
        <v>0.5539568345323741</v>
      </c>
      <c r="Q77" s="63">
        <f t="shared" ca="1" si="35"/>
        <v>0.88194444444444453</v>
      </c>
      <c r="R77" s="63">
        <f t="shared" ca="1" si="35"/>
        <v>0.8523489932885906</v>
      </c>
      <c r="S77" s="63">
        <f t="shared" ca="1" si="35"/>
        <v>0.95488721804511278</v>
      </c>
      <c r="T77" s="63"/>
      <c r="U77" s="63"/>
      <c r="V77" s="63"/>
      <c r="W77" s="63"/>
    </row>
    <row r="78" spans="1:23" x14ac:dyDescent="0.2">
      <c r="A78" s="51" t="str">
        <f t="shared" si="32"/>
        <v>AEP</v>
      </c>
      <c r="B78" s="46">
        <f t="shared" ca="1" si="33"/>
        <v>7</v>
      </c>
      <c r="C78" s="1">
        <f>IF(ISERROR(D78),"",IF(D78="","",MAX($C$73:C77)+1))</f>
        <v>4</v>
      </c>
      <c r="D78" t="str">
        <f t="shared" si="36"/>
        <v>American Electric Power</v>
      </c>
      <c r="E78" s="22"/>
      <c r="F78" s="63">
        <f t="shared" ca="1" si="37"/>
        <v>0.59405272752148186</v>
      </c>
      <c r="G78" s="63">
        <f t="shared" si="34"/>
        <v>0.64871794871794863</v>
      </c>
      <c r="H78" s="63">
        <f ca="1">IFERROR(VLOOKUP($A78,LASTYR,'2017'!$O$3,FALSE),"N/A")</f>
        <v>0.66022099447513816</v>
      </c>
      <c r="I78" s="63">
        <f t="shared" ca="1" si="35"/>
        <v>0.53664302600472813</v>
      </c>
      <c r="J78" s="63">
        <f t="shared" ca="1" si="35"/>
        <v>0.59888579387186625</v>
      </c>
      <c r="K78" s="63">
        <f t="shared" ca="1" si="35"/>
        <v>0.60778443113772451</v>
      </c>
      <c r="L78" s="63">
        <f t="shared" ca="1" si="35"/>
        <v>0.6132075471698113</v>
      </c>
      <c r="M78" s="63">
        <f t="shared" ca="1" si="35"/>
        <v>0.63087248322147649</v>
      </c>
      <c r="N78" s="63">
        <f t="shared" ca="1" si="35"/>
        <v>0.59105431309904155</v>
      </c>
      <c r="O78" s="63">
        <f t="shared" ca="1" si="35"/>
        <v>0.65769230769230769</v>
      </c>
      <c r="P78" s="63">
        <f t="shared" ca="1" si="35"/>
        <v>0.55218855218855212</v>
      </c>
      <c r="Q78" s="63">
        <f t="shared" ca="1" si="35"/>
        <v>0.54849498327759194</v>
      </c>
      <c r="R78" s="63">
        <f t="shared" ca="1" si="35"/>
        <v>0.5524475524475525</v>
      </c>
      <c r="S78" s="63">
        <f t="shared" ca="1" si="35"/>
        <v>0.52447552447552448</v>
      </c>
      <c r="T78" s="63"/>
      <c r="U78" s="63"/>
      <c r="V78" s="63"/>
      <c r="W78" s="63"/>
    </row>
    <row r="79" spans="1:23" x14ac:dyDescent="0.2">
      <c r="A79" s="51" t="str">
        <f t="shared" si="32"/>
        <v>AGR</v>
      </c>
      <c r="B79" s="46">
        <f t="shared" ca="1" si="33"/>
        <v>10</v>
      </c>
      <c r="C79" s="1">
        <f>IF(ISERROR(D79),"",IF(D79="","",MAX($C$73:C78)+1))</f>
        <v>5</v>
      </c>
      <c r="D79" t="str">
        <f t="shared" si="36"/>
        <v>Avangrid, Inc.</v>
      </c>
      <c r="E79" s="22"/>
      <c r="F79" s="63">
        <f t="shared" ca="1" si="37"/>
        <v>0.89945563418617303</v>
      </c>
      <c r="G79" s="63">
        <f t="shared" si="34"/>
        <v>0.79090909090909089</v>
      </c>
      <c r="H79" s="63">
        <f ca="1">IFERROR(VLOOKUP($A79,LASTYR,'2017'!$O$3,FALSE),"N/A")</f>
        <v>1.0347305389221557</v>
      </c>
      <c r="I79" s="63">
        <f t="shared" ca="1" si="35"/>
        <v>0.87272727272727268</v>
      </c>
      <c r="J79" s="63" t="str">
        <f t="shared" ca="1" si="35"/>
        <v>N/A</v>
      </c>
      <c r="K79" s="63" t="str">
        <f t="shared" ca="1" si="35"/>
        <v>N/A</v>
      </c>
      <c r="L79" s="63" t="str">
        <f t="shared" ca="1" si="35"/>
        <v>N/A</v>
      </c>
      <c r="M79" s="63" t="str">
        <f t="shared" ca="1" si="35"/>
        <v>N/A</v>
      </c>
      <c r="N79" s="63" t="str">
        <f t="shared" ca="1" si="35"/>
        <v>N/A</v>
      </c>
      <c r="O79" s="63" t="str">
        <f t="shared" ca="1" si="35"/>
        <v>N/A</v>
      </c>
      <c r="P79" s="63" t="str">
        <f t="shared" ca="1" si="35"/>
        <v>N/A</v>
      </c>
      <c r="Q79" s="63" t="str">
        <f t="shared" ca="1" si="35"/>
        <v>N/A</v>
      </c>
      <c r="R79" s="63" t="str">
        <f t="shared" ca="1" si="35"/>
        <v>N/A</v>
      </c>
      <c r="S79" s="63" t="str">
        <f t="shared" ca="1" si="35"/>
        <v>N/A</v>
      </c>
      <c r="T79" s="63"/>
      <c r="U79" s="63"/>
      <c r="V79" s="63"/>
      <c r="W79" s="63"/>
    </row>
    <row r="80" spans="1:23" x14ac:dyDescent="0.2">
      <c r="A80" s="51" t="str">
        <f t="shared" si="32"/>
        <v>AVA</v>
      </c>
      <c r="B80" s="46">
        <f t="shared" ca="1" si="33"/>
        <v>11</v>
      </c>
      <c r="C80" s="1">
        <f>IF(ISERROR(D80),"",IF(D80="","",MAX($C$73:C79)+1))</f>
        <v>6</v>
      </c>
      <c r="D80" t="str">
        <f t="shared" si="36"/>
        <v xml:space="preserve">Avista Corp.                  </v>
      </c>
      <c r="E80" s="22"/>
      <c r="F80" s="63">
        <f t="shared" ca="1" si="37"/>
        <v>0.65856778766730018</v>
      </c>
      <c r="G80" s="63">
        <f t="shared" si="34"/>
        <v>0.78421052631578947</v>
      </c>
      <c r="H80" s="63">
        <f ca="1">IFERROR(VLOOKUP($A80,LASTYR,'2017'!$O$3,FALSE),"N/A")</f>
        <v>0.73333333333333328</v>
      </c>
      <c r="I80" s="63">
        <f t="shared" ca="1" si="35"/>
        <v>0.63720930232558148</v>
      </c>
      <c r="J80" s="63">
        <f t="shared" ca="1" si="35"/>
        <v>0.69841269841269848</v>
      </c>
      <c r="K80" s="63">
        <f t="shared" ca="1" si="35"/>
        <v>0.69021739130434778</v>
      </c>
      <c r="L80" s="63">
        <f t="shared" ca="1" si="35"/>
        <v>0.65945945945945939</v>
      </c>
      <c r="M80" s="63">
        <f t="shared" ca="1" si="35"/>
        <v>0.87878787878787867</v>
      </c>
      <c r="N80" s="63">
        <f t="shared" ca="1" si="35"/>
        <v>0.63953488372093026</v>
      </c>
      <c r="O80" s="63">
        <f t="shared" ca="1" si="35"/>
        <v>0.60606060606060608</v>
      </c>
      <c r="P80" s="63">
        <f t="shared" ca="1" si="35"/>
        <v>0.51265822784810122</v>
      </c>
      <c r="Q80" s="63">
        <f t="shared" ca="1" si="35"/>
        <v>0.50735294117647056</v>
      </c>
      <c r="R80" s="63">
        <f t="shared" ca="1" si="35"/>
        <v>0.82638888888888884</v>
      </c>
      <c r="S80" s="63">
        <f t="shared" ca="1" si="35"/>
        <v>0.38775510204081631</v>
      </c>
      <c r="T80" s="63"/>
      <c r="U80" s="63"/>
      <c r="V80" s="63"/>
      <c r="W80" s="63"/>
    </row>
    <row r="81" spans="1:23" x14ac:dyDescent="0.2">
      <c r="A81" s="51" t="str">
        <f t="shared" si="32"/>
        <v>BKH</v>
      </c>
      <c r="B81" s="46">
        <f t="shared" ca="1" si="33"/>
        <v>12</v>
      </c>
      <c r="C81" s="1">
        <f>IF(ISERROR(D81),"",IF(D81="","",MAX($C$73:C80)+1))</f>
        <v>7</v>
      </c>
      <c r="D81" t="str">
        <f t="shared" si="36"/>
        <v xml:space="preserve">Black Hills                   </v>
      </c>
      <c r="E81" s="22"/>
      <c r="F81" s="63">
        <f t="shared" ca="1" si="37"/>
        <v>1.2294020158279404</v>
      </c>
      <c r="G81" s="63">
        <f t="shared" si="34"/>
        <v>0.55072463768115931</v>
      </c>
      <c r="H81" s="63">
        <f ca="1">IFERROR(VLOOKUP($A81,LASTYR,'2017'!$O$3,FALSE),"N/A")</f>
        <v>0.53550295857988173</v>
      </c>
      <c r="I81" s="63">
        <f t="shared" ca="1" si="35"/>
        <v>0.63878326996197721</v>
      </c>
      <c r="J81" s="63">
        <f t="shared" ca="1" si="35"/>
        <v>0.57243816254416968</v>
      </c>
      <c r="K81" s="63">
        <f t="shared" ca="1" si="35"/>
        <v>0.53979238754325254</v>
      </c>
      <c r="L81" s="63">
        <f t="shared" ca="1" si="35"/>
        <v>0.58237547892720309</v>
      </c>
      <c r="M81" s="63">
        <f t="shared" ca="1" si="35"/>
        <v>0.75126903553299496</v>
      </c>
      <c r="N81" s="63">
        <f t="shared" ca="1" si="35"/>
        <v>1.4455445544554455</v>
      </c>
      <c r="O81" s="63">
        <f t="shared" ca="1" si="35"/>
        <v>0.86746987951807231</v>
      </c>
      <c r="P81" s="63">
        <f t="shared" ca="1" si="35"/>
        <v>0.61206896551724144</v>
      </c>
      <c r="Q81" s="63">
        <f t="shared" ca="1" si="35"/>
        <v>7.7777777777777777</v>
      </c>
      <c r="R81" s="63">
        <f t="shared" ca="1" si="35"/>
        <v>0.51119402985074625</v>
      </c>
      <c r="S81" s="63">
        <f t="shared" ca="1" si="35"/>
        <v>0.59728506787330315</v>
      </c>
      <c r="T81" s="63"/>
      <c r="U81" s="63"/>
      <c r="V81" s="63"/>
      <c r="W81" s="63"/>
    </row>
    <row r="82" spans="1:23" x14ac:dyDescent="0.2">
      <c r="A82" s="51" t="str">
        <f t="shared" si="32"/>
        <v>CNP</v>
      </c>
      <c r="B82" s="46">
        <f t="shared" ca="1" si="33"/>
        <v>14</v>
      </c>
      <c r="C82" s="1">
        <f>IF(ISERROR(D82),"",IF(D82="","",MAX($C$73:C81)+1))</f>
        <v>8</v>
      </c>
      <c r="D82" t="str">
        <f t="shared" si="36"/>
        <v xml:space="preserve">CenterPoint Energy            </v>
      </c>
      <c r="E82" s="22"/>
      <c r="F82" s="63">
        <f t="shared" ca="1" si="37"/>
        <v>0.74417884352702679</v>
      </c>
      <c r="G82" s="63">
        <f t="shared" si="34"/>
        <v>1.2333333333333334</v>
      </c>
      <c r="H82" s="63">
        <f ca="1">IFERROR(VLOOKUP($A82,LASTYR,'2017'!$O$3,FALSE),"N/A")</f>
        <v>0.85859872611464971</v>
      </c>
      <c r="I82" s="63">
        <f t="shared" ca="1" si="35"/>
        <v>1.03</v>
      </c>
      <c r="J82" s="63">
        <f t="shared" ca="1" si="35"/>
        <v>0.91666666666666663</v>
      </c>
      <c r="K82" s="63">
        <f t="shared" ca="1" si="35"/>
        <v>0.66901408450704225</v>
      </c>
      <c r="L82" s="63">
        <f t="shared" ca="1" si="35"/>
        <v>0.66935483870967738</v>
      </c>
      <c r="M82" s="63">
        <f t="shared" ca="1" si="35"/>
        <v>0.6</v>
      </c>
      <c r="N82" s="63">
        <f t="shared" ca="1" si="35"/>
        <v>0.62204724409448819</v>
      </c>
      <c r="O82" s="63">
        <f t="shared" ca="1" si="35"/>
        <v>0.7289719626168224</v>
      </c>
      <c r="P82" s="63">
        <f t="shared" ca="1" si="35"/>
        <v>0.75247524752475248</v>
      </c>
      <c r="Q82" s="63">
        <f t="shared" ca="1" si="35"/>
        <v>0.56153846153846154</v>
      </c>
      <c r="R82" s="63">
        <f t="shared" ca="1" si="35"/>
        <v>0.58119658119658124</v>
      </c>
      <c r="S82" s="63">
        <f t="shared" ca="1" si="35"/>
        <v>0.45112781954887216</v>
      </c>
      <c r="T82" s="63"/>
      <c r="U82" s="63"/>
      <c r="V82" s="63"/>
      <c r="W82" s="63"/>
    </row>
    <row r="83" spans="1:23" x14ac:dyDescent="0.2">
      <c r="A83" s="51" t="str">
        <f t="shared" si="32"/>
        <v>CMS</v>
      </c>
      <c r="B83" s="46">
        <f t="shared" ca="1" si="33"/>
        <v>18</v>
      </c>
      <c r="C83" s="1">
        <f>IF(ISERROR(D83),"",IF(D83="","",MAX($C$73:C82)+1))</f>
        <v>9</v>
      </c>
      <c r="D83" t="str">
        <f t="shared" si="36"/>
        <v xml:space="preserve">CMS Energy Corp.              </v>
      </c>
      <c r="E83" s="22"/>
      <c r="F83" s="63">
        <f t="shared" ca="1" si="37"/>
        <v>0.54519998773134992</v>
      </c>
      <c r="G83" s="63">
        <f t="shared" si="34"/>
        <v>0.60851063829787233</v>
      </c>
      <c r="H83" s="63">
        <f ca="1">IFERROR(VLOOKUP($A83,LASTYR,'2017'!$O$3,FALSE),"N/A")</f>
        <v>0.61290322580645162</v>
      </c>
      <c r="I83" s="63">
        <f t="shared" ca="1" si="35"/>
        <v>0.6262626262626263</v>
      </c>
      <c r="J83" s="63">
        <f t="shared" ca="1" si="35"/>
        <v>0.61375661375661372</v>
      </c>
      <c r="K83" s="63">
        <f t="shared" ca="1" si="35"/>
        <v>0.62068965517241381</v>
      </c>
      <c r="L83" s="63">
        <f t="shared" ca="1" si="35"/>
        <v>0.6144578313253013</v>
      </c>
      <c r="M83" s="63">
        <f t="shared" ca="1" si="35"/>
        <v>0.62745098039215685</v>
      </c>
      <c r="N83" s="63">
        <f t="shared" ca="1" si="35"/>
        <v>0.57931034482758625</v>
      </c>
      <c r="O83" s="63">
        <f t="shared" ca="1" si="35"/>
        <v>0.49624060150375937</v>
      </c>
      <c r="P83" s="63">
        <f t="shared" ca="1" si="35"/>
        <v>0.5376344086021505</v>
      </c>
      <c r="Q83" s="63">
        <f t="shared" ca="1" si="35"/>
        <v>0.29268292682926828</v>
      </c>
      <c r="R83" s="63">
        <f t="shared" ca="1" si="35"/>
        <v>0.3125</v>
      </c>
      <c r="S83" s="63" t="str">
        <f t="shared" ca="1" si="35"/>
        <v>N/A</v>
      </c>
      <c r="T83" s="63"/>
      <c r="U83" s="63"/>
      <c r="V83" s="63"/>
      <c r="W83" s="63"/>
    </row>
    <row r="84" spans="1:23" x14ac:dyDescent="0.2">
      <c r="A84" s="51" t="str">
        <f t="shared" si="32"/>
        <v>ED</v>
      </c>
      <c r="B84" s="46">
        <f t="shared" ca="1" si="33"/>
        <v>20</v>
      </c>
      <c r="C84" s="1">
        <f>IF(ISERROR(D84),"",IF(D84="","",MAX($C$73:C83)+1))</f>
        <v>10</v>
      </c>
      <c r="D84" t="str">
        <f t="shared" si="36"/>
        <v xml:space="preserve">Consol. Edison                </v>
      </c>
      <c r="E84" s="22"/>
      <c r="F84" s="63">
        <f t="shared" ca="1" si="37"/>
        <v>0.68290982685830781</v>
      </c>
      <c r="G84" s="63">
        <f t="shared" si="34"/>
        <v>0.68095238095238086</v>
      </c>
      <c r="H84" s="63">
        <f ca="1">IFERROR(VLOOKUP($A84,LASTYR,'2017'!$O$3,FALSE),"N/A")</f>
        <v>0.67317073170731712</v>
      </c>
      <c r="I84" s="63">
        <f t="shared" ca="1" si="35"/>
        <v>0.68020304568527923</v>
      </c>
      <c r="J84" s="63">
        <f t="shared" ca="1" si="35"/>
        <v>0.64197530864197538</v>
      </c>
      <c r="K84" s="63">
        <f t="shared" ca="1" si="35"/>
        <v>0.69613259668508287</v>
      </c>
      <c r="L84" s="63">
        <f t="shared" ca="1" si="35"/>
        <v>0.62595419847328237</v>
      </c>
      <c r="M84" s="63">
        <f t="shared" ca="1" si="35"/>
        <v>0.62694300518134716</v>
      </c>
      <c r="N84" s="63">
        <f t="shared" ca="1" si="35"/>
        <v>0.67226890756302526</v>
      </c>
      <c r="O84" s="63">
        <f t="shared" ca="1" si="35"/>
        <v>0.68587896253602298</v>
      </c>
      <c r="P84" s="63">
        <f t="shared" ca="1" si="35"/>
        <v>0.75159235668789803</v>
      </c>
      <c r="Q84" s="63">
        <f t="shared" ca="1" si="35"/>
        <v>0.6964285714285714</v>
      </c>
      <c r="R84" s="63">
        <f t="shared" ca="1" si="35"/>
        <v>0.66666666666666663</v>
      </c>
      <c r="S84" s="63">
        <f t="shared" ca="1" si="35"/>
        <v>0.77966101694915246</v>
      </c>
      <c r="T84" s="63"/>
      <c r="U84" s="63"/>
      <c r="V84" s="63"/>
      <c r="W84" s="63"/>
    </row>
    <row r="85" spans="1:23" x14ac:dyDescent="0.2">
      <c r="A85" s="51" t="str">
        <f t="shared" si="32"/>
        <v>D</v>
      </c>
      <c r="B85" s="46">
        <f t="shared" ca="1" si="33"/>
        <v>22</v>
      </c>
      <c r="C85" s="1">
        <f>IF(ISERROR(D85),"",IF(D85="","",MAX($C$73:C84)+1))</f>
        <v>11</v>
      </c>
      <c r="D85" t="str">
        <f t="shared" si="36"/>
        <v xml:space="preserve">Dominion Resources            </v>
      </c>
      <c r="E85" s="22"/>
      <c r="F85" s="63">
        <f t="shared" ca="1" si="37"/>
        <v>0.72662535288608499</v>
      </c>
      <c r="G85" s="63">
        <f t="shared" si="34"/>
        <v>0.89066666666666661</v>
      </c>
      <c r="H85" s="63">
        <f ca="1">IFERROR(VLOOKUP($A85,LASTYR,'2017'!$O$3,FALSE),"N/A")</f>
        <v>0.859773371104816</v>
      </c>
      <c r="I85" s="63">
        <f t="shared" ca="1" si="35"/>
        <v>0.81395348837209303</v>
      </c>
      <c r="J85" s="63">
        <f t="shared" ca="1" si="35"/>
        <v>0.80937499999999996</v>
      </c>
      <c r="K85" s="63">
        <f t="shared" ca="1" si="35"/>
        <v>0.78688524590163933</v>
      </c>
      <c r="L85" s="63">
        <f t="shared" ca="1" si="35"/>
        <v>0.72815533980582525</v>
      </c>
      <c r="M85" s="63">
        <f t="shared" ca="1" si="35"/>
        <v>0.76727272727272722</v>
      </c>
      <c r="N85" s="63">
        <f t="shared" ca="1" si="35"/>
        <v>0.71376811594202905</v>
      </c>
      <c r="O85" s="63">
        <f t="shared" ca="1" si="35"/>
        <v>0.63321799307958482</v>
      </c>
      <c r="P85" s="63">
        <f t="shared" ca="1" si="35"/>
        <v>0.66287878787878785</v>
      </c>
      <c r="Q85" s="63">
        <f t="shared" ca="1" si="35"/>
        <v>0.51973684210526316</v>
      </c>
      <c r="R85" s="63">
        <f t="shared" ca="1" si="35"/>
        <v>0.68544600938967137</v>
      </c>
      <c r="S85" s="63">
        <f t="shared" ca="1" si="35"/>
        <v>0.57499999999999996</v>
      </c>
      <c r="T85" s="63">
        <f t="shared" ref="T85:W101" ca="1" si="38">IFERROR(IF(INDEX(MP_CF_WP,$B85,T$74)=0,"N/A",INDEX(MP_CF_WP,$B85,T$74)),"N/A")</f>
        <v>10.089435287760065</v>
      </c>
      <c r="U85" s="63">
        <f t="shared" ca="1" si="38"/>
        <v>7.6822210000000002</v>
      </c>
      <c r="V85" s="63">
        <f t="shared" ca="1" si="38"/>
        <v>7.50718</v>
      </c>
      <c r="W85" s="63">
        <f t="shared" ca="1" si="38"/>
        <v>6.5263039999999997</v>
      </c>
    </row>
    <row r="86" spans="1:23" x14ac:dyDescent="0.2">
      <c r="A86" s="51" t="str">
        <f t="shared" si="32"/>
        <v>DTE</v>
      </c>
      <c r="B86" s="46">
        <f t="shared" ca="1" si="33"/>
        <v>23</v>
      </c>
      <c r="C86" s="1">
        <f>IF(ISERROR(D86),"",IF(D86="","",MAX($C$73:C85)+1))</f>
        <v>12</v>
      </c>
      <c r="D86" t="str">
        <f t="shared" si="36"/>
        <v xml:space="preserve">DTE Energy                    </v>
      </c>
      <c r="E86" s="22"/>
      <c r="F86" s="63">
        <f t="shared" ca="1" si="37"/>
        <v>0.65947297708546959</v>
      </c>
      <c r="G86" s="63">
        <f t="shared" si="34"/>
        <v>0.58373983739837387</v>
      </c>
      <c r="H86" s="63">
        <f ca="1">IFERROR(VLOOKUP($A86,LASTYR,'2017'!$O$3,FALSE),"N/A")</f>
        <v>0.58638743455497377</v>
      </c>
      <c r="I86" s="63">
        <f t="shared" ca="1" si="35"/>
        <v>0.63354037267080743</v>
      </c>
      <c r="J86" s="63">
        <f t="shared" ca="1" si="35"/>
        <v>0.63963963963963955</v>
      </c>
      <c r="K86" s="63">
        <f t="shared" ca="1" si="35"/>
        <v>0.52745098039215688</v>
      </c>
      <c r="L86" s="63">
        <f t="shared" ca="1" si="35"/>
        <v>0.68882978723404253</v>
      </c>
      <c r="M86" s="63">
        <f t="shared" ca="1" si="35"/>
        <v>0.62371134020618557</v>
      </c>
      <c r="N86" s="63">
        <f t="shared" ca="1" si="35"/>
        <v>0.63215258855585832</v>
      </c>
      <c r="O86" s="63">
        <f t="shared" ca="1" si="35"/>
        <v>0.58288770053475936</v>
      </c>
      <c r="P86" s="63">
        <f t="shared" ca="1" si="35"/>
        <v>0.65432098765432101</v>
      </c>
      <c r="Q86" s="63">
        <f t="shared" ca="1" si="35"/>
        <v>0.77655677655677657</v>
      </c>
      <c r="R86" s="63">
        <f t="shared" ca="1" si="35"/>
        <v>0.79699248120300747</v>
      </c>
      <c r="S86" s="63">
        <f t="shared" ca="1" si="35"/>
        <v>0.84693877551020413</v>
      </c>
      <c r="T86" s="63">
        <f t="shared" ca="1" si="38"/>
        <v>5.5403413975193416</v>
      </c>
      <c r="U86" s="63">
        <f t="shared" ca="1" si="38"/>
        <v>6.0036690000000004</v>
      </c>
      <c r="V86" s="63">
        <f t="shared" ca="1" si="38"/>
        <v>5.6177109999999999</v>
      </c>
      <c r="W86" s="63">
        <f t="shared" ca="1" si="38"/>
        <v>5.20106</v>
      </c>
    </row>
    <row r="87" spans="1:23" x14ac:dyDescent="0.2">
      <c r="A87" s="51" t="str">
        <f t="shared" si="32"/>
        <v>DUK</v>
      </c>
      <c r="B87" s="46">
        <f t="shared" ca="1" si="33"/>
        <v>24</v>
      </c>
      <c r="C87" s="1">
        <f>IF(ISERROR(D87),"",IF(D87="","",MAX($C$73:C86)+1))</f>
        <v>13</v>
      </c>
      <c r="D87" t="str">
        <f t="shared" si="36"/>
        <v xml:space="preserve">Duke Energy                   </v>
      </c>
      <c r="E87" s="22"/>
      <c r="F87" s="63">
        <f t="shared" ca="1" si="37"/>
        <v>0.79890688944589094</v>
      </c>
      <c r="G87" s="63">
        <f t="shared" si="34"/>
        <v>0.82727272727272727</v>
      </c>
      <c r="H87" s="63">
        <f ca="1">IFERROR(VLOOKUP($A87,LASTYR,'2017'!$O$3,FALSE),"N/A")</f>
        <v>0.82701421800947872</v>
      </c>
      <c r="I87" s="63">
        <f t="shared" ca="1" si="35"/>
        <v>0.90566037735849059</v>
      </c>
      <c r="J87" s="63">
        <f t="shared" ca="1" si="35"/>
        <v>0.79024390243902454</v>
      </c>
      <c r="K87" s="63">
        <f t="shared" ca="1" si="35"/>
        <v>0.76271186440677963</v>
      </c>
      <c r="L87" s="63">
        <f t="shared" ca="1" si="35"/>
        <v>0.77638190954773867</v>
      </c>
      <c r="M87" s="63">
        <f t="shared" ca="1" si="35"/>
        <v>0.81671159029649587</v>
      </c>
      <c r="N87" s="63">
        <f t="shared" ca="1" si="35"/>
        <v>0.71739130434782616</v>
      </c>
      <c r="O87" s="63">
        <f t="shared" ca="1" si="35"/>
        <v>0.72388059701492546</v>
      </c>
      <c r="P87" s="63">
        <f t="shared" ca="1" si="35"/>
        <v>0.83185840707964598</v>
      </c>
      <c r="Q87" s="63">
        <f t="shared" ca="1" si="35"/>
        <v>0.89108910891089121</v>
      </c>
      <c r="R87" s="63">
        <f t="shared" ca="1" si="35"/>
        <v>0.71666666666666667</v>
      </c>
      <c r="S87" s="63" t="str">
        <f t="shared" ca="1" si="35"/>
        <v>N/A</v>
      </c>
      <c r="T87" s="63" t="str">
        <f t="shared" ca="1" si="38"/>
        <v>N/A</v>
      </c>
      <c r="U87" s="63" t="str">
        <f t="shared" ca="1" si="38"/>
        <v>N/A</v>
      </c>
      <c r="V87" s="63" t="str">
        <f t="shared" ca="1" si="38"/>
        <v>N/A</v>
      </c>
      <c r="W87" s="63" t="str">
        <f t="shared" ca="1" si="38"/>
        <v>N/A</v>
      </c>
    </row>
    <row r="88" spans="1:23" x14ac:dyDescent="0.2">
      <c r="A88" s="51" t="str">
        <f t="shared" si="32"/>
        <v>EIX</v>
      </c>
      <c r="B88" s="46">
        <f t="shared" ca="1" si="33"/>
        <v>25</v>
      </c>
      <c r="C88" s="1">
        <f>IF(ISERROR(D88),"",IF(D88="","",MAX($C$73:C87)+1))</f>
        <v>14</v>
      </c>
      <c r="D88" t="str">
        <f t="shared" si="36"/>
        <v xml:space="preserve">Edison Int'l                  </v>
      </c>
      <c r="E88" s="22"/>
      <c r="F88" s="63">
        <f t="shared" ca="1" si="37"/>
        <v>0.39646666004975312</v>
      </c>
      <c r="G88" s="63">
        <f t="shared" si="34"/>
        <v>0.56321839080459779</v>
      </c>
      <c r="H88" s="63">
        <f ca="1">IFERROR(VLOOKUP($A88,LASTYR,'2017'!$O$3,FALSE),"N/A")</f>
        <v>0.49512195121951225</v>
      </c>
      <c r="I88" s="63">
        <f t="shared" ca="1" si="35"/>
        <v>0.50329949238578686</v>
      </c>
      <c r="J88" s="63">
        <f t="shared" ca="1" si="35"/>
        <v>0.4175903614457831</v>
      </c>
      <c r="K88" s="63">
        <f t="shared" ca="1" si="35"/>
        <v>0.34249422632794457</v>
      </c>
      <c r="L88" s="63">
        <f t="shared" ca="1" si="35"/>
        <v>0.36190476190476195</v>
      </c>
      <c r="M88" s="63">
        <f t="shared" ca="1" si="35"/>
        <v>0.28857142857142859</v>
      </c>
      <c r="N88" s="63">
        <f t="shared" ca="1" si="35"/>
        <v>0.39783281733746129</v>
      </c>
      <c r="O88" s="63">
        <f t="shared" ca="1" si="35"/>
        <v>0.37761194029850742</v>
      </c>
      <c r="P88" s="63">
        <f t="shared" ca="1" si="35"/>
        <v>0.38425925925925924</v>
      </c>
      <c r="Q88" s="63">
        <f t="shared" ca="1" si="35"/>
        <v>0.3328804347826087</v>
      </c>
      <c r="R88" s="63">
        <f t="shared" ca="1" si="35"/>
        <v>0.35391566265060243</v>
      </c>
      <c r="S88" s="63">
        <f t="shared" ca="1" si="35"/>
        <v>0.33536585365853661</v>
      </c>
      <c r="T88" s="63">
        <f t="shared" ca="1" si="38"/>
        <v>5.6129401660463794</v>
      </c>
      <c r="U88" s="63">
        <f t="shared" ca="1" si="38"/>
        <v>6.8365840000000002</v>
      </c>
      <c r="V88" s="63">
        <f t="shared" ca="1" si="38"/>
        <v>2.8197589999999999</v>
      </c>
      <c r="W88" s="63">
        <f t="shared" ca="1" si="38"/>
        <v>2.960502</v>
      </c>
    </row>
    <row r="89" spans="1:23" x14ac:dyDescent="0.2">
      <c r="A89" s="51" t="str">
        <f t="shared" si="32"/>
        <v>EE</v>
      </c>
      <c r="B89" s="46">
        <f t="shared" ca="1" si="33"/>
        <v>26</v>
      </c>
      <c r="C89" s="1">
        <f>IF(ISERROR(D89),"",IF(D89="","",MAX($C$73:C88)+1))</f>
        <v>15</v>
      </c>
      <c r="D89" t="str">
        <f t="shared" si="36"/>
        <v xml:space="preserve">El Paso Electric              </v>
      </c>
      <c r="E89" s="22"/>
      <c r="F89" s="63">
        <f t="shared" ca="1" si="37"/>
        <v>0.48047647684641698</v>
      </c>
      <c r="G89" s="63">
        <f t="shared" si="34"/>
        <v>0.55686274509803924</v>
      </c>
      <c r="H89" s="63">
        <f ca="1">IFERROR(VLOOKUP($A89,LASTYR,'2017'!$O$3,FALSE),"N/A")</f>
        <v>0.54338842975206614</v>
      </c>
      <c r="I89" s="63">
        <f t="shared" ca="1" si="35"/>
        <v>0.5125523012552301</v>
      </c>
      <c r="J89" s="63">
        <f t="shared" ca="1" si="35"/>
        <v>0.57389162561576357</v>
      </c>
      <c r="K89" s="63">
        <f t="shared" ca="1" si="35"/>
        <v>0.486784140969163</v>
      </c>
      <c r="L89" s="63">
        <f t="shared" ca="1" si="35"/>
        <v>0.47499999999999992</v>
      </c>
      <c r="M89" s="63">
        <f t="shared" ca="1" si="35"/>
        <v>0.42920353982300885</v>
      </c>
      <c r="N89" s="63">
        <f t="shared" ca="1" si="35"/>
        <v>0.26612903225806456</v>
      </c>
      <c r="O89" s="63" t="str">
        <f t="shared" ca="1" si="35"/>
        <v>N/A</v>
      </c>
      <c r="P89" s="63" t="str">
        <f t="shared" ca="1" si="35"/>
        <v>N/A</v>
      </c>
      <c r="Q89" s="63" t="str">
        <f t="shared" ca="1" si="35"/>
        <v>N/A</v>
      </c>
      <c r="R89" s="63" t="str">
        <f t="shared" ca="1" si="35"/>
        <v>N/A</v>
      </c>
      <c r="S89" s="63" t="str">
        <f t="shared" ca="1" si="35"/>
        <v>N/A</v>
      </c>
      <c r="T89" s="63">
        <f t="shared" ca="1" si="38"/>
        <v>6.6677609980302037</v>
      </c>
      <c r="U89" s="63">
        <f t="shared" ca="1" si="38"/>
        <v>4.6549300000000002</v>
      </c>
      <c r="V89" s="63">
        <f t="shared" ca="1" si="38"/>
        <v>3.8985989999999999</v>
      </c>
      <c r="W89" s="63">
        <f t="shared" ca="1" si="38"/>
        <v>4.3862110000000003</v>
      </c>
    </row>
    <row r="90" spans="1:23" x14ac:dyDescent="0.2">
      <c r="A90" s="51" t="str">
        <f t="shared" si="32"/>
        <v>ETR</v>
      </c>
      <c r="B90" s="46">
        <f t="shared" ca="1" si="33"/>
        <v>28</v>
      </c>
      <c r="C90" s="1">
        <f>IF(ISERROR(D90),"",IF(D90="","",MAX($C$73:C89)+1))</f>
        <v>16</v>
      </c>
      <c r="D90" t="str">
        <f t="shared" si="36"/>
        <v xml:space="preserve">Entergy Corp.                 </v>
      </c>
      <c r="E90" s="22"/>
      <c r="F90" s="63">
        <f t="shared" ca="1" si="37"/>
        <v>0.53911999420483891</v>
      </c>
      <c r="G90" s="63">
        <f t="shared" si="34"/>
        <v>0.71599999999999997</v>
      </c>
      <c r="H90" s="63">
        <f ca="1">IFERROR(VLOOKUP($A90,LASTYR,'2017'!$O$3,FALSE),"N/A")</f>
        <v>0.67437379576107892</v>
      </c>
      <c r="I90" s="63">
        <f t="shared" ca="1" si="35"/>
        <v>0.49709302325581395</v>
      </c>
      <c r="J90" s="63">
        <f t="shared" ca="1" si="35"/>
        <v>0.57487091222030984</v>
      </c>
      <c r="K90" s="63">
        <f t="shared" ca="1" si="35"/>
        <v>0.57538994800693244</v>
      </c>
      <c r="L90" s="63">
        <f t="shared" ca="1" si="35"/>
        <v>0.66935483870967738</v>
      </c>
      <c r="M90" s="63">
        <f t="shared" ca="1" si="35"/>
        <v>0.55149501661129574</v>
      </c>
      <c r="N90" s="63">
        <f t="shared" ca="1" si="35"/>
        <v>0.43973509933774835</v>
      </c>
      <c r="O90" s="63">
        <f t="shared" ca="1" si="35"/>
        <v>0.48648648648648651</v>
      </c>
      <c r="P90" s="63">
        <f t="shared" ca="1" si="35"/>
        <v>0.47619047619047622</v>
      </c>
      <c r="Q90" s="63">
        <f t="shared" ca="1" si="35"/>
        <v>0.48387096774193544</v>
      </c>
      <c r="R90" s="63">
        <f t="shared" ca="1" si="35"/>
        <v>0.46071428571428574</v>
      </c>
      <c r="S90" s="63">
        <f t="shared" ca="1" si="35"/>
        <v>0.40298507462686567</v>
      </c>
      <c r="T90" s="63">
        <f t="shared" ca="1" si="38"/>
        <v>8.756049865558543</v>
      </c>
      <c r="U90" s="63">
        <f t="shared" ca="1" si="38"/>
        <v>7.1220420000000004</v>
      </c>
      <c r="V90" s="63">
        <f t="shared" ca="1" si="38"/>
        <v>6.8374600000000001</v>
      </c>
      <c r="W90" s="63">
        <f t="shared" ca="1" si="38"/>
        <v>5.5696649999999996</v>
      </c>
    </row>
    <row r="91" spans="1:23" x14ac:dyDescent="0.2">
      <c r="A91" s="51" t="str">
        <f t="shared" si="32"/>
        <v>ES</v>
      </c>
      <c r="B91" s="46">
        <f t="shared" ca="1" si="33"/>
        <v>29</v>
      </c>
      <c r="C91" s="1">
        <f>IF(ISERROR(D91),"",IF(D91="","",MAX($C$73:C90)+1))</f>
        <v>17</v>
      </c>
      <c r="D91" t="str">
        <f t="shared" si="36"/>
        <v xml:space="preserve">Eversource Energy    </v>
      </c>
      <c r="E91" s="22"/>
      <c r="F91" s="63">
        <f t="shared" ca="1" si="37"/>
        <v>0.58709885179019605</v>
      </c>
      <c r="G91" s="63">
        <f t="shared" si="34"/>
        <v>0.6215384615384616</v>
      </c>
      <c r="H91" s="63">
        <f ca="1">IFERROR(VLOOKUP($A91,LASTYR,'2017'!$O$3,FALSE),"N/A")</f>
        <v>0.61093247588424437</v>
      </c>
      <c r="I91" s="63">
        <f t="shared" ref="I91:I120" ca="1" si="39">IFERROR(IF(INDEX(DIV_EARN_WP,$B91,I$74)=0,"N/A",INDEX(DIV_EARN_WP,$B91,I$74)),"N/A")</f>
        <v>0.60135135135135132</v>
      </c>
      <c r="J91" s="63">
        <f t="shared" ref="J91:S107" ca="1" si="40">IFERROR(IF(INDEX(DIV_EARN_WP,$B91,J$74)=0,"N/A",INDEX(DIV_EARN_WP,$B91,J$74)),"N/A")</f>
        <v>0.60507246376811596</v>
      </c>
      <c r="K91" s="63">
        <f t="shared" ca="1" si="40"/>
        <v>0.60852713178294571</v>
      </c>
      <c r="L91" s="63">
        <f t="shared" ca="1" si="40"/>
        <v>0.59036144578313243</v>
      </c>
      <c r="M91" s="63">
        <f t="shared" ca="1" si="40"/>
        <v>0.69841269841269848</v>
      </c>
      <c r="N91" s="63">
        <f t="shared" ca="1" si="40"/>
        <v>0.49549549549549549</v>
      </c>
      <c r="O91" s="63">
        <f t="shared" ca="1" si="40"/>
        <v>0.48809523809523803</v>
      </c>
      <c r="P91" s="63">
        <f t="shared" ca="1" si="40"/>
        <v>0.49738219895287961</v>
      </c>
      <c r="Q91" s="63">
        <f t="shared" ca="1" si="40"/>
        <v>0.44354838709677413</v>
      </c>
      <c r="R91" s="63">
        <f t="shared" ca="1" si="40"/>
        <v>0.48742138364779874</v>
      </c>
      <c r="S91" s="63">
        <f t="shared" ca="1" si="40"/>
        <v>0.88414634146341464</v>
      </c>
      <c r="T91" s="63">
        <f t="shared" ca="1" si="38"/>
        <v>3.5481033534909288</v>
      </c>
      <c r="U91" s="63">
        <f t="shared" ca="1" si="38"/>
        <v>3.782826</v>
      </c>
      <c r="V91" s="63">
        <f t="shared" ca="1" si="38"/>
        <v>2.852541</v>
      </c>
      <c r="W91" s="63">
        <f t="shared" ca="1" si="38"/>
        <v>2.746715</v>
      </c>
    </row>
    <row r="92" spans="1:23" x14ac:dyDescent="0.2">
      <c r="A92" s="51" t="str">
        <f t="shared" si="32"/>
        <v>EVRG</v>
      </c>
      <c r="B92" s="46" t="str">
        <f t="shared" ref="B92:B93" ca="1" si="41">IFERROR(MATCH(A92,OFFSET(DIV_EARN_WP,0,0,,1),0),"")</f>
        <v/>
      </c>
      <c r="C92" s="1">
        <f>IF(ISERROR(D92),"",IF(D92="","",MAX($C$73:C91)+1))</f>
        <v>18</v>
      </c>
      <c r="D92" t="str">
        <f>D30</f>
        <v>Evergy, Inc.</v>
      </c>
      <c r="E92" s="22"/>
      <c r="F92" s="63">
        <f t="shared" ca="1" si="37"/>
        <v>0.69599999999999995</v>
      </c>
      <c r="G92" s="63">
        <f t="shared" si="34"/>
        <v>0.69599999999999995</v>
      </c>
      <c r="H92" s="63" t="str">
        <f ca="1">IFERROR(VLOOKUP($A92,LASTYR,'2017'!$O$3,FALSE),"N/A")</f>
        <v>N/A</v>
      </c>
      <c r="I92" s="63" t="str">
        <f t="shared" ca="1" si="39"/>
        <v>N/A</v>
      </c>
      <c r="J92" s="63" t="str">
        <f t="shared" ca="1" si="40"/>
        <v>N/A</v>
      </c>
      <c r="K92" s="63" t="str">
        <f t="shared" ca="1" si="40"/>
        <v>N/A</v>
      </c>
      <c r="L92" s="63" t="str">
        <f t="shared" ca="1" si="40"/>
        <v>N/A</v>
      </c>
      <c r="M92" s="63" t="str">
        <f t="shared" ca="1" si="40"/>
        <v>N/A</v>
      </c>
      <c r="N92" s="63" t="str">
        <f t="shared" ca="1" si="40"/>
        <v>N/A</v>
      </c>
      <c r="O92" s="63" t="str">
        <f t="shared" ca="1" si="40"/>
        <v>N/A</v>
      </c>
      <c r="P92" s="63" t="str">
        <f t="shared" ca="1" si="40"/>
        <v>N/A</v>
      </c>
      <c r="Q92" s="63" t="str">
        <f t="shared" ca="1" si="40"/>
        <v>N/A</v>
      </c>
      <c r="R92" s="63" t="str">
        <f t="shared" ca="1" si="40"/>
        <v>N/A</v>
      </c>
      <c r="S92" s="63" t="str">
        <f t="shared" ca="1" si="40"/>
        <v>N/A</v>
      </c>
      <c r="T92" s="63"/>
      <c r="U92" s="63"/>
      <c r="V92" s="63"/>
      <c r="W92" s="63"/>
    </row>
    <row r="93" spans="1:23" x14ac:dyDescent="0.2">
      <c r="A93" s="51" t="str">
        <f t="shared" ref="A93:A120" si="42">A31</f>
        <v>EXC</v>
      </c>
      <c r="B93" s="46">
        <f t="shared" ca="1" si="41"/>
        <v>30</v>
      </c>
      <c r="C93" s="1">
        <f>IF(ISERROR(D93),"",IF(D93="","",MAX($C$73:C92)+1))</f>
        <v>19</v>
      </c>
      <c r="D93" t="str">
        <f t="shared" ref="D93:D120" si="43">D31</f>
        <v xml:space="preserve">Exelon Corp.                  </v>
      </c>
      <c r="E93" s="22"/>
      <c r="F93" s="63">
        <f t="shared" ca="1" si="37"/>
        <v>0.57983375373303536</v>
      </c>
      <c r="G93" s="63">
        <f t="shared" si="34"/>
        <v>0.55199999999999994</v>
      </c>
      <c r="H93" s="63">
        <f ca="1">IFERROR(VLOOKUP($A93,LASTYR,'2017'!$O$3,FALSE),"N/A")</f>
        <v>0.47122302158273388</v>
      </c>
      <c r="I93" s="63">
        <f t="shared" ca="1" si="39"/>
        <v>0.7</v>
      </c>
      <c r="J93" s="63">
        <f t="shared" ca="1" si="40"/>
        <v>0.48818897637795272</v>
      </c>
      <c r="K93" s="63">
        <f t="shared" ca="1" si="40"/>
        <v>0.59047619047619049</v>
      </c>
      <c r="L93" s="63">
        <f t="shared" ca="1" si="40"/>
        <v>0.62987012987012991</v>
      </c>
      <c r="M93" s="63">
        <f t="shared" ca="1" si="40"/>
        <v>1.09375</v>
      </c>
      <c r="N93" s="63">
        <f t="shared" ca="1" si="40"/>
        <v>0.56000000000000005</v>
      </c>
      <c r="O93" s="63">
        <f t="shared" ca="1" si="40"/>
        <v>0.54263565891472865</v>
      </c>
      <c r="P93" s="63">
        <f t="shared" ca="1" si="40"/>
        <v>0.48951048951048953</v>
      </c>
      <c r="Q93" s="63">
        <f t="shared" ca="1" si="40"/>
        <v>0.5</v>
      </c>
      <c r="R93" s="63">
        <f t="shared" ca="1" si="40"/>
        <v>0.45161290322580644</v>
      </c>
      <c r="S93" s="63">
        <f t="shared" ca="1" si="40"/>
        <v>0.46857142857142853</v>
      </c>
      <c r="T93" s="63">
        <f t="shared" ca="1" si="38"/>
        <v>7.9709208400646201</v>
      </c>
      <c r="U93" s="63">
        <f t="shared" ca="1" si="38"/>
        <v>6.2868700000000004</v>
      </c>
      <c r="V93" s="63">
        <f t="shared" ca="1" si="38"/>
        <v>5.7122630000000001</v>
      </c>
      <c r="W93" s="63">
        <f t="shared" ca="1" si="38"/>
        <v>4.9749699999999999</v>
      </c>
    </row>
    <row r="94" spans="1:23" x14ac:dyDescent="0.2">
      <c r="A94" s="51" t="str">
        <f t="shared" si="42"/>
        <v>FE</v>
      </c>
      <c r="B94" s="46">
        <f t="shared" ref="B94:B120" ca="1" si="44">IFERROR(MATCH(A94,OFFSET(DIV_EARN_WP,0,0,,1),0),"")</f>
        <v>31</v>
      </c>
      <c r="C94" s="1">
        <f>IF(ISERROR(D94),"",IF(D94="","",MAX($C$73:C93)+1))</f>
        <v>20</v>
      </c>
      <c r="D94" t="str">
        <f t="shared" si="43"/>
        <v xml:space="preserve">FirstEnergy Corp.             </v>
      </c>
      <c r="E94" s="22"/>
      <c r="F94" s="63">
        <f t="shared" ca="1" si="37"/>
        <v>0.80384942408934812</v>
      </c>
      <c r="G94" s="63">
        <f t="shared" si="34"/>
        <v>1.2521739130434784</v>
      </c>
      <c r="H94" s="63">
        <f ca="1">IFERROR(VLOOKUP($A94,LASTYR,'2017'!$O$3,FALSE),"N/A")</f>
        <v>0.52747252747252749</v>
      </c>
      <c r="I94" s="63">
        <f t="shared" ca="1" si="39"/>
        <v>0.68571428571428561</v>
      </c>
      <c r="J94" s="63">
        <f t="shared" ca="1" si="40"/>
        <v>0.72</v>
      </c>
      <c r="K94" s="63">
        <f t="shared" ca="1" si="40"/>
        <v>1.6941176470588235</v>
      </c>
      <c r="L94" s="63">
        <f t="shared" ca="1" si="40"/>
        <v>0.55555555555555547</v>
      </c>
      <c r="M94" s="63">
        <f t="shared" ca="1" si="40"/>
        <v>1.0328638497652582</v>
      </c>
      <c r="N94" s="63">
        <f t="shared" ca="1" si="40"/>
        <v>1.1702127659574471</v>
      </c>
      <c r="O94" s="63">
        <f t="shared" ca="1" si="40"/>
        <v>0.67692307692307696</v>
      </c>
      <c r="P94" s="63">
        <f t="shared" ca="1" si="40"/>
        <v>0.66265060240963869</v>
      </c>
      <c r="Q94" s="63">
        <f t="shared" ca="1" si="40"/>
        <v>0.50228310502283113</v>
      </c>
      <c r="R94" s="63">
        <f t="shared" ca="1" si="40"/>
        <v>0.48578199052132698</v>
      </c>
      <c r="S94" s="63">
        <f t="shared" ca="1" si="40"/>
        <v>0.48429319371727753</v>
      </c>
      <c r="T94" s="63">
        <f t="shared" ca="1" si="38"/>
        <v>6.0413135593220346</v>
      </c>
      <c r="U94" s="63">
        <f t="shared" ca="1" si="38"/>
        <v>5.149756</v>
      </c>
      <c r="V94" s="63">
        <f t="shared" ca="1" si="38"/>
        <v>6.8987049999999996</v>
      </c>
      <c r="W94" s="63">
        <f t="shared" ca="1" si="38"/>
        <v>5.104406</v>
      </c>
    </row>
    <row r="95" spans="1:23" x14ac:dyDescent="0.2">
      <c r="A95" s="51" t="str">
        <f t="shared" si="42"/>
        <v>FTS.TO</v>
      </c>
      <c r="B95" s="46">
        <f t="shared" ca="1" si="44"/>
        <v>32</v>
      </c>
      <c r="C95" s="1">
        <f>IF(ISERROR(D95),"",IF(D95="","",MAX($C$73:C94)+1))</f>
        <v>21</v>
      </c>
      <c r="D95" t="str">
        <f t="shared" si="43"/>
        <v>Fortis Inc.</v>
      </c>
      <c r="E95" s="22"/>
      <c r="F95" s="63">
        <f t="shared" ca="1" si="37"/>
        <v>0.69800004442459296</v>
      </c>
      <c r="G95" s="63">
        <f t="shared" si="34"/>
        <v>0.67307692307692302</v>
      </c>
      <c r="H95" s="63">
        <f ca="1">IFERROR(VLOOKUP($A95,LASTYR,'2017'!$O$3,FALSE),"N/A")</f>
        <v>0.62030075187969913</v>
      </c>
      <c r="I95" s="63">
        <f t="shared" ca="1" si="39"/>
        <v>0.82010582010582023</v>
      </c>
      <c r="J95" s="63">
        <f t="shared" ca="1" si="40"/>
        <v>0.67772511848341233</v>
      </c>
      <c r="K95" s="63">
        <f t="shared" ca="1" si="40"/>
        <v>0.94202898550724645</v>
      </c>
      <c r="L95" s="63">
        <f t="shared" ca="1" si="40"/>
        <v>0.76687116564417179</v>
      </c>
      <c r="M95" s="63">
        <f t="shared" ca="1" si="40"/>
        <v>0.73333333333333339</v>
      </c>
      <c r="N95" s="63">
        <f t="shared" ca="1" si="40"/>
        <v>0.67241379310344829</v>
      </c>
      <c r="O95" s="63">
        <f t="shared" ca="1" si="40"/>
        <v>0.6913580246913581</v>
      </c>
      <c r="P95" s="63">
        <f t="shared" ca="1" si="40"/>
        <v>0.6887417218543046</v>
      </c>
      <c r="Q95" s="63">
        <f t="shared" ca="1" si="40"/>
        <v>0.65789473684210531</v>
      </c>
      <c r="R95" s="63">
        <f t="shared" ca="1" si="40"/>
        <v>0.63714063714063718</v>
      </c>
      <c r="S95" s="63">
        <f t="shared" ca="1" si="40"/>
        <v>0.49300956585724803</v>
      </c>
      <c r="T95" s="63" t="str">
        <f t="shared" ca="1" si="38"/>
        <v>N/A</v>
      </c>
      <c r="U95" s="63" t="str">
        <f t="shared" ca="1" si="38"/>
        <v>N/A</v>
      </c>
      <c r="V95" s="63" t="str">
        <f t="shared" ca="1" si="38"/>
        <v>N/A</v>
      </c>
      <c r="W95" s="63" t="str">
        <f t="shared" ca="1" si="38"/>
        <v>N/A</v>
      </c>
    </row>
    <row r="96" spans="1:23" x14ac:dyDescent="0.2">
      <c r="A96" s="51" t="str">
        <f t="shared" si="42"/>
        <v>GXP</v>
      </c>
      <c r="B96" s="46">
        <f t="shared" ca="1" si="44"/>
        <v>34</v>
      </c>
      <c r="C96" s="1">
        <f>IF(ISERROR(D96),"",IF(D96="","",MAX($C$73:C95)+1))</f>
        <v>22</v>
      </c>
      <c r="D96" t="str">
        <f t="shared" si="43"/>
        <v xml:space="preserve">Great Plains Energy             </v>
      </c>
      <c r="E96" s="22"/>
      <c r="F96" s="63">
        <f t="shared" ca="1" si="37"/>
        <v>-0.81724462141346976</v>
      </c>
      <c r="G96" s="63" t="str">
        <f t="shared" si="34"/>
        <v>N/A</v>
      </c>
      <c r="H96" s="63">
        <f ca="1">IFERROR(VLOOKUP($A96,LASTYR,'2017'!$O$3,FALSE),"N/A")</f>
        <v>-18.333333333333336</v>
      </c>
      <c r="I96" s="63">
        <f t="shared" ca="1" si="39"/>
        <v>0.65527950310559002</v>
      </c>
      <c r="J96" s="63">
        <f t="shared" ca="1" si="40"/>
        <v>0.72846715328467149</v>
      </c>
      <c r="K96" s="63">
        <f t="shared" ca="1" si="40"/>
        <v>0.59554140127388533</v>
      </c>
      <c r="L96" s="63">
        <f t="shared" ca="1" si="40"/>
        <v>0.5444444444444444</v>
      </c>
      <c r="M96" s="63">
        <f t="shared" ca="1" si="40"/>
        <v>0.6333333333333333</v>
      </c>
      <c r="N96" s="63">
        <f t="shared" ca="1" si="40"/>
        <v>0.66799999999999993</v>
      </c>
      <c r="O96" s="63">
        <f t="shared" ca="1" si="40"/>
        <v>0.54248366013071891</v>
      </c>
      <c r="P96" s="63">
        <f t="shared" ca="1" si="40"/>
        <v>0.80582524271844658</v>
      </c>
      <c r="Q96" s="63">
        <f t="shared" ca="1" si="40"/>
        <v>1.4310344827586208</v>
      </c>
      <c r="R96" s="63">
        <f t="shared" ca="1" si="40"/>
        <v>0.89729729729729724</v>
      </c>
      <c r="S96" s="63">
        <f t="shared" ca="1" si="40"/>
        <v>1.0246913580246912</v>
      </c>
      <c r="T96" s="63">
        <f t="shared" ca="1" si="38"/>
        <v>6.6982834507042259</v>
      </c>
      <c r="U96" s="63">
        <f t="shared" ca="1" si="38"/>
        <v>6.5216839999999996</v>
      </c>
      <c r="V96" s="63">
        <f t="shared" ca="1" si="38"/>
        <v>5.9151930000000004</v>
      </c>
      <c r="W96" s="63">
        <f t="shared" ca="1" si="38"/>
        <v>5.1369210000000001</v>
      </c>
    </row>
    <row r="97" spans="1:23" x14ac:dyDescent="0.2">
      <c r="A97" s="51" t="str">
        <f t="shared" si="42"/>
        <v>HE</v>
      </c>
      <c r="B97" s="46">
        <f t="shared" ca="1" si="44"/>
        <v>35</v>
      </c>
      <c r="C97" s="1">
        <f>IF(ISERROR(D97),"",IF(D97="","",MAX($C$73:C96)+1))</f>
        <v>23</v>
      </c>
      <c r="D97" t="str">
        <f t="shared" si="43"/>
        <v xml:space="preserve">Hawaiian Elec.                </v>
      </c>
      <c r="E97" s="22"/>
      <c r="F97" s="63">
        <f t="shared" ca="1" si="37"/>
        <v>0.88444565104489858</v>
      </c>
      <c r="G97" s="63">
        <f t="shared" si="34"/>
        <v>0.65263157894736845</v>
      </c>
      <c r="H97" s="63">
        <f ca="1">IFERROR(VLOOKUP($A97,LASTYR,'2017'!$O$3,FALSE),"N/A")</f>
        <v>0.75609756097560976</v>
      </c>
      <c r="I97" s="63">
        <f t="shared" ca="1" si="39"/>
        <v>0.54148471615720528</v>
      </c>
      <c r="J97" s="63">
        <f t="shared" ca="1" si="40"/>
        <v>0.82666666666666666</v>
      </c>
      <c r="K97" s="63">
        <f t="shared" ca="1" si="40"/>
        <v>0.75609756097560976</v>
      </c>
      <c r="L97" s="63">
        <f t="shared" ca="1" si="40"/>
        <v>0.76543209876543206</v>
      </c>
      <c r="M97" s="63">
        <f t="shared" ca="1" si="40"/>
        <v>0.74251497005988032</v>
      </c>
      <c r="N97" s="63">
        <f t="shared" ca="1" si="40"/>
        <v>0.86111111111111116</v>
      </c>
      <c r="O97" s="63">
        <f t="shared" ca="1" si="40"/>
        <v>1.024793388429752</v>
      </c>
      <c r="P97" s="63">
        <f t="shared" ca="1" si="40"/>
        <v>1.3626373626373627</v>
      </c>
      <c r="Q97" s="63">
        <f t="shared" ca="1" si="40"/>
        <v>1.1588785046728971</v>
      </c>
      <c r="R97" s="63">
        <f t="shared" ca="1" si="40"/>
        <v>1.117117117117117</v>
      </c>
      <c r="S97" s="63">
        <f t="shared" ca="1" si="40"/>
        <v>0.93233082706766912</v>
      </c>
      <c r="T97" s="63">
        <f t="shared" ca="1" si="38"/>
        <v>8.290553138595401</v>
      </c>
      <c r="U97" s="63">
        <f t="shared" ca="1" si="38"/>
        <v>8.4448039999999995</v>
      </c>
      <c r="V97" s="63">
        <f t="shared" ca="1" si="38"/>
        <v>6.1214690000000003</v>
      </c>
      <c r="W97" s="63">
        <f t="shared" ca="1" si="38"/>
        <v>6.1993749999999999</v>
      </c>
    </row>
    <row r="98" spans="1:23" x14ac:dyDescent="0.2">
      <c r="A98" s="51" t="str">
        <f t="shared" si="42"/>
        <v>IDA</v>
      </c>
      <c r="B98" s="46">
        <f t="shared" ca="1" si="44"/>
        <v>36</v>
      </c>
      <c r="C98" s="1">
        <f>IF(ISERROR(D98),"",IF(D98="","",MAX($C$73:C97)+1))</f>
        <v>24</v>
      </c>
      <c r="D98" t="str">
        <f t="shared" si="43"/>
        <v xml:space="preserve">IDACORP, Inc.                 </v>
      </c>
      <c r="E98" s="22"/>
      <c r="F98" s="63">
        <f t="shared" ca="1" si="37"/>
        <v>0.48722806621537929</v>
      </c>
      <c r="G98" s="63">
        <f t="shared" si="34"/>
        <v>0.55813953488372092</v>
      </c>
      <c r="H98" s="63">
        <f ca="1">IFERROR(VLOOKUP($A98,LASTYR,'2017'!$O$3,FALSE),"N/A")</f>
        <v>0.5320665083135393</v>
      </c>
      <c r="I98" s="63">
        <f t="shared" ca="1" si="39"/>
        <v>0.52791878172588835</v>
      </c>
      <c r="J98" s="63">
        <f t="shared" ca="1" si="40"/>
        <v>0.49612403100775193</v>
      </c>
      <c r="K98" s="63">
        <f t="shared" ca="1" si="40"/>
        <v>0.45714285714285713</v>
      </c>
      <c r="L98" s="63">
        <f t="shared" ca="1" si="40"/>
        <v>0.43131868131868134</v>
      </c>
      <c r="M98" s="63">
        <f t="shared" ca="1" si="40"/>
        <v>0.40652818991097922</v>
      </c>
      <c r="N98" s="63">
        <f t="shared" ca="1" si="40"/>
        <v>0.35714285714285715</v>
      </c>
      <c r="O98" s="63">
        <f t="shared" ca="1" si="40"/>
        <v>0.40677966101694912</v>
      </c>
      <c r="P98" s="63">
        <f t="shared" ca="1" si="40"/>
        <v>0.45454545454545453</v>
      </c>
      <c r="Q98" s="63">
        <f t="shared" ca="1" si="40"/>
        <v>0.55045871559633019</v>
      </c>
      <c r="R98" s="63">
        <f t="shared" ca="1" si="40"/>
        <v>0.64516129032258063</v>
      </c>
      <c r="S98" s="63">
        <f t="shared" ca="1" si="40"/>
        <v>0.51063829787234039</v>
      </c>
      <c r="T98" s="63">
        <f t="shared" ca="1" si="38"/>
        <v>7.5475206611570247</v>
      </c>
      <c r="U98" s="63">
        <f t="shared" ca="1" si="38"/>
        <v>7.1459450000000002</v>
      </c>
      <c r="V98" s="63">
        <f t="shared" ca="1" si="38"/>
        <v>7.2654870000000003</v>
      </c>
      <c r="W98" s="63">
        <f t="shared" ca="1" si="38"/>
        <v>7.5333009999999998</v>
      </c>
    </row>
    <row r="99" spans="1:23" x14ac:dyDescent="0.2">
      <c r="A99" s="51" t="str">
        <f t="shared" si="42"/>
        <v>MGEE</v>
      </c>
      <c r="B99" s="46">
        <f t="shared" ca="1" si="44"/>
        <v>40</v>
      </c>
      <c r="C99" s="1">
        <f>IF(ISERROR(D99),"",IF(D99="","",MAX($C$73:C98)+1))</f>
        <v>25</v>
      </c>
      <c r="D99" t="str">
        <f t="shared" si="43"/>
        <v xml:space="preserve">MGE Energy                    </v>
      </c>
      <c r="E99" s="22"/>
      <c r="F99" s="63">
        <f t="shared" ca="1" si="37"/>
        <v>0.57631721548117465</v>
      </c>
      <c r="G99" s="63">
        <f t="shared" si="34"/>
        <v>0.53877551020408165</v>
      </c>
      <c r="H99" s="63">
        <f ca="1">IFERROR(VLOOKUP($A99,LASTYR,'2017'!$O$3,FALSE),"N/A")</f>
        <v>0.57272727272727264</v>
      </c>
      <c r="I99" s="63">
        <f t="shared" ca="1" si="39"/>
        <v>0.55504587155963292</v>
      </c>
      <c r="J99" s="63">
        <f t="shared" ca="1" si="40"/>
        <v>0.56310679611650483</v>
      </c>
      <c r="K99" s="63">
        <f t="shared" ca="1" si="40"/>
        <v>0.47844827586206906</v>
      </c>
      <c r="L99" s="63">
        <f t="shared" ca="1" si="40"/>
        <v>0.49537037037037035</v>
      </c>
      <c r="M99" s="63">
        <f t="shared" ca="1" si="40"/>
        <v>0.55913978494623651</v>
      </c>
      <c r="N99" s="63">
        <f t="shared" ca="1" si="40"/>
        <v>0.5744318181818181</v>
      </c>
      <c r="O99" s="63">
        <f t="shared" ca="1" si="40"/>
        <v>0.59568086382723451</v>
      </c>
      <c r="P99" s="63">
        <f t="shared" ca="1" si="40"/>
        <v>0.66055668703326542</v>
      </c>
      <c r="Q99" s="63">
        <f t="shared" ca="1" si="40"/>
        <v>0.60239445494643984</v>
      </c>
      <c r="R99" s="63">
        <f t="shared" ca="1" si="40"/>
        <v>0.62128222075346995</v>
      </c>
      <c r="S99" s="63">
        <f t="shared" ca="1" si="40"/>
        <v>0.67516387472687545</v>
      </c>
      <c r="T99" s="63">
        <f t="shared" ca="1" si="38"/>
        <v>11.727</v>
      </c>
      <c r="U99" s="63">
        <f t="shared" ca="1" si="38"/>
        <v>11.044409999999999</v>
      </c>
      <c r="V99" s="63">
        <f t="shared" ca="1" si="38"/>
        <v>10.19708</v>
      </c>
      <c r="W99" s="63">
        <f t="shared" ca="1" si="38"/>
        <v>8.0936369999999993</v>
      </c>
    </row>
    <row r="100" spans="1:23" x14ac:dyDescent="0.2">
      <c r="A100" s="51" t="str">
        <f t="shared" si="42"/>
        <v>NEE</v>
      </c>
      <c r="B100" s="46">
        <f t="shared" ca="1" si="44"/>
        <v>43</v>
      </c>
      <c r="C100" s="1">
        <f>IF(ISERROR(D100),"",IF(D100="","",MAX($C$73:C99)+1))</f>
        <v>26</v>
      </c>
      <c r="D100" t="str">
        <f t="shared" si="43"/>
        <v>NextEra Energy, Inc.</v>
      </c>
      <c r="E100" s="22"/>
      <c r="F100" s="63">
        <f t="shared" ca="1" si="37"/>
        <v>0.51195491416913874</v>
      </c>
      <c r="G100" s="63">
        <f t="shared" si="34"/>
        <v>0.59200000000000008</v>
      </c>
      <c r="H100" s="63">
        <f ca="1">IFERROR(VLOOKUP($A100,LASTYR,'2017'!$O$3,FALSE),"N/A")</f>
        <v>0.60461538461538467</v>
      </c>
      <c r="I100" s="63">
        <f t="shared" ca="1" si="39"/>
        <v>0.60207612456747406</v>
      </c>
      <c r="J100" s="63">
        <f t="shared" ca="1" si="40"/>
        <v>0.5082508250825083</v>
      </c>
      <c r="K100" s="63">
        <f t="shared" ca="1" si="40"/>
        <v>0.5178571428571429</v>
      </c>
      <c r="L100" s="63">
        <f t="shared" ca="1" si="40"/>
        <v>0.54658385093167705</v>
      </c>
      <c r="M100" s="63">
        <f t="shared" ca="1" si="40"/>
        <v>0.52631578947368418</v>
      </c>
      <c r="N100" s="63">
        <f t="shared" ca="1" si="40"/>
        <v>0.45643153526970953</v>
      </c>
      <c r="O100" s="63">
        <f t="shared" ca="1" si="40"/>
        <v>0.42194092827004215</v>
      </c>
      <c r="P100" s="63">
        <f t="shared" ca="1" si="40"/>
        <v>0.47607052896725438</v>
      </c>
      <c r="Q100" s="63">
        <f t="shared" ca="1" si="40"/>
        <v>0.4373464373464373</v>
      </c>
      <c r="R100" s="63">
        <f t="shared" ca="1" si="40"/>
        <v>0.50152905198776754</v>
      </c>
      <c r="S100" s="63">
        <f t="shared" ca="1" si="40"/>
        <v>0.46439628482972134</v>
      </c>
      <c r="T100" s="63">
        <f t="shared" ca="1" si="38"/>
        <v>6.7148405890920859</v>
      </c>
      <c r="U100" s="63">
        <f t="shared" ca="1" si="38"/>
        <v>6.7148405890920859</v>
      </c>
      <c r="V100" s="63">
        <f t="shared" ca="1" si="38"/>
        <v>5.9742903053026248</v>
      </c>
      <c r="W100" s="63">
        <f t="shared" ca="1" si="38"/>
        <v>5.7684701492537309</v>
      </c>
    </row>
    <row r="101" spans="1:23" x14ac:dyDescent="0.2">
      <c r="A101" s="51" t="str">
        <f t="shared" si="42"/>
        <v>NWE</v>
      </c>
      <c r="B101" s="46">
        <f t="shared" ca="1" si="44"/>
        <v>46</v>
      </c>
      <c r="C101" s="1">
        <f>IF(ISERROR(D101),"",IF(D101="","",MAX($C$73:C100)+1))</f>
        <v>27</v>
      </c>
      <c r="D101" t="str">
        <f t="shared" si="43"/>
        <v xml:space="preserve">NorthWestern Corp             </v>
      </c>
      <c r="E101" s="22"/>
      <c r="F101" s="63">
        <f t="shared" ca="1" si="37"/>
        <v>0.67434543884137221</v>
      </c>
      <c r="G101" s="63">
        <f t="shared" si="34"/>
        <v>0.62857142857142867</v>
      </c>
      <c r="H101" s="63">
        <f ca="1">IFERROR(VLOOKUP($A101,LASTYR,'2017'!$O$3,FALSE),"N/A")</f>
        <v>0.62874251497005995</v>
      </c>
      <c r="I101" s="63">
        <f t="shared" ca="1" si="39"/>
        <v>0.58997050147492625</v>
      </c>
      <c r="J101" s="63">
        <f t="shared" ca="1" si="40"/>
        <v>0.66206896551724137</v>
      </c>
      <c r="K101" s="63">
        <f t="shared" ca="1" si="40"/>
        <v>0.53511705685618727</v>
      </c>
      <c r="L101" s="63">
        <f t="shared" ca="1" si="40"/>
        <v>0.61788617886178865</v>
      </c>
      <c r="M101" s="63">
        <f t="shared" ca="1" si="40"/>
        <v>0.65486725663716816</v>
      </c>
      <c r="N101" s="63">
        <f t="shared" ca="1" si="40"/>
        <v>0.56916996047430835</v>
      </c>
      <c r="O101" s="63">
        <f t="shared" ca="1" si="40"/>
        <v>0.63551401869158874</v>
      </c>
      <c r="P101" s="63">
        <f t="shared" ca="1" si="40"/>
        <v>0.6633663366336634</v>
      </c>
      <c r="Q101" s="63">
        <f t="shared" ca="1" si="40"/>
        <v>0.74576271186440679</v>
      </c>
      <c r="R101" s="63">
        <f t="shared" ca="1" si="40"/>
        <v>0.88888888888888895</v>
      </c>
      <c r="S101" s="63">
        <f t="shared" ca="1" si="40"/>
        <v>0.94656488549618312</v>
      </c>
      <c r="T101" s="63">
        <f t="shared" ca="1" si="38"/>
        <v>7.3119839879909936</v>
      </c>
      <c r="U101" s="63">
        <f t="shared" ca="1" si="38"/>
        <v>8.1297280000000001</v>
      </c>
      <c r="V101" s="63" t="str">
        <f t="shared" ca="1" si="38"/>
        <v>N/A</v>
      </c>
      <c r="W101" s="63" t="str">
        <f t="shared" ca="1" si="38"/>
        <v>N/A</v>
      </c>
    </row>
    <row r="102" spans="1:23" x14ac:dyDescent="0.2">
      <c r="A102" s="51" t="str">
        <f t="shared" si="42"/>
        <v>OGE</v>
      </c>
      <c r="B102" s="46">
        <f t="shared" ca="1" si="44"/>
        <v>47</v>
      </c>
      <c r="C102" s="1">
        <f>IF(ISERROR(D102),"",IF(D102="","",MAX($C$73:C101)+1))</f>
        <v>28</v>
      </c>
      <c r="D102" t="str">
        <f t="shared" si="43"/>
        <v xml:space="preserve">OGE Energy                    </v>
      </c>
      <c r="E102" s="22"/>
      <c r="F102" s="63">
        <f t="shared" ca="1" si="37"/>
        <v>0.54533467845149963</v>
      </c>
      <c r="G102" s="63">
        <f t="shared" si="34"/>
        <v>0.66666666666666663</v>
      </c>
      <c r="H102" s="63">
        <f ca="1">IFERROR(VLOOKUP($A102,LASTYR,'2017'!$O$3,FALSE),"N/A")</f>
        <v>0.66145833333333337</v>
      </c>
      <c r="I102" s="63">
        <f t="shared" ca="1" si="39"/>
        <v>0.68343195266272194</v>
      </c>
      <c r="J102" s="63">
        <f t="shared" ca="1" si="40"/>
        <v>0.62130177514792906</v>
      </c>
      <c r="K102" s="63">
        <f t="shared" ca="1" si="40"/>
        <v>0.47979797979797978</v>
      </c>
      <c r="L102" s="63">
        <f t="shared" ca="1" si="40"/>
        <v>0.43865979381443299</v>
      </c>
      <c r="M102" s="63">
        <f t="shared" ca="1" si="40"/>
        <v>0.44581005586592182</v>
      </c>
      <c r="N102" s="63">
        <f t="shared" ca="1" si="40"/>
        <v>0.44</v>
      </c>
      <c r="O102" s="63">
        <f t="shared" ca="1" si="40"/>
        <v>0.48963210702341131</v>
      </c>
      <c r="P102" s="63">
        <f t="shared" ca="1" si="40"/>
        <v>0.53684210526315779</v>
      </c>
      <c r="Q102" s="63">
        <f t="shared" ca="1" si="40"/>
        <v>0.56144578313253002</v>
      </c>
      <c r="R102" s="63">
        <f t="shared" ca="1" si="40"/>
        <v>0.51818181818181819</v>
      </c>
      <c r="S102" s="63">
        <f t="shared" ca="1" si="40"/>
        <v>0.54612244897959183</v>
      </c>
      <c r="T102" s="63">
        <f t="shared" ref="T102:W119" ca="1" si="45">IFERROR(IF(INDEX(MP_CF_WP,$B102,T$74)=0,"N/A",INDEX(MP_CF_WP,$B102,T$74)),"N/A")</f>
        <v>7.0365226337448563</v>
      </c>
      <c r="U102" s="63">
        <f t="shared" ca="1" si="45"/>
        <v>6.7290000000000001</v>
      </c>
      <c r="V102" s="63">
        <f t="shared" ca="1" si="45"/>
        <v>5.6171150000000001</v>
      </c>
      <c r="W102" s="63">
        <f t="shared" ca="1" si="45"/>
        <v>5.3884740000000004</v>
      </c>
    </row>
    <row r="103" spans="1:23" x14ac:dyDescent="0.2">
      <c r="A103" s="51" t="str">
        <f t="shared" si="42"/>
        <v>OTTR</v>
      </c>
      <c r="B103" s="46">
        <f t="shared" ca="1" si="44"/>
        <v>49</v>
      </c>
      <c r="C103" s="1">
        <f>IF(ISERROR(D103),"",IF(D103="","",MAX($C$73:C102)+1))</f>
        <v>29</v>
      </c>
      <c r="D103" t="str">
        <f t="shared" si="43"/>
        <v xml:space="preserve">Otter Tail Corp.              </v>
      </c>
      <c r="E103" s="22"/>
      <c r="F103" s="63">
        <f t="shared" ca="1" si="37"/>
        <v>1.1957946631854031</v>
      </c>
      <c r="G103" s="63">
        <f t="shared" si="34"/>
        <v>0.62325581395348839</v>
      </c>
      <c r="H103" s="63">
        <f ca="1">IFERROR(VLOOKUP($A103,LASTYR,'2017'!$O$3,FALSE),"N/A")</f>
        <v>0.68817204301075263</v>
      </c>
      <c r="I103" s="63">
        <f t="shared" ca="1" si="39"/>
        <v>0.78125</v>
      </c>
      <c r="J103" s="63">
        <f t="shared" ca="1" si="40"/>
        <v>0.78846153846153844</v>
      </c>
      <c r="K103" s="63">
        <f t="shared" ca="1" si="40"/>
        <v>0.78064516129032258</v>
      </c>
      <c r="L103" s="63">
        <f t="shared" ca="1" si="40"/>
        <v>0.86861313868613133</v>
      </c>
      <c r="M103" s="63">
        <f t="shared" ca="1" si="40"/>
        <v>1.1333333333333333</v>
      </c>
      <c r="N103" s="63">
        <f t="shared" ca="1" si="40"/>
        <v>2.6444444444444444</v>
      </c>
      <c r="O103" s="63">
        <f t="shared" ca="1" si="40"/>
        <v>3.1315789473684208</v>
      </c>
      <c r="P103" s="63">
        <f t="shared" ca="1" si="40"/>
        <v>1.676056338028169</v>
      </c>
      <c r="Q103" s="63">
        <f t="shared" ca="1" si="40"/>
        <v>1.0917431192660549</v>
      </c>
      <c r="R103" s="63">
        <f t="shared" ca="1" si="40"/>
        <v>0.65730337078651679</v>
      </c>
      <c r="S103" s="63">
        <f t="shared" ca="1" si="40"/>
        <v>0.68047337278106501</v>
      </c>
      <c r="T103" s="63">
        <f t="shared" ca="1" si="45"/>
        <v>8.1753653444676395</v>
      </c>
      <c r="U103" s="63">
        <f t="shared" ca="1" si="45"/>
        <v>9.0128249999999994</v>
      </c>
      <c r="V103" s="63">
        <f t="shared" ca="1" si="45"/>
        <v>8.1296970000000002</v>
      </c>
      <c r="W103" s="63">
        <f t="shared" ca="1" si="45"/>
        <v>8.3335279999999994</v>
      </c>
    </row>
    <row r="104" spans="1:23" x14ac:dyDescent="0.2">
      <c r="A104" s="51" t="str">
        <f t="shared" si="42"/>
        <v>PCG</v>
      </c>
      <c r="B104" s="46">
        <f t="shared" ca="1" si="44"/>
        <v>51</v>
      </c>
      <c r="C104" s="1">
        <f>IF(ISERROR(D104),"",IF(D104="","",MAX($C$73:C103)+1))</f>
        <v>30</v>
      </c>
      <c r="D104" t="str">
        <f t="shared" si="43"/>
        <v xml:space="preserve">PG&amp;E Corp.                    </v>
      </c>
      <c r="E104" s="22"/>
      <c r="F104" s="63">
        <f t="shared" ca="1" si="37"/>
        <v>0.65307027310933841</v>
      </c>
      <c r="G104" s="63" t="str">
        <f t="shared" si="34"/>
        <v>N/A</v>
      </c>
      <c r="H104" s="63">
        <f ca="1">IFERROR(VLOOKUP($A104,LASTYR,'2017'!$O$3,FALSE),"N/A")</f>
        <v>0.44285714285714289</v>
      </c>
      <c r="I104" s="63">
        <f t="shared" ca="1" si="39"/>
        <v>0.68021201413427557</v>
      </c>
      <c r="J104" s="63">
        <f t="shared" ca="1" si="40"/>
        <v>0.91</v>
      </c>
      <c r="K104" s="63">
        <f t="shared" ca="1" si="40"/>
        <v>0.59477124183006536</v>
      </c>
      <c r="L104" s="63">
        <f t="shared" ca="1" si="40"/>
        <v>0.99453551912568305</v>
      </c>
      <c r="M104" s="63">
        <f t="shared" ca="1" si="40"/>
        <v>0.87922705314009675</v>
      </c>
      <c r="N104" s="63">
        <f t="shared" ca="1" si="40"/>
        <v>0.65467625899280579</v>
      </c>
      <c r="O104" s="63">
        <f t="shared" ca="1" si="40"/>
        <v>0.64539007092198586</v>
      </c>
      <c r="P104" s="63">
        <f t="shared" ca="1" si="40"/>
        <v>0.5544554455445545</v>
      </c>
      <c r="Q104" s="63">
        <f t="shared" ca="1" si="40"/>
        <v>0.48447204968944096</v>
      </c>
      <c r="R104" s="63">
        <f t="shared" ca="1" si="40"/>
        <v>0.51798561151079137</v>
      </c>
      <c r="S104" s="63">
        <f t="shared" ca="1" si="40"/>
        <v>0.47826086956521746</v>
      </c>
      <c r="T104" s="63">
        <f t="shared" ca="1" si="45"/>
        <v>5.069493191071178</v>
      </c>
      <c r="U104" s="63">
        <f t="shared" ca="1" si="45"/>
        <v>5.1284159999999996</v>
      </c>
      <c r="V104" s="63">
        <f t="shared" ca="1" si="45"/>
        <v>4.0549770000000001</v>
      </c>
      <c r="W104" s="63">
        <f t="shared" ca="1" si="45"/>
        <v>14.685969999999999</v>
      </c>
    </row>
    <row r="105" spans="1:23" x14ac:dyDescent="0.2">
      <c r="A105" s="51" t="str">
        <f t="shared" si="42"/>
        <v>PNW</v>
      </c>
      <c r="B105" s="46">
        <f t="shared" ca="1" si="44"/>
        <v>52</v>
      </c>
      <c r="C105" s="1">
        <f>IF(ISERROR(D105),"",IF(D105="","",MAX($C$73:C104)+1))</f>
        <v>31</v>
      </c>
      <c r="D105" t="str">
        <f t="shared" si="43"/>
        <v xml:space="preserve">Pinnacle West Capital         </v>
      </c>
      <c r="E105" s="22"/>
      <c r="F105" s="63">
        <f t="shared" ca="1" si="37"/>
        <v>0.70788020436558674</v>
      </c>
      <c r="G105" s="63">
        <f t="shared" si="34"/>
        <v>0.64999999999999991</v>
      </c>
      <c r="H105" s="63">
        <f ca="1">IFERROR(VLOOKUP($A105,LASTYR,'2017'!$O$3,FALSE),"N/A")</f>
        <v>0.60948081264108356</v>
      </c>
      <c r="I105" s="63">
        <f t="shared" ca="1" si="39"/>
        <v>0.64810126582278482</v>
      </c>
      <c r="J105" s="63">
        <f t="shared" ca="1" si="40"/>
        <v>0.62244897959183676</v>
      </c>
      <c r="K105" s="63">
        <f t="shared" ca="1" si="40"/>
        <v>0.6494413407821229</v>
      </c>
      <c r="L105" s="63">
        <f t="shared" ca="1" si="40"/>
        <v>0.60792349726775952</v>
      </c>
      <c r="M105" s="63">
        <f t="shared" ca="1" si="40"/>
        <v>0.76285714285714279</v>
      </c>
      <c r="N105" s="63">
        <f t="shared" ca="1" si="40"/>
        <v>0.7023411371237458</v>
      </c>
      <c r="O105" s="63">
        <f t="shared" ca="1" si="40"/>
        <v>0.68181818181818188</v>
      </c>
      <c r="P105" s="63">
        <f t="shared" ca="1" si="40"/>
        <v>0.92920353982300896</v>
      </c>
      <c r="Q105" s="63">
        <f t="shared" ca="1" si="40"/>
        <v>0.99056603773584906</v>
      </c>
      <c r="R105" s="63">
        <f t="shared" ca="1" si="40"/>
        <v>0.70945945945945954</v>
      </c>
      <c r="S105" s="63">
        <f t="shared" ca="1" si="40"/>
        <v>0.63880126182965302</v>
      </c>
      <c r="T105" s="63">
        <f t="shared" ca="1" si="45"/>
        <v>7.479257073424753</v>
      </c>
      <c r="U105" s="63">
        <f t="shared" ca="1" si="45"/>
        <v>5.8802649999999996</v>
      </c>
      <c r="V105" s="63">
        <f t="shared" ca="1" si="45"/>
        <v>4.8030030000000004</v>
      </c>
      <c r="W105" s="63">
        <f t="shared" ca="1" si="45"/>
        <v>5.2054470000000004</v>
      </c>
    </row>
    <row r="106" spans="1:23" x14ac:dyDescent="0.2">
      <c r="A106" s="51" t="str">
        <f t="shared" si="42"/>
        <v>PNM</v>
      </c>
      <c r="B106" s="46">
        <f t="shared" ca="1" si="44"/>
        <v>53</v>
      </c>
      <c r="C106" s="1">
        <f>IF(ISERROR(D106),"",IF(D106="","",MAX($C$73:C105)+1))</f>
        <v>32</v>
      </c>
      <c r="D106" t="str">
        <f t="shared" si="43"/>
        <v xml:space="preserve">PNM Resources                 </v>
      </c>
      <c r="E106" s="22"/>
      <c r="F106" s="63">
        <f t="shared" ca="1" si="37"/>
        <v>0.97304361596509681</v>
      </c>
      <c r="G106" s="63">
        <f t="shared" si="34"/>
        <v>0.56842105263157905</v>
      </c>
      <c r="H106" s="63">
        <f ca="1">IFERROR(VLOOKUP($A106,LASTYR,'2017'!$O$3,FALSE),"N/A")</f>
        <v>0.51718750000000002</v>
      </c>
      <c r="I106" s="63">
        <f t="shared" ca="1" si="39"/>
        <v>0.53333333333333333</v>
      </c>
      <c r="J106" s="63">
        <f t="shared" ca="1" si="40"/>
        <v>0.48780487804878053</v>
      </c>
      <c r="K106" s="63">
        <f t="shared" ca="1" si="40"/>
        <v>0.52068965517241383</v>
      </c>
      <c r="L106" s="63">
        <f t="shared" ca="1" si="40"/>
        <v>0.48226950354609938</v>
      </c>
      <c r="M106" s="63">
        <f t="shared" ca="1" si="40"/>
        <v>0.4427480916030534</v>
      </c>
      <c r="N106" s="63">
        <f t="shared" ca="1" si="40"/>
        <v>0.46296296296296291</v>
      </c>
      <c r="O106" s="63">
        <f t="shared" ca="1" si="40"/>
        <v>0.57471264367816088</v>
      </c>
      <c r="P106" s="63">
        <f t="shared" ca="1" si="40"/>
        <v>0.86206896551724144</v>
      </c>
      <c r="Q106" s="63">
        <f t="shared" ca="1" si="40"/>
        <v>5.5</v>
      </c>
      <c r="R106" s="63">
        <f t="shared" ca="1" si="40"/>
        <v>1.1973684210526316</v>
      </c>
      <c r="S106" s="63">
        <f t="shared" ca="1" si="40"/>
        <v>0.5</v>
      </c>
      <c r="T106" s="63">
        <f t="shared" ca="1" si="45"/>
        <v>7.6200112422709383</v>
      </c>
      <c r="U106" s="63">
        <f t="shared" ca="1" si="45"/>
        <v>6.8385860000000003</v>
      </c>
      <c r="V106" s="63">
        <f t="shared" ca="1" si="45"/>
        <v>5.5484400000000003</v>
      </c>
      <c r="W106" s="63">
        <f t="shared" ca="1" si="45"/>
        <v>5.7152950000000002</v>
      </c>
    </row>
    <row r="107" spans="1:23" x14ac:dyDescent="0.2">
      <c r="A107" s="51" t="str">
        <f t="shared" si="42"/>
        <v>POR</v>
      </c>
      <c r="B107" s="46">
        <f t="shared" ca="1" si="44"/>
        <v>54</v>
      </c>
      <c r="C107" s="1">
        <f>IF(ISERROR(D107),"",IF(D107="","",MAX($C$73:C106)+1))</f>
        <v>33</v>
      </c>
      <c r="D107" t="str">
        <f t="shared" si="43"/>
        <v xml:space="preserve">Portland General              </v>
      </c>
      <c r="E107" s="22"/>
      <c r="F107" s="63">
        <f t="shared" ca="1" si="37"/>
        <v>0.5921719651253643</v>
      </c>
      <c r="G107" s="63">
        <f t="shared" si="34"/>
        <v>0.62173913043478268</v>
      </c>
      <c r="H107" s="63">
        <f ca="1">IFERROR(VLOOKUP($A107,LASTYR,'2017'!$O$3,FALSE),"N/A")</f>
        <v>0.58515283842794763</v>
      </c>
      <c r="I107" s="63">
        <f t="shared" ca="1" si="39"/>
        <v>0.58333333333333326</v>
      </c>
      <c r="J107" s="63">
        <f t="shared" ca="1" si="40"/>
        <v>0.57843137254901955</v>
      </c>
      <c r="K107" s="63">
        <f t="shared" ca="1" si="40"/>
        <v>0.51146788990825687</v>
      </c>
      <c r="L107" s="63">
        <f t="shared" ca="1" si="40"/>
        <v>0.61864406779661019</v>
      </c>
      <c r="M107" s="63">
        <f t="shared" ca="1" si="40"/>
        <v>0.57486631016042777</v>
      </c>
      <c r="N107" s="63">
        <f t="shared" ca="1" si="40"/>
        <v>0.54102564102564099</v>
      </c>
      <c r="O107" s="63">
        <f t="shared" ca="1" si="40"/>
        <v>0.62349397590361444</v>
      </c>
      <c r="P107" s="63">
        <f t="shared" ca="1" si="40"/>
        <v>0.77099236641221369</v>
      </c>
      <c r="Q107" s="63">
        <f t="shared" ca="1" si="40"/>
        <v>0.69784172661870503</v>
      </c>
      <c r="R107" s="63">
        <f t="shared" ca="1" si="40"/>
        <v>0.39914163090128757</v>
      </c>
      <c r="S107" s="63">
        <f t="shared" ca="1" si="40"/>
        <v>0.5921052631578948</v>
      </c>
      <c r="T107" s="63" t="str">
        <f t="shared" ca="1" si="45"/>
        <v>N/A</v>
      </c>
      <c r="U107" s="63" t="str">
        <f t="shared" ca="1" si="45"/>
        <v>N/A</v>
      </c>
      <c r="V107" s="63" t="str">
        <f t="shared" ca="1" si="45"/>
        <v>N/A</v>
      </c>
      <c r="W107" s="63" t="str">
        <f t="shared" ca="1" si="45"/>
        <v>N/A</v>
      </c>
    </row>
    <row r="108" spans="1:23" x14ac:dyDescent="0.2">
      <c r="A108" s="51" t="str">
        <f t="shared" si="42"/>
        <v>PPL</v>
      </c>
      <c r="B108" s="46">
        <f t="shared" ca="1" si="44"/>
        <v>55</v>
      </c>
      <c r="C108" s="1">
        <f>IF(ISERROR(D108),"",IF(D108="","",MAX($C$73:C107)+1))</f>
        <v>34</v>
      </c>
      <c r="D108" t="str">
        <f t="shared" si="43"/>
        <v xml:space="preserve">PPL Corp.                     </v>
      </c>
      <c r="E108" s="22"/>
      <c r="F108" s="63">
        <f t="shared" ca="1" si="37"/>
        <v>0.62896411806477803</v>
      </c>
      <c r="G108" s="63">
        <f t="shared" si="34"/>
        <v>0.65599999999999992</v>
      </c>
      <c r="H108" s="63">
        <f ca="1">IFERROR(VLOOKUP($A108,LASTYR,'2017'!$O$3,FALSE),"N/A")</f>
        <v>0.74881516587677732</v>
      </c>
      <c r="I108" s="63">
        <f t="shared" ca="1" si="39"/>
        <v>0.54480286738351258</v>
      </c>
      <c r="J108" s="63">
        <f t="shared" ref="J108:S120" ca="1" si="46">IFERROR(IF(INDEX(DIV_EARN_WP,$B108,J$74)=0,"N/A",INDEX(DIV_EARN_WP,$B108,J$74)),"N/A")</f>
        <v>0.63291139240506322</v>
      </c>
      <c r="K108" s="63">
        <f t="shared" ca="1" si="46"/>
        <v>0.62605042016806722</v>
      </c>
      <c r="L108" s="63">
        <f t="shared" ca="1" si="46"/>
        <v>0.61764705882352944</v>
      </c>
      <c r="M108" s="63">
        <f t="shared" ca="1" si="46"/>
        <v>0.55172413793103448</v>
      </c>
      <c r="N108" s="63">
        <f t="shared" ca="1" si="46"/>
        <v>0.53639846743295017</v>
      </c>
      <c r="O108" s="63">
        <f t="shared" ca="1" si="46"/>
        <v>0.611353711790393</v>
      </c>
      <c r="P108" s="63">
        <f t="shared" ca="1" si="46"/>
        <v>1.1596638655462184</v>
      </c>
      <c r="Q108" s="63">
        <f t="shared" ca="1" si="46"/>
        <v>0.54693877551020409</v>
      </c>
      <c r="R108" s="63">
        <f t="shared" ca="1" si="46"/>
        <v>0.46387832699619774</v>
      </c>
      <c r="S108" s="63">
        <f t="shared" ca="1" si="46"/>
        <v>0.48034934497816595</v>
      </c>
      <c r="T108" s="63">
        <f t="shared" ca="1" si="45"/>
        <v>7.5679269882659712</v>
      </c>
      <c r="U108" s="63">
        <f t="shared" ca="1" si="45"/>
        <v>6.493322</v>
      </c>
      <c r="V108" s="63">
        <f t="shared" ca="1" si="45"/>
        <v>5.4071610000000003</v>
      </c>
      <c r="W108" s="63">
        <f t="shared" ca="1" si="45"/>
        <v>5.3008740000000003</v>
      </c>
    </row>
    <row r="109" spans="1:23" x14ac:dyDescent="0.2">
      <c r="A109" s="51" t="str">
        <f t="shared" si="42"/>
        <v>PEG</v>
      </c>
      <c r="B109" s="46">
        <f t="shared" ca="1" si="44"/>
        <v>56</v>
      </c>
      <c r="C109" s="1">
        <f>IF(ISERROR(D109),"",IF(D109="","",MAX($C$73:C108)+1))</f>
        <v>35</v>
      </c>
      <c r="D109" t="str">
        <f t="shared" si="43"/>
        <v xml:space="preserve">Public Serv. Enterprise       </v>
      </c>
      <c r="E109" s="22"/>
      <c r="F109" s="63">
        <f t="shared" ca="1" si="37"/>
        <v>0.51999270642932993</v>
      </c>
      <c r="G109" s="63">
        <f t="shared" si="34"/>
        <v>0.6</v>
      </c>
      <c r="H109" s="63">
        <f ca="1">IFERROR(VLOOKUP($A109,LASTYR,'2017'!$O$3,FALSE),"N/A")</f>
        <v>0.60992907801418439</v>
      </c>
      <c r="I109" s="63">
        <f t="shared" ca="1" si="39"/>
        <v>0.57950530035335679</v>
      </c>
      <c r="J109" s="63">
        <f t="shared" ca="1" si="46"/>
        <v>0.47272727272727277</v>
      </c>
      <c r="K109" s="63">
        <f t="shared" ca="1" si="46"/>
        <v>0.49498327759197319</v>
      </c>
      <c r="L109" s="63">
        <f t="shared" ca="1" si="46"/>
        <v>0.58775510204081627</v>
      </c>
      <c r="M109" s="63">
        <f t="shared" ca="1" si="46"/>
        <v>0.58196721311475408</v>
      </c>
      <c r="N109" s="63">
        <f t="shared" ca="1" si="46"/>
        <v>0.44051446945337625</v>
      </c>
      <c r="O109" s="63">
        <f t="shared" ca="1" si="46"/>
        <v>0.44625407166123782</v>
      </c>
      <c r="P109" s="63">
        <f t="shared" ca="1" si="46"/>
        <v>0.43181818181818182</v>
      </c>
      <c r="Q109" s="63">
        <f t="shared" ca="1" si="46"/>
        <v>0.44482758620689655</v>
      </c>
      <c r="R109" s="63">
        <f t="shared" ca="1" si="46"/>
        <v>0.45173745173745172</v>
      </c>
      <c r="S109" s="63">
        <f t="shared" ca="1" si="46"/>
        <v>0.61788617886178854</v>
      </c>
      <c r="T109" s="63">
        <f t="shared" ca="1" si="45"/>
        <v>8.5944997074312468</v>
      </c>
      <c r="U109" s="63">
        <f t="shared" ca="1" si="45"/>
        <v>7.1653440000000002</v>
      </c>
      <c r="V109" s="63">
        <f t="shared" ca="1" si="45"/>
        <v>6.7910959999999996</v>
      </c>
      <c r="W109" s="63">
        <f t="shared" ca="1" si="45"/>
        <v>6.2383800000000003</v>
      </c>
    </row>
    <row r="110" spans="1:23" x14ac:dyDescent="0.2">
      <c r="A110" s="51" t="str">
        <f t="shared" si="42"/>
        <v>SCG</v>
      </c>
      <c r="B110" s="46">
        <f t="shared" ca="1" si="44"/>
        <v>57</v>
      </c>
      <c r="C110" s="1">
        <f>IF(ISERROR(D110),"",IF(D110="","",MAX($C$73:C109)+1))</f>
        <v>36</v>
      </c>
      <c r="D110" t="str">
        <f t="shared" si="43"/>
        <v xml:space="preserve">SCANA Corp.                   </v>
      </c>
      <c r="E110" s="22"/>
      <c r="F110" s="63">
        <f t="shared" ca="1" si="37"/>
        <v>0.60765130503370324</v>
      </c>
      <c r="G110" s="63">
        <f t="shared" si="34"/>
        <v>0.5444444444444444</v>
      </c>
      <c r="H110" s="63">
        <f ca="1">IFERROR(VLOOKUP($A110,LASTYR,'2017'!$O$3,FALSE),"N/A")</f>
        <v>0.58333333333333337</v>
      </c>
      <c r="I110" s="63">
        <f t="shared" ca="1" si="39"/>
        <v>0.55288461538461531</v>
      </c>
      <c r="J110" s="63">
        <f t="shared" ca="1" si="46"/>
        <v>0.57217847769028873</v>
      </c>
      <c r="K110" s="63">
        <f t="shared" ca="1" si="46"/>
        <v>0.55408970976253302</v>
      </c>
      <c r="L110" s="63">
        <f t="shared" ca="1" si="46"/>
        <v>0.59882005899705004</v>
      </c>
      <c r="M110" s="63">
        <f t="shared" ca="1" si="46"/>
        <v>0.62857142857142856</v>
      </c>
      <c r="N110" s="63">
        <f t="shared" ca="1" si="46"/>
        <v>0.65319865319865311</v>
      </c>
      <c r="O110" s="63">
        <f t="shared" ca="1" si="46"/>
        <v>0.63758389261744963</v>
      </c>
      <c r="P110" s="63">
        <f t="shared" ca="1" si="46"/>
        <v>0.65964912280701749</v>
      </c>
      <c r="Q110" s="63">
        <f t="shared" ca="1" si="46"/>
        <v>0.62372881355932197</v>
      </c>
      <c r="R110" s="63">
        <f t="shared" ca="1" si="46"/>
        <v>0.64233576642335766</v>
      </c>
      <c r="S110" s="63">
        <f t="shared" ca="1" si="46"/>
        <v>0.64864864864864868</v>
      </c>
      <c r="T110" s="63">
        <f t="shared" ca="1" si="45"/>
        <v>5.4041722745625842</v>
      </c>
      <c r="U110" s="63">
        <f t="shared" ca="1" si="45"/>
        <v>6.8624739999999997</v>
      </c>
      <c r="V110" s="63">
        <f t="shared" ca="1" si="45"/>
        <v>6.5898159999999999</v>
      </c>
      <c r="W110" s="63">
        <f t="shared" ca="1" si="45"/>
        <v>6.3557940000000004</v>
      </c>
    </row>
    <row r="111" spans="1:23" x14ac:dyDescent="0.2">
      <c r="A111" s="51" t="str">
        <f t="shared" si="42"/>
        <v>SRE</v>
      </c>
      <c r="B111" s="46">
        <f t="shared" ca="1" si="44"/>
        <v>58</v>
      </c>
      <c r="C111" s="1">
        <f>IF(ISERROR(D111),"",IF(D111="","",MAX($C$73:C110)+1))</f>
        <v>37</v>
      </c>
      <c r="D111" t="str">
        <f t="shared" si="43"/>
        <v xml:space="preserve">Sempra Energy                 </v>
      </c>
      <c r="E111" s="22"/>
      <c r="F111" s="63">
        <f t="shared" ca="1" si="37"/>
        <v>0.48760738171189821</v>
      </c>
      <c r="G111" s="63">
        <f t="shared" si="34"/>
        <v>0.63362831858407076</v>
      </c>
      <c r="H111" s="63">
        <f ca="1">IFERROR(VLOOKUP($A111,LASTYR,'2017'!$O$3,FALSE),"N/A")</f>
        <v>0.71058315334773225</v>
      </c>
      <c r="I111" s="63">
        <f t="shared" ca="1" si="39"/>
        <v>0.71226415094339623</v>
      </c>
      <c r="J111" s="63">
        <f t="shared" ca="1" si="46"/>
        <v>0.53537284894837467</v>
      </c>
      <c r="K111" s="63">
        <f t="shared" ca="1" si="46"/>
        <v>0.57019438444924408</v>
      </c>
      <c r="L111" s="63">
        <f t="shared" ca="1" si="46"/>
        <v>0.59715639810426546</v>
      </c>
      <c r="M111" s="63">
        <f t="shared" ca="1" si="46"/>
        <v>0.55172413793103448</v>
      </c>
      <c r="N111" s="63">
        <f t="shared" ca="1" si="46"/>
        <v>0.42953020134228187</v>
      </c>
      <c r="O111" s="63">
        <f t="shared" ca="1" si="46"/>
        <v>0.38805970149253738</v>
      </c>
      <c r="P111" s="63">
        <f t="shared" ca="1" si="46"/>
        <v>0.32635983263598328</v>
      </c>
      <c r="Q111" s="63">
        <f t="shared" ca="1" si="46"/>
        <v>0.30925507900677207</v>
      </c>
      <c r="R111" s="63">
        <f t="shared" ca="1" si="46"/>
        <v>0.29107981220657281</v>
      </c>
      <c r="S111" s="63">
        <f t="shared" ca="1" si="46"/>
        <v>0.28368794326241131</v>
      </c>
      <c r="T111" s="63">
        <f t="shared" ca="1" si="45"/>
        <v>6.9599329421626148</v>
      </c>
      <c r="U111" s="63">
        <f t="shared" ca="1" si="45"/>
        <v>5.163653</v>
      </c>
      <c r="V111" s="63">
        <f t="shared" ca="1" si="45"/>
        <v>4.8501799999999999</v>
      </c>
      <c r="W111" s="63">
        <f t="shared" ca="1" si="45"/>
        <v>3.9982500000000001</v>
      </c>
    </row>
    <row r="112" spans="1:23" x14ac:dyDescent="0.2">
      <c r="A112" s="51" t="str">
        <f t="shared" si="42"/>
        <v>SO</v>
      </c>
      <c r="B112" s="46">
        <f t="shared" ca="1" si="44"/>
        <v>62</v>
      </c>
      <c r="C112" s="1">
        <f>IF(ISERROR(D112),"",IF(D112="","",MAX($C$73:C111)+1))</f>
        <v>38</v>
      </c>
      <c r="D112" t="str">
        <f t="shared" si="43"/>
        <v xml:space="preserve">Southern Co.                  </v>
      </c>
      <c r="E112" s="22"/>
      <c r="F112" s="63">
        <f t="shared" ca="1" si="37"/>
        <v>0.74778219211763342</v>
      </c>
      <c r="G112" s="63">
        <f t="shared" si="34"/>
        <v>0.82068965517241377</v>
      </c>
      <c r="H112" s="63">
        <f ca="1">IFERROR(VLOOKUP($A112,LASTYR,'2017'!$O$3,FALSE),"N/A")</f>
        <v>0.71651090342679125</v>
      </c>
      <c r="I112" s="63">
        <f t="shared" ca="1" si="39"/>
        <v>0.78551236749116604</v>
      </c>
      <c r="J112" s="63">
        <f t="shared" ca="1" si="46"/>
        <v>0.75809859154929582</v>
      </c>
      <c r="K112" s="63">
        <f t="shared" ca="1" si="46"/>
        <v>0.75198555956678703</v>
      </c>
      <c r="L112" s="63">
        <f t="shared" ca="1" si="46"/>
        <v>0.74555555555555542</v>
      </c>
      <c r="M112" s="63">
        <f t="shared" ca="1" si="46"/>
        <v>0.72771535580524349</v>
      </c>
      <c r="N112" s="63">
        <f t="shared" ca="1" si="46"/>
        <v>0.73450980392156873</v>
      </c>
      <c r="O112" s="63">
        <f t="shared" ca="1" si="46"/>
        <v>0.76398305084745766</v>
      </c>
      <c r="P112" s="63">
        <f t="shared" ca="1" si="46"/>
        <v>0.74698275862068975</v>
      </c>
      <c r="Q112" s="63">
        <f t="shared" ca="1" si="46"/>
        <v>0.73911111111111116</v>
      </c>
      <c r="R112" s="63">
        <f t="shared" ca="1" si="46"/>
        <v>0.69956140350877194</v>
      </c>
      <c r="S112" s="63">
        <f t="shared" ca="1" si="46"/>
        <v>0.73095238095238091</v>
      </c>
      <c r="T112" s="63">
        <f t="shared" ca="1" si="45"/>
        <v>8.4108161746464916</v>
      </c>
      <c r="U112" s="63">
        <f t="shared" ca="1" si="45"/>
        <v>8.2763340000000003</v>
      </c>
      <c r="V112" s="63">
        <f t="shared" ca="1" si="45"/>
        <v>8.2793989999999997</v>
      </c>
      <c r="W112" s="63">
        <f t="shared" ca="1" si="45"/>
        <v>7.832465</v>
      </c>
    </row>
    <row r="113" spans="1:23" x14ac:dyDescent="0.2">
      <c r="A113" s="51" t="str">
        <f t="shared" si="42"/>
        <v>VVC</v>
      </c>
      <c r="B113" s="46">
        <f t="shared" ca="1" si="44"/>
        <v>70</v>
      </c>
      <c r="C113" s="1">
        <f>IF(ISERROR(D113),"",IF(D113="","",MAX($C$73:C112)+1))</f>
        <v>39</v>
      </c>
      <c r="D113" t="str">
        <f t="shared" si="43"/>
        <v xml:space="preserve">Vectren Corp.                 </v>
      </c>
      <c r="E113" s="22"/>
      <c r="F113" s="63">
        <f t="shared" ca="1" si="37"/>
        <v>0.74859077179620104</v>
      </c>
      <c r="G113" s="63">
        <f t="shared" si="34"/>
        <v>0.74693877551020404</v>
      </c>
      <c r="H113" s="63">
        <f ca="1">IFERROR(VLOOKUP($A113,LASTYR,'2017'!$O$3,FALSE),"N/A")</f>
        <v>0.65769230769230769</v>
      </c>
      <c r="I113" s="63">
        <f t="shared" ca="1" si="39"/>
        <v>0.6352941176470589</v>
      </c>
      <c r="J113" s="63">
        <f t="shared" ca="1" si="46"/>
        <v>0.64435146443514646</v>
      </c>
      <c r="K113" s="63">
        <f t="shared" ca="1" si="46"/>
        <v>0.72277227722772275</v>
      </c>
      <c r="L113" s="63">
        <f t="shared" ca="1" si="46"/>
        <v>0.85843373493975905</v>
      </c>
      <c r="M113" s="63">
        <f t="shared" ca="1" si="46"/>
        <v>0.72422680412371132</v>
      </c>
      <c r="N113" s="63">
        <f t="shared" ca="1" si="46"/>
        <v>0.80057803468208089</v>
      </c>
      <c r="O113" s="63">
        <f t="shared" ca="1" si="46"/>
        <v>0.83536585365853666</v>
      </c>
      <c r="P113" s="63">
        <f t="shared" ca="1" si="46"/>
        <v>0.75418994413407825</v>
      </c>
      <c r="Q113" s="63">
        <f t="shared" ca="1" si="46"/>
        <v>0.80368098159509216</v>
      </c>
      <c r="R113" s="63">
        <f t="shared" ca="1" si="46"/>
        <v>0.69398907103825136</v>
      </c>
      <c r="S113" s="63">
        <f t="shared" ca="1" si="46"/>
        <v>0.85416666666666674</v>
      </c>
      <c r="T113" s="63">
        <f t="shared" ca="1" si="45"/>
        <v>7.0612086776859506</v>
      </c>
      <c r="U113" s="63">
        <f t="shared" ca="1" si="45"/>
        <v>7.6323040000000004</v>
      </c>
      <c r="V113" s="63">
        <f t="shared" ca="1" si="45"/>
        <v>7.2745040000000003</v>
      </c>
      <c r="W113" s="63">
        <f t="shared" ca="1" si="45"/>
        <v>6.9240180000000002</v>
      </c>
    </row>
    <row r="114" spans="1:23" x14ac:dyDescent="0.2">
      <c r="A114" s="51" t="str">
        <f t="shared" si="42"/>
        <v>WEC</v>
      </c>
      <c r="B114" s="46">
        <f t="shared" ca="1" si="44"/>
        <v>71</v>
      </c>
      <c r="C114" s="1">
        <f>IF(ISERROR(D114),"",IF(D114="","",MAX($C$73:C113)+1))</f>
        <v>40</v>
      </c>
      <c r="D114" t="str">
        <f t="shared" si="43"/>
        <v>WEC Energy Group</v>
      </c>
      <c r="E114" s="22"/>
      <c r="F114" s="63">
        <f t="shared" ca="1" si="37"/>
        <v>0.5227632079624307</v>
      </c>
      <c r="G114" s="63">
        <f t="shared" si="34"/>
        <v>0.65970149253731336</v>
      </c>
      <c r="H114" s="63">
        <f ca="1">IFERROR(VLOOKUP($A114,LASTYR,'2017'!$O$3,FALSE),"N/A")</f>
        <v>0.66242038216560506</v>
      </c>
      <c r="I114" s="63">
        <f t="shared" ca="1" si="39"/>
        <v>0.66891891891891897</v>
      </c>
      <c r="J114" s="63">
        <f t="shared" ca="1" si="46"/>
        <v>0.74358974358974361</v>
      </c>
      <c r="K114" s="63">
        <f t="shared" ca="1" si="46"/>
        <v>0.60231660231660233</v>
      </c>
      <c r="L114" s="63">
        <f t="shared" ca="1" si="46"/>
        <v>0.57569721115537853</v>
      </c>
      <c r="M114" s="63">
        <f t="shared" ca="1" si="46"/>
        <v>0.51063829787234039</v>
      </c>
      <c r="N114" s="63">
        <f t="shared" ca="1" si="46"/>
        <v>0.47706422018348621</v>
      </c>
      <c r="O114" s="63">
        <f t="shared" ca="1" si="46"/>
        <v>0.41666666666666669</v>
      </c>
      <c r="P114" s="63">
        <f t="shared" ca="1" si="46"/>
        <v>0.421875</v>
      </c>
      <c r="Q114" s="63">
        <f t="shared" ca="1" si="46"/>
        <v>0.35643564356435647</v>
      </c>
      <c r="R114" s="63">
        <f t="shared" ca="1" si="46"/>
        <v>0.35211267605633806</v>
      </c>
      <c r="S114" s="63">
        <f t="shared" ca="1" si="46"/>
        <v>0.34848484848484851</v>
      </c>
      <c r="T114" s="63">
        <f t="shared" ca="1" si="45"/>
        <v>6.4014522821576767</v>
      </c>
      <c r="U114" s="63">
        <f t="shared" ca="1" si="45"/>
        <v>6.2742060000000004</v>
      </c>
      <c r="V114" s="63">
        <f t="shared" ca="1" si="45"/>
        <v>4.9149459999999996</v>
      </c>
      <c r="W114" s="63">
        <f t="shared" ca="1" si="45"/>
        <v>4.2733350000000003</v>
      </c>
    </row>
    <row r="115" spans="1:23" x14ac:dyDescent="0.2">
      <c r="A115" s="51" t="str">
        <f t="shared" si="42"/>
        <v>WR</v>
      </c>
      <c r="B115" s="46">
        <f t="shared" ca="1" si="44"/>
        <v>72</v>
      </c>
      <c r="C115" s="1">
        <f>IF(ISERROR(D115),"",IF(D115="","",MAX($C$73:C114)+1))</f>
        <v>41</v>
      </c>
      <c r="D115" t="str">
        <f t="shared" si="43"/>
        <v xml:space="preserve">Westar Energy                 </v>
      </c>
      <c r="E115" s="22"/>
      <c r="F115" s="63">
        <f t="shared" ca="1" si="37"/>
        <v>0.68028121116642348</v>
      </c>
      <c r="G115" s="63" t="str">
        <f t="shared" si="34"/>
        <v>N/A</v>
      </c>
      <c r="H115" s="63">
        <f ca="1">IFERROR(VLOOKUP($A115,LASTYR,'2017'!$O$3,FALSE),"N/A")</f>
        <v>0.70484581497797361</v>
      </c>
      <c r="I115" s="63">
        <f t="shared" ca="1" si="39"/>
        <v>0.625514403292181</v>
      </c>
      <c r="J115" s="63">
        <f t="shared" ca="1" si="46"/>
        <v>0.68899521531100483</v>
      </c>
      <c r="K115" s="63">
        <f t="shared" ca="1" si="46"/>
        <v>0.5957446808510638</v>
      </c>
      <c r="L115" s="63">
        <f t="shared" ca="1" si="46"/>
        <v>0.59911894273127753</v>
      </c>
      <c r="M115" s="63">
        <f t="shared" ca="1" si="46"/>
        <v>0.61395348837209307</v>
      </c>
      <c r="N115" s="63">
        <f t="shared" ca="1" si="46"/>
        <v>0.71508379888268159</v>
      </c>
      <c r="O115" s="63">
        <f t="shared" ca="1" si="46"/>
        <v>0.68888888888888888</v>
      </c>
      <c r="P115" s="63">
        <f t="shared" ca="1" si="46"/>
        <v>0.9375</v>
      </c>
      <c r="Q115" s="63">
        <f t="shared" ca="1" si="46"/>
        <v>0.88549618320610679</v>
      </c>
      <c r="R115" s="63">
        <f t="shared" ca="1" si="46"/>
        <v>0.58695652173913049</v>
      </c>
      <c r="S115" s="63">
        <f t="shared" ca="1" si="46"/>
        <v>0.52127659574468088</v>
      </c>
      <c r="T115" s="63">
        <f t="shared" ca="1" si="45"/>
        <v>6.9972519083969464</v>
      </c>
      <c r="U115" s="63">
        <f t="shared" ca="1" si="45"/>
        <v>6.538462</v>
      </c>
      <c r="V115" s="63">
        <f t="shared" ca="1" si="45"/>
        <v>4.2357319999999996</v>
      </c>
      <c r="W115" s="63">
        <f t="shared" ca="1" si="45"/>
        <v>2.941065</v>
      </c>
    </row>
    <row r="116" spans="1:23" x14ac:dyDescent="0.2">
      <c r="A116" s="51" t="str">
        <f t="shared" si="42"/>
        <v>XEL</v>
      </c>
      <c r="B116" s="46">
        <f t="shared" ca="1" si="44"/>
        <v>74</v>
      </c>
      <c r="C116" s="1">
        <f>IF(ISERROR(D116),"",IF(D116="","",MAX($C$73:C115)+1))</f>
        <v>42</v>
      </c>
      <c r="D116" t="str">
        <f t="shared" si="43"/>
        <v xml:space="preserve">Xcel Energy Inc.              </v>
      </c>
      <c r="E116" s="22"/>
      <c r="F116" s="63">
        <f t="shared" ca="1" si="37"/>
        <v>0.62174598958171801</v>
      </c>
      <c r="G116" s="63">
        <f t="shared" si="34"/>
        <v>0.62040816326530612</v>
      </c>
      <c r="H116" s="63">
        <f ca="1">IFERROR(VLOOKUP($A116,LASTYR,'2017'!$O$3,FALSE),"N/A")</f>
        <v>0.62608695652173918</v>
      </c>
      <c r="I116" s="63">
        <f t="shared" ca="1" si="39"/>
        <v>0.61538461538461542</v>
      </c>
      <c r="J116" s="63">
        <f t="shared" ca="1" si="46"/>
        <v>0.60952380952380947</v>
      </c>
      <c r="K116" s="63">
        <f t="shared" ca="1" si="46"/>
        <v>0.59113300492610843</v>
      </c>
      <c r="L116" s="63">
        <f t="shared" ca="1" si="46"/>
        <v>0.5811518324607331</v>
      </c>
      <c r="M116" s="63">
        <f t="shared" ca="1" si="46"/>
        <v>0.57837837837837835</v>
      </c>
      <c r="N116" s="63">
        <f t="shared" ca="1" si="46"/>
        <v>0.59883720930232565</v>
      </c>
      <c r="O116" s="63">
        <f t="shared" ca="1" si="46"/>
        <v>0.64102564102564097</v>
      </c>
      <c r="P116" s="63">
        <f t="shared" ca="1" si="46"/>
        <v>0.65100671140939592</v>
      </c>
      <c r="Q116" s="63">
        <f t="shared" ca="1" si="46"/>
        <v>0.64383561643835618</v>
      </c>
      <c r="R116" s="63">
        <f t="shared" ca="1" si="46"/>
        <v>0.67407407407407405</v>
      </c>
      <c r="S116" s="63">
        <f t="shared" ca="1" si="46"/>
        <v>0.65185185185185179</v>
      </c>
      <c r="T116" s="63">
        <f t="shared" ca="1" si="45"/>
        <v>5.6238560097620498</v>
      </c>
      <c r="U116" s="63">
        <f t="shared" ca="1" si="45"/>
        <v>5.3087289999999996</v>
      </c>
      <c r="V116" s="63">
        <f t="shared" ca="1" si="45"/>
        <v>4.2676220000000002</v>
      </c>
      <c r="W116" s="63">
        <f t="shared" ca="1" si="45"/>
        <v>5.4642860000000004</v>
      </c>
    </row>
    <row r="117" spans="1:23" hidden="1" x14ac:dyDescent="0.2">
      <c r="A117" s="51">
        <f t="shared" si="42"/>
        <v>0</v>
      </c>
      <c r="B117" s="46" t="str">
        <f t="shared" ca="1" si="44"/>
        <v/>
      </c>
      <c r="C117" s="1" t="str">
        <f>IF(ISERROR(D117),"",IF(D117="","",MAX($C$73:C116)+1))</f>
        <v/>
      </c>
      <c r="D117" t="e">
        <f t="shared" si="43"/>
        <v>#N/A</v>
      </c>
      <c r="E117" s="22"/>
      <c r="F117" s="63" t="str">
        <f t="shared" ca="1" si="37"/>
        <v>N/A</v>
      </c>
      <c r="G117" s="63" t="str">
        <f t="shared" si="34"/>
        <v>N/A</v>
      </c>
      <c r="H117" s="63" t="str">
        <f ca="1">IFERROR(VLOOKUP($A117,LASTYR,'2017'!$O$3,FALSE),"N/A")</f>
        <v>N/A</v>
      </c>
      <c r="I117" s="63" t="str">
        <f t="shared" ca="1" si="39"/>
        <v>N/A</v>
      </c>
      <c r="J117" s="63" t="str">
        <f t="shared" ca="1" si="46"/>
        <v>N/A</v>
      </c>
      <c r="K117" s="63" t="str">
        <f t="shared" ca="1" si="46"/>
        <v>N/A</v>
      </c>
      <c r="L117" s="63" t="str">
        <f t="shared" ca="1" si="46"/>
        <v>N/A</v>
      </c>
      <c r="M117" s="63" t="str">
        <f t="shared" ca="1" si="46"/>
        <v>N/A</v>
      </c>
      <c r="N117" s="63" t="str">
        <f t="shared" ca="1" si="46"/>
        <v>N/A</v>
      </c>
      <c r="O117" s="63" t="str">
        <f t="shared" ca="1" si="46"/>
        <v>N/A</v>
      </c>
      <c r="P117" s="63" t="str">
        <f t="shared" ca="1" si="46"/>
        <v>N/A</v>
      </c>
      <c r="Q117" s="63" t="str">
        <f t="shared" ca="1" si="46"/>
        <v>N/A</v>
      </c>
      <c r="R117" s="63" t="str">
        <f t="shared" ca="1" si="46"/>
        <v>N/A</v>
      </c>
      <c r="S117" s="63" t="str">
        <f t="shared" ca="1" si="46"/>
        <v>N/A</v>
      </c>
      <c r="T117" s="63" t="str">
        <f t="shared" ca="1" si="45"/>
        <v>N/A</v>
      </c>
      <c r="U117" s="63" t="str">
        <f t="shared" ca="1" si="45"/>
        <v>N/A</v>
      </c>
      <c r="V117" s="63" t="str">
        <f t="shared" ca="1" si="45"/>
        <v>N/A</v>
      </c>
      <c r="W117" s="63" t="str">
        <f t="shared" ca="1" si="45"/>
        <v>N/A</v>
      </c>
    </row>
    <row r="118" spans="1:23" hidden="1" x14ac:dyDescent="0.2">
      <c r="A118" s="51">
        <f t="shared" si="42"/>
        <v>0</v>
      </c>
      <c r="B118" s="46" t="str">
        <f t="shared" ca="1" si="44"/>
        <v/>
      </c>
      <c r="C118" s="1" t="str">
        <f>IF(ISERROR(D118),"",IF(D118="","",MAX($C$73:C117)+1))</f>
        <v/>
      </c>
      <c r="D118" t="e">
        <f t="shared" si="43"/>
        <v>#N/A</v>
      </c>
      <c r="F118" s="63" t="str">
        <f t="shared" ca="1" si="37"/>
        <v>N/A</v>
      </c>
      <c r="G118" s="63" t="str">
        <f t="shared" si="34"/>
        <v>N/A</v>
      </c>
      <c r="H118" s="63" t="str">
        <f ca="1">IFERROR(VLOOKUP($A118,LASTYR,'2017'!$O$3,FALSE),"N/A")</f>
        <v>N/A</v>
      </c>
      <c r="I118" s="63" t="str">
        <f t="shared" ca="1" si="39"/>
        <v>N/A</v>
      </c>
      <c r="J118" s="63" t="str">
        <f t="shared" ca="1" si="46"/>
        <v>N/A</v>
      </c>
      <c r="K118" s="63" t="str">
        <f t="shared" ca="1" si="46"/>
        <v>N/A</v>
      </c>
      <c r="L118" s="63" t="str">
        <f t="shared" ca="1" si="46"/>
        <v>N/A</v>
      </c>
      <c r="M118" s="63" t="str">
        <f t="shared" ca="1" si="46"/>
        <v>N/A</v>
      </c>
      <c r="N118" s="63" t="str">
        <f t="shared" ca="1" si="46"/>
        <v>N/A</v>
      </c>
      <c r="O118" s="63" t="str">
        <f t="shared" ca="1" si="46"/>
        <v>N/A</v>
      </c>
      <c r="P118" s="63" t="str">
        <f t="shared" ca="1" si="46"/>
        <v>N/A</v>
      </c>
      <c r="Q118" s="63" t="str">
        <f t="shared" ca="1" si="46"/>
        <v>N/A</v>
      </c>
      <c r="R118" s="63" t="str">
        <f t="shared" ca="1" si="46"/>
        <v>N/A</v>
      </c>
      <c r="S118" s="63" t="str">
        <f t="shared" ca="1" si="46"/>
        <v>N/A</v>
      </c>
      <c r="T118" s="63" t="str">
        <f t="shared" ca="1" si="45"/>
        <v>N/A</v>
      </c>
      <c r="U118" s="63" t="str">
        <f t="shared" ca="1" si="45"/>
        <v>N/A</v>
      </c>
      <c r="V118" s="63" t="str">
        <f t="shared" ca="1" si="45"/>
        <v>N/A</v>
      </c>
      <c r="W118" s="63" t="str">
        <f t="shared" ca="1" si="45"/>
        <v>N/A</v>
      </c>
    </row>
    <row r="119" spans="1:23" hidden="1" x14ac:dyDescent="0.2">
      <c r="A119" s="51">
        <f t="shared" si="42"/>
        <v>0</v>
      </c>
      <c r="B119" s="46" t="str">
        <f t="shared" ca="1" si="44"/>
        <v/>
      </c>
      <c r="C119" s="1" t="str">
        <f>IF(ISERROR(D119),"",IF(D119="","",MAX($C$73:C118)+1))</f>
        <v/>
      </c>
      <c r="D119" t="e">
        <f t="shared" si="43"/>
        <v>#N/A</v>
      </c>
      <c r="F119" s="63" t="str">
        <f t="shared" ca="1" si="37"/>
        <v>N/A</v>
      </c>
      <c r="G119" s="63" t="str">
        <f t="shared" si="34"/>
        <v>N/A</v>
      </c>
      <c r="H119" s="63" t="str">
        <f ca="1">IFERROR(VLOOKUP($A119,LASTYR,'2017'!$O$3,FALSE),"N/A")</f>
        <v>N/A</v>
      </c>
      <c r="I119" s="63" t="str">
        <f t="shared" ca="1" si="39"/>
        <v>N/A</v>
      </c>
      <c r="J119" s="63" t="str">
        <f t="shared" ca="1" si="46"/>
        <v>N/A</v>
      </c>
      <c r="K119" s="63" t="str">
        <f t="shared" ca="1" si="46"/>
        <v>N/A</v>
      </c>
      <c r="L119" s="63" t="str">
        <f t="shared" ca="1" si="46"/>
        <v>N/A</v>
      </c>
      <c r="M119" s="63" t="str">
        <f t="shared" ca="1" si="46"/>
        <v>N/A</v>
      </c>
      <c r="N119" s="63" t="str">
        <f t="shared" ca="1" si="46"/>
        <v>N/A</v>
      </c>
      <c r="O119" s="63" t="str">
        <f t="shared" ca="1" si="46"/>
        <v>N/A</v>
      </c>
      <c r="P119" s="63" t="str">
        <f t="shared" ca="1" si="46"/>
        <v>N/A</v>
      </c>
      <c r="Q119" s="63" t="str">
        <f t="shared" ca="1" si="46"/>
        <v>N/A</v>
      </c>
      <c r="R119" s="63" t="str">
        <f t="shared" ca="1" si="46"/>
        <v>N/A</v>
      </c>
      <c r="S119" s="63" t="str">
        <f t="shared" ca="1" si="46"/>
        <v>N/A</v>
      </c>
      <c r="T119" s="63" t="str">
        <f t="shared" ca="1" si="45"/>
        <v>N/A</v>
      </c>
      <c r="U119" s="63" t="str">
        <f t="shared" ca="1" si="45"/>
        <v>N/A</v>
      </c>
      <c r="V119" s="63" t="str">
        <f t="shared" ca="1" si="45"/>
        <v>N/A</v>
      </c>
      <c r="W119" s="63" t="str">
        <f t="shared" ca="1" si="45"/>
        <v>N/A</v>
      </c>
    </row>
    <row r="120" spans="1:23" hidden="1" x14ac:dyDescent="0.2">
      <c r="A120" s="51">
        <f t="shared" si="42"/>
        <v>0</v>
      </c>
      <c r="B120" s="46" t="str">
        <f t="shared" ca="1" si="44"/>
        <v/>
      </c>
      <c r="C120" s="1" t="str">
        <f>IF(ISERROR(D120),"",IF(D120="","",MAX($C$73:C119)+1))</f>
        <v/>
      </c>
      <c r="D120" t="e">
        <f t="shared" si="43"/>
        <v>#N/A</v>
      </c>
      <c r="F120" s="63" t="str">
        <f t="shared" ca="1" si="37"/>
        <v>N/A</v>
      </c>
      <c r="G120" s="63" t="str">
        <f t="shared" si="34"/>
        <v>N/A</v>
      </c>
      <c r="H120" s="63" t="str">
        <f ca="1">IFERROR(VLOOKUP($A120,LASTYR,'2017'!$O$3,FALSE),"N/A")</f>
        <v>N/A</v>
      </c>
      <c r="I120" s="63" t="str">
        <f t="shared" ca="1" si="39"/>
        <v>N/A</v>
      </c>
      <c r="J120" s="63" t="str">
        <f t="shared" ca="1" si="46"/>
        <v>N/A</v>
      </c>
      <c r="K120" s="63" t="str">
        <f t="shared" ca="1" si="46"/>
        <v>N/A</v>
      </c>
      <c r="L120" s="63" t="str">
        <f t="shared" ca="1" si="46"/>
        <v>N/A</v>
      </c>
      <c r="M120" s="63" t="str">
        <f t="shared" ca="1" si="46"/>
        <v>N/A</v>
      </c>
      <c r="N120" s="63" t="str">
        <f t="shared" ca="1" si="46"/>
        <v>N/A</v>
      </c>
      <c r="O120" s="63" t="str">
        <f t="shared" ca="1" si="46"/>
        <v>N/A</v>
      </c>
      <c r="P120" s="63" t="str">
        <f t="shared" ca="1" si="46"/>
        <v>N/A</v>
      </c>
      <c r="Q120" s="63" t="str">
        <f t="shared" ca="1" si="46"/>
        <v>N/A</v>
      </c>
      <c r="R120" s="63" t="str">
        <f t="shared" ca="1" si="46"/>
        <v>N/A</v>
      </c>
      <c r="S120" s="63" t="str">
        <f t="shared" ca="1" si="46"/>
        <v>N/A</v>
      </c>
      <c r="T120" s="63" t="str">
        <f t="shared" ref="T120:W120" ca="1" si="47">IFERROR(IF(INDEX(MP_CF_WP,$B120,T$74)=0,"N/A",INDEX(MP_CF_WP,$B120,T$74)),"N/A")</f>
        <v>N/A</v>
      </c>
      <c r="U120" s="63" t="str">
        <f t="shared" ca="1" si="47"/>
        <v>N/A</v>
      </c>
      <c r="V120" s="63" t="str">
        <f t="shared" ca="1" si="47"/>
        <v>N/A</v>
      </c>
      <c r="W120" s="63" t="str">
        <f t="shared" ca="1" si="47"/>
        <v>N/A</v>
      </c>
    </row>
    <row r="121" spans="1:23" x14ac:dyDescent="0.2">
      <c r="A121" s="31"/>
      <c r="B121" s="31"/>
      <c r="C121" s="1" t="str">
        <f>IF(ISERROR(D121),"",IF(D121="","",MAX($C$73:C120)+1))</f>
        <v/>
      </c>
      <c r="F121" s="63"/>
      <c r="G121" s="63"/>
      <c r="H121" s="63"/>
      <c r="I121" s="63"/>
      <c r="J121" s="63"/>
      <c r="K121" s="63"/>
      <c r="L121" s="63"/>
      <c r="M121" s="63"/>
      <c r="N121" s="63"/>
      <c r="O121" s="63"/>
      <c r="P121" s="63"/>
      <c r="Q121" s="63"/>
      <c r="R121" s="63"/>
      <c r="S121" s="63"/>
      <c r="T121" s="63"/>
      <c r="U121" s="63"/>
      <c r="V121" s="63"/>
      <c r="W121" s="63"/>
    </row>
    <row r="122" spans="1:23" x14ac:dyDescent="0.2">
      <c r="A122" s="31"/>
      <c r="B122" s="31"/>
      <c r="C122" s="1">
        <f>IF(ISERROR(D122),"",IF(D122="","",MAX($C$73:C121)+1))</f>
        <v>43</v>
      </c>
      <c r="D122" t="s">
        <v>98</v>
      </c>
      <c r="F122" s="63">
        <f ca="1">AVERAGE(G122:S122)</f>
        <v>0.63860752532396203</v>
      </c>
      <c r="G122" s="63">
        <f t="shared" ref="G122:S122" si="48">AVERAGE(G75:G121)</f>
        <v>0.67836079803218607</v>
      </c>
      <c r="H122" s="63">
        <f t="shared" ref="H122" ca="1" si="49">AVERAGE(H75:H121)</f>
        <v>0.18460095892210374</v>
      </c>
      <c r="I122" s="63">
        <f t="shared" ca="1" si="48"/>
        <v>0.65400280684303869</v>
      </c>
      <c r="J122" s="63">
        <f t="shared" ca="1" si="48"/>
        <v>0.64333784757145307</v>
      </c>
      <c r="K122" s="63">
        <f t="shared" ca="1" si="48"/>
        <v>0.63649216716598178</v>
      </c>
      <c r="L122" s="63">
        <f t="shared" ca="1" si="48"/>
        <v>0.63089695303166549</v>
      </c>
      <c r="M122" s="63">
        <f t="shared" ca="1" si="48"/>
        <v>0.6587083026191799</v>
      </c>
      <c r="N122" s="63">
        <f t="shared" ca="1" si="48"/>
        <v>0.67129446081211275</v>
      </c>
      <c r="O122" s="63">
        <f t="shared" ca="1" si="48"/>
        <v>0.67647605289685819</v>
      </c>
      <c r="P122" s="63">
        <f t="shared" ca="1" si="48"/>
        <v>0.69710002663215276</v>
      </c>
      <c r="Q122" s="63">
        <f t="shared" ca="1" si="48"/>
        <v>0.95231908871113091</v>
      </c>
      <c r="R122" s="63">
        <f t="shared" ca="1" si="48"/>
        <v>0.61306314118240857</v>
      </c>
      <c r="S122" s="63">
        <f t="shared" ca="1" si="48"/>
        <v>0.60524522479123477</v>
      </c>
      <c r="T122" s="63"/>
      <c r="U122" s="63"/>
      <c r="V122" s="63"/>
      <c r="W122" s="63"/>
    </row>
    <row r="123" spans="1:23" x14ac:dyDescent="0.2">
      <c r="A123" s="31"/>
      <c r="B123" s="31"/>
      <c r="C123" s="1">
        <f>IF(ISERROR(D123),"",IF(D123="","",MAX($C$73:C122)+1))</f>
        <v>44</v>
      </c>
      <c r="D123" t="s">
        <v>257</v>
      </c>
      <c r="F123" s="63">
        <f ca="1">AVERAGE(G123:S123)</f>
        <v>0.6166550657396197</v>
      </c>
      <c r="G123" s="63">
        <f>MEDIAN(G75:G121)</f>
        <v>0.63362831858407076</v>
      </c>
      <c r="H123" s="63">
        <f t="shared" ref="H123" ca="1" si="50">MEDIAN(H75:H121)</f>
        <v>0.62874251497005995</v>
      </c>
      <c r="I123" s="63">
        <f t="shared" ref="I123:S123" ca="1" si="51">MEDIAN(I75:I121)</f>
        <v>0.63720930232558148</v>
      </c>
      <c r="J123" s="63">
        <f t="shared" ca="1" si="51"/>
        <v>0.62768018599844999</v>
      </c>
      <c r="K123" s="63">
        <f t="shared" ca="1" si="51"/>
        <v>0.59564304106247457</v>
      </c>
      <c r="L123" s="63">
        <f t="shared" ca="1" si="51"/>
        <v>0.6138326892475563</v>
      </c>
      <c r="M123" s="63">
        <f t="shared" ca="1" si="51"/>
        <v>0.62801120448179271</v>
      </c>
      <c r="N123" s="63">
        <f t="shared" ca="1" si="51"/>
        <v>0.62011453113815318</v>
      </c>
      <c r="O123" s="63">
        <f t="shared" ca="1" si="51"/>
        <v>0.62349397590361444</v>
      </c>
      <c r="P123" s="63">
        <f t="shared" ca="1" si="51"/>
        <v>0.66055668703326542</v>
      </c>
      <c r="Q123" s="63">
        <f t="shared" ca="1" si="51"/>
        <v>0.60239445494643984</v>
      </c>
      <c r="R123" s="63">
        <f t="shared" ca="1" si="51"/>
        <v>0.58695652173913049</v>
      </c>
      <c r="S123" s="63">
        <f t="shared" ca="1" si="51"/>
        <v>0.55825242718446599</v>
      </c>
      <c r="T123" s="63"/>
      <c r="U123" s="63"/>
      <c r="V123" s="63"/>
      <c r="W123" s="63"/>
    </row>
    <row r="124" spans="1:23" x14ac:dyDescent="0.2">
      <c r="A124" s="31"/>
      <c r="B124" s="31"/>
      <c r="C124" s="1"/>
    </row>
    <row r="125" spans="1:23" x14ac:dyDescent="0.2">
      <c r="A125" s="31"/>
      <c r="B125" s="31"/>
      <c r="D125" s="18"/>
      <c r="E125" s="91"/>
    </row>
    <row r="126" spans="1:23" x14ac:dyDescent="0.2">
      <c r="A126" s="31"/>
      <c r="B126" s="31"/>
      <c r="D126" s="20" t="s">
        <v>107</v>
      </c>
    </row>
    <row r="127" spans="1:23" ht="16.5" x14ac:dyDescent="0.2">
      <c r="A127" s="31"/>
      <c r="B127" s="31"/>
      <c r="D127" s="79">
        <v>1</v>
      </c>
      <c r="E127" s="21" t="str">
        <f>"The Value Line Investment Survey Investment Analyzer Software, downloaded on "&amp;TEXT('2017'!$A$1,"mmmm d, yyyy.")</f>
        <v>The Value Line Investment Survey Investment Analyzer Software, downloaded on June 21, 2018.</v>
      </c>
    </row>
    <row r="128" spans="1:23" ht="16.5" x14ac:dyDescent="0.2">
      <c r="A128" s="31"/>
      <c r="B128" s="31"/>
      <c r="D128" s="79">
        <v>2</v>
      </c>
      <c r="E128" s="21" t="str">
        <f>"The Value Line Investment Survey, "&amp;'2018 Data (WP)'!$D$1</f>
        <v>The Value Line Investment Survey, October 26, November 16, and December 14, 2018.</v>
      </c>
    </row>
    <row r="129" spans="1:23" x14ac:dyDescent="0.2">
      <c r="A129" s="31"/>
      <c r="B129" s="31"/>
      <c r="D129" s="20" t="s">
        <v>108</v>
      </c>
    </row>
    <row r="130" spans="1:23" ht="16.5" x14ac:dyDescent="0.2">
      <c r="A130" s="31"/>
      <c r="B130" s="31"/>
      <c r="D130" s="93" t="s">
        <v>356</v>
      </c>
      <c r="E130" s="21" t="s">
        <v>432</v>
      </c>
    </row>
    <row r="131" spans="1:23" x14ac:dyDescent="0.2">
      <c r="E131" s="23" t="str">
        <f>"published in The Value Line Investment Survey, "&amp;'2018 Data (WP)'!$D$1</f>
        <v>published in The Value Line Investment Survey, October 26, November 16, and December 14, 2018.</v>
      </c>
    </row>
    <row r="132" spans="1:23" x14ac:dyDescent="0.2">
      <c r="A132" s="31"/>
      <c r="B132" s="31"/>
      <c r="C132" s="1"/>
    </row>
    <row r="133" spans="1:23" ht="17.25" x14ac:dyDescent="0.25">
      <c r="A133" s="31"/>
      <c r="B133" s="31"/>
      <c r="C133" s="6"/>
      <c r="D133" s="6"/>
      <c r="E133" s="19"/>
      <c r="F133" s="235" t="s">
        <v>328</v>
      </c>
      <c r="G133" s="235"/>
      <c r="H133" s="235"/>
      <c r="I133" s="235"/>
      <c r="J133" s="235"/>
      <c r="K133" s="235"/>
      <c r="L133" s="235"/>
      <c r="M133" s="235"/>
      <c r="N133" s="235"/>
      <c r="O133" s="235"/>
      <c r="P133" s="235"/>
      <c r="Q133" s="235"/>
      <c r="R133" s="235"/>
      <c r="S133" s="235"/>
      <c r="T133" s="235"/>
      <c r="U133" s="235"/>
      <c r="V133" s="235"/>
      <c r="W133" s="235"/>
    </row>
    <row r="134" spans="1:23" ht="15" x14ac:dyDescent="0.25">
      <c r="A134" s="31"/>
      <c r="B134" s="31"/>
      <c r="C134" s="6"/>
      <c r="D134" s="7"/>
      <c r="E134" s="7"/>
      <c r="F134" s="8" t="s">
        <v>429</v>
      </c>
      <c r="G134" s="8"/>
      <c r="H134" s="8"/>
      <c r="I134" s="8"/>
      <c r="J134" s="8"/>
      <c r="K134" s="8"/>
      <c r="L134" s="8"/>
      <c r="M134" s="8"/>
      <c r="N134" s="8"/>
      <c r="O134" s="8"/>
      <c r="P134" s="7"/>
      <c r="Q134" s="7"/>
      <c r="R134" s="7"/>
      <c r="S134" s="7"/>
      <c r="T134" s="7"/>
      <c r="U134" s="7"/>
      <c r="V134" s="7"/>
    </row>
    <row r="135" spans="1:23" ht="17.25" x14ac:dyDescent="0.25">
      <c r="A135" s="31"/>
      <c r="B135" s="31"/>
      <c r="C135" s="9" t="s">
        <v>96</v>
      </c>
      <c r="D135" s="234" t="s">
        <v>97</v>
      </c>
      <c r="E135" s="234"/>
      <c r="F135" s="10" t="s">
        <v>98</v>
      </c>
      <c r="G135" s="10" t="s">
        <v>434</v>
      </c>
      <c r="H135" s="41">
        <v>2017</v>
      </c>
      <c r="I135" s="41">
        <v>2016</v>
      </c>
      <c r="J135" s="41">
        <v>2015</v>
      </c>
      <c r="K135" s="41">
        <v>2014</v>
      </c>
      <c r="L135" s="41">
        <v>2013</v>
      </c>
      <c r="M135" s="41">
        <v>2012</v>
      </c>
      <c r="N135" s="41">
        <v>2011</v>
      </c>
      <c r="O135" s="41">
        <v>2010</v>
      </c>
      <c r="P135" s="41">
        <v>2009</v>
      </c>
      <c r="Q135" s="41">
        <v>2008</v>
      </c>
      <c r="R135" s="41">
        <v>2007</v>
      </c>
      <c r="S135" s="41">
        <v>2006</v>
      </c>
      <c r="T135" s="41">
        <v>2005</v>
      </c>
      <c r="U135" s="41"/>
      <c r="V135" s="41"/>
      <c r="W135" s="41"/>
    </row>
    <row r="136" spans="1:23" ht="15" x14ac:dyDescent="0.25">
      <c r="A136" s="42"/>
      <c r="B136" s="42"/>
      <c r="C136" s="9"/>
      <c r="D136" s="11"/>
      <c r="E136" s="11"/>
      <c r="F136" s="12">
        <v>-1</v>
      </c>
      <c r="G136" s="12">
        <f t="shared" ref="G136:T136" si="52">+F136-1</f>
        <v>-2</v>
      </c>
      <c r="H136" s="12">
        <f t="shared" ref="H136" si="53">+G136-1</f>
        <v>-3</v>
      </c>
      <c r="I136" s="12">
        <f t="shared" ref="I136" si="54">+H136-1</f>
        <v>-4</v>
      </c>
      <c r="J136" s="12">
        <f t="shared" ref="J136" si="55">+I136-1</f>
        <v>-5</v>
      </c>
      <c r="K136" s="12">
        <f t="shared" ref="K136" si="56">+J136-1</f>
        <v>-6</v>
      </c>
      <c r="L136" s="12">
        <f t="shared" ref="L136" si="57">+K136-1</f>
        <v>-7</v>
      </c>
      <c r="M136" s="12">
        <f t="shared" ref="M136" si="58">+L136-1</f>
        <v>-8</v>
      </c>
      <c r="N136" s="12">
        <f t="shared" ref="N136" si="59">+M136-1</f>
        <v>-9</v>
      </c>
      <c r="O136" s="12">
        <f t="shared" ref="O136" si="60">+N136-1</f>
        <v>-10</v>
      </c>
      <c r="P136" s="12">
        <f t="shared" ref="P136" si="61">+O136-1</f>
        <v>-11</v>
      </c>
      <c r="Q136" s="12">
        <f t="shared" ref="Q136" si="62">+P136-1</f>
        <v>-12</v>
      </c>
      <c r="R136" s="12">
        <f t="shared" ref="R136" si="63">+Q136-1</f>
        <v>-13</v>
      </c>
      <c r="S136" s="12">
        <f t="shared" ref="S136" si="64">+R136-1</f>
        <v>-14</v>
      </c>
      <c r="T136" s="12">
        <f t="shared" si="52"/>
        <v>-15</v>
      </c>
      <c r="U136" s="12"/>
      <c r="V136" s="12"/>
      <c r="W136" s="12"/>
    </row>
    <row r="137" spans="1:23" x14ac:dyDescent="0.2">
      <c r="A137" s="43"/>
      <c r="B137" s="44"/>
      <c r="C137" s="6"/>
      <c r="E137" s="22"/>
      <c r="F137" s="36"/>
      <c r="G137" s="36"/>
      <c r="H137" s="16" t="e">
        <f t="shared" ref="H137:W137" ca="1" si="65">MATCH(VALUE(LEFT(H135,4)),OFFSET(CF_CAP_WP,-1,0,1,),0)</f>
        <v>#N/A</v>
      </c>
      <c r="I137" s="16">
        <f t="shared" ca="1" si="65"/>
        <v>6</v>
      </c>
      <c r="J137" s="16">
        <f t="shared" ca="1" si="65"/>
        <v>7</v>
      </c>
      <c r="K137" s="16">
        <f t="shared" ca="1" si="65"/>
        <v>8</v>
      </c>
      <c r="L137" s="16">
        <f t="shared" ca="1" si="65"/>
        <v>9</v>
      </c>
      <c r="M137" s="16">
        <f t="shared" ca="1" si="65"/>
        <v>10</v>
      </c>
      <c r="N137" s="16">
        <f t="shared" ca="1" si="65"/>
        <v>11</v>
      </c>
      <c r="O137" s="16">
        <f t="shared" ca="1" si="65"/>
        <v>12</v>
      </c>
      <c r="P137" s="16">
        <f t="shared" ca="1" si="65"/>
        <v>13</v>
      </c>
      <c r="Q137" s="16">
        <f t="shared" ca="1" si="65"/>
        <v>14</v>
      </c>
      <c r="R137" s="16">
        <f t="shared" ca="1" si="65"/>
        <v>15</v>
      </c>
      <c r="S137" s="16">
        <f t="shared" ca="1" si="65"/>
        <v>16</v>
      </c>
      <c r="T137" s="16" t="e">
        <f t="shared" ca="1" si="65"/>
        <v>#N/A</v>
      </c>
      <c r="U137" s="16" t="e">
        <f t="shared" ca="1" si="65"/>
        <v>#VALUE!</v>
      </c>
      <c r="V137" s="16" t="e">
        <f t="shared" ca="1" si="65"/>
        <v>#VALUE!</v>
      </c>
      <c r="W137" s="16" t="e">
        <f t="shared" ca="1" si="65"/>
        <v>#VALUE!</v>
      </c>
    </row>
    <row r="138" spans="1:23" x14ac:dyDescent="0.2">
      <c r="A138" s="51" t="str">
        <f t="shared" ref="A138:A155" si="66">A13</f>
        <v>ALE</v>
      </c>
      <c r="B138" s="46">
        <f t="shared" ref="B138:B154" ca="1" si="67">MATCH(A138,OFFSET(CF_CAP_WP,0,0,,1),0)</f>
        <v>2</v>
      </c>
      <c r="C138" s="1">
        <f>IF(ISERROR(D138),"",IF(D138="","",MAX($C$136:C137)+1))</f>
        <v>1</v>
      </c>
      <c r="D138" t="str">
        <f>D13</f>
        <v xml:space="preserve">ALLETE                        </v>
      </c>
      <c r="E138" s="22"/>
      <c r="F138" s="63">
        <f ca="1">AVERAGE(G138:S138)</f>
        <v>0.84073013522566831</v>
      </c>
      <c r="G138" s="63">
        <f t="shared" ref="G138:G183" si="68">IFERROR(IF(VLOOKUP(A138,LUCurYr,21,FALSE)=0,"",VLOOKUP(A138,LUCurYr,21,FALSE)),"N/A")</f>
        <v>1.0873015873015872</v>
      </c>
      <c r="H138" s="63">
        <f ca="1">IFERROR(VLOOKUP($A138,LASTYR,'2017'!$P$3,FALSE),"N/A")</f>
        <v>1.6149509803921569</v>
      </c>
      <c r="I138" s="63">
        <f t="shared" ref="I138:S153" ca="1" si="69">IFERROR(IF(INDEX(CF_CAP_WP,$B138,I$137)=0,"N/A",INDEX(CF_CAP_WP,$B138,I$137)),"N/A")</f>
        <v>1.321942110177404</v>
      </c>
      <c r="J138" s="63">
        <f t="shared" ca="1" si="69"/>
        <v>1.162472179421332</v>
      </c>
      <c r="K138" s="63">
        <f t="shared" ca="1" si="69"/>
        <v>0.45476400352592355</v>
      </c>
      <c r="L138" s="63">
        <f t="shared" ca="1" si="69"/>
        <v>0.67359798361688716</v>
      </c>
      <c r="M138" s="63">
        <f t="shared" ca="1" si="69"/>
        <v>0.48626080201961358</v>
      </c>
      <c r="N138" s="63">
        <f t="shared" ca="1" si="69"/>
        <v>0.77002664994513248</v>
      </c>
      <c r="O138" s="63">
        <f t="shared" ca="1" si="69"/>
        <v>0.62591687041564792</v>
      </c>
      <c r="P138" s="63">
        <f t="shared" ca="1" si="69"/>
        <v>0.39467285587975243</v>
      </c>
      <c r="Q138" s="63">
        <f t="shared" ca="1" si="69"/>
        <v>0.45831528800346466</v>
      </c>
      <c r="R138" s="63">
        <f t="shared" ca="1" si="69"/>
        <v>0.64747252747252737</v>
      </c>
      <c r="S138" s="63">
        <f t="shared" ca="1" si="69"/>
        <v>1.2317979197622584</v>
      </c>
      <c r="T138" s="63"/>
      <c r="U138" s="17"/>
      <c r="V138" s="17"/>
      <c r="W138" s="17"/>
    </row>
    <row r="139" spans="1:23" x14ac:dyDescent="0.2">
      <c r="A139" s="51" t="str">
        <f t="shared" si="66"/>
        <v>LNT</v>
      </c>
      <c r="B139" s="46">
        <f t="shared" ca="1" si="67"/>
        <v>3</v>
      </c>
      <c r="C139" s="1">
        <f>IF(ISERROR(D139),"",IF(D139="","",MAX($C$136:C138)+1))</f>
        <v>2</v>
      </c>
      <c r="D139" t="str">
        <f t="shared" ref="D139:D154" si="70">D14</f>
        <v xml:space="preserve">Alliant Energy                </v>
      </c>
      <c r="E139" s="22"/>
      <c r="F139" s="63">
        <f t="shared" ref="F139:F183" ca="1" si="71">AVERAGE(G139:S139)</f>
        <v>0.7674302812541044</v>
      </c>
      <c r="G139" s="63">
        <f t="shared" si="68"/>
        <v>0.58503401360544216</v>
      </c>
      <c r="H139" s="63">
        <f ca="1">IFERROR(VLOOKUP($A139,LASTYR,'2017'!$P$3,FALSE),"N/A")</f>
        <v>0.48927444794952679</v>
      </c>
      <c r="I139" s="63" t="str">
        <f t="shared" ca="1" si="69"/>
        <v>N/A</v>
      </c>
      <c r="J139" s="63">
        <f t="shared" ca="1" si="69"/>
        <v>0.81120527306967982</v>
      </c>
      <c r="K139" s="63">
        <f t="shared" ca="1" si="69"/>
        <v>0.91007669928590318</v>
      </c>
      <c r="L139" s="63">
        <f t="shared" ca="1" si="69"/>
        <v>1.0075369309617124</v>
      </c>
      <c r="M139" s="63">
        <f t="shared" ca="1" si="69"/>
        <v>0.56507571401188428</v>
      </c>
      <c r="N139" s="63">
        <f t="shared" ca="1" si="69"/>
        <v>0.90801186943620182</v>
      </c>
      <c r="O139" s="63">
        <f t="shared" ca="1" si="69"/>
        <v>0.66615502686108985</v>
      </c>
      <c r="P139" s="63">
        <f t="shared" ca="1" si="69"/>
        <v>0.3870077291129923</v>
      </c>
      <c r="Q139" s="63">
        <f t="shared" ca="1" si="69"/>
        <v>0.57250565468710735</v>
      </c>
      <c r="R139" s="63">
        <f t="shared" ca="1" si="69"/>
        <v>1.0419381107491859</v>
      </c>
      <c r="S139" s="63">
        <f t="shared" ca="1" si="69"/>
        <v>1.2653419053185271</v>
      </c>
      <c r="T139" s="63"/>
      <c r="U139" s="17"/>
      <c r="V139" s="17"/>
      <c r="W139" s="17"/>
    </row>
    <row r="140" spans="1:23" x14ac:dyDescent="0.2">
      <c r="A140" s="51" t="str">
        <f t="shared" si="66"/>
        <v>AEE</v>
      </c>
      <c r="B140" s="46">
        <f t="shared" ca="1" si="67"/>
        <v>6</v>
      </c>
      <c r="C140" s="1">
        <f>IF(ISERROR(D140),"",IF(D140="","",MAX($C$136:C139)+1))</f>
        <v>3</v>
      </c>
      <c r="D140" t="str">
        <f t="shared" si="70"/>
        <v xml:space="preserve">Ameren Corp.                  </v>
      </c>
      <c r="E140" s="22"/>
      <c r="F140" s="63">
        <f t="shared" ca="1" si="71"/>
        <v>0.92776572267637392</v>
      </c>
      <c r="G140" s="63">
        <f t="shared" si="68"/>
        <v>0.7857142857142857</v>
      </c>
      <c r="H140" s="63">
        <f ca="1">IFERROR(VLOOKUP($A140,LASTYR,'2017'!$P$3,FALSE),"N/A")</f>
        <v>0.75207251022438371</v>
      </c>
      <c r="I140" s="63">
        <f t="shared" ca="1" si="69"/>
        <v>0.74985767960833438</v>
      </c>
      <c r="J140" s="63">
        <f t="shared" ca="1" si="69"/>
        <v>0.74910659272951319</v>
      </c>
      <c r="K140" s="63">
        <f t="shared" ca="1" si="69"/>
        <v>0.75306708431218994</v>
      </c>
      <c r="L140" s="63">
        <f t="shared" ca="1" si="69"/>
        <v>0.89401942409269042</v>
      </c>
      <c r="M140" s="63">
        <f t="shared" ca="1" si="69"/>
        <v>1.0705432008749545</v>
      </c>
      <c r="N140" s="63">
        <f t="shared" ca="1" si="69"/>
        <v>1.305043323705843</v>
      </c>
      <c r="O140" s="63">
        <f t="shared" ca="1" si="69"/>
        <v>1.3568518121381083</v>
      </c>
      <c r="P140" s="63">
        <f t="shared" ca="1" si="69"/>
        <v>0.8059880239520959</v>
      </c>
      <c r="Q140" s="63">
        <f t="shared" ca="1" si="69"/>
        <v>0.66068130515083112</v>
      </c>
      <c r="R140" s="63">
        <f t="shared" ca="1" si="69"/>
        <v>0.97239792984473838</v>
      </c>
      <c r="S140" s="63">
        <f t="shared" ca="1" si="69"/>
        <v>1.2056112224448898</v>
      </c>
      <c r="T140" s="63"/>
      <c r="U140" s="17"/>
      <c r="V140" s="17"/>
      <c r="W140" s="17"/>
    </row>
    <row r="141" spans="1:23" x14ac:dyDescent="0.2">
      <c r="A141" s="51" t="str">
        <f t="shared" si="66"/>
        <v>AEP</v>
      </c>
      <c r="B141" s="46">
        <f t="shared" ca="1" si="67"/>
        <v>7</v>
      </c>
      <c r="C141" s="1">
        <f>IF(ISERROR(D141),"",IF(D141="","",MAX($C$136:C140)+1))</f>
        <v>4</v>
      </c>
      <c r="D141" t="str">
        <f t="shared" si="70"/>
        <v>American Electric Power</v>
      </c>
      <c r="E141" s="22"/>
      <c r="F141" s="63">
        <f t="shared" ca="1" si="71"/>
        <v>0.89044061911942107</v>
      </c>
      <c r="G141" s="63">
        <f t="shared" si="68"/>
        <v>0.68799999999999994</v>
      </c>
      <c r="H141" s="63">
        <f ca="1">IFERROR(VLOOKUP($A141,LASTYR,'2017'!$P$3,FALSE),"N/A")</f>
        <v>0.67413251887672854</v>
      </c>
      <c r="I141" s="63">
        <f t="shared" ca="1" si="69"/>
        <v>0.84817225838758137</v>
      </c>
      <c r="J141" s="63">
        <f t="shared" ca="1" si="69"/>
        <v>0.85172929120409901</v>
      </c>
      <c r="K141" s="63">
        <f t="shared" ca="1" si="69"/>
        <v>0.87229387379087986</v>
      </c>
      <c r="L141" s="63">
        <f t="shared" ca="1" si="69"/>
        <v>0.90613298902517747</v>
      </c>
      <c r="M141" s="63">
        <f t="shared" ca="1" si="69"/>
        <v>1.0730345790044968</v>
      </c>
      <c r="N141" s="63">
        <f t="shared" ca="1" si="69"/>
        <v>1.189198606271777</v>
      </c>
      <c r="O141" s="63">
        <f t="shared" ca="1" si="69"/>
        <v>1.2420055270430319</v>
      </c>
      <c r="P141" s="63">
        <f t="shared" ca="1" si="69"/>
        <v>1.0205037132709074</v>
      </c>
      <c r="Q141" s="63">
        <f t="shared" ca="1" si="69"/>
        <v>0.69535143932458554</v>
      </c>
      <c r="R141" s="63">
        <f t="shared" ca="1" si="69"/>
        <v>0.7654543407273956</v>
      </c>
      <c r="S141" s="63">
        <f t="shared" ca="1" si="69"/>
        <v>0.74971891162581517</v>
      </c>
      <c r="T141" s="63"/>
      <c r="U141" s="17"/>
      <c r="V141" s="17"/>
      <c r="W141" s="17"/>
    </row>
    <row r="142" spans="1:23" x14ac:dyDescent="0.2">
      <c r="A142" s="51" t="str">
        <f t="shared" si="66"/>
        <v>AGR</v>
      </c>
      <c r="B142" s="46">
        <f t="shared" ca="1" si="67"/>
        <v>10</v>
      </c>
      <c r="C142" s="1">
        <f>IF(ISERROR(D142),"",IF(D142="","",MAX($C$136:C141)+1))</f>
        <v>5</v>
      </c>
      <c r="D142" t="str">
        <f t="shared" si="70"/>
        <v>Avangrid, Inc.</v>
      </c>
      <c r="E142" s="22"/>
      <c r="F142" s="63">
        <f t="shared" ca="1" si="71"/>
        <v>0.74478211305418418</v>
      </c>
      <c r="G142" s="63">
        <f t="shared" si="68"/>
        <v>0.65806451612903216</v>
      </c>
      <c r="H142" s="63">
        <f ca="1">IFERROR(VLOOKUP($A142,LASTYR,'2017'!$P$3,FALSE),"N/A")</f>
        <v>0.57411433687172275</v>
      </c>
      <c r="I142" s="63">
        <f t="shared" ca="1" si="69"/>
        <v>0.85771180304127448</v>
      </c>
      <c r="J142" s="63">
        <f t="shared" ca="1" si="69"/>
        <v>0.88923779617470744</v>
      </c>
      <c r="K142" s="63" t="str">
        <f t="shared" ca="1" si="69"/>
        <v>N/A</v>
      </c>
      <c r="L142" s="63" t="str">
        <f t="shared" ca="1" si="69"/>
        <v>N/A</v>
      </c>
      <c r="M142" s="63" t="str">
        <f t="shared" ca="1" si="69"/>
        <v>N/A</v>
      </c>
      <c r="N142" s="63" t="str">
        <f t="shared" ca="1" si="69"/>
        <v>N/A</v>
      </c>
      <c r="O142" s="63" t="str">
        <f t="shared" ca="1" si="69"/>
        <v>N/A</v>
      </c>
      <c r="P142" s="63" t="str">
        <f t="shared" ca="1" si="69"/>
        <v>N/A</v>
      </c>
      <c r="Q142" s="63" t="str">
        <f t="shared" ca="1" si="69"/>
        <v>N/A</v>
      </c>
      <c r="R142" s="63" t="str">
        <f t="shared" ca="1" si="69"/>
        <v>N/A</v>
      </c>
      <c r="S142" s="63" t="str">
        <f t="shared" ca="1" si="69"/>
        <v>N/A</v>
      </c>
      <c r="T142" s="63"/>
      <c r="U142" s="17"/>
      <c r="V142" s="17"/>
      <c r="W142" s="17"/>
    </row>
    <row r="143" spans="1:23" x14ac:dyDescent="0.2">
      <c r="A143" s="51" t="str">
        <f t="shared" si="66"/>
        <v>AVA</v>
      </c>
      <c r="B143" s="46">
        <f t="shared" ca="1" si="67"/>
        <v>11</v>
      </c>
      <c r="C143" s="1">
        <f>IF(ISERROR(D143),"",IF(D143="","",MAX($C$136:C142)+1))</f>
        <v>6</v>
      </c>
      <c r="D143" t="str">
        <f t="shared" si="70"/>
        <v xml:space="preserve">Avista Corp.                  </v>
      </c>
      <c r="E143" s="22"/>
      <c r="F143" s="63">
        <f t="shared" ca="1" si="71"/>
        <v>0.9043437236793519</v>
      </c>
      <c r="G143" s="63">
        <f t="shared" si="68"/>
        <v>0.81967213114754101</v>
      </c>
      <c r="H143" s="63">
        <f ca="1">IFERROR(VLOOKUP($A143,LASTYR,'2017'!$P$3,FALSE),"N/A")</f>
        <v>0.77414231257941546</v>
      </c>
      <c r="I143" s="63">
        <f t="shared" ca="1" si="69"/>
        <v>0.83504179151553382</v>
      </c>
      <c r="J143" s="63">
        <f t="shared" ca="1" si="69"/>
        <v>0.76183844011142066</v>
      </c>
      <c r="K143" s="63">
        <f t="shared" ca="1" si="69"/>
        <v>0.79576178297405908</v>
      </c>
      <c r="L143" s="63">
        <f t="shared" ca="1" si="69"/>
        <v>0.86422200198216059</v>
      </c>
      <c r="M143" s="63">
        <f t="shared" ca="1" si="69"/>
        <v>0.80212397052449069</v>
      </c>
      <c r="N143" s="63">
        <f t="shared" ca="1" si="69"/>
        <v>0.89938154138915327</v>
      </c>
      <c r="O143" s="63">
        <f t="shared" ca="1" si="69"/>
        <v>0.99450851180669964</v>
      </c>
      <c r="P143" s="63">
        <f t="shared" ca="1" si="69"/>
        <v>1.1526697770865733</v>
      </c>
      <c r="Q143" s="63">
        <f t="shared" ca="1" si="69"/>
        <v>0.97333007095669211</v>
      </c>
      <c r="R143" s="63">
        <f t="shared" ca="1" si="69"/>
        <v>0.72531551596139565</v>
      </c>
      <c r="S143" s="63">
        <f t="shared" ca="1" si="69"/>
        <v>1.3584605597964376</v>
      </c>
      <c r="T143" s="63"/>
      <c r="U143" s="17"/>
      <c r="V143" s="17"/>
      <c r="W143" s="17"/>
    </row>
    <row r="144" spans="1:23" x14ac:dyDescent="0.2">
      <c r="A144" s="51" t="str">
        <f t="shared" si="66"/>
        <v>BKH</v>
      </c>
      <c r="B144" s="46">
        <f t="shared" ca="1" si="67"/>
        <v>12</v>
      </c>
      <c r="C144" s="1">
        <f>IF(ISERROR(D144),"",IF(D144="","",MAX($C$136:C143)+1))</f>
        <v>7</v>
      </c>
      <c r="D144" t="str">
        <f t="shared" si="70"/>
        <v xml:space="preserve">Black Hills                   </v>
      </c>
      <c r="E144" s="22"/>
      <c r="F144" s="63">
        <f t="shared" ca="1" si="71"/>
        <v>0.6597200990301153</v>
      </c>
      <c r="G144" s="63">
        <f t="shared" si="68"/>
        <v>0.83750000000000002</v>
      </c>
      <c r="H144" s="63">
        <f ca="1">IFERROR(VLOOKUP($A144,LASTYR,'2017'!$P$3,FALSE),"N/A")</f>
        <v>1.1749055674166529</v>
      </c>
      <c r="I144" s="63">
        <f t="shared" ca="1" si="69"/>
        <v>0.70665617270069714</v>
      </c>
      <c r="J144" s="63">
        <f t="shared" ca="1" si="69"/>
        <v>0.63673148252219847</v>
      </c>
      <c r="K144" s="63">
        <f t="shared" ca="1" si="69"/>
        <v>0.70011210762331844</v>
      </c>
      <c r="L144" s="63">
        <f t="shared" ca="1" si="69"/>
        <v>0.74372804816859006</v>
      </c>
      <c r="M144" s="63">
        <f t="shared" ca="1" si="69"/>
        <v>0.70777412003038742</v>
      </c>
      <c r="N144" s="63">
        <f t="shared" ca="1" si="69"/>
        <v>0.39928236818498958</v>
      </c>
      <c r="O144" s="63">
        <f t="shared" ca="1" si="69"/>
        <v>0.4050843233363795</v>
      </c>
      <c r="P144" s="63">
        <f t="shared" ca="1" si="69"/>
        <v>0.60813391753735535</v>
      </c>
      <c r="Q144" s="63">
        <f t="shared" ca="1" si="69"/>
        <v>0.34688124045577351</v>
      </c>
      <c r="R144" s="63">
        <f t="shared" ca="1" si="69"/>
        <v>0.76456977584960228</v>
      </c>
      <c r="S144" s="63">
        <f t="shared" ca="1" si="69"/>
        <v>0.54500216356555609</v>
      </c>
      <c r="T144" s="63"/>
      <c r="U144" s="17"/>
      <c r="V144" s="17"/>
      <c r="W144" s="17"/>
    </row>
    <row r="145" spans="1:23" x14ac:dyDescent="0.2">
      <c r="A145" s="51" t="str">
        <f t="shared" si="66"/>
        <v>CNP</v>
      </c>
      <c r="B145" s="46">
        <f t="shared" ca="1" si="67"/>
        <v>14</v>
      </c>
      <c r="C145" s="1">
        <f>IF(ISERROR(D145),"",IF(D145="","",MAX($C$136:C144)+1))</f>
        <v>8</v>
      </c>
      <c r="D145" t="str">
        <f t="shared" si="70"/>
        <v xml:space="preserve">CenterPoint Energy            </v>
      </c>
      <c r="E145" s="22"/>
      <c r="F145" s="63">
        <f t="shared" ca="1" si="71"/>
        <v>1.1025570319916342</v>
      </c>
      <c r="G145" s="63">
        <f t="shared" si="68"/>
        <v>1.0909090909090911</v>
      </c>
      <c r="H145" s="63">
        <f ca="1">IFERROR(VLOOKUP($A145,LASTYR,'2017'!$P$3,FALSE),"N/A")</f>
        <v>1.2194679564691657</v>
      </c>
      <c r="I145" s="63">
        <f t="shared" ca="1" si="69"/>
        <v>1.1203167834297898</v>
      </c>
      <c r="J145" s="63">
        <f t="shared" ca="1" si="69"/>
        <v>0.92290988056460366</v>
      </c>
      <c r="K145" s="63">
        <f t="shared" ca="1" si="69"/>
        <v>1.2041901188242652</v>
      </c>
      <c r="L145" s="63">
        <f t="shared" ca="1" si="69"/>
        <v>1.1817878585723816</v>
      </c>
      <c r="M145" s="63">
        <f t="shared" ca="1" si="69"/>
        <v>1.3724867724867724</v>
      </c>
      <c r="N145" s="63">
        <f t="shared" ca="1" si="69"/>
        <v>1.1223021582733814</v>
      </c>
      <c r="O145" s="63">
        <f t="shared" ca="1" si="69"/>
        <v>0.88347875035181533</v>
      </c>
      <c r="P145" s="63">
        <f t="shared" ca="1" si="69"/>
        <v>0.99324552516041875</v>
      </c>
      <c r="Q145" s="63">
        <f t="shared" ca="1" si="69"/>
        <v>1.1598235493722431</v>
      </c>
      <c r="R145" s="63">
        <f t="shared" ca="1" si="69"/>
        <v>0.98290845886442635</v>
      </c>
      <c r="S145" s="63">
        <f t="shared" ca="1" si="69"/>
        <v>1.0794145126128933</v>
      </c>
      <c r="T145" s="63"/>
      <c r="U145" s="17"/>
      <c r="V145" s="17"/>
      <c r="W145" s="17"/>
    </row>
    <row r="146" spans="1:23" x14ac:dyDescent="0.2">
      <c r="A146" s="51" t="str">
        <f t="shared" si="66"/>
        <v>CMS</v>
      </c>
      <c r="B146" s="46">
        <f t="shared" ca="1" si="67"/>
        <v>18</v>
      </c>
      <c r="C146" s="1">
        <f>IF(ISERROR(D146),"",IF(D146="","",MAX($C$136:C145)+1))</f>
        <v>9</v>
      </c>
      <c r="D146" t="str">
        <f t="shared" si="70"/>
        <v xml:space="preserve">CMS Energy Corp.              </v>
      </c>
      <c r="E146" s="22"/>
      <c r="F146" s="63">
        <f t="shared" ca="1" si="71"/>
        <v>0.88726120078318371</v>
      </c>
      <c r="G146" s="63">
        <f t="shared" si="68"/>
        <v>0.76351351351351349</v>
      </c>
      <c r="H146" s="63">
        <f ca="1">IFERROR(VLOOKUP($A146,LASTYR,'2017'!$P$3,FALSE),"N/A")</f>
        <v>0.89428281461434367</v>
      </c>
      <c r="I146" s="63">
        <f t="shared" ca="1" si="69"/>
        <v>0.81462925851703405</v>
      </c>
      <c r="J146" s="63">
        <f t="shared" ca="1" si="69"/>
        <v>0.81392876129718239</v>
      </c>
      <c r="K146" s="63">
        <f t="shared" ca="1" si="69"/>
        <v>0.73682373472949392</v>
      </c>
      <c r="L146" s="63">
        <f t="shared" ca="1" si="69"/>
        <v>0.81522394055031133</v>
      </c>
      <c r="M146" s="63">
        <f t="shared" ca="1" si="69"/>
        <v>0.8224278949634094</v>
      </c>
      <c r="N146" s="63">
        <f t="shared" ca="1" si="69"/>
        <v>1.052146355517142</v>
      </c>
      <c r="O146" s="63">
        <f t="shared" ca="1" si="69"/>
        <v>1.1255700820918211</v>
      </c>
      <c r="P146" s="63">
        <f t="shared" ca="1" si="69"/>
        <v>0.96600724435775986</v>
      </c>
      <c r="Q146" s="63">
        <f t="shared" ca="1" si="69"/>
        <v>1.1086335048599198</v>
      </c>
      <c r="R146" s="63">
        <f t="shared" ca="1" si="69"/>
        <v>0.54937611408199638</v>
      </c>
      <c r="S146" s="63">
        <f t="shared" ca="1" si="69"/>
        <v>1.0718323910874625</v>
      </c>
      <c r="T146" s="63"/>
      <c r="U146" s="17"/>
      <c r="V146" s="17"/>
      <c r="W146" s="17"/>
    </row>
    <row r="147" spans="1:23" x14ac:dyDescent="0.2">
      <c r="A147" s="51" t="str">
        <f t="shared" si="66"/>
        <v>ED</v>
      </c>
      <c r="B147" s="46">
        <f t="shared" ca="1" si="67"/>
        <v>20</v>
      </c>
      <c r="C147" s="1">
        <f>IF(ISERROR(D147),"",IF(D147="","",MAX($C$136:C146)+1))</f>
        <v>10</v>
      </c>
      <c r="D147" t="str">
        <f t="shared" si="70"/>
        <v xml:space="preserve">Consol. Edison                </v>
      </c>
      <c r="E147" s="22"/>
      <c r="F147" s="63">
        <f t="shared" ca="1" si="71"/>
        <v>0.80809590252192764</v>
      </c>
      <c r="G147" s="63">
        <f t="shared" si="68"/>
        <v>0.69200000000000006</v>
      </c>
      <c r="H147" s="63">
        <f ca="1">IFERROR(VLOOKUP($A147,LASTYR,'2017'!$P$3,FALSE),"N/A")</f>
        <v>0.7572483342337476</v>
      </c>
      <c r="I147" s="63">
        <f t="shared" ca="1" si="69"/>
        <v>0.65348914304657713</v>
      </c>
      <c r="J147" s="63">
        <f t="shared" ca="1" si="69"/>
        <v>0.76062553967187951</v>
      </c>
      <c r="K147" s="63">
        <f t="shared" ca="1" si="69"/>
        <v>0.88352100738588202</v>
      </c>
      <c r="L147" s="63">
        <f t="shared" ca="1" si="69"/>
        <v>0.85933533348719127</v>
      </c>
      <c r="M147" s="63">
        <f t="shared" ca="1" si="69"/>
        <v>1.0114649681528662</v>
      </c>
      <c r="N147" s="63">
        <f t="shared" ca="1" si="69"/>
        <v>0.98377010125074449</v>
      </c>
      <c r="O147" s="63">
        <f t="shared" ca="1" si="69"/>
        <v>0.89752802529462483</v>
      </c>
      <c r="P147" s="63">
        <f t="shared" ca="1" si="69"/>
        <v>0.75144212280476863</v>
      </c>
      <c r="Q147" s="63">
        <f t="shared" ca="1" si="69"/>
        <v>0.70463638503177228</v>
      </c>
      <c r="R147" s="63">
        <f t="shared" ca="1" si="69"/>
        <v>0.81433408577878108</v>
      </c>
      <c r="S147" s="63">
        <f t="shared" ca="1" si="69"/>
        <v>0.73585168664622247</v>
      </c>
      <c r="T147" s="63"/>
      <c r="U147" s="17"/>
      <c r="V147" s="17"/>
      <c r="W147" s="17"/>
    </row>
    <row r="148" spans="1:23" x14ac:dyDescent="0.2">
      <c r="A148" s="51" t="str">
        <f t="shared" si="66"/>
        <v>D</v>
      </c>
      <c r="B148" s="46">
        <f t="shared" ca="1" si="67"/>
        <v>22</v>
      </c>
      <c r="C148" s="1">
        <f>IF(ISERROR(D148),"",IF(D148="","",MAX($C$136:C147)+1))</f>
        <v>11</v>
      </c>
      <c r="D148" t="str">
        <f t="shared" si="70"/>
        <v xml:space="preserve">Dominion Resources            </v>
      </c>
      <c r="E148" s="22"/>
      <c r="F148" s="63">
        <f t="shared" ca="1" si="71"/>
        <v>0.77204894360723109</v>
      </c>
      <c r="G148" s="63">
        <f t="shared" si="68"/>
        <v>0.98639455782312935</v>
      </c>
      <c r="H148" s="63">
        <f ca="1">IFERROR(VLOOKUP($A148,LASTYR,'2017'!$P$3,FALSE),"N/A")</f>
        <v>0.80770582035367144</v>
      </c>
      <c r="I148" s="63">
        <f t="shared" ca="1" si="69"/>
        <v>0.65273909006499542</v>
      </c>
      <c r="J148" s="63">
        <f t="shared" ca="1" si="69"/>
        <v>0.6400684565194138</v>
      </c>
      <c r="K148" s="63">
        <f t="shared" ca="1" si="69"/>
        <v>0.62527376259307932</v>
      </c>
      <c r="L148" s="63">
        <f t="shared" ca="1" si="69"/>
        <v>0.77458203457069985</v>
      </c>
      <c r="M148" s="63">
        <f t="shared" ca="1" si="69"/>
        <v>0.72883947185545517</v>
      </c>
      <c r="N148" s="63">
        <f t="shared" ca="1" si="69"/>
        <v>0.78705148205928233</v>
      </c>
      <c r="O148" s="63">
        <f t="shared" ca="1" si="69"/>
        <v>0.86642905634758993</v>
      </c>
      <c r="P148" s="63">
        <f t="shared" ca="1" si="69"/>
        <v>0.75238244024371193</v>
      </c>
      <c r="Q148" s="63">
        <f t="shared" ca="1" si="69"/>
        <v>0.83147358057105347</v>
      </c>
      <c r="R148" s="63">
        <f t="shared" ca="1" si="69"/>
        <v>0.73787394713912291</v>
      </c>
      <c r="S148" s="63">
        <f t="shared" ca="1" si="69"/>
        <v>0.84582256675279943</v>
      </c>
      <c r="T148" s="63"/>
      <c r="U148" s="17"/>
      <c r="V148" s="17"/>
      <c r="W148" s="17"/>
    </row>
    <row r="149" spans="1:23" x14ac:dyDescent="0.2">
      <c r="A149" s="51" t="str">
        <f t="shared" si="66"/>
        <v>DTE</v>
      </c>
      <c r="B149" s="46">
        <f t="shared" ca="1" si="67"/>
        <v>23</v>
      </c>
      <c r="C149" s="1">
        <f>IF(ISERROR(D149),"",IF(D149="","",MAX($C$136:C148)+1))</f>
        <v>12</v>
      </c>
      <c r="D149" t="str">
        <f t="shared" si="70"/>
        <v xml:space="preserve">DTE Energy                    </v>
      </c>
      <c r="E149" s="22"/>
      <c r="F149" s="63">
        <f t="shared" ca="1" si="71"/>
        <v>1.0339030295786864</v>
      </c>
      <c r="G149" s="63">
        <f t="shared" si="68"/>
        <v>0.64961636828644498</v>
      </c>
      <c r="H149" s="63">
        <f ca="1">IFERROR(VLOOKUP($A149,LASTYR,'2017'!$P$3,FALSE),"N/A")</f>
        <v>0.93861117754923062</v>
      </c>
      <c r="I149" s="63">
        <f t="shared" ca="1" si="69"/>
        <v>0.93006931648679469</v>
      </c>
      <c r="J149" s="63">
        <f t="shared" ca="1" si="69"/>
        <v>0.83864948911594839</v>
      </c>
      <c r="K149" s="63">
        <f t="shared" ca="1" si="69"/>
        <v>1.023926751317267</v>
      </c>
      <c r="L149" s="63">
        <f t="shared" ca="1" si="69"/>
        <v>0.9557296582971494</v>
      </c>
      <c r="M149" s="63">
        <f t="shared" ca="1" si="69"/>
        <v>0.92528409090909092</v>
      </c>
      <c r="N149" s="63">
        <f t="shared" ca="1" si="69"/>
        <v>1.0910127737226278</v>
      </c>
      <c r="O149" s="63">
        <f t="shared" ca="1" si="69"/>
        <v>1.5076306459071989</v>
      </c>
      <c r="P149" s="63">
        <f t="shared" ca="1" si="69"/>
        <v>1.4993608181527642</v>
      </c>
      <c r="Q149" s="63">
        <f t="shared" ca="1" si="69"/>
        <v>0.98040845404891941</v>
      </c>
      <c r="R149" s="63">
        <f t="shared" ca="1" si="69"/>
        <v>1.0662226690123147</v>
      </c>
      <c r="S149" s="63">
        <f t="shared" ca="1" si="69"/>
        <v>1.0342171717171718</v>
      </c>
      <c r="T149" s="63"/>
      <c r="U149" s="17"/>
      <c r="V149" s="17"/>
      <c r="W149" s="17"/>
    </row>
    <row r="150" spans="1:23" x14ac:dyDescent="0.2">
      <c r="A150" s="51" t="str">
        <f t="shared" si="66"/>
        <v>DUK</v>
      </c>
      <c r="B150" s="46">
        <f t="shared" ca="1" si="67"/>
        <v>24</v>
      </c>
      <c r="C150" s="1">
        <f>IF(ISERROR(D150),"",IF(D150="","",MAX($C$136:C149)+1))</f>
        <v>13</v>
      </c>
      <c r="D150" t="str">
        <f t="shared" si="70"/>
        <v xml:space="preserve">Duke Energy                   </v>
      </c>
      <c r="E150" s="22"/>
      <c r="F150" s="63">
        <f t="shared" ca="1" si="71"/>
        <v>0.90189759764642374</v>
      </c>
      <c r="G150" s="63">
        <f t="shared" si="68"/>
        <v>0.70957095709570961</v>
      </c>
      <c r="H150" s="63">
        <f ca="1">IFERROR(VLOOKUP($A150,LASTYR,'2017'!$P$3,FALSE),"N/A")</f>
        <v>0.87046857341563066</v>
      </c>
      <c r="I150" s="63">
        <f t="shared" ca="1" si="69"/>
        <v>0.81509701426419767</v>
      </c>
      <c r="J150" s="63">
        <f t="shared" ca="1" si="69"/>
        <v>0.95586739882041905</v>
      </c>
      <c r="K150" s="63">
        <f t="shared" ca="1" si="69"/>
        <v>1.196323046618516</v>
      </c>
      <c r="L150" s="63">
        <f t="shared" ca="1" si="69"/>
        <v>1.0933946595119459</v>
      </c>
      <c r="M150" s="63">
        <f t="shared" ca="1" si="69"/>
        <v>0.86997696442283079</v>
      </c>
      <c r="N150" s="63">
        <f t="shared" ca="1" si="69"/>
        <v>0.8858950806286997</v>
      </c>
      <c r="O150" s="63">
        <f t="shared" ca="1" si="69"/>
        <v>0.78262473485197825</v>
      </c>
      <c r="P150" s="63">
        <f t="shared" ca="1" si="69"/>
        <v>0.76977759723773742</v>
      </c>
      <c r="Q150" s="63">
        <f t="shared" ca="1" si="69"/>
        <v>0.70981150314161423</v>
      </c>
      <c r="R150" s="63">
        <f t="shared" ca="1" si="69"/>
        <v>1.0912639655404495</v>
      </c>
      <c r="S150" s="63">
        <f t="shared" ca="1" si="69"/>
        <v>0.97459727385377937</v>
      </c>
      <c r="T150" s="63"/>
      <c r="U150" s="17"/>
      <c r="V150" s="17"/>
      <c r="W150" s="17"/>
    </row>
    <row r="151" spans="1:23" x14ac:dyDescent="0.2">
      <c r="A151" s="51" t="str">
        <f t="shared" si="66"/>
        <v>EIX</v>
      </c>
      <c r="B151" s="46">
        <f t="shared" ca="1" si="67"/>
        <v>25</v>
      </c>
      <c r="C151" s="1">
        <f>IF(ISERROR(D151),"",IF(D151="","",MAX($C$136:C150)+1))</f>
        <v>14</v>
      </c>
      <c r="D151" t="str">
        <f t="shared" si="70"/>
        <v xml:space="preserve">Edison Int'l                  </v>
      </c>
      <c r="E151" s="22"/>
      <c r="F151" s="63">
        <f t="shared" ca="1" si="71"/>
        <v>0.81701316318245776</v>
      </c>
      <c r="G151" s="63">
        <f t="shared" si="68"/>
        <v>0.84586466165413532</v>
      </c>
      <c r="H151" s="63">
        <f ca="1">IFERROR(VLOOKUP($A151,LASTYR,'2017'!$P$3,FALSE),"N/A")</f>
        <v>0.93888841603540729</v>
      </c>
      <c r="I151" s="63">
        <f t="shared" ca="1" si="69"/>
        <v>0.90969374400139602</v>
      </c>
      <c r="J151" s="63">
        <f t="shared" ca="1" si="69"/>
        <v>0.79811844540407151</v>
      </c>
      <c r="K151" s="63">
        <f t="shared" ca="1" si="69"/>
        <v>0.83001084327300023</v>
      </c>
      <c r="L151" s="63">
        <f t="shared" ca="1" si="69"/>
        <v>0.79639688575049805</v>
      </c>
      <c r="M151" s="63">
        <f t="shared" ca="1" si="69"/>
        <v>0.75608606879220985</v>
      </c>
      <c r="N151" s="63">
        <f t="shared" ca="1" si="69"/>
        <v>0.61191299044521241</v>
      </c>
      <c r="O151" s="63">
        <f t="shared" ca="1" si="69"/>
        <v>0.60334193918531265</v>
      </c>
      <c r="P151" s="63">
        <f t="shared" ca="1" si="69"/>
        <v>0.79072768787848702</v>
      </c>
      <c r="Q151" s="63">
        <f t="shared" ca="1" si="69"/>
        <v>0.9326257498846332</v>
      </c>
      <c r="R151" s="63">
        <f t="shared" ca="1" si="69"/>
        <v>0.87572054415494582</v>
      </c>
      <c r="S151" s="63">
        <f t="shared" ca="1" si="69"/>
        <v>0.93178314491264136</v>
      </c>
      <c r="T151" s="63"/>
      <c r="U151" s="17"/>
      <c r="V151" s="17"/>
      <c r="W151" s="17"/>
    </row>
    <row r="152" spans="1:23" x14ac:dyDescent="0.2">
      <c r="A152" s="51" t="str">
        <f t="shared" si="66"/>
        <v>EE</v>
      </c>
      <c r="B152" s="46">
        <f t="shared" ca="1" si="67"/>
        <v>26</v>
      </c>
      <c r="C152" s="1">
        <f>IF(ISERROR(D152),"",IF(D152="","",MAX($C$136:C151)+1))</f>
        <v>15</v>
      </c>
      <c r="D152" t="str">
        <f t="shared" si="70"/>
        <v xml:space="preserve">El Paso Electric              </v>
      </c>
      <c r="E152" s="22"/>
      <c r="F152" s="63">
        <f t="shared" ca="1" si="71"/>
        <v>0.8765662241327854</v>
      </c>
      <c r="G152" s="63">
        <f t="shared" si="68"/>
        <v>0.94852941176470595</v>
      </c>
      <c r="H152" s="63">
        <f ca="1">IFERROR(VLOOKUP($A152,LASTYR,'2017'!$P$3,FALSE),"N/A")</f>
        <v>1.0446776104247759</v>
      </c>
      <c r="I152" s="63">
        <f t="shared" ca="1" si="69"/>
        <v>0.8503130335799659</v>
      </c>
      <c r="J152" s="63">
        <f t="shared" ca="1" si="69"/>
        <v>0.67220014028524666</v>
      </c>
      <c r="K152" s="63">
        <f t="shared" ca="1" si="69"/>
        <v>0.6908598988354312</v>
      </c>
      <c r="L152" s="63">
        <f t="shared" ca="1" si="69"/>
        <v>0.78566457898399444</v>
      </c>
      <c r="M152" s="63">
        <f t="shared" ca="1" si="69"/>
        <v>0.84505150022391395</v>
      </c>
      <c r="N152" s="63">
        <f t="shared" ca="1" si="69"/>
        <v>1.0254237288135593</v>
      </c>
      <c r="O152" s="63">
        <f t="shared" ca="1" si="69"/>
        <v>0.97835580026580582</v>
      </c>
      <c r="P152" s="63">
        <f t="shared" ca="1" si="69"/>
        <v>0.68398923646148679</v>
      </c>
      <c r="Q152" s="63">
        <f t="shared" ca="1" si="69"/>
        <v>0.77665732959850597</v>
      </c>
      <c r="R152" s="63">
        <f t="shared" ca="1" si="69"/>
        <v>0.83531445861249198</v>
      </c>
      <c r="S152" s="63">
        <f t="shared" ca="1" si="69"/>
        <v>1.2583241858763263</v>
      </c>
      <c r="T152" s="63"/>
      <c r="U152" s="17"/>
      <c r="V152" s="17"/>
      <c r="W152" s="17"/>
    </row>
    <row r="153" spans="1:23" x14ac:dyDescent="0.2">
      <c r="A153" s="51" t="str">
        <f t="shared" si="66"/>
        <v>ETR</v>
      </c>
      <c r="B153" s="46">
        <f t="shared" ca="1" si="67"/>
        <v>28</v>
      </c>
      <c r="C153" s="1">
        <f>IF(ISERROR(D153),"",IF(D153="","",MAX($C$136:C152)+1))</f>
        <v>16</v>
      </c>
      <c r="D153" t="str">
        <f t="shared" si="70"/>
        <v xml:space="preserve">Entergy Corp.                 </v>
      </c>
      <c r="E153" s="22"/>
      <c r="F153" s="63">
        <f t="shared" ca="1" si="71"/>
        <v>1.0248794517391002</v>
      </c>
      <c r="G153" s="63">
        <f t="shared" si="68"/>
        <v>0.70742358078602618</v>
      </c>
      <c r="H153" s="63">
        <f ca="1">IFERROR(VLOOKUP($A153,LASTYR,'2017'!$P$3,FALSE),"N/A")</f>
        <v>0.75673839184597957</v>
      </c>
      <c r="I153" s="63">
        <f t="shared" ca="1" si="69"/>
        <v>1.0836902419261489</v>
      </c>
      <c r="J153" s="63">
        <f t="shared" ca="1" si="69"/>
        <v>1.0548075777433574</v>
      </c>
      <c r="K153" s="63">
        <f t="shared" ca="1" si="69"/>
        <v>1.1925516124679529</v>
      </c>
      <c r="L153" s="63">
        <f t="shared" ca="1" si="69"/>
        <v>1.0329348931841302</v>
      </c>
      <c r="M153" s="63">
        <f t="shared" ca="1" si="69"/>
        <v>0.87893289328932889</v>
      </c>
      <c r="N153" s="63">
        <f t="shared" ca="1" si="69"/>
        <v>1.1530417625780993</v>
      </c>
      <c r="O153" s="63">
        <f t="shared" ca="1" si="69"/>
        <v>1.2408074440942518</v>
      </c>
      <c r="P153" s="63">
        <f t="shared" ca="1" si="69"/>
        <v>1.0229407236335644</v>
      </c>
      <c r="Q153" s="63">
        <f t="shared" ca="1" si="69"/>
        <v>0.92587271943686256</v>
      </c>
      <c r="R153" s="63">
        <f t="shared" ca="1" si="69"/>
        <v>1.1403576982892689</v>
      </c>
      <c r="S153" s="63">
        <f t="shared" ca="1" si="69"/>
        <v>1.1333333333333333</v>
      </c>
      <c r="T153" s="63"/>
      <c r="U153" s="17"/>
      <c r="V153" s="17"/>
      <c r="W153" s="17"/>
    </row>
    <row r="154" spans="1:23" x14ac:dyDescent="0.2">
      <c r="A154" s="51" t="str">
        <f t="shared" si="66"/>
        <v>ES</v>
      </c>
      <c r="B154" s="46">
        <f t="shared" ca="1" si="67"/>
        <v>29</v>
      </c>
      <c r="C154" s="1">
        <f>IF(ISERROR(D154),"",IF(D154="","",MAX($C$136:C153)+1))</f>
        <v>17</v>
      </c>
      <c r="D154" t="str">
        <f t="shared" si="70"/>
        <v xml:space="preserve">Eversource Energy    </v>
      </c>
      <c r="E154" s="22"/>
      <c r="F154" s="63">
        <f t="shared" ca="1" si="71"/>
        <v>0.85184996096678534</v>
      </c>
      <c r="G154" s="63">
        <f t="shared" si="68"/>
        <v>0.6875</v>
      </c>
      <c r="H154" s="63">
        <f ca="1">IFERROR(VLOOKUP($A154,LASTYR,'2017'!$P$3,FALSE),"N/A")</f>
        <v>0.78866396761133606</v>
      </c>
      <c r="I154" s="63">
        <f t="shared" ref="I154:I183" ca="1" si="72">IFERROR(IF(INDEX(CF_CAP_WP,$B154,I$137)=0,"N/A",INDEX(CF_CAP_WP,$B154,I$137)),"N/A")</f>
        <v>0.87495992305226034</v>
      </c>
      <c r="J154" s="63">
        <f t="shared" ref="J154:S170" ca="1" si="73">IFERROR(IF(INDEX(CF_CAP_WP,$B154,J$137)=0,"N/A",INDEX(CF_CAP_WP,$B154,J$137)),"N/A")</f>
        <v>0.90857247976453281</v>
      </c>
      <c r="K154" s="63">
        <f t="shared" ca="1" si="73"/>
        <v>0.90096857086380699</v>
      </c>
      <c r="L154" s="63">
        <f t="shared" ca="1" si="73"/>
        <v>1.1296256221597056</v>
      </c>
      <c r="M154" s="63">
        <f t="shared" ca="1" si="73"/>
        <v>0.86049488054607515</v>
      </c>
      <c r="N154" s="63">
        <f t="shared" ca="1" si="73"/>
        <v>0.80223757815070751</v>
      </c>
      <c r="O154" s="63">
        <f t="shared" ca="1" si="73"/>
        <v>1.0493621741541874</v>
      </c>
      <c r="P154" s="63">
        <f t="shared" ca="1" si="73"/>
        <v>0.9590021272481144</v>
      </c>
      <c r="Q154" s="63">
        <f t="shared" ca="1" si="73"/>
        <v>0.76501986097318775</v>
      </c>
      <c r="R154" s="63">
        <f t="shared" ca="1" si="73"/>
        <v>0.67544843049327352</v>
      </c>
      <c r="S154" s="63">
        <f t="shared" ca="1" si="73"/>
        <v>0.67219387755102034</v>
      </c>
      <c r="T154" s="63"/>
      <c r="U154" s="17"/>
      <c r="V154" s="17"/>
      <c r="W154" s="17"/>
    </row>
    <row r="155" spans="1:23" x14ac:dyDescent="0.2">
      <c r="A155" s="51" t="str">
        <f t="shared" si="66"/>
        <v>EVRG</v>
      </c>
      <c r="B155" s="46" t="e">
        <f t="shared" ref="B155:B156" ca="1" si="74">MATCH(A155,OFFSET(CF_CAP_WP,0,0,,1),0)</f>
        <v>#N/A</v>
      </c>
      <c r="C155" s="1">
        <f>IF(ISERROR(D155),"",IF(D155="","",MAX($C$136:C154)+1))</f>
        <v>18</v>
      </c>
      <c r="D155" t="str">
        <f>D30</f>
        <v>Evergy, Inc.</v>
      </c>
      <c r="E155" s="22"/>
      <c r="F155" s="63">
        <f t="shared" ca="1" si="71"/>
        <v>1.0217391304347827</v>
      </c>
      <c r="G155" s="63">
        <f t="shared" si="68"/>
        <v>1.0217391304347827</v>
      </c>
      <c r="H155" s="63" t="str">
        <f ca="1">IFERROR(VLOOKUP($A155,LASTYR,'2017'!$P$3,FALSE),"N/A")</f>
        <v>N/A</v>
      </c>
      <c r="I155" s="63" t="str">
        <f t="shared" ca="1" si="72"/>
        <v>N/A</v>
      </c>
      <c r="J155" s="63" t="str">
        <f t="shared" ca="1" si="73"/>
        <v>N/A</v>
      </c>
      <c r="K155" s="63" t="str">
        <f t="shared" ca="1" si="73"/>
        <v>N/A</v>
      </c>
      <c r="L155" s="63" t="str">
        <f t="shared" ca="1" si="73"/>
        <v>N/A</v>
      </c>
      <c r="M155" s="63" t="str">
        <f t="shared" ca="1" si="73"/>
        <v>N/A</v>
      </c>
      <c r="N155" s="63" t="str">
        <f t="shared" ca="1" si="73"/>
        <v>N/A</v>
      </c>
      <c r="O155" s="63" t="str">
        <f t="shared" ca="1" si="73"/>
        <v>N/A</v>
      </c>
      <c r="P155" s="63" t="str">
        <f t="shared" ca="1" si="73"/>
        <v>N/A</v>
      </c>
      <c r="Q155" s="63" t="str">
        <f t="shared" ca="1" si="73"/>
        <v>N/A</v>
      </c>
      <c r="R155" s="63" t="str">
        <f t="shared" ca="1" si="73"/>
        <v>N/A</v>
      </c>
      <c r="S155" s="63" t="str">
        <f t="shared" ca="1" si="73"/>
        <v>N/A</v>
      </c>
      <c r="T155" s="63"/>
      <c r="U155" s="17"/>
      <c r="V155" s="17"/>
      <c r="W155" s="17"/>
    </row>
    <row r="156" spans="1:23" x14ac:dyDescent="0.2">
      <c r="A156" s="51" t="str">
        <f t="shared" ref="A156:A183" si="75">A31</f>
        <v>EXC</v>
      </c>
      <c r="B156" s="46">
        <f t="shared" ca="1" si="74"/>
        <v>30</v>
      </c>
      <c r="C156" s="1">
        <f>IF(ISERROR(D156),"",IF(D156="","",MAX($C$136:C155)+1))</f>
        <v>19</v>
      </c>
      <c r="D156" t="str">
        <f t="shared" ref="D156:D183" si="76">D31</f>
        <v xml:space="preserve">Exelon Corp.                  </v>
      </c>
      <c r="E156" s="22"/>
      <c r="F156" s="63">
        <f t="shared" ca="1" si="71"/>
        <v>1.2711763478625147</v>
      </c>
      <c r="G156" s="63">
        <f t="shared" si="68"/>
        <v>1.0925925925925926</v>
      </c>
      <c r="H156" s="63">
        <f ca="1">IFERROR(VLOOKUP($A156,LASTYR,'2017'!$P$3,FALSE),"N/A")</f>
        <v>1.0631271434014986</v>
      </c>
      <c r="I156" s="63">
        <f t="shared" ca="1" si="72"/>
        <v>0.75680639585133969</v>
      </c>
      <c r="J156" s="63">
        <f t="shared" ca="1" si="73"/>
        <v>0.82058397683397688</v>
      </c>
      <c r="K156" s="63">
        <f t="shared" ca="1" si="73"/>
        <v>0.93477645727221292</v>
      </c>
      <c r="L156" s="63">
        <f t="shared" ca="1" si="73"/>
        <v>1.0686477037978706</v>
      </c>
      <c r="M156" s="63">
        <f t="shared" ca="1" si="73"/>
        <v>0.9754873006497341</v>
      </c>
      <c r="N156" s="63">
        <f t="shared" ca="1" si="73"/>
        <v>1.1872640735269981</v>
      </c>
      <c r="O156" s="63">
        <f t="shared" ca="1" si="73"/>
        <v>1.6555223880597016</v>
      </c>
      <c r="P156" s="63">
        <f t="shared" ca="1" si="73"/>
        <v>1.6623664583753275</v>
      </c>
      <c r="Q156" s="63">
        <f t="shared" ca="1" si="73"/>
        <v>1.6121199324324325</v>
      </c>
      <c r="R156" s="63">
        <f t="shared" ca="1" si="73"/>
        <v>1.8358872960949084</v>
      </c>
      <c r="S156" s="63">
        <f t="shared" ca="1" si="73"/>
        <v>1.8601108033240998</v>
      </c>
      <c r="T156" s="63"/>
      <c r="U156" s="17"/>
      <c r="V156" s="17"/>
      <c r="W156" s="17"/>
    </row>
    <row r="157" spans="1:23" x14ac:dyDescent="0.2">
      <c r="A157" s="51" t="str">
        <f t="shared" si="75"/>
        <v>FE</v>
      </c>
      <c r="B157" s="46">
        <f t="shared" ref="B157:B183" ca="1" si="77">MATCH(A157,OFFSET(CF_CAP_WP,0,0,,1),0)</f>
        <v>31</v>
      </c>
      <c r="C157" s="1">
        <f>IF(ISERROR(D157),"",IF(D157="","",MAX($C$136:C156)+1))</f>
        <v>20</v>
      </c>
      <c r="D157" t="str">
        <f t="shared" si="76"/>
        <v xml:space="preserve">FirstEnergy Corp.             </v>
      </c>
      <c r="E157" s="22"/>
      <c r="F157" s="63">
        <f t="shared" ca="1" si="71"/>
        <v>1.0605541937463581</v>
      </c>
      <c r="G157" s="63">
        <f t="shared" si="68"/>
        <v>0.72897196261682251</v>
      </c>
      <c r="H157" s="63">
        <f ca="1">IFERROR(VLOOKUP($A157,LASTYR,'2017'!$P$3,FALSE),"N/A")</f>
        <v>1.0253958300674089</v>
      </c>
      <c r="I157" s="63">
        <f t="shared" ca="1" si="72"/>
        <v>0.94188058840496103</v>
      </c>
      <c r="J157" s="63">
        <f t="shared" ca="1" si="73"/>
        <v>0.92594760720035119</v>
      </c>
      <c r="K157" s="63">
        <f t="shared" ca="1" si="73"/>
        <v>0.54050843430743645</v>
      </c>
      <c r="L157" s="63">
        <f t="shared" ca="1" si="73"/>
        <v>0.91346571966951728</v>
      </c>
      <c r="M157" s="63">
        <f t="shared" ca="1" si="73"/>
        <v>0.8542401580358403</v>
      </c>
      <c r="N157" s="63">
        <f t="shared" ca="1" si="73"/>
        <v>1.054892601431981</v>
      </c>
      <c r="O157" s="63">
        <f t="shared" ca="1" si="73"/>
        <v>1.3203416149068323</v>
      </c>
      <c r="P157" s="63">
        <f t="shared" ca="1" si="73"/>
        <v>1.2173792721737926</v>
      </c>
      <c r="Q157" s="63">
        <f t="shared" ca="1" si="73"/>
        <v>0.95429596791218074</v>
      </c>
      <c r="R157" s="63">
        <f t="shared" ca="1" si="73"/>
        <v>1.5572148590629085</v>
      </c>
      <c r="S157" s="63">
        <f t="shared" ca="1" si="73"/>
        <v>1.7526699029126214</v>
      </c>
      <c r="T157" s="63"/>
      <c r="U157" s="17"/>
      <c r="V157" s="17"/>
      <c r="W157" s="17"/>
    </row>
    <row r="158" spans="1:23" x14ac:dyDescent="0.2">
      <c r="A158" s="51" t="str">
        <f t="shared" si="75"/>
        <v>FTS.TO</v>
      </c>
      <c r="B158" s="46">
        <f t="shared" ca="1" si="77"/>
        <v>32</v>
      </c>
      <c r="C158" s="1">
        <f>IF(ISERROR(D158),"",IF(D158="","",MAX($C$136:C157)+1))</f>
        <v>21</v>
      </c>
      <c r="D158" t="str">
        <f t="shared" si="76"/>
        <v>Fortis Inc.</v>
      </c>
      <c r="E158" s="22"/>
      <c r="F158" s="63">
        <f t="shared" ca="1" si="71"/>
        <v>0.6798037670880388</v>
      </c>
      <c r="G158" s="63">
        <f t="shared" si="68"/>
        <v>0.73648648648648651</v>
      </c>
      <c r="H158" s="63">
        <f ca="1">IFERROR(VLOOKUP($A158,LASTYR,'2017'!$P$3,FALSE),"N/A")</f>
        <v>0.75657986352875639</v>
      </c>
      <c r="I158" s="63">
        <f t="shared" ca="1" si="72"/>
        <v>0.76076368595363331</v>
      </c>
      <c r="J158" s="63">
        <f t="shared" ca="1" si="73"/>
        <v>0.65453175997991464</v>
      </c>
      <c r="K158" s="63">
        <f t="shared" ca="1" si="73"/>
        <v>0.60383333333333333</v>
      </c>
      <c r="L158" s="63">
        <f t="shared" ca="1" si="73"/>
        <v>0.77089201877934277</v>
      </c>
      <c r="M158" s="63">
        <f t="shared" ca="1" si="73"/>
        <v>0.72235915492957747</v>
      </c>
      <c r="N158" s="63">
        <f t="shared" ca="1" si="73"/>
        <v>0.66040609137055839</v>
      </c>
      <c r="O158" s="63">
        <f t="shared" ca="1" si="73"/>
        <v>0.67668534555951765</v>
      </c>
      <c r="P158" s="63">
        <f t="shared" ca="1" si="73"/>
        <v>0.63104281767955794</v>
      </c>
      <c r="Q158" s="63">
        <f t="shared" ca="1" si="73"/>
        <v>0.6559985027138312</v>
      </c>
      <c r="R158" s="63">
        <f t="shared" ca="1" si="73"/>
        <v>0.57389114855704049</v>
      </c>
      <c r="S158" s="63">
        <f t="shared" ca="1" si="73"/>
        <v>0.63397876327295444</v>
      </c>
      <c r="T158" s="63"/>
      <c r="U158" s="17"/>
      <c r="V158" s="17"/>
      <c r="W158" s="17"/>
    </row>
    <row r="159" spans="1:23" x14ac:dyDescent="0.2">
      <c r="A159" s="51" t="str">
        <f t="shared" si="75"/>
        <v>GXP</v>
      </c>
      <c r="B159" s="46">
        <f t="shared" ca="1" si="77"/>
        <v>34</v>
      </c>
      <c r="C159" s="1">
        <f>IF(ISERROR(D159),"",IF(D159="","",MAX($C$136:C158)+1))</f>
        <v>22</v>
      </c>
      <c r="D159" t="str">
        <f t="shared" si="76"/>
        <v xml:space="preserve">Great Plains Energy             </v>
      </c>
      <c r="E159" s="22"/>
      <c r="F159" s="63">
        <f t="shared" ca="1" si="71"/>
        <v>0.79024613286181478</v>
      </c>
      <c r="G159" s="63" t="str">
        <f t="shared" si="68"/>
        <v>N/A</v>
      </c>
      <c r="H159" s="63">
        <f ca="1">IFERROR(VLOOKUP($A159,LASTYR,'2017'!$P$3,FALSE),"N/A")</f>
        <v>0.78066914498141271</v>
      </c>
      <c r="I159" s="63">
        <f t="shared" ca="1" si="72"/>
        <v>1.1726668996854246</v>
      </c>
      <c r="J159" s="63">
        <f t="shared" ca="1" si="73"/>
        <v>0.9002939181550984</v>
      </c>
      <c r="K159" s="63">
        <f t="shared" ca="1" si="73"/>
        <v>0.78561630413482275</v>
      </c>
      <c r="L159" s="63">
        <f t="shared" ca="1" si="73"/>
        <v>0.90598870056497183</v>
      </c>
      <c r="M159" s="63">
        <f t="shared" ca="1" si="73"/>
        <v>0.85931653778997241</v>
      </c>
      <c r="N159" s="63">
        <f t="shared" ca="1" si="73"/>
        <v>1.0335689045936396</v>
      </c>
      <c r="O159" s="63">
        <f t="shared" ca="1" si="73"/>
        <v>0.86481947942905124</v>
      </c>
      <c r="P159" s="63">
        <f t="shared" ca="1" si="73"/>
        <v>0.50315919247958085</v>
      </c>
      <c r="Q159" s="63">
        <f t="shared" ca="1" si="73"/>
        <v>0.34909706546275399</v>
      </c>
      <c r="R159" s="63">
        <f t="shared" ca="1" si="73"/>
        <v>0.68931880994960171</v>
      </c>
      <c r="S159" s="63">
        <f t="shared" ca="1" si="73"/>
        <v>0.63843863711544813</v>
      </c>
      <c r="T159" s="63"/>
      <c r="U159" s="17"/>
      <c r="V159" s="17"/>
      <c r="W159" s="17"/>
    </row>
    <row r="160" spans="1:23" x14ac:dyDescent="0.2">
      <c r="A160" s="51" t="str">
        <f t="shared" si="75"/>
        <v>HE</v>
      </c>
      <c r="B160" s="46">
        <f t="shared" ca="1" si="77"/>
        <v>35</v>
      </c>
      <c r="C160" s="1">
        <f>IF(ISERROR(D160),"",IF(D160="","",MAX($C$136:C159)+1))</f>
        <v>23</v>
      </c>
      <c r="D160" t="str">
        <f t="shared" si="76"/>
        <v xml:space="preserve">Hawaiian Elec.                </v>
      </c>
      <c r="E160" s="22"/>
      <c r="F160" s="63">
        <f t="shared" ca="1" si="71"/>
        <v>1.078701987155569</v>
      </c>
      <c r="G160" s="63">
        <f t="shared" si="68"/>
        <v>1.0810810810810809</v>
      </c>
      <c r="H160" s="63">
        <f ca="1">IFERROR(VLOOKUP($A160,LASTYR,'2017'!$P$3,FALSE),"N/A")</f>
        <v>0.80909490333919165</v>
      </c>
      <c r="I160" s="63">
        <f t="shared" ca="1" si="72"/>
        <v>1.3723684210526315</v>
      </c>
      <c r="J160" s="63">
        <f t="shared" ca="1" si="73"/>
        <v>0.97725258493353029</v>
      </c>
      <c r="K160" s="63">
        <f t="shared" ca="1" si="73"/>
        <v>1.0289855072463769</v>
      </c>
      <c r="L160" s="63">
        <f t="shared" ca="1" si="73"/>
        <v>0.92188841201716731</v>
      </c>
      <c r="M160" s="63">
        <f t="shared" ca="1" si="73"/>
        <v>0.9873646209386282</v>
      </c>
      <c r="N160" s="63">
        <f t="shared" ca="1" si="73"/>
        <v>1.3002450980392157</v>
      </c>
      <c r="O160" s="63">
        <f t="shared" ca="1" si="73"/>
        <v>1.4976599063962557</v>
      </c>
      <c r="P160" s="63">
        <f t="shared" ca="1" si="73"/>
        <v>0.78658166363084403</v>
      </c>
      <c r="Q160" s="63">
        <f t="shared" ca="1" si="73"/>
        <v>0.87355584082156612</v>
      </c>
      <c r="R160" s="63">
        <f t="shared" ca="1" si="73"/>
        <v>1.1521406727828745</v>
      </c>
      <c r="S160" s="63">
        <f t="shared" ca="1" si="73"/>
        <v>1.234907120743034</v>
      </c>
      <c r="T160" s="63"/>
      <c r="U160" s="17"/>
      <c r="V160" s="17"/>
      <c r="W160" s="17"/>
    </row>
    <row r="161" spans="1:23" x14ac:dyDescent="0.2">
      <c r="A161" s="51" t="str">
        <f t="shared" si="75"/>
        <v>IDA</v>
      </c>
      <c r="B161" s="46">
        <f t="shared" ca="1" si="77"/>
        <v>36</v>
      </c>
      <c r="C161" s="1">
        <f>IF(ISERROR(D161),"",IF(D161="","",MAX($C$136:C160)+1))</f>
        <v>24</v>
      </c>
      <c r="D161" t="str">
        <f t="shared" si="76"/>
        <v xml:space="preserve">IDACORP, Inc.                 </v>
      </c>
      <c r="E161" s="22"/>
      <c r="F161" s="63">
        <f t="shared" ca="1" si="71"/>
        <v>1.0492161883310582</v>
      </c>
      <c r="G161" s="63">
        <f t="shared" si="68"/>
        <v>1.248</v>
      </c>
      <c r="H161" s="63">
        <f ca="1">IFERROR(VLOOKUP($A161,LASTYR,'2017'!$P$3,FALSE),"N/A")</f>
        <v>1.3253267396679618</v>
      </c>
      <c r="I161" s="63">
        <f t="shared" ca="1" si="72"/>
        <v>1.1637813985064493</v>
      </c>
      <c r="J161" s="63">
        <f t="shared" ca="1" si="73"/>
        <v>1.1470638589282658</v>
      </c>
      <c r="K161" s="63">
        <f t="shared" ca="1" si="73"/>
        <v>1.2061628760088041</v>
      </c>
      <c r="L161" s="63">
        <f t="shared" ca="1" si="73"/>
        <v>1.3439368061485908</v>
      </c>
      <c r="M161" s="63">
        <f t="shared" ca="1" si="73"/>
        <v>1.2410041841004185</v>
      </c>
      <c r="N161" s="63">
        <f t="shared" ca="1" si="73"/>
        <v>0.86305826678497499</v>
      </c>
      <c r="O161" s="63">
        <f t="shared" ca="1" si="73"/>
        <v>0.78147823546596551</v>
      </c>
      <c r="P161" s="63">
        <f t="shared" ca="1" si="73"/>
        <v>0.96444866920152106</v>
      </c>
      <c r="Q161" s="63">
        <f t="shared" ca="1" si="73"/>
        <v>0.82315546137545748</v>
      </c>
      <c r="R161" s="63">
        <f t="shared" ca="1" si="73"/>
        <v>0.64406514249921709</v>
      </c>
      <c r="S161" s="63">
        <f t="shared" ca="1" si="73"/>
        <v>0.88832880961613014</v>
      </c>
      <c r="T161" s="63"/>
      <c r="U161" s="17"/>
      <c r="V161" s="17"/>
      <c r="W161" s="17"/>
    </row>
    <row r="162" spans="1:23" x14ac:dyDescent="0.2">
      <c r="A162" s="51" t="str">
        <f t="shared" si="75"/>
        <v>MGEE</v>
      </c>
      <c r="B162" s="46">
        <f t="shared" ca="1" si="77"/>
        <v>40</v>
      </c>
      <c r="C162" s="1">
        <f>IF(ISERROR(D162),"",IF(D162="","",MAX($C$136:C161)+1))</f>
        <v>25</v>
      </c>
      <c r="D162" t="str">
        <f t="shared" si="76"/>
        <v xml:space="preserve">MGE Energy                    </v>
      </c>
      <c r="E162" s="22"/>
      <c r="F162" s="63">
        <f t="shared" ca="1" si="71"/>
        <v>1.1362129282647841</v>
      </c>
      <c r="G162" s="63">
        <f t="shared" si="68"/>
        <v>0.70175438596491224</v>
      </c>
      <c r="H162" s="63">
        <f ca="1">IFERROR(VLOOKUP($A162,LASTYR,'2017'!$P$3,FALSE),"N/A")</f>
        <v>1.1946136582237896</v>
      </c>
      <c r="I162" s="63">
        <f t="shared" ca="1" si="72"/>
        <v>1.4368006630750105</v>
      </c>
      <c r="J162" s="63">
        <f t="shared" ca="1" si="73"/>
        <v>1.6044273339749762</v>
      </c>
      <c r="K162" s="63">
        <f t="shared" ca="1" si="73"/>
        <v>1.3060231949120837</v>
      </c>
      <c r="L162" s="63">
        <f t="shared" ca="1" si="73"/>
        <v>0.95544554455445541</v>
      </c>
      <c r="M162" s="63">
        <f t="shared" ca="1" si="73"/>
        <v>1.0479041916167664</v>
      </c>
      <c r="N162" s="63">
        <f t="shared" ca="1" si="73"/>
        <v>1.5627659574468087</v>
      </c>
      <c r="O162" s="63">
        <f t="shared" ca="1" si="73"/>
        <v>1.5711845102505695</v>
      </c>
      <c r="P162" s="63">
        <f t="shared" ca="1" si="73"/>
        <v>1.1282922684791843</v>
      </c>
      <c r="Q162" s="63">
        <f t="shared" ca="1" si="73"/>
        <v>0.87008769080870396</v>
      </c>
      <c r="R162" s="63">
        <f t="shared" ca="1" si="73"/>
        <v>0.59473175447075877</v>
      </c>
      <c r="S162" s="63">
        <f t="shared" ca="1" si="73"/>
        <v>0.79673691366417398</v>
      </c>
      <c r="T162" s="63"/>
      <c r="U162" s="17"/>
      <c r="V162" s="17"/>
      <c r="W162" s="17"/>
    </row>
    <row r="163" spans="1:23" x14ac:dyDescent="0.2">
      <c r="A163" s="51" t="str">
        <f t="shared" si="75"/>
        <v>NEE</v>
      </c>
      <c r="B163" s="46">
        <f t="shared" ca="1" si="77"/>
        <v>43</v>
      </c>
      <c r="C163" s="1">
        <f>IF(ISERROR(D163),"",IF(D163="","",MAX($C$136:C162)+1))</f>
        <v>26</v>
      </c>
      <c r="D163" t="str">
        <f t="shared" si="76"/>
        <v>NextEra Energy, Inc.</v>
      </c>
      <c r="E163" s="22"/>
      <c r="F163" s="63">
        <f t="shared" ca="1" si="71"/>
        <v>0.63509021945624811</v>
      </c>
      <c r="G163" s="63">
        <f t="shared" si="68"/>
        <v>0.75</v>
      </c>
      <c r="H163" s="63">
        <f ca="1">IFERROR(VLOOKUP($A163,LASTYR,'2017'!$P$3,FALSE),"N/A")</f>
        <v>0.53098276542560185</v>
      </c>
      <c r="I163" s="63">
        <f t="shared" ca="1" si="72"/>
        <v>0.62991743564837299</v>
      </c>
      <c r="J163" s="63">
        <f t="shared" ca="1" si="73"/>
        <v>0.71091299323097246</v>
      </c>
      <c r="K163" s="63">
        <f t="shared" ca="1" si="73"/>
        <v>0.76401515151515154</v>
      </c>
      <c r="L163" s="63">
        <f t="shared" ca="1" si="73"/>
        <v>0.68589284551786989</v>
      </c>
      <c r="M163" s="63">
        <f t="shared" ca="1" si="73"/>
        <v>0.38926234650891817</v>
      </c>
      <c r="N163" s="63">
        <f t="shared" ca="1" si="73"/>
        <v>0.58312935417058942</v>
      </c>
      <c r="O163" s="63">
        <f t="shared" ca="1" si="73"/>
        <v>0.69260672377798582</v>
      </c>
      <c r="P163" s="63">
        <f t="shared" ca="1" si="73"/>
        <v>0.60261707988980717</v>
      </c>
      <c r="Q163" s="63">
        <f t="shared" ca="1" si="73"/>
        <v>0.6267864115579852</v>
      </c>
      <c r="R163" s="63">
        <f t="shared" ca="1" si="73"/>
        <v>0.55612369125882644</v>
      </c>
      <c r="S163" s="63">
        <f t="shared" ca="1" si="73"/>
        <v>0.73392605442914449</v>
      </c>
      <c r="T163" s="63"/>
      <c r="U163" s="17"/>
      <c r="V163" s="17"/>
      <c r="W163" s="17"/>
    </row>
    <row r="164" spans="1:23" x14ac:dyDescent="0.2">
      <c r="A164" s="51" t="str">
        <f t="shared" si="75"/>
        <v>NWE</v>
      </c>
      <c r="B164" s="46">
        <f t="shared" ca="1" si="77"/>
        <v>46</v>
      </c>
      <c r="C164" s="1">
        <f>IF(ISERROR(D164),"",IF(D164="","",MAX($C$136:C163)+1))</f>
        <v>27</v>
      </c>
      <c r="D164" t="str">
        <f t="shared" si="76"/>
        <v xml:space="preserve">NorthWestern Corp             </v>
      </c>
      <c r="E164" s="22"/>
      <c r="F164" s="63">
        <f t="shared" ca="1" si="71"/>
        <v>1.0592700073806431</v>
      </c>
      <c r="G164" s="63">
        <f t="shared" si="68"/>
        <v>1.2280701754385965</v>
      </c>
      <c r="H164" s="63">
        <f ca="1">IFERROR(VLOOKUP($A164,LASTYR,'2017'!$P$3,FALSE),"N/A")</f>
        <v>1.2068226469012322</v>
      </c>
      <c r="I164" s="63">
        <f t="shared" ca="1" si="72"/>
        <v>1.130938391807957</v>
      </c>
      <c r="J164" s="63">
        <f t="shared" ca="1" si="73"/>
        <v>1.0059432840889795</v>
      </c>
      <c r="K164" s="63">
        <f t="shared" ca="1" si="73"/>
        <v>0.93492972410203024</v>
      </c>
      <c r="L164" s="63">
        <f t="shared" ca="1" si="73"/>
        <v>0.91661062542030924</v>
      </c>
      <c r="M164" s="63">
        <f t="shared" ca="1" si="73"/>
        <v>0.87979626485568774</v>
      </c>
      <c r="N164" s="63">
        <f t="shared" ca="1" si="73"/>
        <v>1.0420991926182239</v>
      </c>
      <c r="O164" s="63">
        <f t="shared" ca="1" si="73"/>
        <v>0.75583055687767731</v>
      </c>
      <c r="P164" s="63">
        <f t="shared" ca="1" si="73"/>
        <v>0.87811370983076631</v>
      </c>
      <c r="Q164" s="63">
        <f t="shared" ca="1" si="73"/>
        <v>1.2699740409576001</v>
      </c>
      <c r="R164" s="63">
        <f t="shared" ca="1" si="73"/>
        <v>1.2330226364846872</v>
      </c>
      <c r="S164" s="63">
        <f t="shared" ca="1" si="73"/>
        <v>1.2883588465646136</v>
      </c>
      <c r="T164" s="63"/>
      <c r="U164" s="17"/>
      <c r="V164" s="17"/>
      <c r="W164" s="17"/>
    </row>
    <row r="165" spans="1:23" x14ac:dyDescent="0.2">
      <c r="A165" s="51" t="str">
        <f t="shared" si="75"/>
        <v>OGE</v>
      </c>
      <c r="B165" s="46">
        <f t="shared" ca="1" si="77"/>
        <v>47</v>
      </c>
      <c r="C165" s="1">
        <f>IF(ISERROR(D165),"",IF(D165="","",MAX($C$136:C164)+1))</f>
        <v>28</v>
      </c>
      <c r="D165" t="str">
        <f t="shared" si="76"/>
        <v xml:space="preserve">OGE Energy                    </v>
      </c>
      <c r="E165" s="22"/>
      <c r="F165" s="63">
        <f t="shared" ca="1" si="71"/>
        <v>0.82443380114848763</v>
      </c>
      <c r="G165" s="63">
        <f t="shared" si="68"/>
        <v>1.1746031746031746</v>
      </c>
      <c r="H165" s="63">
        <f ca="1">IFERROR(VLOOKUP($A165,LASTYR,'2017'!$P$3,FALSE),"N/A")</f>
        <v>0.81027380663920523</v>
      </c>
      <c r="I165" s="63">
        <f t="shared" ca="1" si="72"/>
        <v>1.0012102874432678</v>
      </c>
      <c r="J165" s="63">
        <f t="shared" ca="1" si="73"/>
        <v>1.178271965001823</v>
      </c>
      <c r="K165" s="63">
        <f t="shared" ca="1" si="73"/>
        <v>1.1894921190893171</v>
      </c>
      <c r="L165" s="63">
        <f t="shared" ca="1" si="73"/>
        <v>0.69278557114228456</v>
      </c>
      <c r="M165" s="63">
        <f t="shared" ca="1" si="73"/>
        <v>0.63085070037581137</v>
      </c>
      <c r="N165" s="63">
        <f t="shared" ca="1" si="73"/>
        <v>0.51166023166023167</v>
      </c>
      <c r="O165" s="63">
        <f t="shared" ca="1" si="73"/>
        <v>0.69012147604859042</v>
      </c>
      <c r="P165" s="63">
        <f t="shared" ca="1" si="73"/>
        <v>0.61441647597254001</v>
      </c>
      <c r="Q165" s="63">
        <f t="shared" ca="1" si="73"/>
        <v>0.59860383944153572</v>
      </c>
      <c r="R165" s="63">
        <f t="shared" ca="1" si="73"/>
        <v>0.78801843317972364</v>
      </c>
      <c r="S165" s="63">
        <f t="shared" ca="1" si="73"/>
        <v>0.83733133433283358</v>
      </c>
      <c r="T165" s="63"/>
      <c r="U165" s="17"/>
      <c r="V165" s="17"/>
      <c r="W165" s="17"/>
    </row>
    <row r="166" spans="1:23" x14ac:dyDescent="0.2">
      <c r="A166" s="51" t="str">
        <f t="shared" si="75"/>
        <v>OTTR</v>
      </c>
      <c r="B166" s="46">
        <f t="shared" ca="1" si="77"/>
        <v>49</v>
      </c>
      <c r="C166" s="1">
        <f>IF(ISERROR(D166),"",IF(D166="","",MAX($C$136:C165)+1))</f>
        <v>29</v>
      </c>
      <c r="D166" t="str">
        <f t="shared" si="76"/>
        <v xml:space="preserve">Otter Tail Corp.              </v>
      </c>
      <c r="E166" s="22"/>
      <c r="F166" s="63">
        <f t="shared" ca="1" si="71"/>
        <v>0.89896867965122373</v>
      </c>
      <c r="G166" s="63">
        <f t="shared" si="68"/>
        <v>1.5090909090909093</v>
      </c>
      <c r="H166" s="63">
        <f ca="1">IFERROR(VLOOKUP($A166,LASTYR,'2017'!$P$3,FALSE),"N/A")</f>
        <v>1.1014880952380952</v>
      </c>
      <c r="I166" s="63">
        <f t="shared" ca="1" si="72"/>
        <v>0.84016593460224509</v>
      </c>
      <c r="J166" s="63">
        <f t="shared" ca="1" si="73"/>
        <v>0.74296524000945852</v>
      </c>
      <c r="K166" s="63">
        <f t="shared" ca="1" si="73"/>
        <v>0.70284414106939708</v>
      </c>
      <c r="L166" s="63">
        <f t="shared" ca="1" si="73"/>
        <v>0.66607851786501993</v>
      </c>
      <c r="M166" s="63">
        <f t="shared" ca="1" si="73"/>
        <v>0.84629803186504216</v>
      </c>
      <c r="N166" s="63">
        <f t="shared" ca="1" si="73"/>
        <v>1.1582557569818717</v>
      </c>
      <c r="O166" s="63">
        <f t="shared" ca="1" si="73"/>
        <v>1.0921329406815314</v>
      </c>
      <c r="P166" s="63">
        <f t="shared" ca="1" si="73"/>
        <v>0.55843105539830173</v>
      </c>
      <c r="Q166" s="63">
        <f t="shared" ca="1" si="73"/>
        <v>0.37410167686984291</v>
      </c>
      <c r="R166" s="63">
        <f t="shared" ca="1" si="73"/>
        <v>0.65468951538603282</v>
      </c>
      <c r="S166" s="63">
        <f t="shared" ca="1" si="73"/>
        <v>1.4400510204081634</v>
      </c>
      <c r="T166" s="63"/>
      <c r="U166" s="17"/>
      <c r="V166" s="17"/>
      <c r="W166" s="17"/>
    </row>
    <row r="167" spans="1:23" x14ac:dyDescent="0.2">
      <c r="A167" s="51" t="str">
        <f t="shared" si="75"/>
        <v>PCG</v>
      </c>
      <c r="B167" s="46">
        <f t="shared" ca="1" si="77"/>
        <v>51</v>
      </c>
      <c r="C167" s="1">
        <f>IF(ISERROR(D167),"",IF(D167="","",MAX($C$136:C166)+1))</f>
        <v>30</v>
      </c>
      <c r="D167" t="str">
        <f t="shared" si="76"/>
        <v xml:space="preserve">PG&amp;E Corp.                    </v>
      </c>
      <c r="E167" s="22"/>
      <c r="F167" s="63">
        <f t="shared" ca="1" si="71"/>
        <v>0.78937967755785321</v>
      </c>
      <c r="G167" s="63">
        <f t="shared" si="68"/>
        <v>0.52479338842975209</v>
      </c>
      <c r="H167" s="63">
        <f ca="1">IFERROR(VLOOKUP($A167,LASTYR,'2017'!$P$3,FALSE),"N/A")</f>
        <v>0.82379779176932211</v>
      </c>
      <c r="I167" s="63">
        <f t="shared" ca="1" si="72"/>
        <v>0.73079996448548346</v>
      </c>
      <c r="J167" s="63">
        <f t="shared" ca="1" si="73"/>
        <v>0.69317101008179571</v>
      </c>
      <c r="K167" s="63">
        <f t="shared" ca="1" si="73"/>
        <v>0.80059084194977859</v>
      </c>
      <c r="L167" s="63">
        <f t="shared" ca="1" si="73"/>
        <v>0.55525346430450806</v>
      </c>
      <c r="M167" s="63">
        <f t="shared" ca="1" si="73"/>
        <v>0.6814456035767511</v>
      </c>
      <c r="N167" s="63">
        <f t="shared" ca="1" si="73"/>
        <v>0.82542113323124056</v>
      </c>
      <c r="O167" s="63">
        <f t="shared" ca="1" si="73"/>
        <v>0.8547817047817049</v>
      </c>
      <c r="P167" s="63">
        <f t="shared" ca="1" si="73"/>
        <v>0.78342696629213493</v>
      </c>
      <c r="Q167" s="63">
        <f t="shared" ca="1" si="73"/>
        <v>0.83986863057324845</v>
      </c>
      <c r="R167" s="63">
        <f t="shared" ca="1" si="73"/>
        <v>1.0245273377618804</v>
      </c>
      <c r="S167" s="63">
        <f t="shared" ca="1" si="73"/>
        <v>1.1240579710144927</v>
      </c>
      <c r="T167" s="63"/>
      <c r="U167" s="17"/>
      <c r="V167" s="17"/>
      <c r="W167" s="17"/>
    </row>
    <row r="168" spans="1:23" x14ac:dyDescent="0.2">
      <c r="A168" s="51" t="str">
        <f t="shared" si="75"/>
        <v>PNW</v>
      </c>
      <c r="B168" s="46">
        <f t="shared" ca="1" si="77"/>
        <v>52</v>
      </c>
      <c r="C168" s="1">
        <f>IF(ISERROR(D168),"",IF(D168="","",MAX($C$136:C167)+1))</f>
        <v>31</v>
      </c>
      <c r="D168" t="str">
        <f t="shared" si="76"/>
        <v xml:space="preserve">Pinnacle West Capital         </v>
      </c>
      <c r="E168" s="22"/>
      <c r="F168" s="63">
        <f t="shared" ca="1" si="71"/>
        <v>0.94233222076170997</v>
      </c>
      <c r="G168" s="63">
        <f t="shared" si="68"/>
        <v>0.88888888888888884</v>
      </c>
      <c r="H168" s="63">
        <f ca="1">IFERROR(VLOOKUP($A168,LASTYR,'2017'!$P$3,FALSE),"N/A")</f>
        <v>0.76429240862230552</v>
      </c>
      <c r="I168" s="63">
        <f t="shared" ca="1" si="72"/>
        <v>0.80687580575848727</v>
      </c>
      <c r="J168" s="63">
        <f t="shared" ca="1" si="73"/>
        <v>0.92360052829421913</v>
      </c>
      <c r="K168" s="63">
        <f t="shared" ca="1" si="73"/>
        <v>0.96537726838586446</v>
      </c>
      <c r="L168" s="63">
        <f t="shared" ca="1" si="73"/>
        <v>0.871246928090608</v>
      </c>
      <c r="M168" s="63">
        <f t="shared" ca="1" si="73"/>
        <v>0.96032516379519528</v>
      </c>
      <c r="N168" s="63">
        <f t="shared" ca="1" si="73"/>
        <v>0.91056517003509618</v>
      </c>
      <c r="O168" s="63">
        <f t="shared" ca="1" si="73"/>
        <v>0.97356076759061838</v>
      </c>
      <c r="P168" s="63">
        <f t="shared" ca="1" si="73"/>
        <v>1.0567765567765566</v>
      </c>
      <c r="Q168" s="63">
        <f t="shared" ca="1" si="73"/>
        <v>0.85983086680761101</v>
      </c>
      <c r="R168" s="63">
        <f t="shared" ca="1" si="73"/>
        <v>0.99167644861807691</v>
      </c>
      <c r="S168" s="63">
        <f t="shared" ca="1" si="73"/>
        <v>1.2773020682387037</v>
      </c>
      <c r="T168" s="63"/>
      <c r="U168" s="17"/>
      <c r="V168" s="17"/>
      <c r="W168" s="17"/>
    </row>
    <row r="169" spans="1:23" x14ac:dyDescent="0.2">
      <c r="A169" s="51" t="str">
        <f t="shared" si="75"/>
        <v>PNM</v>
      </c>
      <c r="B169" s="46">
        <f t="shared" ca="1" si="77"/>
        <v>53</v>
      </c>
      <c r="C169" s="1">
        <f>IF(ISERROR(D169),"",IF(D169="","",MAX($C$136:C168)+1))</f>
        <v>32</v>
      </c>
      <c r="D169" t="str">
        <f t="shared" si="76"/>
        <v xml:space="preserve">PNM Resources                 </v>
      </c>
      <c r="E169" s="22"/>
      <c r="F169" s="63">
        <f t="shared" ca="1" si="71"/>
        <v>0.70436563183734058</v>
      </c>
      <c r="G169" s="63">
        <f t="shared" si="68"/>
        <v>0.82945736434108519</v>
      </c>
      <c r="H169" s="63">
        <f ca="1">IFERROR(VLOOKUP($A169,LASTYR,'2017'!$P$3,FALSE),"N/A")</f>
        <v>0.84338691707782909</v>
      </c>
      <c r="I169" s="63">
        <f t="shared" ca="1" si="72"/>
        <v>0.5682240509689408</v>
      </c>
      <c r="J169" s="63">
        <f t="shared" ca="1" si="73"/>
        <v>0.56723228290317984</v>
      </c>
      <c r="K169" s="63">
        <f t="shared" ca="1" si="73"/>
        <v>0.62597267854054983</v>
      </c>
      <c r="L169" s="63">
        <f t="shared" ca="1" si="73"/>
        <v>0.80407415884641797</v>
      </c>
      <c r="M169" s="63">
        <f t="shared" ca="1" si="73"/>
        <v>0.87158329035585347</v>
      </c>
      <c r="N169" s="63">
        <f t="shared" ca="1" si="73"/>
        <v>0.7743664717348927</v>
      </c>
      <c r="O169" s="63">
        <f t="shared" ca="1" si="73"/>
        <v>0.82112068965517226</v>
      </c>
      <c r="P169" s="63">
        <f t="shared" ca="1" si="73"/>
        <v>0.69756244357508279</v>
      </c>
      <c r="Q169" s="63">
        <f t="shared" ca="1" si="73"/>
        <v>0.44054189663823379</v>
      </c>
      <c r="R169" s="63">
        <f t="shared" ca="1" si="73"/>
        <v>0.42772911051212942</v>
      </c>
      <c r="S169" s="63">
        <f t="shared" ca="1" si="73"/>
        <v>0.88550185873605947</v>
      </c>
      <c r="T169" s="63"/>
      <c r="U169" s="17"/>
      <c r="V169" s="17"/>
      <c r="W169" s="17"/>
    </row>
    <row r="170" spans="1:23" x14ac:dyDescent="0.2">
      <c r="A170" s="51" t="str">
        <f t="shared" si="75"/>
        <v>POR</v>
      </c>
      <c r="B170" s="46">
        <f t="shared" ca="1" si="77"/>
        <v>54</v>
      </c>
      <c r="C170" s="1">
        <f>IF(ISERROR(D170),"",IF(D170="","",MAX($C$136:C169)+1))</f>
        <v>33</v>
      </c>
      <c r="D170" t="str">
        <f t="shared" si="76"/>
        <v xml:space="preserve">Portland General              </v>
      </c>
      <c r="E170" s="22"/>
      <c r="F170" s="63">
        <f t="shared" ca="1" si="71"/>
        <v>0.82530587732229777</v>
      </c>
      <c r="G170" s="63">
        <f t="shared" si="68"/>
        <v>0.87837837837837829</v>
      </c>
      <c r="H170" s="63">
        <f ca="1">IFERROR(VLOOKUP($A170,LASTYR,'2017'!$P$3,FALSE),"N/A")</f>
        <v>1.0681345353675451</v>
      </c>
      <c r="I170" s="63">
        <f t="shared" ca="1" si="72"/>
        <v>0.88014011574779172</v>
      </c>
      <c r="J170" s="63">
        <f t="shared" ca="1" si="73"/>
        <v>0.7976243504083147</v>
      </c>
      <c r="K170" s="63">
        <f t="shared" ca="1" si="73"/>
        <v>0.47269478753981203</v>
      </c>
      <c r="L170" s="63">
        <f t="shared" ca="1" si="73"/>
        <v>0.58683490060707055</v>
      </c>
      <c r="M170" s="63">
        <f t="shared" ca="1" si="73"/>
        <v>1.283790523690773</v>
      </c>
      <c r="N170" s="63">
        <f t="shared" ca="1" si="73"/>
        <v>1.2466716905300177</v>
      </c>
      <c r="O170" s="63">
        <f t="shared" ca="1" si="73"/>
        <v>0.80669456066945622</v>
      </c>
      <c r="P170" s="63">
        <f t="shared" ca="1" si="73"/>
        <v>0.43970175059433758</v>
      </c>
      <c r="Q170" s="63">
        <f t="shared" ca="1" si="73"/>
        <v>0.77013559875837279</v>
      </c>
      <c r="R170" s="63">
        <f t="shared" ca="1" si="73"/>
        <v>0.71650405386835236</v>
      </c>
      <c r="S170" s="63">
        <f t="shared" ca="1" si="73"/>
        <v>0.78167115902964956</v>
      </c>
      <c r="T170" s="63"/>
      <c r="U170" s="17"/>
      <c r="V170" s="17"/>
      <c r="W170" s="17"/>
    </row>
    <row r="171" spans="1:23" x14ac:dyDescent="0.2">
      <c r="A171" s="51" t="str">
        <f t="shared" si="75"/>
        <v>PPL</v>
      </c>
      <c r="B171" s="46">
        <f t="shared" ca="1" si="77"/>
        <v>55</v>
      </c>
      <c r="C171" s="1">
        <f>IF(ISERROR(D171),"",IF(D171="","",MAX($C$136:C170)+1))</f>
        <v>34</v>
      </c>
      <c r="D171" t="str">
        <f t="shared" si="76"/>
        <v xml:space="preserve">PPL Corp.                     </v>
      </c>
      <c r="E171" s="22"/>
      <c r="F171" s="63">
        <f t="shared" ca="1" si="71"/>
        <v>0.96157815256647106</v>
      </c>
      <c r="G171" s="63">
        <f t="shared" si="68"/>
        <v>0.82828282828282818</v>
      </c>
      <c r="H171" s="63">
        <f ca="1">IFERROR(VLOOKUP($A171,LASTYR,'2017'!$P$3,FALSE),"N/A")</f>
        <v>0.81518370960602038</v>
      </c>
      <c r="I171" s="63">
        <f t="shared" ca="1" si="72"/>
        <v>0.99581005586592164</v>
      </c>
      <c r="J171" s="63">
        <f t="shared" ref="J171:S183" ca="1" si="78">IFERROR(IF(INDEX(CF_CAP_WP,$B171,J$137)=0,"N/A",INDEX(CF_CAP_WP,$B171,J$137)),"N/A")</f>
        <v>0.72038909021552544</v>
      </c>
      <c r="K171" s="63">
        <f t="shared" ca="1" si="78"/>
        <v>0.74523848282598082</v>
      </c>
      <c r="L171" s="63">
        <f t="shared" ca="1" si="78"/>
        <v>0.69425321759952108</v>
      </c>
      <c r="M171" s="63">
        <f t="shared" ca="1" si="78"/>
        <v>0.90742128935532218</v>
      </c>
      <c r="N171" s="63">
        <f t="shared" ca="1" si="78"/>
        <v>1.0674418604651164</v>
      </c>
      <c r="O171" s="63">
        <f t="shared" ca="1" si="78"/>
        <v>1.1077481840193706</v>
      </c>
      <c r="P171" s="63">
        <f t="shared" ca="1" si="78"/>
        <v>1.0668103448275861</v>
      </c>
      <c r="Q171" s="63">
        <f t="shared" ca="1" si="78"/>
        <v>1.245377707342842</v>
      </c>
      <c r="R171" s="63">
        <f t="shared" ca="1" si="78"/>
        <v>1.1300398759415151</v>
      </c>
      <c r="S171" s="63">
        <f t="shared" ca="1" si="78"/>
        <v>1.1765193370165747</v>
      </c>
      <c r="T171" s="63"/>
      <c r="U171" s="17"/>
      <c r="V171" s="17"/>
      <c r="W171" s="17"/>
    </row>
    <row r="172" spans="1:23" x14ac:dyDescent="0.2">
      <c r="A172" s="51" t="str">
        <f t="shared" si="75"/>
        <v>PEG</v>
      </c>
      <c r="B172" s="46">
        <f t="shared" ca="1" si="77"/>
        <v>56</v>
      </c>
      <c r="C172" s="1">
        <f>IF(ISERROR(D172),"",IF(D172="","",MAX($C$136:C171)+1))</f>
        <v>35</v>
      </c>
      <c r="D172" t="str">
        <f t="shared" si="76"/>
        <v xml:space="preserve">Public Serv. Enterprise       </v>
      </c>
      <c r="E172" s="22"/>
      <c r="F172" s="63">
        <f t="shared" ca="1" si="71"/>
        <v>1.1268776276029984</v>
      </c>
      <c r="G172" s="63">
        <f t="shared" si="68"/>
        <v>0.79720279720279719</v>
      </c>
      <c r="H172" s="63">
        <f ca="1">IFERROR(VLOOKUP($A172,LASTYR,'2017'!$P$3,FALSE),"N/A")</f>
        <v>0.63914667952271897</v>
      </c>
      <c r="I172" s="63">
        <f t="shared" ca="1" si="72"/>
        <v>0.60971504148130329</v>
      </c>
      <c r="J172" s="63">
        <f t="shared" ca="1" si="78"/>
        <v>0.80405493786788762</v>
      </c>
      <c r="K172" s="63">
        <f t="shared" ca="1" si="78"/>
        <v>1.0443049327354259</v>
      </c>
      <c r="L172" s="63">
        <f t="shared" ca="1" si="78"/>
        <v>0.92945834083138379</v>
      </c>
      <c r="M172" s="63">
        <f t="shared" ca="1" si="78"/>
        <v>0.95813679245283012</v>
      </c>
      <c r="N172" s="63">
        <f t="shared" ca="1" si="78"/>
        <v>1.3019188729657518</v>
      </c>
      <c r="O172" s="63">
        <f t="shared" ca="1" si="78"/>
        <v>1.2347153900210821</v>
      </c>
      <c r="P172" s="63">
        <f t="shared" ca="1" si="78"/>
        <v>1.4055273547659335</v>
      </c>
      <c r="Q172" s="63">
        <f t="shared" ca="1" si="78"/>
        <v>1.3365714285714285</v>
      </c>
      <c r="R172" s="63">
        <f t="shared" ca="1" si="78"/>
        <v>1.6439079592606562</v>
      </c>
      <c r="S172" s="63">
        <f t="shared" ca="1" si="78"/>
        <v>1.944748631159781</v>
      </c>
      <c r="T172" s="63"/>
      <c r="U172" s="17"/>
      <c r="V172" s="17"/>
      <c r="W172" s="17"/>
    </row>
    <row r="173" spans="1:23" x14ac:dyDescent="0.2">
      <c r="A173" s="51" t="str">
        <f t="shared" si="75"/>
        <v>SCG</v>
      </c>
      <c r="B173" s="46">
        <f t="shared" ca="1" si="77"/>
        <v>57</v>
      </c>
      <c r="C173" s="1">
        <f>IF(ISERROR(D173),"",IF(D173="","",MAX($C$136:C172)+1))</f>
        <v>36</v>
      </c>
      <c r="D173" t="str">
        <f t="shared" si="76"/>
        <v xml:space="preserve">SCANA Corp.                   </v>
      </c>
      <c r="E173" s="22"/>
      <c r="F173" s="63">
        <f t="shared" ca="1" si="71"/>
        <v>0.85693599967888678</v>
      </c>
      <c r="G173" s="63">
        <f t="shared" si="68"/>
        <v>0.83606557377049184</v>
      </c>
      <c r="H173" s="63">
        <f ca="1">IFERROR(VLOOKUP($A173,LASTYR,'2017'!$P$3,FALSE),"N/A")</f>
        <v>0.8580434275040858</v>
      </c>
      <c r="I173" s="63">
        <f t="shared" ca="1" si="72"/>
        <v>0.6592760180995475</v>
      </c>
      <c r="J173" s="63">
        <f t="shared" ca="1" si="78"/>
        <v>0.83083405626471674</v>
      </c>
      <c r="K173" s="63">
        <f t="shared" ca="1" si="78"/>
        <v>0.90303188708834292</v>
      </c>
      <c r="L173" s="63">
        <f t="shared" ca="1" si="78"/>
        <v>0.83273839877613465</v>
      </c>
      <c r="M173" s="63">
        <f t="shared" ca="1" si="78"/>
        <v>0.77261583721500371</v>
      </c>
      <c r="N173" s="63">
        <f t="shared" ca="1" si="78"/>
        <v>0.88348516015280631</v>
      </c>
      <c r="O173" s="63">
        <f t="shared" ca="1" si="78"/>
        <v>0.85947046843177199</v>
      </c>
      <c r="P173" s="63">
        <f t="shared" ca="1" si="78"/>
        <v>0.76045883940620773</v>
      </c>
      <c r="Q173" s="63">
        <f t="shared" ca="1" si="78"/>
        <v>0.76325732899022802</v>
      </c>
      <c r="R173" s="63">
        <f t="shared" ca="1" si="78"/>
        <v>0.92275506919858374</v>
      </c>
      <c r="S173" s="63">
        <f t="shared" ca="1" si="78"/>
        <v>1.2581359309276068</v>
      </c>
      <c r="T173" s="63"/>
      <c r="U173" s="17"/>
      <c r="V173" s="17"/>
      <c r="W173" s="17"/>
    </row>
    <row r="174" spans="1:23" x14ac:dyDescent="0.2">
      <c r="A174" s="51" t="str">
        <f t="shared" si="75"/>
        <v>SRE</v>
      </c>
      <c r="B174" s="46">
        <f t="shared" ca="1" si="77"/>
        <v>58</v>
      </c>
      <c r="C174" s="1">
        <f>IF(ISERROR(D174),"",IF(D174="","",MAX($C$136:C173)+1))</f>
        <v>37</v>
      </c>
      <c r="D174" t="str">
        <f t="shared" si="76"/>
        <v xml:space="preserve">Sempra Energy                 </v>
      </c>
      <c r="E174" s="22"/>
      <c r="F174" s="63">
        <f t="shared" ca="1" si="71"/>
        <v>0.80894827348944021</v>
      </c>
      <c r="G174" s="63">
        <f t="shared" si="68"/>
        <v>0.7992700729927007</v>
      </c>
      <c r="H174" s="63">
        <f ca="1">IFERROR(VLOOKUP($A174,LASTYR,'2017'!$P$3,FALSE),"N/A")</f>
        <v>0.6730952835592896</v>
      </c>
      <c r="I174" s="63">
        <f t="shared" ca="1" si="72"/>
        <v>0.56381336815861327</v>
      </c>
      <c r="J174" s="63">
        <f t="shared" ca="1" si="78"/>
        <v>0.8120525529069309</v>
      </c>
      <c r="K174" s="63">
        <f t="shared" ca="1" si="78"/>
        <v>0.74191512856917496</v>
      </c>
      <c r="L174" s="63">
        <f t="shared" ca="1" si="78"/>
        <v>0.84288565725691467</v>
      </c>
      <c r="M174" s="63">
        <f t="shared" ca="1" si="78"/>
        <v>0.73171531649721222</v>
      </c>
      <c r="N174" s="63">
        <f t="shared" ca="1" si="78"/>
        <v>0.72361427486712226</v>
      </c>
      <c r="O174" s="63">
        <f t="shared" ca="1" si="78"/>
        <v>0.90438432835820892</v>
      </c>
      <c r="P174" s="63">
        <f t="shared" ca="1" si="78"/>
        <v>1.0241103661681279</v>
      </c>
      <c r="Q174" s="63">
        <f t="shared" ca="1" si="78"/>
        <v>0.87343565525383693</v>
      </c>
      <c r="R174" s="63">
        <f t="shared" ca="1" si="78"/>
        <v>0.90050655929341472</v>
      </c>
      <c r="S174" s="63">
        <f t="shared" ca="1" si="78"/>
        <v>0.92552899148117618</v>
      </c>
      <c r="T174" s="63"/>
      <c r="U174" s="17"/>
      <c r="V174" s="17"/>
      <c r="W174" s="17"/>
    </row>
    <row r="175" spans="1:23" x14ac:dyDescent="0.2">
      <c r="A175" s="51" t="str">
        <f t="shared" si="75"/>
        <v>SO</v>
      </c>
      <c r="B175" s="46">
        <f t="shared" ca="1" si="77"/>
        <v>62</v>
      </c>
      <c r="C175" s="1">
        <f>IF(ISERROR(D175),"",IF(D175="","",MAX($C$136:C174)+1))</f>
        <v>38</v>
      </c>
      <c r="D175" t="str">
        <f t="shared" si="76"/>
        <v xml:space="preserve">Southern Co.                  </v>
      </c>
      <c r="E175" s="22"/>
      <c r="F175" s="63">
        <f t="shared" ca="1" si="71"/>
        <v>0.87204168741045407</v>
      </c>
      <c r="G175" s="63">
        <f t="shared" si="68"/>
        <v>0.76646706586826352</v>
      </c>
      <c r="H175" s="63">
        <f ca="1">IFERROR(VLOOKUP($A175,LASTYR,'2017'!$P$3,FALSE),"N/A")</f>
        <v>0.90104520157458934</v>
      </c>
      <c r="I175" s="63">
        <f t="shared" ca="1" si="72"/>
        <v>0.77089825226934028</v>
      </c>
      <c r="J175" s="63">
        <f t="shared" ca="1" si="78"/>
        <v>0.8791579623975575</v>
      </c>
      <c r="K175" s="63">
        <f t="shared" ca="1" si="78"/>
        <v>0.80179222357229651</v>
      </c>
      <c r="L175" s="63">
        <f t="shared" ca="1" si="78"/>
        <v>0.85514777525170504</v>
      </c>
      <c r="M175" s="63">
        <f t="shared" ca="1" si="78"/>
        <v>0.9346806207145435</v>
      </c>
      <c r="N175" s="63">
        <f t="shared" ca="1" si="78"/>
        <v>0.93957934990439762</v>
      </c>
      <c r="O175" s="63">
        <f t="shared" ca="1" si="78"/>
        <v>0.93147574819401446</v>
      </c>
      <c r="P175" s="63">
        <f t="shared" ca="1" si="78"/>
        <v>0.77781677781677783</v>
      </c>
      <c r="Q175" s="63">
        <f t="shared" ca="1" si="78"/>
        <v>0.86992348440258971</v>
      </c>
      <c r="R175" s="63">
        <f t="shared" ca="1" si="78"/>
        <v>0.90830822212656048</v>
      </c>
      <c r="S175" s="63">
        <f t="shared" ca="1" si="78"/>
        <v>1.0002492522432702</v>
      </c>
      <c r="T175" s="63"/>
      <c r="U175" s="17"/>
      <c r="V175" s="17"/>
      <c r="W175" s="17"/>
    </row>
    <row r="176" spans="1:23" x14ac:dyDescent="0.2">
      <c r="A176" s="51" t="str">
        <f t="shared" si="75"/>
        <v>VVC</v>
      </c>
      <c r="B176" s="46">
        <f t="shared" ca="1" si="77"/>
        <v>70</v>
      </c>
      <c r="C176" s="1">
        <f>IF(ISERROR(D176),"",IF(D176="","",MAX($C$136:C175)+1))</f>
        <v>39</v>
      </c>
      <c r="D176" t="str">
        <f t="shared" si="76"/>
        <v xml:space="preserve">Vectren Corp.                 </v>
      </c>
      <c r="E176" s="22"/>
      <c r="F176" s="63">
        <f t="shared" ca="1" si="71"/>
        <v>0.97958825396874394</v>
      </c>
      <c r="G176" s="63">
        <f t="shared" si="68"/>
        <v>0.79333333333333333</v>
      </c>
      <c r="H176" s="63">
        <f ca="1">IFERROR(VLOOKUP($A176,LASTYR,'2017'!$P$3,FALSE),"N/A")</f>
        <v>0.8168044077134986</v>
      </c>
      <c r="I176" s="63">
        <f t="shared" ca="1" si="72"/>
        <v>0.87014377485469563</v>
      </c>
      <c r="J176" s="63">
        <f t="shared" ca="1" si="78"/>
        <v>0.95104166666666667</v>
      </c>
      <c r="K176" s="63">
        <f t="shared" ca="1" si="78"/>
        <v>0.98231066887783325</v>
      </c>
      <c r="L176" s="63">
        <f t="shared" ca="1" si="78"/>
        <v>1.053414327607876</v>
      </c>
      <c r="M176" s="63">
        <f t="shared" ca="1" si="78"/>
        <v>1.1307865168539326</v>
      </c>
      <c r="N176" s="63">
        <f t="shared" ca="1" si="78"/>
        <v>1.2011215906194239</v>
      </c>
      <c r="O176" s="63">
        <f t="shared" ca="1" si="78"/>
        <v>1.3088712054229297</v>
      </c>
      <c r="P176" s="63">
        <f t="shared" ca="1" si="78"/>
        <v>0.82616857518302977</v>
      </c>
      <c r="Q176" s="63">
        <f t="shared" ca="1" si="78"/>
        <v>0.82159138002486531</v>
      </c>
      <c r="R176" s="63">
        <f t="shared" ca="1" si="78"/>
        <v>0.9801415202008672</v>
      </c>
      <c r="S176" s="63">
        <f t="shared" ca="1" si="78"/>
        <v>0.99891833423472143</v>
      </c>
      <c r="T176" s="63"/>
      <c r="U176" s="17"/>
      <c r="V176" s="17"/>
      <c r="W176" s="17"/>
    </row>
    <row r="177" spans="1:23" x14ac:dyDescent="0.2">
      <c r="A177" s="51" t="str">
        <f t="shared" si="75"/>
        <v>WEC</v>
      </c>
      <c r="B177" s="46">
        <f t="shared" ca="1" si="77"/>
        <v>71</v>
      </c>
      <c r="C177" s="1">
        <f>IF(ISERROR(D177),"",IF(D177="","",MAX($C$136:C176)+1))</f>
        <v>40</v>
      </c>
      <c r="D177" t="str">
        <f t="shared" si="76"/>
        <v>WEC Energy Group</v>
      </c>
      <c r="E177" s="22"/>
      <c r="F177" s="63">
        <f t="shared" ca="1" si="71"/>
        <v>0.97623909547944165</v>
      </c>
      <c r="G177" s="63">
        <f t="shared" si="68"/>
        <v>0.78064516129032258</v>
      </c>
      <c r="H177" s="63">
        <f ca="1">IFERROR(VLOOKUP($A177,LASTYR,'2017'!$P$3,FALSE),"N/A")</f>
        <v>0.91641166049283307</v>
      </c>
      <c r="I177" s="63">
        <f t="shared" ca="1" si="72"/>
        <v>1.1950786965196187</v>
      </c>
      <c r="J177" s="63">
        <f t="shared" ca="1" si="78"/>
        <v>0.96509598603839442</v>
      </c>
      <c r="K177" s="63">
        <f t="shared" ca="1" si="78"/>
        <v>1.3688725490196079</v>
      </c>
      <c r="L177" s="63">
        <f t="shared" ca="1" si="78"/>
        <v>1.4220907297830374</v>
      </c>
      <c r="M177" s="63">
        <f t="shared" ca="1" si="78"/>
        <v>1.2983479105928084</v>
      </c>
      <c r="N177" s="63">
        <f t="shared" ca="1" si="78"/>
        <v>1.0219140083217753</v>
      </c>
      <c r="O177" s="63">
        <f t="shared" ca="1" si="78"/>
        <v>0.96719390743995315</v>
      </c>
      <c r="P177" s="63">
        <f t="shared" ca="1" si="78"/>
        <v>0.88876179582499293</v>
      </c>
      <c r="Q177" s="63">
        <f t="shared" ca="1" si="78"/>
        <v>0.6076495990129549</v>
      </c>
      <c r="R177" s="63">
        <f t="shared" ca="1" si="78"/>
        <v>0.56474820143884896</v>
      </c>
      <c r="S177" s="63">
        <f t="shared" ca="1" si="78"/>
        <v>0.69429803545759461</v>
      </c>
      <c r="T177" s="63"/>
      <c r="U177" s="17"/>
      <c r="V177" s="17"/>
      <c r="W177" s="17"/>
    </row>
    <row r="178" spans="1:23" x14ac:dyDescent="0.2">
      <c r="A178" s="51" t="str">
        <f t="shared" si="75"/>
        <v>WR</v>
      </c>
      <c r="B178" s="46">
        <f t="shared" ca="1" si="77"/>
        <v>72</v>
      </c>
      <c r="C178" s="1">
        <f>IF(ISERROR(D178),"",IF(D178="","",MAX($C$136:C177)+1))</f>
        <v>41</v>
      </c>
      <c r="D178" t="str">
        <f t="shared" si="76"/>
        <v xml:space="preserve">Westar Energy                 </v>
      </c>
      <c r="E178" s="22"/>
      <c r="F178" s="63">
        <f t="shared" ca="1" si="71"/>
        <v>0.71844177595661263</v>
      </c>
      <c r="G178" s="63" t="str">
        <f t="shared" si="68"/>
        <v>N/A</v>
      </c>
      <c r="H178" s="63">
        <f ca="1">IFERROR(VLOOKUP($A178,LASTYR,'2017'!$P$3,FALSE),"N/A")</f>
        <v>0.91078066914498146</v>
      </c>
      <c r="I178" s="63">
        <f t="shared" ca="1" si="72"/>
        <v>0.63031567962431512</v>
      </c>
      <c r="J178" s="63">
        <f t="shared" ca="1" si="78"/>
        <v>0.86051675413807027</v>
      </c>
      <c r="K178" s="63">
        <f t="shared" ca="1" si="78"/>
        <v>0.70386398763523961</v>
      </c>
      <c r="L178" s="63">
        <f t="shared" ca="1" si="78"/>
        <v>0.72443275238408411</v>
      </c>
      <c r="M178" s="63">
        <f t="shared" ca="1" si="78"/>
        <v>0.67135050741608115</v>
      </c>
      <c r="N178" s="63">
        <f t="shared" ca="1" si="78"/>
        <v>0.71454316092989723</v>
      </c>
      <c r="O178" s="63">
        <f t="shared" ca="1" si="78"/>
        <v>0.87917791156321368</v>
      </c>
      <c r="P178" s="63">
        <f t="shared" ca="1" si="78"/>
        <v>0.68346965950161698</v>
      </c>
      <c r="Q178" s="63">
        <f t="shared" ca="1" si="78"/>
        <v>0.36230209176008316</v>
      </c>
      <c r="R178" s="63">
        <f t="shared" ca="1" si="78"/>
        <v>0.48156182212581344</v>
      </c>
      <c r="S178" s="63">
        <f t="shared" ca="1" si="78"/>
        <v>0.99898631525595538</v>
      </c>
      <c r="T178" s="63"/>
      <c r="U178" s="17"/>
      <c r="V178" s="17"/>
      <c r="W178" s="17"/>
    </row>
    <row r="179" spans="1:23" x14ac:dyDescent="0.2">
      <c r="A179" s="51" t="str">
        <f t="shared" si="75"/>
        <v>XEL</v>
      </c>
      <c r="B179" s="46">
        <f t="shared" ca="1" si="77"/>
        <v>74</v>
      </c>
      <c r="C179" s="1">
        <f>IF(ISERROR(D179),"",IF(D179="","",MAX($C$136:C178)+1))</f>
        <v>42</v>
      </c>
      <c r="D179" t="str">
        <f t="shared" si="76"/>
        <v xml:space="preserve">Xcel Energy Inc.              </v>
      </c>
      <c r="E179" s="22"/>
      <c r="F179" s="63">
        <f t="shared" ca="1" si="71"/>
        <v>0.75814010146752353</v>
      </c>
      <c r="G179" s="63">
        <f t="shared" si="68"/>
        <v>0.71779141104294475</v>
      </c>
      <c r="H179" s="63">
        <f ca="1">IFERROR(VLOOKUP($A179,LASTYR,'2017'!$P$3,FALSE),"N/A")</f>
        <v>0.83601040232522561</v>
      </c>
      <c r="I179" s="63">
        <f t="shared" ca="1" si="72"/>
        <v>0.78575880336553439</v>
      </c>
      <c r="J179" s="63">
        <f t="shared" ca="1" si="78"/>
        <v>0.62794543199669295</v>
      </c>
      <c r="K179" s="63">
        <f t="shared" ca="1" si="78"/>
        <v>0.67725620357199312</v>
      </c>
      <c r="L179" s="63">
        <f t="shared" ca="1" si="78"/>
        <v>0.60149603989439726</v>
      </c>
      <c r="M179" s="63">
        <f t="shared" ca="1" si="78"/>
        <v>0.75963546610973987</v>
      </c>
      <c r="N179" s="63">
        <f t="shared" ca="1" si="78"/>
        <v>0.83480370533745041</v>
      </c>
      <c r="O179" s="63">
        <f t="shared" ca="1" si="78"/>
        <v>0.76397650641722858</v>
      </c>
      <c r="P179" s="63">
        <f t="shared" ca="1" si="78"/>
        <v>0.89016897081413204</v>
      </c>
      <c r="Q179" s="63">
        <f t="shared" ca="1" si="78"/>
        <v>0.75198625724715473</v>
      </c>
      <c r="R179" s="63">
        <f t="shared" ca="1" si="78"/>
        <v>0.70633946830265859</v>
      </c>
      <c r="S179" s="63">
        <f t="shared" ca="1" si="78"/>
        <v>0.90265265265265271</v>
      </c>
      <c r="T179" s="63"/>
      <c r="U179" s="17"/>
      <c r="V179" s="17"/>
      <c r="W179" s="17"/>
    </row>
    <row r="180" spans="1:23" hidden="1" x14ac:dyDescent="0.2">
      <c r="A180" s="51">
        <f t="shared" si="75"/>
        <v>0</v>
      </c>
      <c r="B180" s="46" t="e">
        <f t="shared" ca="1" si="77"/>
        <v>#N/A</v>
      </c>
      <c r="C180" s="1" t="str">
        <f>IF(ISERROR(D180),"",IF(D180="","",MAX($C$136:C179)+1))</f>
        <v/>
      </c>
      <c r="D180" t="e">
        <f t="shared" si="76"/>
        <v>#N/A</v>
      </c>
      <c r="E180" s="22"/>
      <c r="F180" s="63" t="e">
        <f t="shared" ca="1" si="71"/>
        <v>#DIV/0!</v>
      </c>
      <c r="G180" s="63" t="str">
        <f t="shared" si="68"/>
        <v>N/A</v>
      </c>
      <c r="H180" s="63" t="str">
        <f ca="1">IFERROR(VLOOKUP($A180,LASTYR,'2017'!$P$3,FALSE),"N/A")</f>
        <v>N/A</v>
      </c>
      <c r="I180" s="63" t="str">
        <f t="shared" ca="1" si="72"/>
        <v>N/A</v>
      </c>
      <c r="J180" s="63" t="str">
        <f t="shared" ca="1" si="78"/>
        <v>N/A</v>
      </c>
      <c r="K180" s="63" t="str">
        <f t="shared" ca="1" si="78"/>
        <v>N/A</v>
      </c>
      <c r="L180" s="63" t="str">
        <f t="shared" ca="1" si="78"/>
        <v>N/A</v>
      </c>
      <c r="M180" s="63" t="str">
        <f t="shared" ca="1" si="78"/>
        <v>N/A</v>
      </c>
      <c r="N180" s="63" t="str">
        <f t="shared" ca="1" si="78"/>
        <v>N/A</v>
      </c>
      <c r="O180" s="63" t="str">
        <f t="shared" ca="1" si="78"/>
        <v>N/A</v>
      </c>
      <c r="P180" s="63" t="str">
        <f t="shared" ca="1" si="78"/>
        <v>N/A</v>
      </c>
      <c r="Q180" s="63" t="str">
        <f t="shared" ca="1" si="78"/>
        <v>N/A</v>
      </c>
      <c r="R180" s="63" t="str">
        <f t="shared" ca="1" si="78"/>
        <v>N/A</v>
      </c>
      <c r="S180" s="63" t="str">
        <f t="shared" ca="1" si="78"/>
        <v>N/A</v>
      </c>
      <c r="T180" s="63"/>
      <c r="U180" s="17"/>
      <c r="V180" s="17"/>
      <c r="W180" s="17"/>
    </row>
    <row r="181" spans="1:23" hidden="1" x14ac:dyDescent="0.2">
      <c r="A181" s="51">
        <f t="shared" si="75"/>
        <v>0</v>
      </c>
      <c r="B181" s="46" t="e">
        <f t="shared" ca="1" si="77"/>
        <v>#N/A</v>
      </c>
      <c r="C181" s="1" t="str">
        <f>IF(ISERROR(D181),"",IF(D181="","",MAX($C$136:C180)+1))</f>
        <v/>
      </c>
      <c r="D181" t="e">
        <f t="shared" si="76"/>
        <v>#N/A</v>
      </c>
      <c r="F181" s="63" t="e">
        <f t="shared" ca="1" si="71"/>
        <v>#DIV/0!</v>
      </c>
      <c r="G181" s="63" t="str">
        <f t="shared" si="68"/>
        <v>N/A</v>
      </c>
      <c r="H181" s="63" t="str">
        <f ca="1">IFERROR(VLOOKUP($A181,LASTYR,'2017'!$P$3,FALSE),"N/A")</f>
        <v>N/A</v>
      </c>
      <c r="I181" s="63" t="str">
        <f t="shared" ca="1" si="72"/>
        <v>N/A</v>
      </c>
      <c r="J181" s="63" t="str">
        <f t="shared" ca="1" si="78"/>
        <v>N/A</v>
      </c>
      <c r="K181" s="63" t="str">
        <f t="shared" ca="1" si="78"/>
        <v>N/A</v>
      </c>
      <c r="L181" s="63" t="str">
        <f t="shared" ca="1" si="78"/>
        <v>N/A</v>
      </c>
      <c r="M181" s="63" t="str">
        <f t="shared" ca="1" si="78"/>
        <v>N/A</v>
      </c>
      <c r="N181" s="63" t="str">
        <f t="shared" ca="1" si="78"/>
        <v>N/A</v>
      </c>
      <c r="O181" s="63" t="str">
        <f t="shared" ca="1" si="78"/>
        <v>N/A</v>
      </c>
      <c r="P181" s="63" t="str">
        <f t="shared" ca="1" si="78"/>
        <v>N/A</v>
      </c>
      <c r="Q181" s="63" t="str">
        <f t="shared" ca="1" si="78"/>
        <v>N/A</v>
      </c>
      <c r="R181" s="63" t="str">
        <f t="shared" ca="1" si="78"/>
        <v>N/A</v>
      </c>
      <c r="S181" s="63" t="str">
        <f t="shared" ca="1" si="78"/>
        <v>N/A</v>
      </c>
      <c r="T181" s="63"/>
      <c r="U181" s="17"/>
      <c r="V181" s="17"/>
      <c r="W181" s="17"/>
    </row>
    <row r="182" spans="1:23" hidden="1" x14ac:dyDescent="0.2">
      <c r="A182" s="51">
        <f t="shared" si="75"/>
        <v>0</v>
      </c>
      <c r="B182" s="46" t="e">
        <f t="shared" ca="1" si="77"/>
        <v>#N/A</v>
      </c>
      <c r="C182" s="1" t="str">
        <f>IF(ISERROR(D182),"",IF(D182="","",MAX($C$136:C181)+1))</f>
        <v/>
      </c>
      <c r="D182" t="e">
        <f t="shared" si="76"/>
        <v>#N/A</v>
      </c>
      <c r="F182" s="63" t="e">
        <f t="shared" ca="1" si="71"/>
        <v>#DIV/0!</v>
      </c>
      <c r="G182" s="63" t="str">
        <f t="shared" si="68"/>
        <v>N/A</v>
      </c>
      <c r="H182" s="63" t="str">
        <f ca="1">IFERROR(VLOOKUP($A182,LASTYR,'2017'!$P$3,FALSE),"N/A")</f>
        <v>N/A</v>
      </c>
      <c r="I182" s="63" t="str">
        <f t="shared" ca="1" si="72"/>
        <v>N/A</v>
      </c>
      <c r="J182" s="63" t="str">
        <f t="shared" ca="1" si="78"/>
        <v>N/A</v>
      </c>
      <c r="K182" s="63" t="str">
        <f t="shared" ca="1" si="78"/>
        <v>N/A</v>
      </c>
      <c r="L182" s="63" t="str">
        <f t="shared" ca="1" si="78"/>
        <v>N/A</v>
      </c>
      <c r="M182" s="63" t="str">
        <f t="shared" ca="1" si="78"/>
        <v>N/A</v>
      </c>
      <c r="N182" s="63" t="str">
        <f t="shared" ca="1" si="78"/>
        <v>N/A</v>
      </c>
      <c r="O182" s="63" t="str">
        <f t="shared" ca="1" si="78"/>
        <v>N/A</v>
      </c>
      <c r="P182" s="63" t="str">
        <f t="shared" ca="1" si="78"/>
        <v>N/A</v>
      </c>
      <c r="Q182" s="63" t="str">
        <f t="shared" ca="1" si="78"/>
        <v>N/A</v>
      </c>
      <c r="R182" s="63" t="str">
        <f t="shared" ca="1" si="78"/>
        <v>N/A</v>
      </c>
      <c r="S182" s="63" t="str">
        <f t="shared" ca="1" si="78"/>
        <v>N/A</v>
      </c>
      <c r="T182" s="63"/>
      <c r="U182" s="17"/>
      <c r="V182" s="17"/>
      <c r="W182" s="17"/>
    </row>
    <row r="183" spans="1:23" hidden="1" x14ac:dyDescent="0.2">
      <c r="A183" s="51">
        <f t="shared" si="75"/>
        <v>0</v>
      </c>
      <c r="B183" s="46" t="e">
        <f t="shared" ca="1" si="77"/>
        <v>#N/A</v>
      </c>
      <c r="C183" s="1" t="str">
        <f>IF(ISERROR(D183),"",IF(D183="","",MAX($C$136:C182)+1))</f>
        <v/>
      </c>
      <c r="D183" t="e">
        <f t="shared" si="76"/>
        <v>#N/A</v>
      </c>
      <c r="F183" s="63" t="e">
        <f t="shared" ca="1" si="71"/>
        <v>#DIV/0!</v>
      </c>
      <c r="G183" s="63" t="str">
        <f t="shared" si="68"/>
        <v>N/A</v>
      </c>
      <c r="H183" s="63" t="str">
        <f ca="1">IFERROR(VLOOKUP($A183,LASTYR,'2017'!$P$3,FALSE),"N/A")</f>
        <v>N/A</v>
      </c>
      <c r="I183" s="63" t="str">
        <f t="shared" ca="1" si="72"/>
        <v>N/A</v>
      </c>
      <c r="J183" s="63" t="str">
        <f t="shared" ca="1" si="78"/>
        <v>N/A</v>
      </c>
      <c r="K183" s="63" t="str">
        <f t="shared" ca="1" si="78"/>
        <v>N/A</v>
      </c>
      <c r="L183" s="63" t="str">
        <f t="shared" ca="1" si="78"/>
        <v>N/A</v>
      </c>
      <c r="M183" s="63" t="str">
        <f t="shared" ca="1" si="78"/>
        <v>N/A</v>
      </c>
      <c r="N183" s="63" t="str">
        <f t="shared" ca="1" si="78"/>
        <v>N/A</v>
      </c>
      <c r="O183" s="63" t="str">
        <f t="shared" ca="1" si="78"/>
        <v>N/A</v>
      </c>
      <c r="P183" s="63" t="str">
        <f t="shared" ca="1" si="78"/>
        <v>N/A</v>
      </c>
      <c r="Q183" s="63" t="str">
        <f t="shared" ca="1" si="78"/>
        <v>N/A</v>
      </c>
      <c r="R183" s="63" t="str">
        <f t="shared" ca="1" si="78"/>
        <v>N/A</v>
      </c>
      <c r="S183" s="63" t="str">
        <f t="shared" ca="1" si="78"/>
        <v>N/A</v>
      </c>
      <c r="T183" s="63"/>
      <c r="U183" s="17"/>
      <c r="V183" s="17"/>
      <c r="W183" s="17"/>
    </row>
    <row r="184" spans="1:23" x14ac:dyDescent="0.2">
      <c r="A184" s="31"/>
      <c r="B184" s="31"/>
      <c r="C184" s="1" t="str">
        <f>IF(ISERROR(D184),"",IF(D184="","",MAX($C$136:C183)+1))</f>
        <v/>
      </c>
      <c r="F184" s="63"/>
      <c r="G184" s="63"/>
      <c r="H184" s="63"/>
      <c r="I184" s="63"/>
      <c r="J184" s="63"/>
      <c r="K184" s="63"/>
      <c r="L184" s="63"/>
      <c r="M184" s="63"/>
      <c r="N184" s="63"/>
      <c r="O184" s="63"/>
      <c r="P184" s="63"/>
      <c r="Q184" s="63"/>
      <c r="R184" s="63"/>
      <c r="S184" s="63"/>
      <c r="T184" s="63"/>
      <c r="U184" s="17"/>
      <c r="V184" s="17"/>
    </row>
    <row r="185" spans="1:23" x14ac:dyDescent="0.2">
      <c r="A185" s="31"/>
      <c r="B185" s="31"/>
      <c r="C185" s="1">
        <f>IF(ISERROR(D185),"",IF(D185="","",MAX($C$136:C184)+1))</f>
        <v>43</v>
      </c>
      <c r="D185" t="s">
        <v>98</v>
      </c>
      <c r="F185" s="63">
        <f ca="1">AVERAGE(G185:S185)</f>
        <v>0.89670461329747309</v>
      </c>
      <c r="G185" s="63">
        <f t="shared" ref="G185:S185" si="79">AVERAGE(G138:G184)</f>
        <v>0.85638937094654466</v>
      </c>
      <c r="H185" s="63">
        <f t="shared" ref="H185" ca="1" si="80">AVERAGE(H138:H184)</f>
        <v>0.89124032752581184</v>
      </c>
      <c r="I185" s="63">
        <f t="shared" ca="1" si="79"/>
        <v>0.88246322732577165</v>
      </c>
      <c r="J185" s="63">
        <f t="shared" ca="1" si="79"/>
        <v>0.86168244773016833</v>
      </c>
      <c r="K185" s="63">
        <f t="shared" ca="1" si="79"/>
        <v>0.86502334454309582</v>
      </c>
      <c r="L185" s="63">
        <f t="shared" ca="1" si="79"/>
        <v>0.87822179999065697</v>
      </c>
      <c r="M185" s="63">
        <f t="shared" ca="1" si="79"/>
        <v>0.87928940556000568</v>
      </c>
      <c r="N185" s="63">
        <f t="shared" ca="1" si="79"/>
        <v>0.95971325870231605</v>
      </c>
      <c r="O185" s="63">
        <f t="shared" ca="1" si="79"/>
        <v>0.98093013185409883</v>
      </c>
      <c r="P185" s="63">
        <f t="shared" ca="1" si="79"/>
        <v>0.86013651511690592</v>
      </c>
      <c r="Q185" s="63">
        <f t="shared" ca="1" si="79"/>
        <v>0.80380689978086262</v>
      </c>
      <c r="R185" s="63">
        <f t="shared" ca="1" si="79"/>
        <v>0.88409545452369609</v>
      </c>
      <c r="S185" s="63">
        <f t="shared" ca="1" si="79"/>
        <v>1.0541677892672148</v>
      </c>
      <c r="T185" s="63"/>
      <c r="U185" s="17"/>
      <c r="V185" s="17"/>
      <c r="W185" s="17"/>
    </row>
    <row r="186" spans="1:23" x14ac:dyDescent="0.2">
      <c r="A186" s="31"/>
      <c r="B186" s="31"/>
      <c r="C186" s="1">
        <f>IF(ISERROR(D186),"",IF(D186="","",MAX($C$136:C185)+1))</f>
        <v>44</v>
      </c>
      <c r="D186" t="s">
        <v>257</v>
      </c>
      <c r="F186" s="63">
        <f ca="1">AVERAGE(G186:S186)</f>
        <v>0.85667086791543035</v>
      </c>
      <c r="G186" s="63">
        <f>MEDIAN(G138:G184)</f>
        <v>0.79823643509774889</v>
      </c>
      <c r="H186" s="63">
        <f t="shared" ref="H186" ca="1" si="81">MEDIAN(H138:H184)</f>
        <v>0.83601040232522561</v>
      </c>
      <c r="I186" s="63">
        <f t="shared" ref="I186:S186" ca="1" si="82">MEDIAN(I138:I184)</f>
        <v>0.84416909649491323</v>
      </c>
      <c r="J186" s="63">
        <f t="shared" ca="1" si="82"/>
        <v>0.83083405626471674</v>
      </c>
      <c r="K186" s="63">
        <f t="shared" ca="1" si="82"/>
        <v>0.81590153342264837</v>
      </c>
      <c r="L186" s="63">
        <f t="shared" ca="1" si="82"/>
        <v>0.86177866773467593</v>
      </c>
      <c r="M186" s="63">
        <f t="shared" ca="1" si="82"/>
        <v>0.86523592248445302</v>
      </c>
      <c r="N186" s="63">
        <f t="shared" ca="1" si="82"/>
        <v>0.96167472557757105</v>
      </c>
      <c r="O186" s="63">
        <f t="shared" ca="1" si="82"/>
        <v>0.90095617682641693</v>
      </c>
      <c r="P186" s="63">
        <f t="shared" ca="1" si="82"/>
        <v>0.79835785591529151</v>
      </c>
      <c r="Q186" s="63">
        <f t="shared" ca="1" si="82"/>
        <v>0.79912435481168564</v>
      </c>
      <c r="R186" s="63">
        <f t="shared" ca="1" si="82"/>
        <v>0.82482427219563648</v>
      </c>
      <c r="S186" s="63">
        <f t="shared" ca="1" si="82"/>
        <v>0.99961778374961274</v>
      </c>
      <c r="T186" s="63"/>
      <c r="U186" s="17"/>
      <c r="V186" s="17"/>
      <c r="W186" s="17"/>
    </row>
    <row r="187" spans="1:23" x14ac:dyDescent="0.2">
      <c r="A187" s="31"/>
      <c r="B187" s="31"/>
      <c r="C187" s="1"/>
    </row>
    <row r="188" spans="1:23" x14ac:dyDescent="0.2">
      <c r="A188" s="31"/>
      <c r="B188" s="31"/>
      <c r="D188" s="18"/>
      <c r="E188" s="91"/>
    </row>
    <row r="189" spans="1:23" x14ac:dyDescent="0.2">
      <c r="A189" s="31"/>
      <c r="B189" s="31"/>
      <c r="D189" s="20" t="s">
        <v>107</v>
      </c>
    </row>
    <row r="190" spans="1:23" ht="16.5" x14ac:dyDescent="0.2">
      <c r="A190" s="31"/>
      <c r="B190" s="31"/>
      <c r="D190" s="79">
        <v>1</v>
      </c>
      <c r="E190" s="21" t="str">
        <f>"The Value Line Investment Survey Investment Analyzer Software, downloaded on "&amp;TEXT('2017'!$A$1,"mmmm d, yyyy.")</f>
        <v>The Value Line Investment Survey Investment Analyzer Software, downloaded on June 21, 2018.</v>
      </c>
    </row>
    <row r="191" spans="1:23" ht="16.5" x14ac:dyDescent="0.2">
      <c r="A191" s="31"/>
      <c r="B191" s="31"/>
      <c r="D191" s="79">
        <v>2</v>
      </c>
      <c r="E191" s="21" t="str">
        <f>"The Value Line Investment Survey, "&amp;'2018 Data (WP)'!$D$1</f>
        <v>The Value Line Investment Survey, October 26, November 16, and December 14, 2018.</v>
      </c>
    </row>
    <row r="192" spans="1:23" x14ac:dyDescent="0.2">
      <c r="A192" s="31"/>
      <c r="B192" s="31"/>
      <c r="D192" s="20" t="s">
        <v>329</v>
      </c>
    </row>
    <row r="193" spans="1:5" ht="16.5" x14ac:dyDescent="0.2">
      <c r="A193" s="31"/>
      <c r="B193" s="31"/>
      <c r="D193" s="93" t="s">
        <v>357</v>
      </c>
      <c r="E193" s="21" t="s">
        <v>433</v>
      </c>
    </row>
    <row r="194" spans="1:5" x14ac:dyDescent="0.2">
      <c r="A194" s="31"/>
      <c r="B194" s="31"/>
      <c r="E194" s="23" t="str">
        <f>"published in The Value Line Investment Survey, "&amp;'2018 Data (WP)'!$D$1</f>
        <v>published in The Value Line Investment Survey, October 26, November 16, and December 14, 2018.</v>
      </c>
    </row>
    <row r="195" spans="1:5" x14ac:dyDescent="0.2">
      <c r="A195" s="31"/>
      <c r="B195" s="31"/>
      <c r="D195" s="21"/>
    </row>
    <row r="196" spans="1:5" x14ac:dyDescent="0.2">
      <c r="D196" s="23"/>
    </row>
  </sheetData>
  <mergeCells count="9">
    <mergeCell ref="D72:E72"/>
    <mergeCell ref="F133:W133"/>
    <mergeCell ref="D135:E135"/>
    <mergeCell ref="C1:W1"/>
    <mergeCell ref="C4:W4"/>
    <mergeCell ref="C5:W5"/>
    <mergeCell ref="F8:W8"/>
    <mergeCell ref="D10:E10"/>
    <mergeCell ref="F70:W70"/>
  </mergeCells>
  <printOptions horizontalCentered="1"/>
  <pageMargins left="0.7" right="0.7" top="1" bottom="0.75" header="0.55000000000000004" footer="0.51"/>
  <pageSetup scale="55" fitToHeight="0" orientation="portrait" useFirstPageNumber="1" r:id="rId1"/>
  <headerFooter>
    <oddHeader>&amp;R&amp;20 Exhibit MPG-2
Page 4 of 4</oddHeader>
  </headerFooter>
  <rowBreaks count="2" manualBreakCount="2">
    <brk id="68" min="2" max="17" man="1"/>
    <brk id="131" min="2" max="17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A1:W179"/>
  <sheetViews>
    <sheetView topLeftCell="A64" zoomScale="70" zoomScaleNormal="70" workbookViewId="0">
      <selection activeCell="O78" sqref="O78"/>
    </sheetView>
  </sheetViews>
  <sheetFormatPr defaultRowHeight="14.25" x14ac:dyDescent="0.2"/>
  <cols>
    <col min="1" max="2" width="8" customWidth="1"/>
    <col min="3" max="3" width="4.75" bestFit="1" customWidth="1"/>
    <col min="4" max="4" width="1.75" customWidth="1"/>
    <col min="5" max="5" width="20.5" customWidth="1"/>
    <col min="6" max="19" width="9" customWidth="1"/>
    <col min="20" max="20" width="9" hidden="1" customWidth="1"/>
    <col min="21" max="23" width="0" hidden="1" customWidth="1"/>
  </cols>
  <sheetData>
    <row r="1" spans="1:23" ht="27.75" x14ac:dyDescent="0.4">
      <c r="C1" s="236" t="s">
        <v>522</v>
      </c>
      <c r="D1" s="236"/>
      <c r="E1" s="236"/>
      <c r="F1" s="236"/>
      <c r="G1" s="236"/>
      <c r="H1" s="236"/>
      <c r="I1" s="236"/>
      <c r="J1" s="236"/>
      <c r="K1" s="236"/>
      <c r="L1" s="236"/>
      <c r="M1" s="236"/>
      <c r="N1" s="236"/>
      <c r="O1" s="236"/>
      <c r="P1" s="236"/>
      <c r="Q1" s="236"/>
      <c r="R1" s="236"/>
      <c r="S1" s="236"/>
      <c r="T1" s="236"/>
      <c r="U1" s="236"/>
      <c r="V1" s="236"/>
      <c r="W1" s="236"/>
    </row>
    <row r="2" spans="1:23" x14ac:dyDescent="0.2">
      <c r="C2" s="4"/>
      <c r="D2" s="5"/>
      <c r="E2" s="6"/>
      <c r="F2" s="6"/>
      <c r="G2" s="6"/>
      <c r="H2" s="6"/>
      <c r="I2" s="6"/>
      <c r="J2" s="6"/>
      <c r="K2" s="6"/>
      <c r="L2" s="6"/>
      <c r="M2" s="6"/>
      <c r="N2" s="6"/>
      <c r="O2" s="7"/>
      <c r="P2" s="7"/>
      <c r="Q2" s="7"/>
      <c r="R2" s="7"/>
      <c r="S2" s="7"/>
      <c r="T2" s="7"/>
      <c r="U2" s="7"/>
      <c r="V2" s="7"/>
    </row>
    <row r="3" spans="1:23" x14ac:dyDescent="0.2">
      <c r="C3" s="4"/>
      <c r="D3" s="5"/>
      <c r="E3" s="6"/>
      <c r="F3" s="6"/>
      <c r="G3" s="6"/>
      <c r="H3" s="6"/>
      <c r="I3" s="6"/>
      <c r="J3" s="6"/>
      <c r="K3" s="6"/>
      <c r="L3" s="6"/>
      <c r="M3" s="6"/>
      <c r="N3" s="6"/>
      <c r="O3" s="7"/>
      <c r="P3" s="7"/>
      <c r="Q3" s="7"/>
      <c r="R3" s="7"/>
      <c r="S3" s="7"/>
      <c r="T3" s="7"/>
      <c r="U3" s="7"/>
      <c r="V3" s="7"/>
    </row>
    <row r="4" spans="1:23" ht="20.25" x14ac:dyDescent="0.3">
      <c r="C4" s="237" t="s">
        <v>273</v>
      </c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</row>
    <row r="5" spans="1:23" ht="18" x14ac:dyDescent="0.25">
      <c r="C5" s="238" t="s">
        <v>274</v>
      </c>
      <c r="D5" s="238"/>
      <c r="E5" s="238"/>
      <c r="F5" s="238"/>
      <c r="G5" s="238"/>
      <c r="H5" s="238"/>
      <c r="I5" s="238"/>
      <c r="J5" s="238"/>
      <c r="K5" s="238"/>
      <c r="L5" s="238"/>
      <c r="M5" s="238"/>
      <c r="N5" s="238"/>
      <c r="O5" s="238"/>
      <c r="P5" s="238"/>
      <c r="Q5" s="238"/>
      <c r="R5" s="238"/>
      <c r="S5" s="238"/>
      <c r="T5" s="238"/>
      <c r="U5" s="238"/>
      <c r="V5" s="238"/>
      <c r="W5" s="238"/>
    </row>
    <row r="6" spans="1:23" x14ac:dyDescent="0.2">
      <c r="C6" s="6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3" x14ac:dyDescent="0.2">
      <c r="C7" s="6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3" ht="17.25" x14ac:dyDescent="0.25">
      <c r="C8" s="6"/>
      <c r="D8" s="7"/>
      <c r="E8" s="7"/>
      <c r="F8" s="239" t="s">
        <v>95</v>
      </c>
      <c r="G8" s="239"/>
      <c r="H8" s="239"/>
      <c r="I8" s="239"/>
      <c r="J8" s="239"/>
      <c r="K8" s="239"/>
      <c r="L8" s="239"/>
      <c r="M8" s="239"/>
      <c r="N8" s="239"/>
      <c r="O8" s="239"/>
      <c r="P8" s="239"/>
      <c r="Q8" s="239"/>
      <c r="R8" s="239"/>
      <c r="S8" s="239"/>
      <c r="T8" s="239"/>
      <c r="U8" s="239"/>
      <c r="V8" s="239"/>
      <c r="W8" s="239"/>
    </row>
    <row r="9" spans="1:23" ht="15" x14ac:dyDescent="0.25">
      <c r="A9" s="42" t="s">
        <v>99</v>
      </c>
      <c r="B9" s="42" t="s">
        <v>241</v>
      </c>
      <c r="C9" s="6"/>
      <c r="D9" s="7"/>
      <c r="E9" s="7"/>
      <c r="F9" s="8" t="s">
        <v>429</v>
      </c>
      <c r="G9" s="8"/>
      <c r="H9" s="8"/>
      <c r="I9" s="8"/>
      <c r="J9" s="8"/>
      <c r="K9" s="8"/>
      <c r="L9" s="8"/>
      <c r="M9" s="8"/>
      <c r="N9" s="7"/>
      <c r="O9" s="7"/>
      <c r="P9" s="7"/>
      <c r="Q9" s="7"/>
      <c r="R9" s="7"/>
      <c r="S9" s="7"/>
      <c r="T9" s="7"/>
      <c r="U9" s="7"/>
      <c r="V9" s="7"/>
    </row>
    <row r="10" spans="1:23" ht="17.25" x14ac:dyDescent="0.25">
      <c r="A10" s="42" t="s">
        <v>100</v>
      </c>
      <c r="B10" s="42" t="s">
        <v>242</v>
      </c>
      <c r="C10" s="9" t="s">
        <v>96</v>
      </c>
      <c r="D10" s="234" t="s">
        <v>97</v>
      </c>
      <c r="E10" s="234"/>
      <c r="F10" s="10" t="s">
        <v>98</v>
      </c>
      <c r="G10" s="41" t="s">
        <v>422</v>
      </c>
      <c r="H10" s="41">
        <v>2017</v>
      </c>
      <c r="I10" s="41">
        <v>2016</v>
      </c>
      <c r="J10" s="41">
        <v>2015</v>
      </c>
      <c r="K10" s="41">
        <v>2014</v>
      </c>
      <c r="L10" s="41">
        <v>2013</v>
      </c>
      <c r="M10" s="41">
        <v>2012</v>
      </c>
      <c r="N10" s="41">
        <v>2011</v>
      </c>
      <c r="O10" s="41">
        <v>2010</v>
      </c>
      <c r="P10" s="41">
        <v>2009</v>
      </c>
      <c r="Q10" s="41">
        <v>2008</v>
      </c>
      <c r="R10" s="41">
        <v>2007</v>
      </c>
      <c r="S10" s="41">
        <v>2006</v>
      </c>
      <c r="T10" s="41">
        <v>2005</v>
      </c>
      <c r="U10" s="41">
        <v>2004</v>
      </c>
      <c r="V10" s="41">
        <v>2003</v>
      </c>
      <c r="W10" s="41">
        <v>2002</v>
      </c>
    </row>
    <row r="11" spans="1:23" ht="15" x14ac:dyDescent="0.25">
      <c r="A11" s="42"/>
      <c r="B11" s="42"/>
      <c r="C11" s="9"/>
      <c r="D11" s="64"/>
      <c r="E11" s="64"/>
      <c r="F11" s="12">
        <v>-1</v>
      </c>
      <c r="G11" s="12">
        <f>+F11-1</f>
        <v>-2</v>
      </c>
      <c r="H11" s="12">
        <f t="shared" ref="H11:S11" si="0">+G11-1</f>
        <v>-3</v>
      </c>
      <c r="I11" s="12">
        <f t="shared" si="0"/>
        <v>-4</v>
      </c>
      <c r="J11" s="12">
        <f t="shared" si="0"/>
        <v>-5</v>
      </c>
      <c r="K11" s="12">
        <f t="shared" si="0"/>
        <v>-6</v>
      </c>
      <c r="L11" s="12">
        <f t="shared" si="0"/>
        <v>-7</v>
      </c>
      <c r="M11" s="12">
        <f t="shared" si="0"/>
        <v>-8</v>
      </c>
      <c r="N11" s="12">
        <f t="shared" si="0"/>
        <v>-9</v>
      </c>
      <c r="O11" s="12">
        <f t="shared" si="0"/>
        <v>-10</v>
      </c>
      <c r="P11" s="12">
        <f t="shared" si="0"/>
        <v>-11</v>
      </c>
      <c r="Q11" s="12">
        <f t="shared" si="0"/>
        <v>-12</v>
      </c>
      <c r="R11" s="12">
        <f t="shared" si="0"/>
        <v>-13</v>
      </c>
      <c r="S11" s="12">
        <f t="shared" si="0"/>
        <v>-14</v>
      </c>
      <c r="T11" s="12">
        <f t="shared" ref="T11:W11" si="1">+S11-1</f>
        <v>-15</v>
      </c>
      <c r="U11" s="12">
        <f t="shared" si="1"/>
        <v>-16</v>
      </c>
      <c r="V11" s="12">
        <f t="shared" si="1"/>
        <v>-17</v>
      </c>
      <c r="W11" s="12">
        <f t="shared" si="1"/>
        <v>-18</v>
      </c>
    </row>
    <row r="12" spans="1:23" ht="15" x14ac:dyDescent="0.25">
      <c r="A12" s="43"/>
      <c r="B12" s="44"/>
      <c r="C12" s="9"/>
      <c r="D12" s="14" t="s">
        <v>101</v>
      </c>
      <c r="E12" s="11"/>
      <c r="F12" s="36"/>
      <c r="G12" s="36"/>
      <c r="H12" s="52"/>
      <c r="I12" s="16">
        <f ca="1">MATCH(I10,OFFSET(PE_WP,-1,0,1,),0)</f>
        <v>4</v>
      </c>
      <c r="J12" s="16">
        <f ca="1">MATCH(J10,OFFSET(PE_WP,-1,0,1,),0)</f>
        <v>5</v>
      </c>
      <c r="K12" s="16">
        <f ca="1">MATCH(K10,OFFSET(PE_WP,-1,0,1,),0)</f>
        <v>6</v>
      </c>
      <c r="L12" s="16">
        <f t="shared" ref="L12:W12" ca="1" si="2">MATCH(L10,OFFSET(PE_WP,-1,0,1,),0)</f>
        <v>7</v>
      </c>
      <c r="M12" s="16">
        <f t="shared" ca="1" si="2"/>
        <v>8</v>
      </c>
      <c r="N12" s="16">
        <f t="shared" ca="1" si="2"/>
        <v>9</v>
      </c>
      <c r="O12" s="16">
        <f t="shared" ca="1" si="2"/>
        <v>10</v>
      </c>
      <c r="P12" s="16">
        <f t="shared" ca="1" si="2"/>
        <v>11</v>
      </c>
      <c r="Q12" s="16">
        <f t="shared" ca="1" si="2"/>
        <v>12</v>
      </c>
      <c r="R12" s="16">
        <f t="shared" ca="1" si="2"/>
        <v>13</v>
      </c>
      <c r="S12" s="16">
        <f t="shared" ca="1" si="2"/>
        <v>14</v>
      </c>
      <c r="T12" s="16">
        <f ca="1">MATCH(T10,OFFSET(PE_WP,-1,0,1,),0)</f>
        <v>15</v>
      </c>
      <c r="U12" s="16">
        <f t="shared" ca="1" si="2"/>
        <v>16</v>
      </c>
      <c r="V12" s="16">
        <f t="shared" ca="1" si="2"/>
        <v>17</v>
      </c>
      <c r="W12" s="16">
        <f t="shared" ca="1" si="2"/>
        <v>18</v>
      </c>
    </row>
    <row r="13" spans="1:23" x14ac:dyDescent="0.2">
      <c r="A13" s="45" t="s">
        <v>175</v>
      </c>
      <c r="B13" s="46">
        <f t="shared" ref="B13:B57" ca="1" si="3">IFERROR(MATCH(A13,OFFSET(PE_WP,0,0,,1),0),"")</f>
        <v>8</v>
      </c>
      <c r="C13" s="1">
        <f ca="1">IF(ISERROR(D13),"",IF(D13="","",MAX($C$12:C12)+1))</f>
        <v>1</v>
      </c>
      <c r="D13" t="str">
        <f t="shared" ref="D13:D57" ca="1" si="4">VLOOKUP(A13,LUCurYr,2,FALSE)</f>
        <v>Atmos Energy</v>
      </c>
      <c r="E13" s="15"/>
      <c r="F13" s="63">
        <f ca="1">IFERROR(AVERAGE(G13:S13),"N/A")</f>
        <v>16.523769230769233</v>
      </c>
      <c r="G13" s="63">
        <f>IFERROR(IF(VLOOKUP(A13,LUCurYr,3,FALSE)=0,"",VLOOKUP(A13,LUCurYr,3,FALSE)),"N/A")</f>
        <v>23.5</v>
      </c>
      <c r="H13" s="63">
        <f ca="1">IFERROR(VLOOKUP($A13,LASTYR,'2017'!$C$3,FALSE),"N/A")</f>
        <v>22.035</v>
      </c>
      <c r="I13" s="63">
        <f t="shared" ref="I13:S31" ca="1" si="5">IFERROR(INDEX(PE_WP,$B13,I$12),"N/A")</f>
        <v>20.8</v>
      </c>
      <c r="J13" s="63">
        <f t="shared" ca="1" si="5"/>
        <v>17.501000000000001</v>
      </c>
      <c r="K13" s="63">
        <f t="shared" ca="1" si="5"/>
        <v>16.091999999999999</v>
      </c>
      <c r="L13" s="63">
        <f t="shared" ca="1" si="5"/>
        <v>15.872999999999999</v>
      </c>
      <c r="M13" s="63">
        <f t="shared" ca="1" si="5"/>
        <v>15.93</v>
      </c>
      <c r="N13" s="63">
        <f t="shared" ca="1" si="5"/>
        <v>14.355</v>
      </c>
      <c r="O13" s="63">
        <f t="shared" ca="1" si="5"/>
        <v>13.21</v>
      </c>
      <c r="P13" s="63">
        <f t="shared" ca="1" si="5"/>
        <v>12.538</v>
      </c>
      <c r="Q13" s="63">
        <f t="shared" ca="1" si="5"/>
        <v>13.585000000000001</v>
      </c>
      <c r="R13" s="63">
        <f t="shared" ca="1" si="5"/>
        <v>15.866</v>
      </c>
      <c r="S13" s="63">
        <f t="shared" ca="1" si="5"/>
        <v>13.523999999999999</v>
      </c>
      <c r="T13" s="63"/>
      <c r="U13" s="63"/>
      <c r="V13" s="63"/>
      <c r="W13" s="63"/>
    </row>
    <row r="14" spans="1:23" x14ac:dyDescent="0.2">
      <c r="A14" s="45" t="s">
        <v>178</v>
      </c>
      <c r="B14" s="46">
        <f t="shared" ca="1" si="3"/>
        <v>15</v>
      </c>
      <c r="C14" s="1">
        <f ca="1">IF(ISERROR(D14),"",IF(D14="","",MAX($C$12:C13)+1))</f>
        <v>2</v>
      </c>
      <c r="D14" t="str">
        <f t="shared" ca="1" si="4"/>
        <v>Chesapeake Utilities</v>
      </c>
      <c r="E14" s="15"/>
      <c r="F14" s="63">
        <f t="shared" ref="F14:F57" ca="1" si="6">IFERROR(AVERAGE(G14:S14),"N/A")</f>
        <v>17.876692307692306</v>
      </c>
      <c r="G14" s="63">
        <f t="shared" ref="G14:G57" si="7">IFERROR(IF(VLOOKUP(A14,LUCurYr,3,FALSE)=0,"",VLOOKUP(A14,LUCurYr,3,FALSE)),"N/A")</f>
        <v>26.2</v>
      </c>
      <c r="H14" s="63">
        <f ca="1">IFERROR(VLOOKUP($A14,LASTYR,'2017'!$C$3,FALSE),"N/A")</f>
        <v>27.843</v>
      </c>
      <c r="I14" s="63">
        <f t="shared" ca="1" si="5"/>
        <v>21.774000000000001</v>
      </c>
      <c r="J14" s="63">
        <f t="shared" ca="1" si="5"/>
        <v>19.145</v>
      </c>
      <c r="K14" s="63">
        <f t="shared" ca="1" si="5"/>
        <v>17.702000000000002</v>
      </c>
      <c r="L14" s="63">
        <f t="shared" ca="1" si="5"/>
        <v>15.622</v>
      </c>
      <c r="M14" s="63">
        <f t="shared" ca="1" si="5"/>
        <v>14.808</v>
      </c>
      <c r="N14" s="63">
        <f t="shared" ca="1" si="5"/>
        <v>14.16</v>
      </c>
      <c r="O14" s="63">
        <f t="shared" ca="1" si="5"/>
        <v>12.214</v>
      </c>
      <c r="P14" s="63">
        <f t="shared" ca="1" si="5"/>
        <v>14.202999999999999</v>
      </c>
      <c r="Q14" s="63">
        <f t="shared" ca="1" si="5"/>
        <v>14.154</v>
      </c>
      <c r="R14" s="63">
        <f t="shared" ca="1" si="5"/>
        <v>16.718</v>
      </c>
      <c r="S14" s="63">
        <f t="shared" ca="1" si="5"/>
        <v>17.853999999999999</v>
      </c>
      <c r="T14" s="63"/>
      <c r="U14" s="63"/>
      <c r="V14" s="63"/>
      <c r="W14" s="63"/>
    </row>
    <row r="15" spans="1:23" x14ac:dyDescent="0.2">
      <c r="A15" s="45" t="s">
        <v>190</v>
      </c>
      <c r="B15" s="46">
        <f t="shared" ca="1" si="3"/>
        <v>42</v>
      </c>
      <c r="C15" s="1">
        <f ca="1">IF(ISERROR(D15),"",IF(D15="","",MAX($C$12:C14)+1))</f>
        <v>3</v>
      </c>
      <c r="D15" t="str">
        <f t="shared" ca="1" si="4"/>
        <v>New Jersey Resources</v>
      </c>
      <c r="E15" s="15"/>
      <c r="F15" s="63">
        <f t="shared" ca="1" si="6"/>
        <v>17.958307692307692</v>
      </c>
      <c r="G15" s="63">
        <f t="shared" si="7"/>
        <v>32</v>
      </c>
      <c r="H15" s="63">
        <f ca="1">IFERROR(VLOOKUP($A15,LASTYR,'2017'!$C$3,FALSE),"N/A")</f>
        <v>22.376999999999999</v>
      </c>
      <c r="I15" s="63">
        <f t="shared" ca="1" si="5"/>
        <v>21.25</v>
      </c>
      <c r="J15" s="63">
        <f t="shared" ca="1" si="5"/>
        <v>16.613</v>
      </c>
      <c r="K15" s="63">
        <f t="shared" ca="1" si="5"/>
        <v>11.731999999999999</v>
      </c>
      <c r="L15" s="63">
        <f t="shared" ca="1" si="5"/>
        <v>15.983000000000001</v>
      </c>
      <c r="M15" s="63">
        <f t="shared" ca="1" si="5"/>
        <v>16.829000000000001</v>
      </c>
      <c r="N15" s="63">
        <f t="shared" ca="1" si="5"/>
        <v>16.754999999999999</v>
      </c>
      <c r="O15" s="63">
        <f t="shared" ca="1" si="5"/>
        <v>14.984</v>
      </c>
      <c r="P15" s="63">
        <f t="shared" ca="1" si="5"/>
        <v>14.925000000000001</v>
      </c>
      <c r="Q15" s="63">
        <f t="shared" ca="1" si="5"/>
        <v>12.273999999999999</v>
      </c>
      <c r="R15" s="63">
        <f t="shared" ca="1" si="5"/>
        <v>21.611000000000001</v>
      </c>
      <c r="S15" s="63">
        <f t="shared" ca="1" si="5"/>
        <v>16.125</v>
      </c>
      <c r="T15" s="63"/>
      <c r="U15" s="63"/>
      <c r="V15" s="63"/>
      <c r="W15" s="63"/>
    </row>
    <row r="16" spans="1:23" x14ac:dyDescent="0.2">
      <c r="A16" s="45" t="s">
        <v>26</v>
      </c>
      <c r="B16" s="46">
        <f t="shared" ca="1" si="3"/>
        <v>44</v>
      </c>
      <c r="C16" s="1">
        <f ca="1">IF(ISERROR(D16),"",IF(D16="","",MAX($C$12:C15)+1))</f>
        <v>4</v>
      </c>
      <c r="D16" t="str">
        <f t="shared" ca="1" si="4"/>
        <v>NiSource Inc.</v>
      </c>
      <c r="E16" s="15"/>
      <c r="F16" s="63">
        <f t="shared" ca="1" si="6"/>
        <v>19.9575</v>
      </c>
      <c r="G16" s="63">
        <f t="shared" si="7"/>
        <v>20.399999999999999</v>
      </c>
      <c r="H16" s="63" t="str">
        <f ca="1">IFERROR(VLOOKUP($A16,LASTYR,'2017'!$C$3,FALSE),"N/A")</f>
        <v>NMF</v>
      </c>
      <c r="I16" s="63">
        <f t="shared" ca="1" si="5"/>
        <v>23.183</v>
      </c>
      <c r="J16" s="63">
        <f t="shared" ca="1" si="5"/>
        <v>37.340000000000003</v>
      </c>
      <c r="K16" s="63">
        <f t="shared" ca="1" si="5"/>
        <v>22.742000000000001</v>
      </c>
      <c r="L16" s="63">
        <f t="shared" ca="1" si="5"/>
        <v>18.888999999999999</v>
      </c>
      <c r="M16" s="63">
        <f t="shared" ca="1" si="5"/>
        <v>17.87</v>
      </c>
      <c r="N16" s="63">
        <f t="shared" ca="1" si="5"/>
        <v>19.363</v>
      </c>
      <c r="O16" s="63">
        <f t="shared" ca="1" si="5"/>
        <v>15.327</v>
      </c>
      <c r="P16" s="63">
        <f t="shared" ca="1" si="5"/>
        <v>14.335000000000001</v>
      </c>
      <c r="Q16" s="63">
        <f t="shared" ca="1" si="5"/>
        <v>12.065</v>
      </c>
      <c r="R16" s="63">
        <f t="shared" ca="1" si="5"/>
        <v>18.815999999999999</v>
      </c>
      <c r="S16" s="63">
        <f t="shared" ca="1" si="5"/>
        <v>19.16</v>
      </c>
      <c r="T16" s="63"/>
      <c r="U16" s="63"/>
      <c r="V16" s="63"/>
      <c r="W16" s="63"/>
    </row>
    <row r="17" spans="1:23" x14ac:dyDescent="0.2">
      <c r="A17" s="45" t="s">
        <v>192</v>
      </c>
      <c r="B17" s="46">
        <f t="shared" ca="1" si="3"/>
        <v>45</v>
      </c>
      <c r="C17" s="1">
        <f ca="1">IF(ISERROR(D17),"",IF(D17="","",MAX($C$12:C16)+1))</f>
        <v>5</v>
      </c>
      <c r="D17" t="str">
        <f t="shared" ca="1" si="4"/>
        <v>Northwest Nat. Gas</v>
      </c>
      <c r="E17" s="15"/>
      <c r="F17" s="63">
        <f t="shared" ca="1" si="6"/>
        <v>20.240416666666665</v>
      </c>
      <c r="G17" s="63">
        <f t="shared" si="7"/>
        <v>29.3</v>
      </c>
      <c r="H17" s="63" t="str">
        <f ca="1">IFERROR(VLOOKUP($A17,LASTYR,'2017'!$C$3,FALSE),"N/A")</f>
        <v>NMF</v>
      </c>
      <c r="I17" s="63">
        <f t="shared" ca="1" si="5"/>
        <v>26.922999999999998</v>
      </c>
      <c r="J17" s="63">
        <f t="shared" ca="1" si="5"/>
        <v>23.692</v>
      </c>
      <c r="K17" s="63">
        <f t="shared" ca="1" si="5"/>
        <v>20.69</v>
      </c>
      <c r="L17" s="63">
        <f t="shared" ca="1" si="5"/>
        <v>19.379000000000001</v>
      </c>
      <c r="M17" s="63">
        <f t="shared" ca="1" si="5"/>
        <v>21.076000000000001</v>
      </c>
      <c r="N17" s="63">
        <f t="shared" ca="1" si="5"/>
        <v>19.018000000000001</v>
      </c>
      <c r="O17" s="63">
        <f t="shared" ca="1" si="5"/>
        <v>16.971</v>
      </c>
      <c r="P17" s="63">
        <f t="shared" ca="1" si="5"/>
        <v>15.173</v>
      </c>
      <c r="Q17" s="63">
        <f t="shared" ca="1" si="5"/>
        <v>18.074999999999999</v>
      </c>
      <c r="R17" s="63">
        <f t="shared" ca="1" si="5"/>
        <v>16.738</v>
      </c>
      <c r="S17" s="63">
        <f t="shared" ca="1" si="5"/>
        <v>15.85</v>
      </c>
      <c r="T17" s="63"/>
      <c r="U17" s="63"/>
      <c r="V17" s="63"/>
      <c r="W17" s="63"/>
    </row>
    <row r="18" spans="1:23" x14ac:dyDescent="0.2">
      <c r="A18" s="45" t="s">
        <v>346</v>
      </c>
      <c r="B18" s="46">
        <f t="shared" ca="1" si="3"/>
        <v>48</v>
      </c>
      <c r="C18" s="1">
        <f ca="1">IF(ISERROR(D18),"",IF(D18="","",MAX($C$12:C17)+1))</f>
        <v>6</v>
      </c>
      <c r="D18" t="str">
        <f t="shared" ca="1" si="4"/>
        <v>ONE Gas Inc.</v>
      </c>
      <c r="E18" s="15"/>
      <c r="F18" s="63">
        <f t="shared" ca="1" si="6"/>
        <v>21.724</v>
      </c>
      <c r="G18" s="63">
        <f t="shared" si="7"/>
        <v>24.8</v>
      </c>
      <c r="H18" s="63">
        <f ca="1">IFERROR(VLOOKUP($A18,LASTYR,'2017'!$C$3,FALSE),"N/A")</f>
        <v>23.465</v>
      </c>
      <c r="I18" s="63">
        <f t="shared" ca="1" si="5"/>
        <v>22.738</v>
      </c>
      <c r="J18" s="63">
        <f t="shared" ca="1" si="5"/>
        <v>19.79</v>
      </c>
      <c r="K18" s="63">
        <f t="shared" ca="1" si="5"/>
        <v>17.827000000000002</v>
      </c>
      <c r="L18" s="63" t="str">
        <f t="shared" ca="1" si="5"/>
        <v>N/A</v>
      </c>
      <c r="M18" s="63" t="str">
        <f t="shared" ca="1" si="5"/>
        <v>N/A</v>
      </c>
      <c r="N18" s="63" t="str">
        <f t="shared" ca="1" si="5"/>
        <v>N/A</v>
      </c>
      <c r="O18" s="63" t="str">
        <f t="shared" ca="1" si="5"/>
        <v>N/A</v>
      </c>
      <c r="P18" s="63" t="str">
        <f t="shared" ca="1" si="5"/>
        <v>N/A</v>
      </c>
      <c r="Q18" s="63" t="str">
        <f t="shared" ca="1" si="5"/>
        <v>N/A</v>
      </c>
      <c r="R18" s="63" t="str">
        <f t="shared" ca="1" si="5"/>
        <v>N/A</v>
      </c>
      <c r="S18" s="63" t="str">
        <f t="shared" ca="1" si="5"/>
        <v>N/A</v>
      </c>
      <c r="T18" s="63"/>
      <c r="U18" s="63"/>
      <c r="V18" s="63"/>
      <c r="W18" s="63"/>
    </row>
    <row r="19" spans="1:23" x14ac:dyDescent="0.2">
      <c r="A19" s="45" t="s">
        <v>198</v>
      </c>
      <c r="B19" s="46">
        <f t="shared" ca="1" si="3"/>
        <v>61</v>
      </c>
      <c r="C19" s="1">
        <f ca="1">IF(ISERROR(D19),"",IF(D19="","",MAX($C$12:C18)+1))</f>
        <v>7</v>
      </c>
      <c r="D19" t="str">
        <f t="shared" ca="1" si="4"/>
        <v>South Jersey Inds.</v>
      </c>
      <c r="E19" s="15"/>
      <c r="F19" s="63">
        <f t="shared" ca="1" si="6"/>
        <v>18.387307692307694</v>
      </c>
      <c r="G19" s="63">
        <f t="shared" si="7"/>
        <v>22.4</v>
      </c>
      <c r="H19" s="63">
        <f ca="1">IFERROR(VLOOKUP($A19,LASTYR,'2017'!$C$3,FALSE),"N/A")</f>
        <v>27.92</v>
      </c>
      <c r="I19" s="63">
        <f t="shared" ca="1" si="5"/>
        <v>21.713999999999999</v>
      </c>
      <c r="J19" s="63">
        <f t="shared" ca="1" si="5"/>
        <v>17.949000000000002</v>
      </c>
      <c r="K19" s="63">
        <f t="shared" ca="1" si="5"/>
        <v>18.033999999999999</v>
      </c>
      <c r="L19" s="63">
        <f t="shared" ca="1" si="5"/>
        <v>18.902999999999999</v>
      </c>
      <c r="M19" s="63">
        <f t="shared" ca="1" si="5"/>
        <v>16.934999999999999</v>
      </c>
      <c r="N19" s="63">
        <f t="shared" ca="1" si="5"/>
        <v>18.481999999999999</v>
      </c>
      <c r="O19" s="63">
        <f t="shared" ca="1" si="5"/>
        <v>16.806999999999999</v>
      </c>
      <c r="P19" s="63">
        <f t="shared" ca="1" si="5"/>
        <v>14.955</v>
      </c>
      <c r="Q19" s="63">
        <f t="shared" ca="1" si="5"/>
        <v>15.897</v>
      </c>
      <c r="R19" s="63">
        <f t="shared" ca="1" si="5"/>
        <v>17.181000000000001</v>
      </c>
      <c r="S19" s="63">
        <f t="shared" ca="1" si="5"/>
        <v>11.858000000000001</v>
      </c>
      <c r="T19" s="63"/>
      <c r="U19" s="63"/>
      <c r="V19" s="63"/>
      <c r="W19" s="63"/>
    </row>
    <row r="20" spans="1:23" x14ac:dyDescent="0.2">
      <c r="A20" s="45" t="s">
        <v>200</v>
      </c>
      <c r="B20" s="46">
        <f t="shared" ca="1" si="3"/>
        <v>63</v>
      </c>
      <c r="C20" s="1">
        <f ca="1">IF(ISERROR(D20),"",IF(D20="","",MAX($C$12:C19)+1))</f>
        <v>8</v>
      </c>
      <c r="D20" t="str">
        <f t="shared" ca="1" si="4"/>
        <v>Southwest Gas</v>
      </c>
      <c r="E20" s="15"/>
      <c r="F20" s="63">
        <f t="shared" ca="1" si="6"/>
        <v>17.511769230769232</v>
      </c>
      <c r="G20" s="63">
        <f t="shared" si="7"/>
        <v>20.5</v>
      </c>
      <c r="H20" s="63">
        <f ca="1">IFERROR(VLOOKUP($A20,LASTYR,'2017'!$C$3,FALSE),"N/A")</f>
        <v>22.213999999999999</v>
      </c>
      <c r="I20" s="63">
        <f t="shared" ca="1" si="5"/>
        <v>21.643000000000001</v>
      </c>
      <c r="J20" s="63">
        <f t="shared" ca="1" si="5"/>
        <v>19.353999999999999</v>
      </c>
      <c r="K20" s="63">
        <f t="shared" ca="1" si="5"/>
        <v>17.86</v>
      </c>
      <c r="L20" s="63">
        <f t="shared" ca="1" si="5"/>
        <v>15.757</v>
      </c>
      <c r="M20" s="63">
        <f t="shared" ca="1" si="5"/>
        <v>15.002000000000001</v>
      </c>
      <c r="N20" s="63">
        <f t="shared" ca="1" si="5"/>
        <v>15.688000000000001</v>
      </c>
      <c r="O20" s="63">
        <f t="shared" ca="1" si="5"/>
        <v>13.968999999999999</v>
      </c>
      <c r="P20" s="63">
        <f t="shared" ca="1" si="5"/>
        <v>12.199</v>
      </c>
      <c r="Q20" s="63">
        <f t="shared" ca="1" si="5"/>
        <v>20.268999999999998</v>
      </c>
      <c r="R20" s="63">
        <f t="shared" ca="1" si="5"/>
        <v>17.260999999999999</v>
      </c>
      <c r="S20" s="63">
        <f t="shared" ca="1" si="5"/>
        <v>15.936999999999999</v>
      </c>
      <c r="T20" s="63"/>
      <c r="U20" s="63"/>
      <c r="V20" s="63"/>
      <c r="W20" s="63"/>
    </row>
    <row r="21" spans="1:23" x14ac:dyDescent="0.2">
      <c r="A21" s="45" t="s">
        <v>244</v>
      </c>
      <c r="B21" s="46">
        <f t="shared" ca="1" si="3"/>
        <v>64</v>
      </c>
      <c r="C21" s="1">
        <f ca="1">IF(ISERROR(D21),"",IF(D21="","",MAX($C$12:C20)+1))</f>
        <v>9</v>
      </c>
      <c r="D21" t="str">
        <f t="shared" ca="1" si="4"/>
        <v>Spire Inc.</v>
      </c>
      <c r="E21" s="15"/>
      <c r="F21" s="63">
        <f t="shared" ca="1" si="6"/>
        <v>16.531230769230771</v>
      </c>
      <c r="G21" s="63">
        <f t="shared" si="7"/>
        <v>21.2</v>
      </c>
      <c r="H21" s="63">
        <f ca="1">IFERROR(VLOOKUP($A21,LASTYR,'2017'!$C$3,FALSE),"N/A")</f>
        <v>19.82</v>
      </c>
      <c r="I21" s="63">
        <f t="shared" ca="1" si="5"/>
        <v>19.614000000000001</v>
      </c>
      <c r="J21" s="63">
        <f t="shared" ca="1" si="5"/>
        <v>16.486999999999998</v>
      </c>
      <c r="K21" s="63">
        <f t="shared" ca="1" si="5"/>
        <v>19.797999999999998</v>
      </c>
      <c r="L21" s="63">
        <f t="shared" ca="1" si="5"/>
        <v>21.253</v>
      </c>
      <c r="M21" s="63">
        <f t="shared" ca="1" si="5"/>
        <v>14.46</v>
      </c>
      <c r="N21" s="63">
        <f t="shared" ca="1" si="5"/>
        <v>13.047000000000001</v>
      </c>
      <c r="O21" s="63">
        <f t="shared" ca="1" si="5"/>
        <v>13.739000000000001</v>
      </c>
      <c r="P21" s="63">
        <f t="shared" ca="1" si="5"/>
        <v>13.388999999999999</v>
      </c>
      <c r="Q21" s="63">
        <f t="shared" ca="1" si="5"/>
        <v>14.314</v>
      </c>
      <c r="R21" s="63">
        <f t="shared" ca="1" si="5"/>
        <v>14.185</v>
      </c>
      <c r="S21" s="63">
        <f t="shared" ca="1" si="5"/>
        <v>13.6</v>
      </c>
      <c r="T21" s="63"/>
      <c r="U21" s="63"/>
      <c r="V21" s="63"/>
      <c r="W21" s="63"/>
    </row>
    <row r="22" spans="1:23" x14ac:dyDescent="0.2">
      <c r="A22" s="45" t="s">
        <v>204</v>
      </c>
      <c r="B22" s="46">
        <f t="shared" ca="1" si="3"/>
        <v>66</v>
      </c>
      <c r="C22" s="1">
        <f ca="1">IF(ISERROR(D22),"",IF(D22="","",MAX($C$12:C21)+1))</f>
        <v>10</v>
      </c>
      <c r="D22" t="str">
        <f t="shared" ca="1" si="4"/>
        <v>UGI Corp.</v>
      </c>
      <c r="E22" s="15"/>
      <c r="F22" s="63">
        <f t="shared" ca="1" si="6"/>
        <v>15.66123076923077</v>
      </c>
      <c r="G22" s="63">
        <f t="shared" si="7"/>
        <v>19.5</v>
      </c>
      <c r="H22" s="63">
        <f ca="1">IFERROR(VLOOKUP($A22,LASTYR,'2017'!$C$3,FALSE),"N/A")</f>
        <v>20.84</v>
      </c>
      <c r="I22" s="63">
        <f t="shared" ca="1" si="5"/>
        <v>19.327999999999999</v>
      </c>
      <c r="J22" s="63">
        <f t="shared" ca="1" si="5"/>
        <v>17.713999999999999</v>
      </c>
      <c r="K22" s="63">
        <f t="shared" ca="1" si="5"/>
        <v>15.805</v>
      </c>
      <c r="L22" s="63">
        <f t="shared" ca="1" si="5"/>
        <v>15.435</v>
      </c>
      <c r="M22" s="63">
        <f t="shared" ca="1" si="5"/>
        <v>16.378</v>
      </c>
      <c r="N22" s="63">
        <f t="shared" ca="1" si="5"/>
        <v>15.028</v>
      </c>
      <c r="O22" s="63">
        <f t="shared" ca="1" si="5"/>
        <v>10.863</v>
      </c>
      <c r="P22" s="63">
        <f t="shared" ca="1" si="5"/>
        <v>10.295</v>
      </c>
      <c r="Q22" s="63">
        <f t="shared" ca="1" si="5"/>
        <v>13.301</v>
      </c>
      <c r="R22" s="63">
        <f t="shared" ca="1" si="5"/>
        <v>15.144</v>
      </c>
      <c r="S22" s="63">
        <f t="shared" ca="1" si="5"/>
        <v>13.965</v>
      </c>
      <c r="T22" s="63"/>
      <c r="U22" s="63"/>
      <c r="V22" s="63"/>
      <c r="W22" s="63"/>
    </row>
    <row r="23" spans="1:23" x14ac:dyDescent="0.2">
      <c r="A23" s="45" t="s">
        <v>206</v>
      </c>
      <c r="B23" s="46">
        <f t="shared" ca="1" si="3"/>
        <v>73</v>
      </c>
      <c r="C23" s="1">
        <f ca="1">IF(ISERROR(D23),"",IF(D23="","",MAX($C$12:C22)+1))</f>
        <v>11</v>
      </c>
      <c r="D23" t="str">
        <f t="shared" ca="1" si="4"/>
        <v>WGL Holdings Inc.</v>
      </c>
      <c r="E23" s="15"/>
      <c r="F23" s="63">
        <f t="shared" ca="1" si="6"/>
        <v>16.707750000000001</v>
      </c>
      <c r="G23" s="63" t="str">
        <f t="shared" si="7"/>
        <v>N/A</v>
      </c>
      <c r="H23" s="63">
        <f ca="1">IFERROR(VLOOKUP($A23,LASTYR,'2017'!$C$3,FALSE),"N/A")</f>
        <v>25.396000000000001</v>
      </c>
      <c r="I23" s="63">
        <f t="shared" ca="1" si="5"/>
        <v>20.047999999999998</v>
      </c>
      <c r="J23" s="63">
        <f t="shared" ca="1" si="5"/>
        <v>16.992999999999999</v>
      </c>
      <c r="K23" s="63">
        <f t="shared" ca="1" si="5"/>
        <v>15.151</v>
      </c>
      <c r="L23" s="63">
        <f t="shared" ca="1" si="5"/>
        <v>18.245000000000001</v>
      </c>
      <c r="M23" s="63">
        <f t="shared" ca="1" si="5"/>
        <v>15.268000000000001</v>
      </c>
      <c r="N23" s="63">
        <f t="shared" ca="1" si="5"/>
        <v>16.972000000000001</v>
      </c>
      <c r="O23" s="63">
        <f t="shared" ca="1" si="5"/>
        <v>15.111000000000001</v>
      </c>
      <c r="P23" s="63">
        <f t="shared" ca="1" si="5"/>
        <v>12.584</v>
      </c>
      <c r="Q23" s="63">
        <f t="shared" ca="1" si="5"/>
        <v>13.661</v>
      </c>
      <c r="R23" s="63">
        <f t="shared" ca="1" si="5"/>
        <v>15.603999999999999</v>
      </c>
      <c r="S23" s="63">
        <f t="shared" ca="1" si="5"/>
        <v>15.46</v>
      </c>
      <c r="T23" s="63"/>
      <c r="U23" s="63"/>
      <c r="V23" s="63"/>
      <c r="W23" s="63"/>
    </row>
    <row r="24" spans="1:23" hidden="1" x14ac:dyDescent="0.2">
      <c r="A24" s="45"/>
      <c r="B24" s="46" t="str">
        <f t="shared" ca="1" si="3"/>
        <v/>
      </c>
      <c r="C24" s="1" t="str">
        <f>IF(ISERROR(D24),"",IF(D24="","",MAX($C$12:C23)+1))</f>
        <v/>
      </c>
      <c r="D24" t="e">
        <f t="shared" si="4"/>
        <v>#N/A</v>
      </c>
      <c r="E24" s="15"/>
      <c r="F24" s="63" t="str">
        <f t="shared" ca="1" si="6"/>
        <v>N/A</v>
      </c>
      <c r="G24" s="63" t="str">
        <f t="shared" si="7"/>
        <v>N/A</v>
      </c>
      <c r="H24" s="63" t="str">
        <f ca="1">IFERROR(VLOOKUP($A24,LASTYR,'2017'!$C$3,FALSE),"N/A")</f>
        <v>N/A</v>
      </c>
      <c r="I24" s="63" t="str">
        <f t="shared" ca="1" si="5"/>
        <v>N/A</v>
      </c>
      <c r="J24" s="63" t="str">
        <f t="shared" ca="1" si="5"/>
        <v>N/A</v>
      </c>
      <c r="K24" s="63" t="str">
        <f t="shared" ca="1" si="5"/>
        <v>N/A</v>
      </c>
      <c r="L24" s="63" t="str">
        <f t="shared" ca="1" si="5"/>
        <v>N/A</v>
      </c>
      <c r="M24" s="63" t="str">
        <f t="shared" ca="1" si="5"/>
        <v>N/A</v>
      </c>
      <c r="N24" s="63" t="str">
        <f t="shared" ca="1" si="5"/>
        <v>N/A</v>
      </c>
      <c r="O24" s="63" t="str">
        <f t="shared" ca="1" si="5"/>
        <v>N/A</v>
      </c>
      <c r="P24" s="63" t="str">
        <f t="shared" ca="1" si="5"/>
        <v>N/A</v>
      </c>
      <c r="Q24" s="63" t="str">
        <f t="shared" ca="1" si="5"/>
        <v>N/A</v>
      </c>
      <c r="R24" s="63" t="str">
        <f t="shared" ca="1" si="5"/>
        <v>N/A</v>
      </c>
      <c r="S24" s="63" t="str">
        <f t="shared" ca="1" si="5"/>
        <v>N/A</v>
      </c>
      <c r="T24" s="63"/>
      <c r="U24" s="63"/>
      <c r="V24" s="63"/>
      <c r="W24" s="63"/>
    </row>
    <row r="25" spans="1:23" hidden="1" x14ac:dyDescent="0.2">
      <c r="A25" s="45"/>
      <c r="B25" s="46" t="str">
        <f t="shared" ca="1" si="3"/>
        <v/>
      </c>
      <c r="C25" s="1" t="str">
        <f>IF(ISERROR(D25),"",IF(D25="","",MAX($C$12:C24)+1))</f>
        <v/>
      </c>
      <c r="D25" t="e">
        <f t="shared" si="4"/>
        <v>#N/A</v>
      </c>
      <c r="E25" s="15"/>
      <c r="F25" s="63" t="str">
        <f t="shared" ca="1" si="6"/>
        <v>N/A</v>
      </c>
      <c r="G25" s="63" t="str">
        <f t="shared" si="7"/>
        <v>N/A</v>
      </c>
      <c r="H25" s="63" t="str">
        <f ca="1">IFERROR(VLOOKUP($A25,LASTYR,'2017'!$C$3,FALSE),"N/A")</f>
        <v>N/A</v>
      </c>
      <c r="I25" s="63" t="str">
        <f t="shared" ca="1" si="5"/>
        <v>N/A</v>
      </c>
      <c r="J25" s="63" t="str">
        <f t="shared" ca="1" si="5"/>
        <v>N/A</v>
      </c>
      <c r="K25" s="63" t="str">
        <f t="shared" ca="1" si="5"/>
        <v>N/A</v>
      </c>
      <c r="L25" s="63" t="str">
        <f t="shared" ca="1" si="5"/>
        <v>N/A</v>
      </c>
      <c r="M25" s="63" t="str">
        <f t="shared" ca="1" si="5"/>
        <v>N/A</v>
      </c>
      <c r="N25" s="63" t="str">
        <f t="shared" ca="1" si="5"/>
        <v>N/A</v>
      </c>
      <c r="O25" s="63" t="str">
        <f t="shared" ca="1" si="5"/>
        <v>N/A</v>
      </c>
      <c r="P25" s="63" t="str">
        <f t="shared" ca="1" si="5"/>
        <v>N/A</v>
      </c>
      <c r="Q25" s="63" t="str">
        <f t="shared" ca="1" si="5"/>
        <v>N/A</v>
      </c>
      <c r="R25" s="63" t="str">
        <f t="shared" ca="1" si="5"/>
        <v>N/A</v>
      </c>
      <c r="S25" s="63" t="str">
        <f t="shared" ca="1" si="5"/>
        <v>N/A</v>
      </c>
      <c r="T25" s="63"/>
      <c r="U25" s="63"/>
      <c r="V25" s="63"/>
      <c r="W25" s="63"/>
    </row>
    <row r="26" spans="1:23" hidden="1" x14ac:dyDescent="0.2">
      <c r="A26" s="45"/>
      <c r="B26" s="46" t="str">
        <f t="shared" ca="1" si="3"/>
        <v/>
      </c>
      <c r="C26" s="1" t="str">
        <f>IF(ISERROR(D26),"",IF(D26="","",MAX($C$12:C25)+1))</f>
        <v/>
      </c>
      <c r="D26" t="e">
        <f t="shared" si="4"/>
        <v>#N/A</v>
      </c>
      <c r="E26" s="15"/>
      <c r="F26" s="63" t="str">
        <f t="shared" ca="1" si="6"/>
        <v>N/A</v>
      </c>
      <c r="G26" s="63" t="str">
        <f t="shared" si="7"/>
        <v>N/A</v>
      </c>
      <c r="H26" s="63" t="str">
        <f ca="1">IFERROR(VLOOKUP($A26,LASTYR,'2017'!$C$3,FALSE),"N/A")</f>
        <v>N/A</v>
      </c>
      <c r="I26" s="63" t="str">
        <f t="shared" ca="1" si="5"/>
        <v>N/A</v>
      </c>
      <c r="J26" s="63" t="str">
        <f t="shared" ca="1" si="5"/>
        <v>N/A</v>
      </c>
      <c r="K26" s="63" t="str">
        <f t="shared" ca="1" si="5"/>
        <v>N/A</v>
      </c>
      <c r="L26" s="63" t="str">
        <f t="shared" ca="1" si="5"/>
        <v>N/A</v>
      </c>
      <c r="M26" s="63" t="str">
        <f t="shared" ca="1" si="5"/>
        <v>N/A</v>
      </c>
      <c r="N26" s="63" t="str">
        <f t="shared" ca="1" si="5"/>
        <v>N/A</v>
      </c>
      <c r="O26" s="63" t="str">
        <f t="shared" ca="1" si="5"/>
        <v>N/A</v>
      </c>
      <c r="P26" s="63" t="str">
        <f t="shared" ca="1" si="5"/>
        <v>N/A</v>
      </c>
      <c r="Q26" s="63" t="str">
        <f t="shared" ca="1" si="5"/>
        <v>N/A</v>
      </c>
      <c r="R26" s="63" t="str">
        <f t="shared" ca="1" si="5"/>
        <v>N/A</v>
      </c>
      <c r="S26" s="63" t="str">
        <f t="shared" ca="1" si="5"/>
        <v>N/A</v>
      </c>
      <c r="T26" s="63"/>
      <c r="U26" s="63"/>
      <c r="V26" s="63"/>
      <c r="W26" s="63"/>
    </row>
    <row r="27" spans="1:23" hidden="1" x14ac:dyDescent="0.2">
      <c r="A27" s="45"/>
      <c r="B27" s="46" t="str">
        <f t="shared" ca="1" si="3"/>
        <v/>
      </c>
      <c r="C27" s="1" t="str">
        <f>IF(ISERROR(D27),"",IF(D27="","",MAX($C$12:C26)+1))</f>
        <v/>
      </c>
      <c r="D27" t="e">
        <f t="shared" si="4"/>
        <v>#N/A</v>
      </c>
      <c r="E27" s="15"/>
      <c r="F27" s="63" t="str">
        <f t="shared" ca="1" si="6"/>
        <v>N/A</v>
      </c>
      <c r="G27" s="63" t="str">
        <f t="shared" si="7"/>
        <v>N/A</v>
      </c>
      <c r="H27" s="63" t="str">
        <f ca="1">IFERROR(VLOOKUP($A27,LASTYR,'2017'!$C$3,FALSE),"N/A")</f>
        <v>N/A</v>
      </c>
      <c r="I27" s="63" t="str">
        <f t="shared" ca="1" si="5"/>
        <v>N/A</v>
      </c>
      <c r="J27" s="63" t="str">
        <f t="shared" ca="1" si="5"/>
        <v>N/A</v>
      </c>
      <c r="K27" s="63" t="str">
        <f t="shared" ca="1" si="5"/>
        <v>N/A</v>
      </c>
      <c r="L27" s="63" t="str">
        <f t="shared" ca="1" si="5"/>
        <v>N/A</v>
      </c>
      <c r="M27" s="63" t="str">
        <f t="shared" ca="1" si="5"/>
        <v>N/A</v>
      </c>
      <c r="N27" s="63" t="str">
        <f t="shared" ca="1" si="5"/>
        <v>N/A</v>
      </c>
      <c r="O27" s="63" t="str">
        <f t="shared" ca="1" si="5"/>
        <v>N/A</v>
      </c>
      <c r="P27" s="63" t="str">
        <f t="shared" ca="1" si="5"/>
        <v>N/A</v>
      </c>
      <c r="Q27" s="63" t="str">
        <f t="shared" ca="1" si="5"/>
        <v>N/A</v>
      </c>
      <c r="R27" s="63" t="str">
        <f t="shared" ca="1" si="5"/>
        <v>N/A</v>
      </c>
      <c r="S27" s="63" t="str">
        <f t="shared" ca="1" si="5"/>
        <v>N/A</v>
      </c>
      <c r="T27" s="63"/>
      <c r="U27" s="63"/>
      <c r="V27" s="63"/>
      <c r="W27" s="63"/>
    </row>
    <row r="28" spans="1:23" hidden="1" x14ac:dyDescent="0.2">
      <c r="A28" s="45"/>
      <c r="B28" s="46" t="str">
        <f t="shared" ca="1" si="3"/>
        <v/>
      </c>
      <c r="C28" s="1" t="str">
        <f>IF(ISERROR(D28),"",IF(D28="","",MAX($C$12:C27)+1))</f>
        <v/>
      </c>
      <c r="D28" t="e">
        <f t="shared" si="4"/>
        <v>#N/A</v>
      </c>
      <c r="E28" s="15"/>
      <c r="F28" s="63" t="str">
        <f t="shared" ca="1" si="6"/>
        <v>N/A</v>
      </c>
      <c r="G28" s="63" t="str">
        <f t="shared" si="7"/>
        <v>N/A</v>
      </c>
      <c r="H28" s="63" t="str">
        <f ca="1">IFERROR(VLOOKUP($A28,LASTYR,'2017'!$C$3,FALSE),"N/A")</f>
        <v>N/A</v>
      </c>
      <c r="I28" s="63" t="str">
        <f t="shared" ca="1" si="5"/>
        <v>N/A</v>
      </c>
      <c r="J28" s="63" t="str">
        <f t="shared" ca="1" si="5"/>
        <v>N/A</v>
      </c>
      <c r="K28" s="63" t="str">
        <f t="shared" ca="1" si="5"/>
        <v>N/A</v>
      </c>
      <c r="L28" s="63" t="str">
        <f t="shared" ca="1" si="5"/>
        <v>N/A</v>
      </c>
      <c r="M28" s="63" t="str">
        <f t="shared" ca="1" si="5"/>
        <v>N/A</v>
      </c>
      <c r="N28" s="63" t="str">
        <f t="shared" ca="1" si="5"/>
        <v>N/A</v>
      </c>
      <c r="O28" s="63" t="str">
        <f t="shared" ca="1" si="5"/>
        <v>N/A</v>
      </c>
      <c r="P28" s="63" t="str">
        <f t="shared" ca="1" si="5"/>
        <v>N/A</v>
      </c>
      <c r="Q28" s="63" t="str">
        <f t="shared" ca="1" si="5"/>
        <v>N/A</v>
      </c>
      <c r="R28" s="63" t="str">
        <f t="shared" ca="1" si="5"/>
        <v>N/A</v>
      </c>
      <c r="S28" s="63" t="str">
        <f t="shared" ca="1" si="5"/>
        <v>N/A</v>
      </c>
      <c r="T28" s="63"/>
      <c r="U28" s="63"/>
      <c r="V28" s="63"/>
      <c r="W28" s="63"/>
    </row>
    <row r="29" spans="1:23" hidden="1" x14ac:dyDescent="0.2">
      <c r="A29" s="45"/>
      <c r="B29" s="46" t="str">
        <f t="shared" ca="1" si="3"/>
        <v/>
      </c>
      <c r="C29" s="1" t="str">
        <f>IF(ISERROR(D29),"",IF(D29="","",MAX($C$12:C28)+1))</f>
        <v/>
      </c>
      <c r="D29" t="e">
        <f t="shared" si="4"/>
        <v>#N/A</v>
      </c>
      <c r="E29" s="15"/>
      <c r="F29" s="63" t="str">
        <f t="shared" ca="1" si="6"/>
        <v>N/A</v>
      </c>
      <c r="G29" s="63" t="str">
        <f t="shared" si="7"/>
        <v>N/A</v>
      </c>
      <c r="H29" s="63" t="str">
        <f ca="1">IFERROR(VLOOKUP($A29,LASTYR,'2017'!$C$3,FALSE),"N/A")</f>
        <v>N/A</v>
      </c>
      <c r="I29" s="63" t="str">
        <f t="shared" ca="1" si="5"/>
        <v>N/A</v>
      </c>
      <c r="J29" s="63" t="str">
        <f t="shared" ca="1" si="5"/>
        <v>N/A</v>
      </c>
      <c r="K29" s="63" t="str">
        <f t="shared" ca="1" si="5"/>
        <v>N/A</v>
      </c>
      <c r="L29" s="63" t="str">
        <f t="shared" ca="1" si="5"/>
        <v>N/A</v>
      </c>
      <c r="M29" s="63" t="str">
        <f t="shared" ca="1" si="5"/>
        <v>N/A</v>
      </c>
      <c r="N29" s="63" t="str">
        <f t="shared" ca="1" si="5"/>
        <v>N/A</v>
      </c>
      <c r="O29" s="63" t="str">
        <f t="shared" ca="1" si="5"/>
        <v>N/A</v>
      </c>
      <c r="P29" s="63" t="str">
        <f t="shared" ca="1" si="5"/>
        <v>N/A</v>
      </c>
      <c r="Q29" s="63" t="str">
        <f t="shared" ca="1" si="5"/>
        <v>N/A</v>
      </c>
      <c r="R29" s="63" t="str">
        <f t="shared" ca="1" si="5"/>
        <v>N/A</v>
      </c>
      <c r="S29" s="63" t="str">
        <f t="shared" ca="1" si="5"/>
        <v>N/A</v>
      </c>
      <c r="T29" s="63"/>
      <c r="U29" s="63"/>
      <c r="V29" s="63"/>
      <c r="W29" s="63"/>
    </row>
    <row r="30" spans="1:23" hidden="1" x14ac:dyDescent="0.2">
      <c r="A30" s="45"/>
      <c r="B30" s="46" t="str">
        <f t="shared" ca="1" si="3"/>
        <v/>
      </c>
      <c r="C30" s="1" t="str">
        <f>IF(ISERROR(D30),"",IF(D30="","",MAX($C$12:C29)+1))</f>
        <v/>
      </c>
      <c r="D30" t="e">
        <f t="shared" si="4"/>
        <v>#N/A</v>
      </c>
      <c r="E30" s="15"/>
      <c r="F30" s="63" t="str">
        <f t="shared" ca="1" si="6"/>
        <v>N/A</v>
      </c>
      <c r="G30" s="63" t="str">
        <f t="shared" si="7"/>
        <v>N/A</v>
      </c>
      <c r="H30" s="63" t="str">
        <f ca="1">IFERROR(VLOOKUP($A30,LASTYR,'2017'!$C$3,FALSE),"N/A")</f>
        <v>N/A</v>
      </c>
      <c r="I30" s="63" t="str">
        <f t="shared" ca="1" si="5"/>
        <v>N/A</v>
      </c>
      <c r="J30" s="63" t="str">
        <f t="shared" ca="1" si="5"/>
        <v>N/A</v>
      </c>
      <c r="K30" s="63" t="str">
        <f t="shared" ca="1" si="5"/>
        <v>N/A</v>
      </c>
      <c r="L30" s="63" t="str">
        <f t="shared" ca="1" si="5"/>
        <v>N/A</v>
      </c>
      <c r="M30" s="63" t="str">
        <f t="shared" ca="1" si="5"/>
        <v>N/A</v>
      </c>
      <c r="N30" s="63" t="str">
        <f t="shared" ca="1" si="5"/>
        <v>N/A</v>
      </c>
      <c r="O30" s="63" t="str">
        <f t="shared" ca="1" si="5"/>
        <v>N/A</v>
      </c>
      <c r="P30" s="63" t="str">
        <f t="shared" ca="1" si="5"/>
        <v>N/A</v>
      </c>
      <c r="Q30" s="63" t="str">
        <f t="shared" ca="1" si="5"/>
        <v>N/A</v>
      </c>
      <c r="R30" s="63" t="str">
        <f t="shared" ca="1" si="5"/>
        <v>N/A</v>
      </c>
      <c r="S30" s="63" t="str">
        <f t="shared" ca="1" si="5"/>
        <v>N/A</v>
      </c>
      <c r="T30" s="63"/>
      <c r="U30" s="63"/>
      <c r="V30" s="63"/>
      <c r="W30" s="63"/>
    </row>
    <row r="31" spans="1:23" hidden="1" x14ac:dyDescent="0.2">
      <c r="A31" s="45"/>
      <c r="B31" s="46" t="str">
        <f t="shared" ca="1" si="3"/>
        <v/>
      </c>
      <c r="C31" s="1" t="str">
        <f>IF(ISERROR(D31),"",IF(D31="","",MAX($C$12:C30)+1))</f>
        <v/>
      </c>
      <c r="D31" t="e">
        <f t="shared" si="4"/>
        <v>#N/A</v>
      </c>
      <c r="E31" s="15"/>
      <c r="F31" s="63" t="str">
        <f t="shared" ca="1" si="6"/>
        <v>N/A</v>
      </c>
      <c r="G31" s="63" t="str">
        <f t="shared" si="7"/>
        <v>N/A</v>
      </c>
      <c r="H31" s="63" t="str">
        <f ca="1">IFERROR(VLOOKUP($A31,LASTYR,'2017'!$C$3,FALSE),"N/A")</f>
        <v>N/A</v>
      </c>
      <c r="I31" s="63" t="str">
        <f t="shared" ca="1" si="5"/>
        <v>N/A</v>
      </c>
      <c r="J31" s="63" t="str">
        <f t="shared" ca="1" si="5"/>
        <v>N/A</v>
      </c>
      <c r="K31" s="63" t="str">
        <f t="shared" ca="1" si="5"/>
        <v>N/A</v>
      </c>
      <c r="L31" s="63" t="str">
        <f t="shared" ca="1" si="5"/>
        <v>N/A</v>
      </c>
      <c r="M31" s="63" t="str">
        <f t="shared" ref="L31:S45" ca="1" si="8">IFERROR(INDEX(PE_WP,$B31,M$12),"N/A")</f>
        <v>N/A</v>
      </c>
      <c r="N31" s="63" t="str">
        <f t="shared" ca="1" si="8"/>
        <v>N/A</v>
      </c>
      <c r="O31" s="63" t="str">
        <f t="shared" ca="1" si="8"/>
        <v>N/A</v>
      </c>
      <c r="P31" s="63" t="str">
        <f t="shared" ca="1" si="8"/>
        <v>N/A</v>
      </c>
      <c r="Q31" s="63" t="str">
        <f t="shared" ca="1" si="8"/>
        <v>N/A</v>
      </c>
      <c r="R31" s="63" t="str">
        <f t="shared" ca="1" si="8"/>
        <v>N/A</v>
      </c>
      <c r="S31" s="63" t="str">
        <f t="shared" ca="1" si="8"/>
        <v>N/A</v>
      </c>
      <c r="T31" s="63"/>
      <c r="U31" s="63"/>
      <c r="V31" s="63"/>
      <c r="W31" s="63"/>
    </row>
    <row r="32" spans="1:23" hidden="1" x14ac:dyDescent="0.2">
      <c r="A32" s="45"/>
      <c r="B32" s="46" t="str">
        <f t="shared" ca="1" si="3"/>
        <v/>
      </c>
      <c r="C32" s="1" t="str">
        <f>IF(ISERROR(D32),"",IF(D32="","",MAX($C$12:C31)+1))</f>
        <v/>
      </c>
      <c r="D32" t="e">
        <f t="shared" si="4"/>
        <v>#N/A</v>
      </c>
      <c r="E32" s="15"/>
      <c r="F32" s="63" t="str">
        <f t="shared" ca="1" si="6"/>
        <v>N/A</v>
      </c>
      <c r="G32" s="63" t="str">
        <f t="shared" si="7"/>
        <v>N/A</v>
      </c>
      <c r="H32" s="63" t="str">
        <f ca="1">IFERROR(VLOOKUP($A32,LASTYR,'2017'!$C$3,FALSE),"N/A")</f>
        <v>N/A</v>
      </c>
      <c r="I32" s="63" t="str">
        <f t="shared" ref="I32:I57" ca="1" si="9">IFERROR(INDEX(PE_WP,$B32,I$12),"N/A")</f>
        <v>N/A</v>
      </c>
      <c r="J32" s="63" t="str">
        <f t="shared" ref="J32:S52" ca="1" si="10">IFERROR(INDEX(PE_WP,$B32,J$12),"N/A")</f>
        <v>N/A</v>
      </c>
      <c r="K32" s="63" t="str">
        <f t="shared" ca="1" si="10"/>
        <v>N/A</v>
      </c>
      <c r="L32" s="63" t="str">
        <f t="shared" ca="1" si="8"/>
        <v>N/A</v>
      </c>
      <c r="M32" s="63" t="str">
        <f t="shared" ca="1" si="8"/>
        <v>N/A</v>
      </c>
      <c r="N32" s="63" t="str">
        <f t="shared" ca="1" si="8"/>
        <v>N/A</v>
      </c>
      <c r="O32" s="63" t="str">
        <f t="shared" ca="1" si="8"/>
        <v>N/A</v>
      </c>
      <c r="P32" s="63" t="str">
        <f t="shared" ca="1" si="8"/>
        <v>N/A</v>
      </c>
      <c r="Q32" s="63" t="str">
        <f t="shared" ca="1" si="8"/>
        <v>N/A</v>
      </c>
      <c r="R32" s="63" t="str">
        <f t="shared" ca="1" si="8"/>
        <v>N/A</v>
      </c>
      <c r="S32" s="63" t="str">
        <f t="shared" ca="1" si="8"/>
        <v>N/A</v>
      </c>
      <c r="T32" s="63"/>
      <c r="U32" s="63"/>
      <c r="V32" s="63"/>
      <c r="W32" s="63"/>
    </row>
    <row r="33" spans="1:23" hidden="1" x14ac:dyDescent="0.2">
      <c r="A33" s="45"/>
      <c r="B33" s="46" t="str">
        <f t="shared" ca="1" si="3"/>
        <v/>
      </c>
      <c r="C33" s="1" t="str">
        <f>IF(ISERROR(D33),"",IF(D33="","",MAX($C$12:C32)+1))</f>
        <v/>
      </c>
      <c r="D33" t="e">
        <f t="shared" si="4"/>
        <v>#N/A</v>
      </c>
      <c r="E33" s="15"/>
      <c r="F33" s="63" t="str">
        <f t="shared" ca="1" si="6"/>
        <v>N/A</v>
      </c>
      <c r="G33" s="63" t="str">
        <f t="shared" si="7"/>
        <v>N/A</v>
      </c>
      <c r="H33" s="63" t="str">
        <f ca="1">IFERROR(VLOOKUP($A33,LASTYR,'2017'!$C$3,FALSE),"N/A")</f>
        <v>N/A</v>
      </c>
      <c r="I33" s="63" t="str">
        <f t="shared" ca="1" si="9"/>
        <v>N/A</v>
      </c>
      <c r="J33" s="63" t="str">
        <f t="shared" ca="1" si="10"/>
        <v>N/A</v>
      </c>
      <c r="K33" s="63" t="str">
        <f t="shared" ca="1" si="10"/>
        <v>N/A</v>
      </c>
      <c r="L33" s="63" t="str">
        <f t="shared" ca="1" si="8"/>
        <v>N/A</v>
      </c>
      <c r="M33" s="63" t="str">
        <f t="shared" ca="1" si="8"/>
        <v>N/A</v>
      </c>
      <c r="N33" s="63" t="str">
        <f t="shared" ca="1" si="8"/>
        <v>N/A</v>
      </c>
      <c r="O33" s="63" t="str">
        <f t="shared" ca="1" si="8"/>
        <v>N/A</v>
      </c>
      <c r="P33" s="63" t="str">
        <f t="shared" ca="1" si="8"/>
        <v>N/A</v>
      </c>
      <c r="Q33" s="63" t="str">
        <f t="shared" ca="1" si="8"/>
        <v>N/A</v>
      </c>
      <c r="R33" s="63" t="str">
        <f t="shared" ca="1" si="8"/>
        <v>N/A</v>
      </c>
      <c r="S33" s="63" t="str">
        <f t="shared" ca="1" si="8"/>
        <v>N/A</v>
      </c>
      <c r="T33" s="63"/>
      <c r="U33" s="63"/>
      <c r="V33" s="63"/>
      <c r="W33" s="63"/>
    </row>
    <row r="34" spans="1:23" hidden="1" x14ac:dyDescent="0.2">
      <c r="A34" s="45"/>
      <c r="B34" s="46" t="str">
        <f t="shared" ca="1" si="3"/>
        <v/>
      </c>
      <c r="C34" s="1" t="str">
        <f>IF(ISERROR(D34),"",IF(D34="","",MAX($C$12:C33)+1))</f>
        <v/>
      </c>
      <c r="D34" t="e">
        <f t="shared" si="4"/>
        <v>#N/A</v>
      </c>
      <c r="E34" s="15"/>
      <c r="F34" s="63" t="str">
        <f t="shared" ca="1" si="6"/>
        <v>N/A</v>
      </c>
      <c r="G34" s="63" t="str">
        <f t="shared" si="7"/>
        <v>N/A</v>
      </c>
      <c r="H34" s="63" t="str">
        <f ca="1">IFERROR(VLOOKUP($A34,LASTYR,'2017'!$C$3,FALSE),"N/A")</f>
        <v>N/A</v>
      </c>
      <c r="I34" s="63" t="str">
        <f t="shared" ca="1" si="9"/>
        <v>N/A</v>
      </c>
      <c r="J34" s="63" t="str">
        <f t="shared" ca="1" si="10"/>
        <v>N/A</v>
      </c>
      <c r="K34" s="63" t="str">
        <f t="shared" ca="1" si="10"/>
        <v>N/A</v>
      </c>
      <c r="L34" s="63" t="str">
        <f t="shared" ca="1" si="8"/>
        <v>N/A</v>
      </c>
      <c r="M34" s="63" t="str">
        <f t="shared" ca="1" si="8"/>
        <v>N/A</v>
      </c>
      <c r="N34" s="63" t="str">
        <f t="shared" ca="1" si="8"/>
        <v>N/A</v>
      </c>
      <c r="O34" s="63" t="str">
        <f t="shared" ca="1" si="8"/>
        <v>N/A</v>
      </c>
      <c r="P34" s="63" t="str">
        <f t="shared" ca="1" si="8"/>
        <v>N/A</v>
      </c>
      <c r="Q34" s="63" t="str">
        <f t="shared" ca="1" si="8"/>
        <v>N/A</v>
      </c>
      <c r="R34" s="63" t="str">
        <f t="shared" ca="1" si="8"/>
        <v>N/A</v>
      </c>
      <c r="S34" s="63" t="str">
        <f t="shared" ca="1" si="8"/>
        <v>N/A</v>
      </c>
      <c r="T34" s="63"/>
      <c r="U34" s="63"/>
      <c r="V34" s="63"/>
      <c r="W34" s="63"/>
    </row>
    <row r="35" spans="1:23" hidden="1" x14ac:dyDescent="0.2">
      <c r="A35" s="45"/>
      <c r="B35" s="46" t="str">
        <f t="shared" ca="1" si="3"/>
        <v/>
      </c>
      <c r="C35" s="1" t="str">
        <f>IF(ISERROR(D35),"",IF(D35="","",MAX($C$12:C34)+1))</f>
        <v/>
      </c>
      <c r="D35" t="e">
        <f t="shared" si="4"/>
        <v>#N/A</v>
      </c>
      <c r="E35" s="15"/>
      <c r="F35" s="63" t="str">
        <f t="shared" ca="1" si="6"/>
        <v>N/A</v>
      </c>
      <c r="G35" s="63" t="str">
        <f t="shared" si="7"/>
        <v>N/A</v>
      </c>
      <c r="H35" s="63" t="str">
        <f ca="1">IFERROR(VLOOKUP($A35,LASTYR,'2017'!$C$3,FALSE),"N/A")</f>
        <v>N/A</v>
      </c>
      <c r="I35" s="63" t="str">
        <f t="shared" ca="1" si="9"/>
        <v>N/A</v>
      </c>
      <c r="J35" s="63" t="str">
        <f t="shared" ca="1" si="10"/>
        <v>N/A</v>
      </c>
      <c r="K35" s="63" t="str">
        <f t="shared" ca="1" si="10"/>
        <v>N/A</v>
      </c>
      <c r="L35" s="63" t="str">
        <f t="shared" ca="1" si="8"/>
        <v>N/A</v>
      </c>
      <c r="M35" s="63" t="str">
        <f t="shared" ca="1" si="8"/>
        <v>N/A</v>
      </c>
      <c r="N35" s="63" t="str">
        <f t="shared" ca="1" si="8"/>
        <v>N/A</v>
      </c>
      <c r="O35" s="63" t="str">
        <f t="shared" ca="1" si="8"/>
        <v>N/A</v>
      </c>
      <c r="P35" s="63" t="str">
        <f t="shared" ca="1" si="8"/>
        <v>N/A</v>
      </c>
      <c r="Q35" s="63" t="str">
        <f t="shared" ca="1" si="8"/>
        <v>N/A</v>
      </c>
      <c r="R35" s="63" t="str">
        <f t="shared" ca="1" si="8"/>
        <v>N/A</v>
      </c>
      <c r="S35" s="63" t="str">
        <f t="shared" ca="1" si="8"/>
        <v>N/A</v>
      </c>
      <c r="T35" s="63"/>
      <c r="U35" s="63"/>
      <c r="V35" s="63"/>
      <c r="W35" s="63"/>
    </row>
    <row r="36" spans="1:23" hidden="1" x14ac:dyDescent="0.2">
      <c r="A36" s="45"/>
      <c r="B36" s="46" t="str">
        <f t="shared" ca="1" si="3"/>
        <v/>
      </c>
      <c r="C36" s="1" t="str">
        <f>IF(ISERROR(D36),"",IF(D36="","",MAX($C$12:C35)+1))</f>
        <v/>
      </c>
      <c r="D36" t="e">
        <f t="shared" si="4"/>
        <v>#N/A</v>
      </c>
      <c r="E36" s="15"/>
      <c r="F36" s="63" t="str">
        <f t="shared" ca="1" si="6"/>
        <v>N/A</v>
      </c>
      <c r="G36" s="63" t="str">
        <f t="shared" si="7"/>
        <v>N/A</v>
      </c>
      <c r="H36" s="63" t="str">
        <f ca="1">IFERROR(VLOOKUP($A36,LASTYR,'2017'!$C$3,FALSE),"N/A")</f>
        <v>N/A</v>
      </c>
      <c r="I36" s="63" t="str">
        <f t="shared" ca="1" si="9"/>
        <v>N/A</v>
      </c>
      <c r="J36" s="63" t="str">
        <f t="shared" ca="1" si="10"/>
        <v>N/A</v>
      </c>
      <c r="K36" s="63" t="str">
        <f t="shared" ca="1" si="10"/>
        <v>N/A</v>
      </c>
      <c r="L36" s="63" t="str">
        <f t="shared" ca="1" si="8"/>
        <v>N/A</v>
      </c>
      <c r="M36" s="63" t="str">
        <f t="shared" ca="1" si="8"/>
        <v>N/A</v>
      </c>
      <c r="N36" s="63" t="str">
        <f t="shared" ca="1" si="8"/>
        <v>N/A</v>
      </c>
      <c r="O36" s="63" t="str">
        <f t="shared" ca="1" si="8"/>
        <v>N/A</v>
      </c>
      <c r="P36" s="63" t="str">
        <f t="shared" ca="1" si="8"/>
        <v>N/A</v>
      </c>
      <c r="Q36" s="63" t="str">
        <f t="shared" ca="1" si="8"/>
        <v>N/A</v>
      </c>
      <c r="R36" s="63" t="str">
        <f t="shared" ca="1" si="8"/>
        <v>N/A</v>
      </c>
      <c r="S36" s="63" t="str">
        <f t="shared" ca="1" si="8"/>
        <v>N/A</v>
      </c>
      <c r="T36" s="63"/>
      <c r="U36" s="63"/>
      <c r="V36" s="63"/>
      <c r="W36" s="63"/>
    </row>
    <row r="37" spans="1:23" hidden="1" x14ac:dyDescent="0.2">
      <c r="A37" s="45"/>
      <c r="B37" s="46" t="str">
        <f t="shared" ca="1" si="3"/>
        <v/>
      </c>
      <c r="C37" s="1" t="str">
        <f>IF(ISERROR(D37),"",IF(D37="","",MAX($C$12:C36)+1))</f>
        <v/>
      </c>
      <c r="D37" t="e">
        <f t="shared" si="4"/>
        <v>#N/A</v>
      </c>
      <c r="E37" s="15"/>
      <c r="F37" s="63" t="str">
        <f t="shared" ca="1" si="6"/>
        <v>N/A</v>
      </c>
      <c r="G37" s="63" t="str">
        <f t="shared" si="7"/>
        <v>N/A</v>
      </c>
      <c r="H37" s="63" t="str">
        <f ca="1">IFERROR(VLOOKUP($A37,LASTYR,'2017'!$C$3,FALSE),"N/A")</f>
        <v>N/A</v>
      </c>
      <c r="I37" s="63" t="str">
        <f t="shared" ca="1" si="9"/>
        <v>N/A</v>
      </c>
      <c r="J37" s="63" t="str">
        <f t="shared" ca="1" si="10"/>
        <v>N/A</v>
      </c>
      <c r="K37" s="63" t="str">
        <f t="shared" ca="1" si="10"/>
        <v>N/A</v>
      </c>
      <c r="L37" s="63" t="str">
        <f t="shared" ca="1" si="8"/>
        <v>N/A</v>
      </c>
      <c r="M37" s="63" t="str">
        <f t="shared" ca="1" si="8"/>
        <v>N/A</v>
      </c>
      <c r="N37" s="63" t="str">
        <f t="shared" ca="1" si="8"/>
        <v>N/A</v>
      </c>
      <c r="O37" s="63" t="str">
        <f t="shared" ca="1" si="8"/>
        <v>N/A</v>
      </c>
      <c r="P37" s="63" t="str">
        <f t="shared" ca="1" si="8"/>
        <v>N/A</v>
      </c>
      <c r="Q37" s="63" t="str">
        <f t="shared" ca="1" si="8"/>
        <v>N/A</v>
      </c>
      <c r="R37" s="63" t="str">
        <f t="shared" ca="1" si="8"/>
        <v>N/A</v>
      </c>
      <c r="S37" s="63" t="str">
        <f t="shared" ca="1" si="8"/>
        <v>N/A</v>
      </c>
      <c r="T37" s="63"/>
      <c r="U37" s="63"/>
      <c r="V37" s="63"/>
      <c r="W37" s="63"/>
    </row>
    <row r="38" spans="1:23" hidden="1" x14ac:dyDescent="0.2">
      <c r="A38" s="45"/>
      <c r="B38" s="46" t="str">
        <f t="shared" ca="1" si="3"/>
        <v/>
      </c>
      <c r="C38" s="1" t="str">
        <f>IF(ISERROR(D38),"",IF(D38="","",MAX($C$12:C37)+1))</f>
        <v/>
      </c>
      <c r="D38" t="e">
        <f t="shared" si="4"/>
        <v>#N/A</v>
      </c>
      <c r="E38" s="15"/>
      <c r="F38" s="63" t="str">
        <f t="shared" ca="1" si="6"/>
        <v>N/A</v>
      </c>
      <c r="G38" s="63" t="str">
        <f t="shared" si="7"/>
        <v>N/A</v>
      </c>
      <c r="H38" s="63" t="str">
        <f ca="1">IFERROR(VLOOKUP($A38,LASTYR,'2017'!$C$3,FALSE),"N/A")</f>
        <v>N/A</v>
      </c>
      <c r="I38" s="63" t="str">
        <f t="shared" ca="1" si="9"/>
        <v>N/A</v>
      </c>
      <c r="J38" s="63" t="str">
        <f t="shared" ca="1" si="10"/>
        <v>N/A</v>
      </c>
      <c r="K38" s="63" t="str">
        <f t="shared" ca="1" si="10"/>
        <v>N/A</v>
      </c>
      <c r="L38" s="63" t="str">
        <f t="shared" ca="1" si="8"/>
        <v>N/A</v>
      </c>
      <c r="M38" s="63" t="str">
        <f t="shared" ca="1" si="8"/>
        <v>N/A</v>
      </c>
      <c r="N38" s="63" t="str">
        <f t="shared" ca="1" si="8"/>
        <v>N/A</v>
      </c>
      <c r="O38" s="63" t="str">
        <f t="shared" ca="1" si="8"/>
        <v>N/A</v>
      </c>
      <c r="P38" s="63" t="str">
        <f t="shared" ca="1" si="8"/>
        <v>N/A</v>
      </c>
      <c r="Q38" s="63" t="str">
        <f t="shared" ca="1" si="8"/>
        <v>N/A</v>
      </c>
      <c r="R38" s="63" t="str">
        <f t="shared" ca="1" si="8"/>
        <v>N/A</v>
      </c>
      <c r="S38" s="63" t="str">
        <f t="shared" ca="1" si="8"/>
        <v>N/A</v>
      </c>
      <c r="T38" s="63"/>
      <c r="U38" s="63"/>
      <c r="V38" s="63"/>
      <c r="W38" s="63"/>
    </row>
    <row r="39" spans="1:23" hidden="1" x14ac:dyDescent="0.2">
      <c r="A39" s="45"/>
      <c r="B39" s="46" t="str">
        <f t="shared" ca="1" si="3"/>
        <v/>
      </c>
      <c r="C39" s="1" t="str">
        <f>IF(ISERROR(D39),"",IF(D39="","",MAX($C$12:C38)+1))</f>
        <v/>
      </c>
      <c r="D39" t="e">
        <f t="shared" si="4"/>
        <v>#N/A</v>
      </c>
      <c r="E39" s="15"/>
      <c r="F39" s="63" t="str">
        <f t="shared" ca="1" si="6"/>
        <v>N/A</v>
      </c>
      <c r="G39" s="63" t="str">
        <f t="shared" si="7"/>
        <v>N/A</v>
      </c>
      <c r="H39" s="63" t="str">
        <f ca="1">IFERROR(VLOOKUP($A39,LASTYR,'2017'!$C$3,FALSE),"N/A")</f>
        <v>N/A</v>
      </c>
      <c r="I39" s="63" t="str">
        <f t="shared" ca="1" si="9"/>
        <v>N/A</v>
      </c>
      <c r="J39" s="63" t="str">
        <f t="shared" ca="1" si="10"/>
        <v>N/A</v>
      </c>
      <c r="K39" s="63" t="str">
        <f t="shared" ca="1" si="10"/>
        <v>N/A</v>
      </c>
      <c r="L39" s="63" t="str">
        <f t="shared" ca="1" si="8"/>
        <v>N/A</v>
      </c>
      <c r="M39" s="63" t="str">
        <f t="shared" ca="1" si="8"/>
        <v>N/A</v>
      </c>
      <c r="N39" s="63" t="str">
        <f t="shared" ca="1" si="8"/>
        <v>N/A</v>
      </c>
      <c r="O39" s="63" t="str">
        <f t="shared" ca="1" si="8"/>
        <v>N/A</v>
      </c>
      <c r="P39" s="63" t="str">
        <f t="shared" ca="1" si="8"/>
        <v>N/A</v>
      </c>
      <c r="Q39" s="63" t="str">
        <f t="shared" ca="1" si="8"/>
        <v>N/A</v>
      </c>
      <c r="R39" s="63" t="str">
        <f t="shared" ca="1" si="8"/>
        <v>N/A</v>
      </c>
      <c r="S39" s="63" t="str">
        <f t="shared" ca="1" si="8"/>
        <v>N/A</v>
      </c>
      <c r="T39" s="63"/>
      <c r="U39" s="63"/>
      <c r="V39" s="63"/>
      <c r="W39" s="63"/>
    </row>
    <row r="40" spans="1:23" hidden="1" x14ac:dyDescent="0.2">
      <c r="A40" s="45"/>
      <c r="B40" s="46" t="str">
        <f t="shared" ca="1" si="3"/>
        <v/>
      </c>
      <c r="C40" s="1" t="str">
        <f>IF(ISERROR(D40),"",IF(D40="","",MAX($C$12:C39)+1))</f>
        <v/>
      </c>
      <c r="D40" t="e">
        <f t="shared" si="4"/>
        <v>#N/A</v>
      </c>
      <c r="E40" s="15"/>
      <c r="F40" s="63" t="str">
        <f t="shared" ca="1" si="6"/>
        <v>N/A</v>
      </c>
      <c r="G40" s="63" t="str">
        <f t="shared" si="7"/>
        <v>N/A</v>
      </c>
      <c r="H40" s="63" t="str">
        <f ca="1">IFERROR(VLOOKUP($A40,LASTYR,'2017'!$C$3,FALSE),"N/A")</f>
        <v>N/A</v>
      </c>
      <c r="I40" s="63" t="str">
        <f t="shared" ca="1" si="9"/>
        <v>N/A</v>
      </c>
      <c r="J40" s="63" t="str">
        <f t="shared" ca="1" si="10"/>
        <v>N/A</v>
      </c>
      <c r="K40" s="63" t="str">
        <f t="shared" ca="1" si="10"/>
        <v>N/A</v>
      </c>
      <c r="L40" s="63" t="str">
        <f t="shared" ca="1" si="8"/>
        <v>N/A</v>
      </c>
      <c r="M40" s="63" t="str">
        <f t="shared" ca="1" si="8"/>
        <v>N/A</v>
      </c>
      <c r="N40" s="63" t="str">
        <f t="shared" ca="1" si="8"/>
        <v>N/A</v>
      </c>
      <c r="O40" s="63" t="str">
        <f t="shared" ca="1" si="8"/>
        <v>N/A</v>
      </c>
      <c r="P40" s="63" t="str">
        <f t="shared" ca="1" si="8"/>
        <v>N/A</v>
      </c>
      <c r="Q40" s="63" t="str">
        <f t="shared" ca="1" si="8"/>
        <v>N/A</v>
      </c>
      <c r="R40" s="63" t="str">
        <f t="shared" ca="1" si="8"/>
        <v>N/A</v>
      </c>
      <c r="S40" s="63" t="str">
        <f t="shared" ca="1" si="8"/>
        <v>N/A</v>
      </c>
      <c r="T40" s="63"/>
      <c r="U40" s="63"/>
      <c r="V40" s="63"/>
      <c r="W40" s="63"/>
    </row>
    <row r="41" spans="1:23" hidden="1" x14ac:dyDescent="0.2">
      <c r="A41" s="45"/>
      <c r="B41" s="46" t="str">
        <f t="shared" ca="1" si="3"/>
        <v/>
      </c>
      <c r="C41" s="1" t="str">
        <f>IF(ISERROR(D41),"",IF(D41="","",MAX($C$12:C40)+1))</f>
        <v/>
      </c>
      <c r="D41" t="e">
        <f t="shared" si="4"/>
        <v>#N/A</v>
      </c>
      <c r="E41" s="15"/>
      <c r="F41" s="63" t="str">
        <f t="shared" ca="1" si="6"/>
        <v>N/A</v>
      </c>
      <c r="G41" s="63" t="str">
        <f t="shared" si="7"/>
        <v>N/A</v>
      </c>
      <c r="H41" s="63" t="str">
        <f ca="1">IFERROR(VLOOKUP($A41,LASTYR,'2017'!$C$3,FALSE),"N/A")</f>
        <v>N/A</v>
      </c>
      <c r="I41" s="63" t="str">
        <f t="shared" ca="1" si="9"/>
        <v>N/A</v>
      </c>
      <c r="J41" s="63" t="str">
        <f t="shared" ca="1" si="10"/>
        <v>N/A</v>
      </c>
      <c r="K41" s="63" t="str">
        <f t="shared" ca="1" si="10"/>
        <v>N/A</v>
      </c>
      <c r="L41" s="63" t="str">
        <f t="shared" ca="1" si="8"/>
        <v>N/A</v>
      </c>
      <c r="M41" s="63" t="str">
        <f t="shared" ca="1" si="8"/>
        <v>N/A</v>
      </c>
      <c r="N41" s="63" t="str">
        <f t="shared" ca="1" si="8"/>
        <v>N/A</v>
      </c>
      <c r="O41" s="63" t="str">
        <f t="shared" ca="1" si="8"/>
        <v>N/A</v>
      </c>
      <c r="P41" s="63" t="str">
        <f t="shared" ca="1" si="8"/>
        <v>N/A</v>
      </c>
      <c r="Q41" s="63" t="str">
        <f t="shared" ca="1" si="8"/>
        <v>N/A</v>
      </c>
      <c r="R41" s="63" t="str">
        <f t="shared" ca="1" si="8"/>
        <v>N/A</v>
      </c>
      <c r="S41" s="63" t="str">
        <f t="shared" ca="1" si="8"/>
        <v>N/A</v>
      </c>
      <c r="T41" s="63"/>
      <c r="U41" s="63"/>
      <c r="V41" s="63"/>
      <c r="W41" s="63"/>
    </row>
    <row r="42" spans="1:23" hidden="1" x14ac:dyDescent="0.2">
      <c r="A42" s="45"/>
      <c r="B42" s="46" t="str">
        <f t="shared" ca="1" si="3"/>
        <v/>
      </c>
      <c r="C42" s="1" t="str">
        <f>IF(ISERROR(D42),"",IF(D42="","",MAX($C$12:C41)+1))</f>
        <v/>
      </c>
      <c r="D42" t="e">
        <f t="shared" si="4"/>
        <v>#N/A</v>
      </c>
      <c r="E42" s="15"/>
      <c r="F42" s="63" t="str">
        <f t="shared" ca="1" si="6"/>
        <v>N/A</v>
      </c>
      <c r="G42" s="63" t="str">
        <f t="shared" si="7"/>
        <v>N/A</v>
      </c>
      <c r="H42" s="63" t="str">
        <f ca="1">IFERROR(VLOOKUP($A42,LASTYR,'2017'!$C$3,FALSE),"N/A")</f>
        <v>N/A</v>
      </c>
      <c r="I42" s="63" t="str">
        <f t="shared" ca="1" si="9"/>
        <v>N/A</v>
      </c>
      <c r="J42" s="63" t="str">
        <f t="shared" ca="1" si="10"/>
        <v>N/A</v>
      </c>
      <c r="K42" s="63" t="str">
        <f t="shared" ca="1" si="10"/>
        <v>N/A</v>
      </c>
      <c r="L42" s="63" t="str">
        <f t="shared" ca="1" si="8"/>
        <v>N/A</v>
      </c>
      <c r="M42" s="63" t="str">
        <f t="shared" ca="1" si="8"/>
        <v>N/A</v>
      </c>
      <c r="N42" s="63" t="str">
        <f t="shared" ca="1" si="8"/>
        <v>N/A</v>
      </c>
      <c r="O42" s="63" t="str">
        <f t="shared" ca="1" si="8"/>
        <v>N/A</v>
      </c>
      <c r="P42" s="63" t="str">
        <f t="shared" ca="1" si="8"/>
        <v>N/A</v>
      </c>
      <c r="Q42" s="63" t="str">
        <f t="shared" ca="1" si="8"/>
        <v>N/A</v>
      </c>
      <c r="R42" s="63" t="str">
        <f t="shared" ca="1" si="8"/>
        <v>N/A</v>
      </c>
      <c r="S42" s="63" t="str">
        <f t="shared" ca="1" si="8"/>
        <v>N/A</v>
      </c>
      <c r="T42" s="63"/>
      <c r="U42" s="63"/>
      <c r="V42" s="63"/>
      <c r="W42" s="63"/>
    </row>
    <row r="43" spans="1:23" hidden="1" x14ac:dyDescent="0.2">
      <c r="A43" s="45"/>
      <c r="B43" s="46" t="str">
        <f t="shared" ca="1" si="3"/>
        <v/>
      </c>
      <c r="C43" s="1" t="str">
        <f>IF(ISERROR(D43),"",IF(D43="","",MAX($C$12:C42)+1))</f>
        <v/>
      </c>
      <c r="D43" t="e">
        <f t="shared" si="4"/>
        <v>#N/A</v>
      </c>
      <c r="E43" s="15"/>
      <c r="F43" s="63" t="str">
        <f t="shared" ca="1" si="6"/>
        <v>N/A</v>
      </c>
      <c r="G43" s="63" t="str">
        <f t="shared" si="7"/>
        <v>N/A</v>
      </c>
      <c r="H43" s="63" t="str">
        <f ca="1">IFERROR(VLOOKUP($A43,LASTYR,'2017'!$C$3,FALSE),"N/A")</f>
        <v>N/A</v>
      </c>
      <c r="I43" s="63" t="str">
        <f t="shared" ca="1" si="9"/>
        <v>N/A</v>
      </c>
      <c r="J43" s="63" t="str">
        <f t="shared" ca="1" si="10"/>
        <v>N/A</v>
      </c>
      <c r="K43" s="63" t="str">
        <f t="shared" ca="1" si="10"/>
        <v>N/A</v>
      </c>
      <c r="L43" s="63" t="str">
        <f t="shared" ca="1" si="8"/>
        <v>N/A</v>
      </c>
      <c r="M43" s="63" t="str">
        <f t="shared" ca="1" si="8"/>
        <v>N/A</v>
      </c>
      <c r="N43" s="63" t="str">
        <f t="shared" ca="1" si="8"/>
        <v>N/A</v>
      </c>
      <c r="O43" s="63" t="str">
        <f t="shared" ca="1" si="8"/>
        <v>N/A</v>
      </c>
      <c r="P43" s="63" t="str">
        <f t="shared" ca="1" si="8"/>
        <v>N/A</v>
      </c>
      <c r="Q43" s="63" t="str">
        <f t="shared" ca="1" si="8"/>
        <v>N/A</v>
      </c>
      <c r="R43" s="63" t="str">
        <f t="shared" ca="1" si="8"/>
        <v>N/A</v>
      </c>
      <c r="S43" s="63" t="str">
        <f t="shared" ca="1" si="8"/>
        <v>N/A</v>
      </c>
      <c r="T43" s="63"/>
      <c r="U43" s="63"/>
      <c r="V43" s="63"/>
      <c r="W43" s="63"/>
    </row>
    <row r="44" spans="1:23" hidden="1" x14ac:dyDescent="0.2">
      <c r="A44" s="45"/>
      <c r="B44" s="46" t="str">
        <f t="shared" ca="1" si="3"/>
        <v/>
      </c>
      <c r="C44" s="1" t="str">
        <f>IF(ISERROR(D44),"",IF(D44="","",MAX($C$12:C43)+1))</f>
        <v/>
      </c>
      <c r="D44" t="e">
        <f t="shared" si="4"/>
        <v>#N/A</v>
      </c>
      <c r="E44" s="15"/>
      <c r="F44" s="63" t="str">
        <f t="shared" ca="1" si="6"/>
        <v>N/A</v>
      </c>
      <c r="G44" s="63" t="str">
        <f t="shared" si="7"/>
        <v>N/A</v>
      </c>
      <c r="H44" s="63" t="str">
        <f ca="1">IFERROR(VLOOKUP($A44,LASTYR,'2017'!$C$3,FALSE),"N/A")</f>
        <v>N/A</v>
      </c>
      <c r="I44" s="63" t="str">
        <f t="shared" ca="1" si="9"/>
        <v>N/A</v>
      </c>
      <c r="J44" s="63" t="str">
        <f t="shared" ca="1" si="10"/>
        <v>N/A</v>
      </c>
      <c r="K44" s="63" t="str">
        <f t="shared" ca="1" si="10"/>
        <v>N/A</v>
      </c>
      <c r="L44" s="63" t="str">
        <f t="shared" ca="1" si="8"/>
        <v>N/A</v>
      </c>
      <c r="M44" s="63" t="str">
        <f t="shared" ca="1" si="8"/>
        <v>N/A</v>
      </c>
      <c r="N44" s="63" t="str">
        <f t="shared" ca="1" si="8"/>
        <v>N/A</v>
      </c>
      <c r="O44" s="63" t="str">
        <f t="shared" ca="1" si="8"/>
        <v>N/A</v>
      </c>
      <c r="P44" s="63" t="str">
        <f t="shared" ca="1" si="8"/>
        <v>N/A</v>
      </c>
      <c r="Q44" s="63" t="str">
        <f t="shared" ca="1" si="8"/>
        <v>N/A</v>
      </c>
      <c r="R44" s="63" t="str">
        <f t="shared" ca="1" si="8"/>
        <v>N/A</v>
      </c>
      <c r="S44" s="63" t="str">
        <f t="shared" ca="1" si="8"/>
        <v>N/A</v>
      </c>
      <c r="T44" s="63"/>
      <c r="U44" s="63"/>
      <c r="V44" s="63"/>
      <c r="W44" s="63"/>
    </row>
    <row r="45" spans="1:23" hidden="1" x14ac:dyDescent="0.2">
      <c r="A45" s="45"/>
      <c r="B45" s="46" t="str">
        <f t="shared" ca="1" si="3"/>
        <v/>
      </c>
      <c r="C45" s="1" t="str">
        <f>IF(ISERROR(D45),"",IF(D45="","",MAX($C$12:C44)+1))</f>
        <v/>
      </c>
      <c r="D45" t="e">
        <f t="shared" si="4"/>
        <v>#N/A</v>
      </c>
      <c r="E45" s="15"/>
      <c r="F45" s="63" t="str">
        <f t="shared" ca="1" si="6"/>
        <v>N/A</v>
      </c>
      <c r="G45" s="63" t="str">
        <f t="shared" si="7"/>
        <v>N/A</v>
      </c>
      <c r="H45" s="63" t="str">
        <f ca="1">IFERROR(VLOOKUP($A45,LASTYR,'2017'!$C$3,FALSE),"N/A")</f>
        <v>N/A</v>
      </c>
      <c r="I45" s="63" t="str">
        <f t="shared" ca="1" si="9"/>
        <v>N/A</v>
      </c>
      <c r="J45" s="63" t="str">
        <f t="shared" ca="1" si="10"/>
        <v>N/A</v>
      </c>
      <c r="K45" s="63" t="str">
        <f t="shared" ca="1" si="10"/>
        <v>N/A</v>
      </c>
      <c r="L45" s="63" t="str">
        <f t="shared" ca="1" si="8"/>
        <v>N/A</v>
      </c>
      <c r="M45" s="63" t="str">
        <f t="shared" ca="1" si="8"/>
        <v>N/A</v>
      </c>
      <c r="N45" s="63" t="str">
        <f t="shared" ca="1" si="8"/>
        <v>N/A</v>
      </c>
      <c r="O45" s="63" t="str">
        <f t="shared" ca="1" si="8"/>
        <v>N/A</v>
      </c>
      <c r="P45" s="63" t="str">
        <f t="shared" ca="1" si="8"/>
        <v>N/A</v>
      </c>
      <c r="Q45" s="63" t="str">
        <f t="shared" ca="1" si="8"/>
        <v>N/A</v>
      </c>
      <c r="R45" s="63" t="str">
        <f t="shared" ca="1" si="8"/>
        <v>N/A</v>
      </c>
      <c r="S45" s="63" t="str">
        <f t="shared" ca="1" si="8"/>
        <v>N/A</v>
      </c>
      <c r="T45" s="63"/>
      <c r="U45" s="63"/>
      <c r="V45" s="63"/>
      <c r="W45" s="63"/>
    </row>
    <row r="46" spans="1:23" hidden="1" x14ac:dyDescent="0.2">
      <c r="A46" s="45"/>
      <c r="B46" s="46" t="str">
        <f t="shared" ca="1" si="3"/>
        <v/>
      </c>
      <c r="C46" s="1" t="str">
        <f>IF(ISERROR(D46),"",IF(D46="","",MAX($C$12:C45)+1))</f>
        <v/>
      </c>
      <c r="D46" t="e">
        <f>VLOOKUP(A46,LUCurYr,2,FALSE)</f>
        <v>#N/A</v>
      </c>
      <c r="E46" s="15"/>
      <c r="F46" s="63" t="str">
        <f t="shared" ca="1" si="6"/>
        <v>N/A</v>
      </c>
      <c r="G46" s="63" t="str">
        <f t="shared" si="7"/>
        <v>N/A</v>
      </c>
      <c r="H46" s="63" t="str">
        <f ca="1">IFERROR(VLOOKUP($A46,LASTYR,'2017'!$C$3,FALSE),"N/A")</f>
        <v>N/A</v>
      </c>
      <c r="I46" s="63" t="str">
        <f t="shared" ca="1" si="9"/>
        <v>N/A</v>
      </c>
      <c r="J46" s="63" t="str">
        <f t="shared" ca="1" si="10"/>
        <v>N/A</v>
      </c>
      <c r="K46" s="63" t="str">
        <f t="shared" ca="1" si="10"/>
        <v>N/A</v>
      </c>
      <c r="L46" s="63" t="str">
        <f t="shared" ca="1" si="10"/>
        <v>N/A</v>
      </c>
      <c r="M46" s="63" t="str">
        <f t="shared" ca="1" si="10"/>
        <v>N/A</v>
      </c>
      <c r="N46" s="63" t="str">
        <f t="shared" ca="1" si="10"/>
        <v>N/A</v>
      </c>
      <c r="O46" s="63" t="str">
        <f t="shared" ca="1" si="10"/>
        <v>N/A</v>
      </c>
      <c r="P46" s="63" t="str">
        <f t="shared" ca="1" si="10"/>
        <v>N/A</v>
      </c>
      <c r="Q46" s="63" t="str">
        <f t="shared" ca="1" si="10"/>
        <v>N/A</v>
      </c>
      <c r="R46" s="63" t="str">
        <f t="shared" ca="1" si="10"/>
        <v>N/A</v>
      </c>
      <c r="S46" s="63" t="str">
        <f t="shared" ca="1" si="10"/>
        <v>N/A</v>
      </c>
      <c r="T46" s="63"/>
      <c r="U46" s="63"/>
      <c r="V46" s="63"/>
      <c r="W46" s="63"/>
    </row>
    <row r="47" spans="1:23" hidden="1" x14ac:dyDescent="0.2">
      <c r="A47" s="45"/>
      <c r="B47" s="46" t="str">
        <f t="shared" ca="1" si="3"/>
        <v/>
      </c>
      <c r="C47" s="1" t="str">
        <f>IF(ISERROR(D47),"",IF(D47="","",MAX($C$12:C46)+1))</f>
        <v/>
      </c>
      <c r="D47" t="e">
        <f t="shared" si="4"/>
        <v>#N/A</v>
      </c>
      <c r="E47" s="15"/>
      <c r="F47" s="63" t="str">
        <f t="shared" ca="1" si="6"/>
        <v>N/A</v>
      </c>
      <c r="G47" s="63" t="str">
        <f t="shared" si="7"/>
        <v>N/A</v>
      </c>
      <c r="H47" s="63" t="str">
        <f ca="1">IFERROR(VLOOKUP($A47,LASTYR,'2017'!$C$3,FALSE),"N/A")</f>
        <v>N/A</v>
      </c>
      <c r="I47" s="63" t="str">
        <f t="shared" ca="1" si="9"/>
        <v>N/A</v>
      </c>
      <c r="J47" s="63" t="str">
        <f t="shared" ca="1" si="10"/>
        <v>N/A</v>
      </c>
      <c r="K47" s="63" t="str">
        <f t="shared" ca="1" si="10"/>
        <v>N/A</v>
      </c>
      <c r="L47" s="63" t="str">
        <f t="shared" ca="1" si="10"/>
        <v>N/A</v>
      </c>
      <c r="M47" s="63" t="str">
        <f t="shared" ca="1" si="10"/>
        <v>N/A</v>
      </c>
      <c r="N47" s="63" t="str">
        <f t="shared" ca="1" si="10"/>
        <v>N/A</v>
      </c>
      <c r="O47" s="63" t="str">
        <f t="shared" ca="1" si="10"/>
        <v>N/A</v>
      </c>
      <c r="P47" s="63" t="str">
        <f t="shared" ca="1" si="10"/>
        <v>N/A</v>
      </c>
      <c r="Q47" s="63" t="str">
        <f t="shared" ca="1" si="10"/>
        <v>N/A</v>
      </c>
      <c r="R47" s="63" t="str">
        <f t="shared" ca="1" si="10"/>
        <v>N/A</v>
      </c>
      <c r="S47" s="63" t="str">
        <f t="shared" ca="1" si="10"/>
        <v>N/A</v>
      </c>
      <c r="T47" s="63"/>
      <c r="U47" s="63"/>
      <c r="V47" s="63"/>
      <c r="W47" s="63"/>
    </row>
    <row r="48" spans="1:23" hidden="1" x14ac:dyDescent="0.2">
      <c r="A48" s="45"/>
      <c r="B48" s="46" t="str">
        <f t="shared" ca="1" si="3"/>
        <v/>
      </c>
      <c r="C48" s="1" t="str">
        <f>IF(ISERROR(D48),"",IF(D48="","",MAX($C$12:C47)+1))</f>
        <v/>
      </c>
      <c r="D48" t="e">
        <f t="shared" si="4"/>
        <v>#N/A</v>
      </c>
      <c r="E48" s="15"/>
      <c r="F48" s="63" t="str">
        <f t="shared" ca="1" si="6"/>
        <v>N/A</v>
      </c>
      <c r="G48" s="63" t="str">
        <f t="shared" si="7"/>
        <v>N/A</v>
      </c>
      <c r="H48" s="63" t="str">
        <f ca="1">IFERROR(VLOOKUP($A48,LASTYR,'2017'!$C$3,FALSE),"N/A")</f>
        <v>N/A</v>
      </c>
      <c r="I48" s="63" t="str">
        <f t="shared" ca="1" si="9"/>
        <v>N/A</v>
      </c>
      <c r="J48" s="63" t="str">
        <f t="shared" ca="1" si="10"/>
        <v>N/A</v>
      </c>
      <c r="K48" s="63" t="str">
        <f t="shared" ca="1" si="10"/>
        <v>N/A</v>
      </c>
      <c r="L48" s="63" t="str">
        <f t="shared" ca="1" si="10"/>
        <v>N/A</v>
      </c>
      <c r="M48" s="63" t="str">
        <f t="shared" ca="1" si="10"/>
        <v>N/A</v>
      </c>
      <c r="N48" s="63" t="str">
        <f t="shared" ca="1" si="10"/>
        <v>N/A</v>
      </c>
      <c r="O48" s="63" t="str">
        <f t="shared" ca="1" si="10"/>
        <v>N/A</v>
      </c>
      <c r="P48" s="63" t="str">
        <f t="shared" ca="1" si="10"/>
        <v>N/A</v>
      </c>
      <c r="Q48" s="63" t="str">
        <f t="shared" ca="1" si="10"/>
        <v>N/A</v>
      </c>
      <c r="R48" s="63" t="str">
        <f t="shared" ca="1" si="10"/>
        <v>N/A</v>
      </c>
      <c r="S48" s="63" t="str">
        <f t="shared" ca="1" si="10"/>
        <v>N/A</v>
      </c>
      <c r="T48" s="63"/>
      <c r="U48" s="63"/>
      <c r="V48" s="63"/>
      <c r="W48" s="63"/>
    </row>
    <row r="49" spans="1:23" hidden="1" x14ac:dyDescent="0.2">
      <c r="A49" s="45"/>
      <c r="B49" s="46" t="str">
        <f t="shared" ca="1" si="3"/>
        <v/>
      </c>
      <c r="C49" s="1" t="str">
        <f>IF(ISERROR(D49),"",IF(D49="","",MAX($C$12:C48)+1))</f>
        <v/>
      </c>
      <c r="D49" t="e">
        <f t="shared" si="4"/>
        <v>#N/A</v>
      </c>
      <c r="E49" s="15"/>
      <c r="F49" s="63" t="str">
        <f t="shared" ca="1" si="6"/>
        <v>N/A</v>
      </c>
      <c r="G49" s="63" t="str">
        <f t="shared" si="7"/>
        <v>N/A</v>
      </c>
      <c r="H49" s="63" t="str">
        <f ca="1">IFERROR(VLOOKUP($A49,LASTYR,'2017'!$C$3,FALSE),"N/A")</f>
        <v>N/A</v>
      </c>
      <c r="I49" s="63" t="str">
        <f t="shared" ca="1" si="9"/>
        <v>N/A</v>
      </c>
      <c r="J49" s="63" t="str">
        <f t="shared" ca="1" si="10"/>
        <v>N/A</v>
      </c>
      <c r="K49" s="63" t="str">
        <f t="shared" ca="1" si="10"/>
        <v>N/A</v>
      </c>
      <c r="L49" s="63" t="str">
        <f t="shared" ca="1" si="10"/>
        <v>N/A</v>
      </c>
      <c r="M49" s="63" t="str">
        <f t="shared" ca="1" si="10"/>
        <v>N/A</v>
      </c>
      <c r="N49" s="63" t="str">
        <f t="shared" ca="1" si="10"/>
        <v>N/A</v>
      </c>
      <c r="O49" s="63" t="str">
        <f t="shared" ca="1" si="10"/>
        <v>N/A</v>
      </c>
      <c r="P49" s="63" t="str">
        <f t="shared" ca="1" si="10"/>
        <v>N/A</v>
      </c>
      <c r="Q49" s="63" t="str">
        <f t="shared" ca="1" si="10"/>
        <v>N/A</v>
      </c>
      <c r="R49" s="63" t="str">
        <f t="shared" ca="1" si="10"/>
        <v>N/A</v>
      </c>
      <c r="S49" s="63" t="str">
        <f t="shared" ca="1" si="10"/>
        <v>N/A</v>
      </c>
      <c r="T49" s="63"/>
      <c r="U49" s="63"/>
      <c r="V49" s="63"/>
      <c r="W49" s="63"/>
    </row>
    <row r="50" spans="1:23" hidden="1" x14ac:dyDescent="0.2">
      <c r="A50" s="45"/>
      <c r="B50" s="46" t="str">
        <f t="shared" ca="1" si="3"/>
        <v/>
      </c>
      <c r="C50" s="1" t="str">
        <f>IF(ISERROR(D50),"",IF(D50="","",MAX($C$12:C49)+1))</f>
        <v/>
      </c>
      <c r="D50" t="e">
        <f t="shared" si="4"/>
        <v>#N/A</v>
      </c>
      <c r="E50" s="15"/>
      <c r="F50" s="63" t="str">
        <f t="shared" ca="1" si="6"/>
        <v>N/A</v>
      </c>
      <c r="G50" s="63" t="str">
        <f t="shared" si="7"/>
        <v>N/A</v>
      </c>
      <c r="H50" s="63" t="str">
        <f ca="1">IFERROR(VLOOKUP($A50,LASTYR,'2017'!$C$3,FALSE),"N/A")</f>
        <v>N/A</v>
      </c>
      <c r="I50" s="63" t="str">
        <f t="shared" ca="1" si="9"/>
        <v>N/A</v>
      </c>
      <c r="J50" s="63" t="str">
        <f t="shared" ca="1" si="10"/>
        <v>N/A</v>
      </c>
      <c r="K50" s="63" t="str">
        <f t="shared" ca="1" si="10"/>
        <v>N/A</v>
      </c>
      <c r="L50" s="63" t="str">
        <f t="shared" ca="1" si="10"/>
        <v>N/A</v>
      </c>
      <c r="M50" s="63" t="str">
        <f t="shared" ca="1" si="10"/>
        <v>N/A</v>
      </c>
      <c r="N50" s="63" t="str">
        <f t="shared" ca="1" si="10"/>
        <v>N/A</v>
      </c>
      <c r="O50" s="63" t="str">
        <f t="shared" ca="1" si="10"/>
        <v>N/A</v>
      </c>
      <c r="P50" s="63" t="str">
        <f t="shared" ca="1" si="10"/>
        <v>N/A</v>
      </c>
      <c r="Q50" s="63" t="str">
        <f t="shared" ca="1" si="10"/>
        <v>N/A</v>
      </c>
      <c r="R50" s="63" t="str">
        <f t="shared" ca="1" si="10"/>
        <v>N/A</v>
      </c>
      <c r="S50" s="63" t="str">
        <f t="shared" ca="1" si="10"/>
        <v>N/A</v>
      </c>
      <c r="T50" s="63"/>
      <c r="U50" s="63"/>
      <c r="V50" s="63"/>
      <c r="W50" s="63"/>
    </row>
    <row r="51" spans="1:23" hidden="1" x14ac:dyDescent="0.2">
      <c r="A51" s="45"/>
      <c r="B51" s="46" t="str">
        <f t="shared" ca="1" si="3"/>
        <v/>
      </c>
      <c r="C51" s="1" t="str">
        <f>IF(ISERROR(D51),"",IF(D51="","",MAX($C$12:C50)+1))</f>
        <v/>
      </c>
      <c r="D51" t="e">
        <f t="shared" si="4"/>
        <v>#N/A</v>
      </c>
      <c r="E51" s="15"/>
      <c r="F51" s="63" t="str">
        <f t="shared" ca="1" si="6"/>
        <v>N/A</v>
      </c>
      <c r="G51" s="63" t="str">
        <f t="shared" si="7"/>
        <v>N/A</v>
      </c>
      <c r="H51" s="63" t="str">
        <f ca="1">IFERROR(VLOOKUP($A51,LASTYR,'2017'!$C$3,FALSE),"N/A")</f>
        <v>N/A</v>
      </c>
      <c r="I51" s="63" t="str">
        <f t="shared" ca="1" si="9"/>
        <v>N/A</v>
      </c>
      <c r="J51" s="63" t="str">
        <f t="shared" ca="1" si="10"/>
        <v>N/A</v>
      </c>
      <c r="K51" s="63" t="str">
        <f t="shared" ca="1" si="10"/>
        <v>N/A</v>
      </c>
      <c r="L51" s="63" t="str">
        <f t="shared" ca="1" si="10"/>
        <v>N/A</v>
      </c>
      <c r="M51" s="63" t="str">
        <f t="shared" ca="1" si="10"/>
        <v>N/A</v>
      </c>
      <c r="N51" s="63" t="str">
        <f t="shared" ca="1" si="10"/>
        <v>N/A</v>
      </c>
      <c r="O51" s="63" t="str">
        <f t="shared" ca="1" si="10"/>
        <v>N/A</v>
      </c>
      <c r="P51" s="63" t="str">
        <f t="shared" ca="1" si="10"/>
        <v>N/A</v>
      </c>
      <c r="Q51" s="63" t="str">
        <f t="shared" ca="1" si="10"/>
        <v>N/A</v>
      </c>
      <c r="R51" s="63" t="str">
        <f t="shared" ca="1" si="10"/>
        <v>N/A</v>
      </c>
      <c r="S51" s="63" t="str">
        <f t="shared" ca="1" si="10"/>
        <v>N/A</v>
      </c>
      <c r="T51" s="63"/>
      <c r="U51" s="63"/>
      <c r="V51" s="63"/>
      <c r="W51" s="63"/>
    </row>
    <row r="52" spans="1:23" hidden="1" x14ac:dyDescent="0.2">
      <c r="A52" s="45"/>
      <c r="B52" s="46" t="str">
        <f t="shared" ca="1" si="3"/>
        <v/>
      </c>
      <c r="C52" s="1" t="str">
        <f>IF(ISERROR(D52),"",IF(D52="","",MAX($C$12:C51)+1))</f>
        <v/>
      </c>
      <c r="D52" t="e">
        <f t="shared" si="4"/>
        <v>#N/A</v>
      </c>
      <c r="E52" s="15"/>
      <c r="F52" s="63" t="str">
        <f t="shared" ca="1" si="6"/>
        <v>N/A</v>
      </c>
      <c r="G52" s="63" t="str">
        <f t="shared" si="7"/>
        <v>N/A</v>
      </c>
      <c r="H52" s="63" t="str">
        <f ca="1">IFERROR(VLOOKUP($A52,LASTYR,'2017'!$C$3,FALSE),"N/A")</f>
        <v>N/A</v>
      </c>
      <c r="I52" s="63" t="str">
        <f t="shared" ca="1" si="9"/>
        <v>N/A</v>
      </c>
      <c r="J52" s="63" t="str">
        <f t="shared" ca="1" si="10"/>
        <v>N/A</v>
      </c>
      <c r="K52" s="63" t="str">
        <f t="shared" ca="1" si="10"/>
        <v>N/A</v>
      </c>
      <c r="L52" s="63" t="str">
        <f t="shared" ca="1" si="10"/>
        <v>N/A</v>
      </c>
      <c r="M52" s="63" t="str">
        <f t="shared" ca="1" si="10"/>
        <v>N/A</v>
      </c>
      <c r="N52" s="63" t="str">
        <f t="shared" ca="1" si="10"/>
        <v>N/A</v>
      </c>
      <c r="O52" s="63" t="str">
        <f t="shared" ca="1" si="10"/>
        <v>N/A</v>
      </c>
      <c r="P52" s="63" t="str">
        <f t="shared" ca="1" si="10"/>
        <v>N/A</v>
      </c>
      <c r="Q52" s="63" t="str">
        <f t="shared" ca="1" si="10"/>
        <v>N/A</v>
      </c>
      <c r="R52" s="63" t="str">
        <f t="shared" ca="1" si="10"/>
        <v>N/A</v>
      </c>
      <c r="S52" s="63" t="str">
        <f t="shared" ca="1" si="10"/>
        <v>N/A</v>
      </c>
      <c r="T52" s="63"/>
      <c r="U52" s="63"/>
      <c r="V52" s="63"/>
      <c r="W52" s="63"/>
    </row>
    <row r="53" spans="1:23" hidden="1" x14ac:dyDescent="0.2">
      <c r="A53" s="45"/>
      <c r="B53" s="46" t="str">
        <f t="shared" ca="1" si="3"/>
        <v/>
      </c>
      <c r="C53" s="1" t="str">
        <f>IF(ISERROR(D53),"",IF(D53="","",MAX($C$12:C52)+1))</f>
        <v/>
      </c>
      <c r="D53" t="e">
        <f t="shared" si="4"/>
        <v>#N/A</v>
      </c>
      <c r="E53" s="15"/>
      <c r="F53" s="63" t="str">
        <f t="shared" ca="1" si="6"/>
        <v>N/A</v>
      </c>
      <c r="G53" s="63" t="str">
        <f t="shared" si="7"/>
        <v>N/A</v>
      </c>
      <c r="H53" s="63" t="str">
        <f ca="1">IFERROR(VLOOKUP($A53,LASTYR,'2017'!$C$3,FALSE),"N/A")</f>
        <v>N/A</v>
      </c>
      <c r="I53" s="63" t="str">
        <f t="shared" ca="1" si="9"/>
        <v>N/A</v>
      </c>
      <c r="J53" s="63" t="str">
        <f t="shared" ref="J53:S57" ca="1" si="11">IFERROR(INDEX(PE_WP,$B53,J$12),"N/A")</f>
        <v>N/A</v>
      </c>
      <c r="K53" s="63" t="str">
        <f t="shared" ca="1" si="11"/>
        <v>N/A</v>
      </c>
      <c r="L53" s="63" t="str">
        <f t="shared" ca="1" si="11"/>
        <v>N/A</v>
      </c>
      <c r="M53" s="63" t="str">
        <f t="shared" ca="1" si="11"/>
        <v>N/A</v>
      </c>
      <c r="N53" s="63" t="str">
        <f t="shared" ca="1" si="11"/>
        <v>N/A</v>
      </c>
      <c r="O53" s="63" t="str">
        <f t="shared" ca="1" si="11"/>
        <v>N/A</v>
      </c>
      <c r="P53" s="63" t="str">
        <f t="shared" ca="1" si="11"/>
        <v>N/A</v>
      </c>
      <c r="Q53" s="63" t="str">
        <f t="shared" ca="1" si="11"/>
        <v>N/A</v>
      </c>
      <c r="R53" s="63" t="str">
        <f t="shared" ca="1" si="11"/>
        <v>N/A</v>
      </c>
      <c r="S53" s="63" t="str">
        <f t="shared" ca="1" si="11"/>
        <v>N/A</v>
      </c>
      <c r="T53" s="63"/>
      <c r="U53" s="63"/>
      <c r="V53" s="63"/>
      <c r="W53" s="63"/>
    </row>
    <row r="54" spans="1:23" hidden="1" x14ac:dyDescent="0.2">
      <c r="A54" s="45"/>
      <c r="B54" s="46" t="str">
        <f t="shared" ca="1" si="3"/>
        <v/>
      </c>
      <c r="C54" s="1" t="str">
        <f>IF(ISERROR(D54),"",IF(D54="","",MAX($C$12:C53)+1))</f>
        <v/>
      </c>
      <c r="D54" t="e">
        <f t="shared" si="4"/>
        <v>#N/A</v>
      </c>
      <c r="E54" s="15"/>
      <c r="F54" s="63" t="str">
        <f t="shared" ca="1" si="6"/>
        <v>N/A</v>
      </c>
      <c r="G54" s="63" t="str">
        <f t="shared" si="7"/>
        <v>N/A</v>
      </c>
      <c r="H54" s="63" t="str">
        <f ca="1">IFERROR(VLOOKUP($A54,LASTYR,'2017'!$C$3,FALSE),"N/A")</f>
        <v>N/A</v>
      </c>
      <c r="I54" s="63" t="str">
        <f t="shared" ca="1" si="9"/>
        <v>N/A</v>
      </c>
      <c r="J54" s="63" t="str">
        <f t="shared" ca="1" si="11"/>
        <v>N/A</v>
      </c>
      <c r="K54" s="63" t="str">
        <f t="shared" ca="1" si="11"/>
        <v>N/A</v>
      </c>
      <c r="L54" s="63" t="str">
        <f t="shared" ca="1" si="11"/>
        <v>N/A</v>
      </c>
      <c r="M54" s="63" t="str">
        <f t="shared" ca="1" si="11"/>
        <v>N/A</v>
      </c>
      <c r="N54" s="63" t="str">
        <f t="shared" ca="1" si="11"/>
        <v>N/A</v>
      </c>
      <c r="O54" s="63" t="str">
        <f t="shared" ca="1" si="11"/>
        <v>N/A</v>
      </c>
      <c r="P54" s="63" t="str">
        <f t="shared" ca="1" si="11"/>
        <v>N/A</v>
      </c>
      <c r="Q54" s="63" t="str">
        <f t="shared" ca="1" si="11"/>
        <v>N/A</v>
      </c>
      <c r="R54" s="63" t="str">
        <f t="shared" ca="1" si="11"/>
        <v>N/A</v>
      </c>
      <c r="S54" s="63" t="str">
        <f t="shared" ca="1" si="11"/>
        <v>N/A</v>
      </c>
      <c r="T54" s="63"/>
      <c r="U54" s="63"/>
      <c r="V54" s="63"/>
      <c r="W54" s="63"/>
    </row>
    <row r="55" spans="1:23" hidden="1" x14ac:dyDescent="0.2">
      <c r="A55" s="51"/>
      <c r="B55" s="46" t="str">
        <f t="shared" ca="1" si="3"/>
        <v/>
      </c>
      <c r="C55" s="1" t="str">
        <f>IF(ISERROR(D55),"",IF(D55="","",MAX($C$12:C54)+1))</f>
        <v/>
      </c>
      <c r="D55" t="e">
        <f t="shared" si="4"/>
        <v>#N/A</v>
      </c>
      <c r="F55" s="63" t="str">
        <f t="shared" ca="1" si="6"/>
        <v>N/A</v>
      </c>
      <c r="G55" s="63" t="str">
        <f t="shared" si="7"/>
        <v>N/A</v>
      </c>
      <c r="H55" s="63" t="str">
        <f ca="1">IFERROR(VLOOKUP($A55,LASTYR,'2017'!$C$3,FALSE),"N/A")</f>
        <v>N/A</v>
      </c>
      <c r="I55" s="63" t="str">
        <f t="shared" ca="1" si="9"/>
        <v>N/A</v>
      </c>
      <c r="J55" s="63" t="str">
        <f t="shared" ca="1" si="11"/>
        <v>N/A</v>
      </c>
      <c r="K55" s="63" t="str">
        <f t="shared" ca="1" si="11"/>
        <v>N/A</v>
      </c>
      <c r="L55" s="63" t="str">
        <f t="shared" ca="1" si="11"/>
        <v>N/A</v>
      </c>
      <c r="M55" s="63" t="str">
        <f t="shared" ca="1" si="11"/>
        <v>N/A</v>
      </c>
      <c r="N55" s="63" t="str">
        <f t="shared" ca="1" si="11"/>
        <v>N/A</v>
      </c>
      <c r="O55" s="63" t="str">
        <f t="shared" ca="1" si="11"/>
        <v>N/A</v>
      </c>
      <c r="P55" s="63" t="str">
        <f t="shared" ca="1" si="11"/>
        <v>N/A</v>
      </c>
      <c r="Q55" s="63" t="str">
        <f t="shared" ca="1" si="11"/>
        <v>N/A</v>
      </c>
      <c r="R55" s="63" t="str">
        <f t="shared" ca="1" si="11"/>
        <v>N/A</v>
      </c>
      <c r="S55" s="63" t="str">
        <f t="shared" ca="1" si="11"/>
        <v>N/A</v>
      </c>
      <c r="T55" s="63"/>
      <c r="U55" s="63"/>
      <c r="V55" s="63"/>
      <c r="W55" s="63"/>
    </row>
    <row r="56" spans="1:23" hidden="1" x14ac:dyDescent="0.2">
      <c r="A56" s="51"/>
      <c r="B56" s="46" t="str">
        <f t="shared" ca="1" si="3"/>
        <v/>
      </c>
      <c r="C56" s="1" t="str">
        <f>IF(ISERROR(D56),"",IF(D56="","",MAX($C$12:C55)+1))</f>
        <v/>
      </c>
      <c r="D56" t="e">
        <f t="shared" si="4"/>
        <v>#N/A</v>
      </c>
      <c r="F56" s="63" t="str">
        <f t="shared" ca="1" si="6"/>
        <v>N/A</v>
      </c>
      <c r="G56" s="63" t="str">
        <f t="shared" si="7"/>
        <v>N/A</v>
      </c>
      <c r="H56" s="63" t="str">
        <f ca="1">IFERROR(VLOOKUP($A56,LASTYR,'2017'!$C$3,FALSE),"N/A")</f>
        <v>N/A</v>
      </c>
      <c r="I56" s="63" t="str">
        <f t="shared" ca="1" si="9"/>
        <v>N/A</v>
      </c>
      <c r="J56" s="63" t="str">
        <f t="shared" ca="1" si="11"/>
        <v>N/A</v>
      </c>
      <c r="K56" s="63" t="str">
        <f t="shared" ca="1" si="11"/>
        <v>N/A</v>
      </c>
      <c r="L56" s="63" t="str">
        <f t="shared" ca="1" si="11"/>
        <v>N/A</v>
      </c>
      <c r="M56" s="63" t="str">
        <f t="shared" ca="1" si="11"/>
        <v>N/A</v>
      </c>
      <c r="N56" s="63" t="str">
        <f t="shared" ca="1" si="11"/>
        <v>N/A</v>
      </c>
      <c r="O56" s="63" t="str">
        <f t="shared" ca="1" si="11"/>
        <v>N/A</v>
      </c>
      <c r="P56" s="63" t="str">
        <f t="shared" ca="1" si="11"/>
        <v>N/A</v>
      </c>
      <c r="Q56" s="63" t="str">
        <f t="shared" ca="1" si="11"/>
        <v>N/A</v>
      </c>
      <c r="R56" s="63" t="str">
        <f t="shared" ca="1" si="11"/>
        <v>N/A</v>
      </c>
      <c r="S56" s="63" t="str">
        <f t="shared" ca="1" si="11"/>
        <v>N/A</v>
      </c>
      <c r="T56" s="63"/>
      <c r="U56" s="63"/>
      <c r="V56" s="63"/>
      <c r="W56" s="63"/>
    </row>
    <row r="57" spans="1:23" hidden="1" x14ac:dyDescent="0.2">
      <c r="A57" s="51"/>
      <c r="B57" s="46" t="str">
        <f t="shared" ca="1" si="3"/>
        <v/>
      </c>
      <c r="C57" s="1" t="str">
        <f>IF(ISERROR(D57),"",IF(D57="","",MAX($C$12:C56)+1))</f>
        <v/>
      </c>
      <c r="D57" t="e">
        <f t="shared" si="4"/>
        <v>#N/A</v>
      </c>
      <c r="F57" s="63" t="str">
        <f t="shared" ca="1" si="6"/>
        <v>N/A</v>
      </c>
      <c r="G57" s="63" t="str">
        <f t="shared" si="7"/>
        <v>N/A</v>
      </c>
      <c r="H57" s="63" t="str">
        <f ca="1">IFERROR(VLOOKUP($A57,LASTYR,'2017'!$C$3,FALSE),"N/A")</f>
        <v>N/A</v>
      </c>
      <c r="I57" s="63" t="str">
        <f t="shared" ca="1" si="9"/>
        <v>N/A</v>
      </c>
      <c r="J57" s="63" t="str">
        <f t="shared" ca="1" si="11"/>
        <v>N/A</v>
      </c>
      <c r="K57" s="63" t="str">
        <f t="shared" ca="1" si="11"/>
        <v>N/A</v>
      </c>
      <c r="L57" s="63" t="str">
        <f t="shared" ca="1" si="11"/>
        <v>N/A</v>
      </c>
      <c r="M57" s="63" t="str">
        <f t="shared" ca="1" si="11"/>
        <v>N/A</v>
      </c>
      <c r="N57" s="63" t="str">
        <f t="shared" ca="1" si="11"/>
        <v>N/A</v>
      </c>
      <c r="O57" s="63" t="str">
        <f t="shared" ca="1" si="11"/>
        <v>N/A</v>
      </c>
      <c r="P57" s="63" t="str">
        <f t="shared" ca="1" si="11"/>
        <v>N/A</v>
      </c>
      <c r="Q57" s="63" t="str">
        <f t="shared" ca="1" si="11"/>
        <v>N/A</v>
      </c>
      <c r="R57" s="63" t="str">
        <f t="shared" ca="1" si="11"/>
        <v>N/A</v>
      </c>
      <c r="S57" s="63" t="str">
        <f t="shared" ca="1" si="11"/>
        <v>N/A</v>
      </c>
      <c r="T57" s="63"/>
      <c r="U57" s="63"/>
      <c r="V57" s="63"/>
      <c r="W57" s="63"/>
    </row>
    <row r="58" spans="1:23" x14ac:dyDescent="0.2">
      <c r="A58" s="31"/>
      <c r="B58" s="31"/>
      <c r="C58" s="1" t="str">
        <f>IF(ISERROR(D58),"",IF(D58="","",MAX($C$12:C57)+1))</f>
        <v/>
      </c>
      <c r="F58" s="63"/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3"/>
    </row>
    <row r="59" spans="1:23" x14ac:dyDescent="0.2">
      <c r="A59" s="31"/>
      <c r="B59" s="31"/>
      <c r="C59" s="1">
        <f ca="1">IF(ISERROR(D59),"",IF(D59="","",MAX($C$12:C58)+1))</f>
        <v>12</v>
      </c>
      <c r="D59" t="s">
        <v>98</v>
      </c>
      <c r="F59" s="63">
        <f ca="1">AVERAGE(G59:S59)</f>
        <v>17.85645951825952</v>
      </c>
      <c r="G59" s="63">
        <f t="shared" ref="G59:S59" si="12">AVERAGE(G13:G58)</f>
        <v>23.98</v>
      </c>
      <c r="H59" s="63">
        <f t="shared" ref="H59" ca="1" si="13">AVERAGE(H13:H58)</f>
        <v>23.545555555555552</v>
      </c>
      <c r="I59" s="63">
        <f t="shared" ref="I59" ca="1" si="14">AVERAGE(I13:I58)</f>
        <v>21.728636363636365</v>
      </c>
      <c r="J59" s="63">
        <f t="shared" ca="1" si="12"/>
        <v>20.234363636363636</v>
      </c>
      <c r="K59" s="63">
        <f t="shared" ca="1" si="12"/>
        <v>17.584818181818182</v>
      </c>
      <c r="L59" s="63">
        <f t="shared" ca="1" si="12"/>
        <v>17.533899999999999</v>
      </c>
      <c r="M59" s="63">
        <f t="shared" ca="1" si="12"/>
        <v>16.4556</v>
      </c>
      <c r="N59" s="63">
        <f t="shared" ca="1" si="12"/>
        <v>16.286799999999999</v>
      </c>
      <c r="O59" s="63">
        <f t="shared" ca="1" si="12"/>
        <v>14.3195</v>
      </c>
      <c r="P59" s="63">
        <f t="shared" ca="1" si="12"/>
        <v>13.459599999999998</v>
      </c>
      <c r="Q59" s="63">
        <f t="shared" ca="1" si="12"/>
        <v>14.759499999999997</v>
      </c>
      <c r="R59" s="63">
        <f t="shared" ca="1" si="12"/>
        <v>16.912400000000002</v>
      </c>
      <c r="S59" s="63">
        <f t="shared" ca="1" si="12"/>
        <v>15.333299999999999</v>
      </c>
      <c r="T59" s="63"/>
      <c r="U59" s="63"/>
      <c r="V59" s="63"/>
      <c r="W59" s="63"/>
    </row>
    <row r="60" spans="1:23" x14ac:dyDescent="0.2">
      <c r="A60" s="31"/>
      <c r="B60" s="31"/>
      <c r="C60" s="1">
        <f ca="1">IF(ISERROR(D60),"",IF(D60="","",MAX($C$12:C59)+1))</f>
        <v>13</v>
      </c>
      <c r="D60" t="s">
        <v>257</v>
      </c>
      <c r="F60" s="63">
        <f ca="1">AVERAGE(G60:S60)</f>
        <v>17.44603846153846</v>
      </c>
      <c r="G60" s="63">
        <f>MEDIAN(G13:G58)</f>
        <v>22.95</v>
      </c>
      <c r="H60" s="63">
        <f t="shared" ref="H60" ca="1" si="15">MEDIAN(H13:H58)</f>
        <v>22.376999999999999</v>
      </c>
      <c r="I60" s="63">
        <f t="shared" ref="I60" ca="1" si="16">MEDIAN(I13:I58)</f>
        <v>21.643000000000001</v>
      </c>
      <c r="J60" s="63">
        <f t="shared" ref="J60:S60" ca="1" si="17">MEDIAN(J13:J58)</f>
        <v>17.949000000000002</v>
      </c>
      <c r="K60" s="63">
        <f t="shared" ca="1" si="17"/>
        <v>17.827000000000002</v>
      </c>
      <c r="L60" s="63">
        <f t="shared" ca="1" si="17"/>
        <v>17.114000000000001</v>
      </c>
      <c r="M60" s="63">
        <f t="shared" ca="1" si="17"/>
        <v>16.154</v>
      </c>
      <c r="N60" s="63">
        <f t="shared" ca="1" si="17"/>
        <v>16.221499999999999</v>
      </c>
      <c r="O60" s="63">
        <f t="shared" ca="1" si="17"/>
        <v>14.4765</v>
      </c>
      <c r="P60" s="63">
        <f t="shared" ca="1" si="17"/>
        <v>13.795999999999999</v>
      </c>
      <c r="Q60" s="63">
        <f t="shared" ca="1" si="17"/>
        <v>13.907499999999999</v>
      </c>
      <c r="R60" s="63">
        <f t="shared" ca="1" si="17"/>
        <v>16.728000000000002</v>
      </c>
      <c r="S60" s="63">
        <f t="shared" ca="1" si="17"/>
        <v>15.655000000000001</v>
      </c>
      <c r="T60" s="63"/>
      <c r="U60" s="63"/>
      <c r="V60" s="63"/>
      <c r="W60" s="63"/>
    </row>
    <row r="61" spans="1:23" x14ac:dyDescent="0.2">
      <c r="A61" s="31"/>
      <c r="B61" s="31"/>
      <c r="C61" s="1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</row>
    <row r="62" spans="1:23" x14ac:dyDescent="0.2">
      <c r="A62" s="31"/>
      <c r="B62" s="31"/>
      <c r="C62" s="1"/>
    </row>
    <row r="63" spans="1:23" ht="17.25" x14ac:dyDescent="0.25">
      <c r="A63" s="31"/>
      <c r="B63" s="31"/>
      <c r="C63" s="6"/>
      <c r="D63" s="6"/>
      <c r="E63" s="19"/>
      <c r="F63" s="235" t="s">
        <v>109</v>
      </c>
      <c r="G63" s="235"/>
      <c r="H63" s="235"/>
      <c r="I63" s="235"/>
      <c r="J63" s="235"/>
      <c r="K63" s="235"/>
      <c r="L63" s="235"/>
      <c r="M63" s="235"/>
      <c r="N63" s="235"/>
      <c r="O63" s="235"/>
      <c r="P63" s="235"/>
      <c r="Q63" s="235"/>
      <c r="R63" s="235"/>
      <c r="S63" s="235"/>
      <c r="T63" s="235"/>
      <c r="U63" s="235"/>
      <c r="V63" s="235"/>
      <c r="W63" s="235"/>
    </row>
    <row r="64" spans="1:23" ht="15" x14ac:dyDescent="0.25">
      <c r="A64" s="31"/>
      <c r="B64" s="31"/>
      <c r="C64" s="6"/>
      <c r="D64" s="7"/>
      <c r="E64" s="7"/>
      <c r="F64" s="8" t="s">
        <v>429</v>
      </c>
      <c r="G64" s="8"/>
      <c r="H64" s="8"/>
      <c r="I64" s="8"/>
      <c r="J64" s="8"/>
      <c r="K64" s="8"/>
      <c r="L64" s="8"/>
      <c r="M64" s="8"/>
      <c r="N64" s="8"/>
      <c r="O64" s="8"/>
      <c r="P64" s="7"/>
      <c r="Q64" s="7"/>
      <c r="R64" s="7"/>
      <c r="S64" s="7"/>
      <c r="T64" s="7"/>
      <c r="U64" s="7"/>
      <c r="V64" s="7"/>
    </row>
    <row r="65" spans="1:23" ht="17.25" x14ac:dyDescent="0.25">
      <c r="A65" s="31"/>
      <c r="B65" s="31"/>
      <c r="C65" s="9" t="s">
        <v>96</v>
      </c>
      <c r="D65" s="234" t="s">
        <v>97</v>
      </c>
      <c r="E65" s="234"/>
      <c r="F65" s="10" t="s">
        <v>98</v>
      </c>
      <c r="G65" s="10" t="s">
        <v>423</v>
      </c>
      <c r="H65" s="41">
        <v>2017</v>
      </c>
      <c r="I65" s="41">
        <v>2016</v>
      </c>
      <c r="J65" s="41">
        <v>2015</v>
      </c>
      <c r="K65" s="41">
        <v>2014</v>
      </c>
      <c r="L65" s="41">
        <v>2013</v>
      </c>
      <c r="M65" s="41">
        <v>2012</v>
      </c>
      <c r="N65" s="41">
        <v>2011</v>
      </c>
      <c r="O65" s="41">
        <v>2010</v>
      </c>
      <c r="P65" s="41">
        <v>2009</v>
      </c>
      <c r="Q65" s="41">
        <v>2008</v>
      </c>
      <c r="R65" s="41">
        <v>2007</v>
      </c>
      <c r="S65" s="41">
        <v>2006</v>
      </c>
      <c r="T65" s="41">
        <v>2005</v>
      </c>
      <c r="U65" s="41">
        <v>2004</v>
      </c>
      <c r="V65" s="41">
        <v>2003</v>
      </c>
      <c r="W65" s="41">
        <v>2002</v>
      </c>
    </row>
    <row r="66" spans="1:23" ht="15" x14ac:dyDescent="0.25">
      <c r="A66" s="42"/>
      <c r="B66" s="42"/>
      <c r="C66" s="9"/>
      <c r="D66" s="11"/>
      <c r="E66" s="11"/>
      <c r="F66" s="12">
        <v>-1</v>
      </c>
      <c r="G66" s="12">
        <f t="shared" ref="G66" si="18">+F66-1</f>
        <v>-2</v>
      </c>
      <c r="H66" s="12">
        <f t="shared" ref="H66" si="19">+G66-1</f>
        <v>-3</v>
      </c>
      <c r="I66" s="12">
        <f t="shared" ref="I66" si="20">+H66-1</f>
        <v>-4</v>
      </c>
      <c r="J66" s="12">
        <f t="shared" ref="J66" si="21">+I66-1</f>
        <v>-5</v>
      </c>
      <c r="K66" s="12">
        <f t="shared" ref="K66" si="22">+J66-1</f>
        <v>-6</v>
      </c>
      <c r="L66" s="12">
        <f t="shared" ref="L66" si="23">+K66-1</f>
        <v>-7</v>
      </c>
      <c r="M66" s="12">
        <f t="shared" ref="M66" si="24">+L66-1</f>
        <v>-8</v>
      </c>
      <c r="N66" s="12">
        <f t="shared" ref="N66" si="25">+M66-1</f>
        <v>-9</v>
      </c>
      <c r="O66" s="12">
        <f t="shared" ref="O66" si="26">+N66-1</f>
        <v>-10</v>
      </c>
      <c r="P66" s="12">
        <f t="shared" ref="P66" si="27">+O66-1</f>
        <v>-11</v>
      </c>
      <c r="Q66" s="12">
        <f t="shared" ref="Q66" si="28">+P66-1</f>
        <v>-12</v>
      </c>
      <c r="R66" s="12">
        <f t="shared" ref="R66" si="29">+Q66-1</f>
        <v>-13</v>
      </c>
      <c r="S66" s="12">
        <f t="shared" ref="S66" si="30">+R66-1</f>
        <v>-14</v>
      </c>
      <c r="T66" s="12">
        <f t="shared" ref="T66" si="31">+S66-1</f>
        <v>-15</v>
      </c>
      <c r="U66" s="12">
        <f t="shared" ref="U66" si="32">+T66-1</f>
        <v>-16</v>
      </c>
      <c r="V66" s="12">
        <f t="shared" ref="V66" si="33">+U66-1</f>
        <v>-17</v>
      </c>
      <c r="W66" s="12">
        <f t="shared" ref="W66" si="34">+V66-1</f>
        <v>-18</v>
      </c>
    </row>
    <row r="67" spans="1:23" x14ac:dyDescent="0.2">
      <c r="A67" s="43"/>
      <c r="B67" s="44"/>
      <c r="C67" s="6"/>
      <c r="E67" s="22"/>
      <c r="F67" s="36"/>
      <c r="G67" s="36"/>
      <c r="H67" s="36"/>
      <c r="I67" s="16">
        <f t="shared" ref="I67:J67" ca="1" si="35">MATCH(VALUE(LEFT(I65,4)),OFFSET(MP_CF_WP,-1,0,1,),0)</f>
        <v>6</v>
      </c>
      <c r="J67" s="16">
        <f t="shared" ca="1" si="35"/>
        <v>7</v>
      </c>
      <c r="K67" s="16">
        <f t="shared" ref="K67:W67" ca="1" si="36">MATCH(VALUE(LEFT(K65,4)),OFFSET(MP_CF_WP,-1,0,1,),0)</f>
        <v>8</v>
      </c>
      <c r="L67" s="16">
        <f t="shared" ca="1" si="36"/>
        <v>9</v>
      </c>
      <c r="M67" s="16">
        <f t="shared" ca="1" si="36"/>
        <v>10</v>
      </c>
      <c r="N67" s="16">
        <f t="shared" ca="1" si="36"/>
        <v>11</v>
      </c>
      <c r="O67" s="16">
        <f t="shared" ca="1" si="36"/>
        <v>12</v>
      </c>
      <c r="P67" s="16">
        <f t="shared" ca="1" si="36"/>
        <v>13</v>
      </c>
      <c r="Q67" s="16">
        <f t="shared" ca="1" si="36"/>
        <v>14</v>
      </c>
      <c r="R67" s="16">
        <f t="shared" ca="1" si="36"/>
        <v>15</v>
      </c>
      <c r="S67" s="16">
        <f t="shared" ca="1" si="36"/>
        <v>16</v>
      </c>
      <c r="T67" s="16">
        <f t="shared" ca="1" si="36"/>
        <v>17</v>
      </c>
      <c r="U67" s="16">
        <f t="shared" ca="1" si="36"/>
        <v>18</v>
      </c>
      <c r="V67" s="16">
        <f t="shared" ca="1" si="36"/>
        <v>19</v>
      </c>
      <c r="W67" s="16">
        <f t="shared" ca="1" si="36"/>
        <v>20</v>
      </c>
    </row>
    <row r="68" spans="1:23" x14ac:dyDescent="0.2">
      <c r="A68" s="51" t="str">
        <f t="shared" ref="A68:A112" si="37">A13</f>
        <v>ATO</v>
      </c>
      <c r="B68" s="46">
        <f t="shared" ref="B68:B112" ca="1" si="38">IFERROR(MATCH(A68,OFFSET(MP_CF_WP,0,0,,1),0),"")</f>
        <v>9</v>
      </c>
      <c r="C68" s="1">
        <f ca="1">C60+1</f>
        <v>14</v>
      </c>
      <c r="D68" t="str">
        <f t="shared" ref="D68:D112" ca="1" si="39">D13</f>
        <v>Atmos Energy</v>
      </c>
      <c r="E68" s="22"/>
      <c r="F68" s="63">
        <f ca="1">IFERROR(AVERAGE(G68:S68),"N/A")</f>
        <v>8.2753048730735674</v>
      </c>
      <c r="G68" s="63">
        <f t="shared" ref="G68:G112" si="40">IFERROR(IF(VLOOKUP(A68,LUCurYr,17,FALSE)=0,"",VLOOKUP(A68,LUCurYr,17,FALSE)),"N/A")</f>
        <v>12.328671328671328</v>
      </c>
      <c r="H68" s="63">
        <f ca="1">IFERROR(VLOOKUP($A68,LASTYR,'2017'!$L$3,FALSE),"N/A")</f>
        <v>11.986249622242369</v>
      </c>
      <c r="I68" s="63">
        <f t="shared" ref="I68:W83" ca="1" si="41">IFERROR(IF(INDEX(MP_CF_WP,$B68,I$67)=0,"N/A",INDEX(MP_CF_WP,$B68,I$67)),"N/A")</f>
        <v>11.359670382937471</v>
      </c>
      <c r="J68" s="63">
        <f t="shared" ca="1" si="41"/>
        <v>9.3031137106485478</v>
      </c>
      <c r="K68" s="63">
        <f t="shared" ca="1" si="41"/>
        <v>8.7932434927081413</v>
      </c>
      <c r="L68" s="63">
        <f t="shared" ca="1" si="41"/>
        <v>7.7219303366413694</v>
      </c>
      <c r="M68" s="63">
        <f t="shared" ca="1" si="41"/>
        <v>7.0247795044099117</v>
      </c>
      <c r="N68" s="63">
        <f t="shared" ca="1" si="41"/>
        <v>6.8703939008894528</v>
      </c>
      <c r="O68" s="63">
        <f t="shared" ca="1" si="41"/>
        <v>6.1520051746442439</v>
      </c>
      <c r="P68" s="63">
        <f t="shared" ca="1" si="41"/>
        <v>5.7602611940298498</v>
      </c>
      <c r="Q68" s="63">
        <f t="shared" ca="1" si="41"/>
        <v>6.4796088719294067</v>
      </c>
      <c r="R68" s="63">
        <f t="shared" ca="1" si="41"/>
        <v>7.443772672309553</v>
      </c>
      <c r="S68" s="63">
        <f t="shared" ca="1" si="41"/>
        <v>6.3552631578947363</v>
      </c>
      <c r="T68" s="63"/>
      <c r="U68" s="63"/>
      <c r="V68" s="63"/>
      <c r="W68" s="63"/>
    </row>
    <row r="69" spans="1:23" x14ac:dyDescent="0.2">
      <c r="A69" s="51" t="str">
        <f t="shared" si="37"/>
        <v>CPK</v>
      </c>
      <c r="B69" s="46">
        <f t="shared" ca="1" si="38"/>
        <v>16</v>
      </c>
      <c r="C69" s="1">
        <f ca="1">IF(ISERROR(D69),"",IF(D69="","",MAX($C$66:C68)+1))</f>
        <v>15</v>
      </c>
      <c r="D69" t="str">
        <f t="shared" ca="1" si="39"/>
        <v>Chesapeake Utilities</v>
      </c>
      <c r="E69" s="22"/>
      <c r="F69" s="63">
        <f t="shared" ref="F69:F112" ca="1" si="42">IFERROR(AVERAGE(G69:S69),"N/A")</f>
        <v>9.4568214603550942</v>
      </c>
      <c r="G69" s="63">
        <f t="shared" si="40"/>
        <v>13.073770491803279</v>
      </c>
      <c r="H69" s="63">
        <f ca="1">IFERROR(VLOOKUP($A69,LASTYR,'2017'!$L$3,FALSE),"N/A")</f>
        <v>13.775152298320105</v>
      </c>
      <c r="I69" s="63">
        <f t="shared" ca="1" si="41"/>
        <v>12.061785783459229</v>
      </c>
      <c r="J69" s="63">
        <f t="shared" ca="1" si="41"/>
        <v>10.156175771971498</v>
      </c>
      <c r="K69" s="63">
        <f t="shared" ca="1" si="41"/>
        <v>9.2457179107633749</v>
      </c>
      <c r="L69" s="63">
        <f t="shared" ca="1" si="41"/>
        <v>8.1181880892159111</v>
      </c>
      <c r="M69" s="63">
        <f t="shared" ca="1" si="41"/>
        <v>7.4640870005058169</v>
      </c>
      <c r="N69" s="63">
        <f t="shared" ca="1" si="41"/>
        <v>7.3488876831253398</v>
      </c>
      <c r="O69" s="63">
        <f t="shared" ca="1" si="41"/>
        <v>6.3584096109839816</v>
      </c>
      <c r="P69" s="63">
        <f t="shared" ca="1" si="41"/>
        <v>9.4753258845437625</v>
      </c>
      <c r="Q69" s="63">
        <f t="shared" ca="1" si="41"/>
        <v>7.8808000000000007</v>
      </c>
      <c r="R69" s="63">
        <f t="shared" ca="1" si="41"/>
        <v>8.5781746031746042</v>
      </c>
      <c r="S69" s="63">
        <f t="shared" ca="1" si="41"/>
        <v>9.4022038567493116</v>
      </c>
      <c r="T69" s="63"/>
      <c r="U69" s="63"/>
      <c r="V69" s="63"/>
      <c r="W69" s="63"/>
    </row>
    <row r="70" spans="1:23" x14ac:dyDescent="0.2">
      <c r="A70" s="51" t="str">
        <f t="shared" si="37"/>
        <v>NJR</v>
      </c>
      <c r="B70" s="46">
        <f t="shared" ca="1" si="38"/>
        <v>42</v>
      </c>
      <c r="C70" s="1">
        <f ca="1">IF(ISERROR(D70),"",IF(D70="","",MAX($C$66:C69)+1))</f>
        <v>16</v>
      </c>
      <c r="D70" t="str">
        <f t="shared" ca="1" si="39"/>
        <v>New Jersey Resources</v>
      </c>
      <c r="E70" s="22"/>
      <c r="F70" s="63">
        <f t="shared" ca="1" si="42"/>
        <v>11.823316697105039</v>
      </c>
      <c r="G70" s="63">
        <f t="shared" si="40"/>
        <v>11.78082191780822</v>
      </c>
      <c r="H70" s="63">
        <f ca="1">IFERROR(VLOOKUP($A70,LASTYR,'2017'!$L$3,FALSE),"N/A")</f>
        <v>14.450167973124302</v>
      </c>
      <c r="I70" s="63">
        <f t="shared" ca="1" si="41"/>
        <v>13.936048879837067</v>
      </c>
      <c r="J70" s="63">
        <f t="shared" ca="1" si="41"/>
        <v>11.711287128712872</v>
      </c>
      <c r="K70" s="63">
        <f t="shared" ca="1" si="41"/>
        <v>8.9486615328199495</v>
      </c>
      <c r="L70" s="63">
        <f t="shared" ca="1" si="41"/>
        <v>11.286601138127264</v>
      </c>
      <c r="M70" s="63">
        <f t="shared" ca="1" si="41"/>
        <v>12.292722371967656</v>
      </c>
      <c r="N70" s="63">
        <f t="shared" ca="1" si="41"/>
        <v>12.714117647058824</v>
      </c>
      <c r="O70" s="63">
        <f t="shared" ca="1" si="41"/>
        <v>11.320638820638822</v>
      </c>
      <c r="P70" s="63">
        <f t="shared" ca="1" si="41"/>
        <v>11.342621912602914</v>
      </c>
      <c r="Q70" s="63">
        <f t="shared" ca="1" si="41"/>
        <v>9.1496410822749858</v>
      </c>
      <c r="R70" s="63">
        <f t="shared" ca="1" si="41"/>
        <v>13.763934426229509</v>
      </c>
      <c r="S70" s="63">
        <f t="shared" ca="1" si="41"/>
        <v>11.00585223116313</v>
      </c>
      <c r="T70" s="63"/>
      <c r="U70" s="63"/>
      <c r="V70" s="63"/>
      <c r="W70" s="63"/>
    </row>
    <row r="71" spans="1:23" x14ac:dyDescent="0.2">
      <c r="A71" s="51" t="str">
        <f t="shared" si="37"/>
        <v>NI</v>
      </c>
      <c r="B71" s="46">
        <f t="shared" ca="1" si="38"/>
        <v>44</v>
      </c>
      <c r="C71" s="1">
        <f ca="1">IF(ISERROR(D71),"",IF(D71="","",MAX($C$66:C70)+1))</f>
        <v>17</v>
      </c>
      <c r="D71" t="str">
        <f t="shared" ca="1" si="39"/>
        <v>NiSource Inc.</v>
      </c>
      <c r="E71" s="22"/>
      <c r="F71" s="63">
        <f t="shared" ca="1" si="42"/>
        <v>7.7883329847280498</v>
      </c>
      <c r="G71" s="63">
        <f t="shared" si="40"/>
        <v>8.7068965517241388</v>
      </c>
      <c r="H71" s="63">
        <f ca="1">IFERROR(VLOOKUP($A71,LASTYR,'2017'!$L$3,FALSE),"N/A")</f>
        <v>12.109932497589201</v>
      </c>
      <c r="I71" s="63">
        <f t="shared" ca="1" si="41"/>
        <v>8.5609305760709002</v>
      </c>
      <c r="J71" s="63">
        <f t="shared" ca="1" si="41"/>
        <v>10.381288614298324</v>
      </c>
      <c r="K71" s="63">
        <f t="shared" ca="1" si="41"/>
        <v>10.564394993045896</v>
      </c>
      <c r="L71" s="63">
        <f t="shared" ca="1" si="41"/>
        <v>8.7092511013215859</v>
      </c>
      <c r="M71" s="63">
        <f t="shared" ca="1" si="41"/>
        <v>7.8117421825143589</v>
      </c>
      <c r="N71" s="63">
        <f t="shared" ca="1" si="41"/>
        <v>6.8133378016085793</v>
      </c>
      <c r="O71" s="63">
        <f t="shared" ca="1" si="41"/>
        <v>5.0931034482758619</v>
      </c>
      <c r="P71" s="63">
        <f t="shared" ca="1" si="41"/>
        <v>4.0637867026662171</v>
      </c>
      <c r="Q71" s="63">
        <f t="shared" ca="1" si="41"/>
        <v>4.8725135623869802</v>
      </c>
      <c r="R71" s="63">
        <f t="shared" ca="1" si="41"/>
        <v>6.6947565543071157</v>
      </c>
      <c r="S71" s="63">
        <f t="shared" ca="1" si="41"/>
        <v>6.866394215655454</v>
      </c>
      <c r="T71" s="63"/>
      <c r="U71" s="63"/>
      <c r="V71" s="63"/>
      <c r="W71" s="63"/>
    </row>
    <row r="72" spans="1:23" x14ac:dyDescent="0.2">
      <c r="A72" s="51" t="str">
        <f t="shared" si="37"/>
        <v>NWN</v>
      </c>
      <c r="B72" s="46">
        <f t="shared" ca="1" si="38"/>
        <v>45</v>
      </c>
      <c r="C72" s="1">
        <f ca="1">IF(ISERROR(D72),"",IF(D72="","",MAX($C$66:C71)+1))</f>
        <v>18</v>
      </c>
      <c r="D72" t="str">
        <f t="shared" ca="1" si="39"/>
        <v>Northwest Nat. Gas</v>
      </c>
      <c r="E72" s="22"/>
      <c r="F72" s="63">
        <f t="shared" ca="1" si="42"/>
        <v>13.235826116965692</v>
      </c>
      <c r="G72" s="63">
        <f t="shared" si="40"/>
        <v>12.978947368421052</v>
      </c>
      <c r="H72" s="63">
        <f ca="1">IFERROR(VLOOKUP($A72,LASTYR,'2017'!$L$3,FALSE),"N/A")</f>
        <v>59.719769673704413</v>
      </c>
      <c r="I72" s="63">
        <f t="shared" ca="1" si="41"/>
        <v>11.574934090448185</v>
      </c>
      <c r="J72" s="63">
        <f t="shared" ca="1" si="41"/>
        <v>9.4593603585251582</v>
      </c>
      <c r="K72" s="63">
        <f t="shared" ca="1" si="41"/>
        <v>8.8426988523941432</v>
      </c>
      <c r="L72" s="63">
        <f t="shared" ca="1" si="41"/>
        <v>8.6148045247072833</v>
      </c>
      <c r="M72" s="63">
        <f t="shared" ca="1" si="41"/>
        <v>9.4791329011345216</v>
      </c>
      <c r="N72" s="63">
        <f t="shared" ca="1" si="41"/>
        <v>9.0817182817182829</v>
      </c>
      <c r="O72" s="63">
        <f t="shared" ca="1" si="41"/>
        <v>8.9357762777242051</v>
      </c>
      <c r="P72" s="63">
        <f t="shared" ca="1" si="41"/>
        <v>8.2592806308905562</v>
      </c>
      <c r="Q72" s="63">
        <f t="shared" ca="1" si="41"/>
        <v>8.7531562087808545</v>
      </c>
      <c r="R72" s="63">
        <f t="shared" ca="1" si="41"/>
        <v>8.5409502680717324</v>
      </c>
      <c r="S72" s="63">
        <f t="shared" ca="1" si="41"/>
        <v>7.8252100840336132</v>
      </c>
      <c r="T72" s="63"/>
      <c r="U72" s="63"/>
      <c r="V72" s="63"/>
      <c r="W72" s="63"/>
    </row>
    <row r="73" spans="1:23" x14ac:dyDescent="0.2">
      <c r="A73" s="51" t="str">
        <f t="shared" si="37"/>
        <v>OGS</v>
      </c>
      <c r="B73" s="46">
        <f t="shared" ca="1" si="38"/>
        <v>48</v>
      </c>
      <c r="C73" s="1">
        <f ca="1">IF(ISERROR(D73),"",IF(D73="","",MAX($C$66:C72)+1))</f>
        <v>19</v>
      </c>
      <c r="D73" t="str">
        <f t="shared" ca="1" si="39"/>
        <v>ONE Gas Inc.</v>
      </c>
      <c r="E73" s="22"/>
      <c r="F73" s="63">
        <f t="shared" ca="1" si="42"/>
        <v>10.390241423901374</v>
      </c>
      <c r="G73" s="63">
        <f t="shared" si="40"/>
        <v>11.614173228346457</v>
      </c>
      <c r="H73" s="63">
        <f ca="1">IFERROR(VLOOKUP($A73,LASTYR,'2017'!$L$3,FALSE),"N/A")</f>
        <v>11.890100671140939</v>
      </c>
      <c r="I73" s="63">
        <f t="shared" ca="1" si="41"/>
        <v>11.095010127048425</v>
      </c>
      <c r="J73" s="63">
        <f t="shared" ca="1" si="41"/>
        <v>9.1913746630727751</v>
      </c>
      <c r="K73" s="63">
        <f t="shared" ca="1" si="41"/>
        <v>8.1605484298982756</v>
      </c>
      <c r="L73" s="63" t="str">
        <f t="shared" ca="1" si="41"/>
        <v>N/A</v>
      </c>
      <c r="M73" s="63" t="str">
        <f t="shared" ca="1" si="41"/>
        <v>N/A</v>
      </c>
      <c r="N73" s="63" t="str">
        <f t="shared" ca="1" si="41"/>
        <v>N/A</v>
      </c>
      <c r="O73" s="63" t="str">
        <f t="shared" ca="1" si="41"/>
        <v>N/A</v>
      </c>
      <c r="P73" s="63" t="str">
        <f t="shared" ca="1" si="41"/>
        <v>N/A</v>
      </c>
      <c r="Q73" s="63" t="str">
        <f t="shared" ca="1" si="41"/>
        <v>N/A</v>
      </c>
      <c r="R73" s="63" t="str">
        <f t="shared" ca="1" si="41"/>
        <v>N/A</v>
      </c>
      <c r="S73" s="63" t="str">
        <f t="shared" ca="1" si="41"/>
        <v>N/A</v>
      </c>
      <c r="T73" s="63"/>
      <c r="U73" s="63"/>
      <c r="V73" s="63"/>
      <c r="W73" s="63"/>
    </row>
    <row r="74" spans="1:23" x14ac:dyDescent="0.2">
      <c r="A74" s="51" t="str">
        <f t="shared" si="37"/>
        <v>SJI</v>
      </c>
      <c r="B74" s="46">
        <f t="shared" ca="1" si="38"/>
        <v>61</v>
      </c>
      <c r="C74" s="1">
        <f ca="1">IF(ISERROR(D74),"",IF(D74="","",MAX($C$66:C73)+1))</f>
        <v>20</v>
      </c>
      <c r="D74" t="str">
        <f t="shared" ca="1" si="39"/>
        <v>South Jersey Inds.</v>
      </c>
      <c r="E74" s="22"/>
      <c r="F74" s="63">
        <f t="shared" ca="1" si="42"/>
        <v>10.88782199398017</v>
      </c>
      <c r="G74" s="63">
        <f t="shared" si="40"/>
        <v>12.294117647058824</v>
      </c>
      <c r="H74" s="63">
        <f ca="1">IFERROR(VLOOKUP($A74,LASTYR,'2017'!$L$3,FALSE),"N/A")</f>
        <v>12.331059245960502</v>
      </c>
      <c r="I74" s="63">
        <f t="shared" ca="1" si="41"/>
        <v>10.877383177570096</v>
      </c>
      <c r="J74" s="63">
        <f t="shared" ca="1" si="41"/>
        <v>10.697847682119205</v>
      </c>
      <c r="K74" s="63">
        <f t="shared" ca="1" si="41"/>
        <v>10.566454511418945</v>
      </c>
      <c r="L74" s="63">
        <f t="shared" ca="1" si="41"/>
        <v>11.566235864297255</v>
      </c>
      <c r="M74" s="63">
        <f t="shared" ca="1" si="41"/>
        <v>10.945392491467578</v>
      </c>
      <c r="N74" s="63">
        <f t="shared" ca="1" si="41"/>
        <v>11.975784753363229</v>
      </c>
      <c r="O74" s="63">
        <f t="shared" ca="1" si="41"/>
        <v>10.784220532319392</v>
      </c>
      <c r="P74" s="63">
        <f t="shared" ca="1" si="41"/>
        <v>9.5734265734265733</v>
      </c>
      <c r="Q74" s="63">
        <f t="shared" ca="1" si="41"/>
        <v>10.381472957422325</v>
      </c>
      <c r="R74" s="63">
        <f t="shared" ca="1" si="41"/>
        <v>11.228267667292059</v>
      </c>
      <c r="S74" s="63">
        <f t="shared" ca="1" si="41"/>
        <v>8.3200228180262421</v>
      </c>
      <c r="T74" s="63"/>
      <c r="U74" s="63"/>
      <c r="V74" s="63"/>
      <c r="W74" s="63"/>
    </row>
    <row r="75" spans="1:23" x14ac:dyDescent="0.2">
      <c r="A75" s="51" t="str">
        <f t="shared" si="37"/>
        <v>SWX</v>
      </c>
      <c r="B75" s="46">
        <f t="shared" ca="1" si="38"/>
        <v>63</v>
      </c>
      <c r="C75" s="1">
        <f ca="1">IF(ISERROR(D75),"",IF(D75="","",MAX($C$66:C74)+1))</f>
        <v>21</v>
      </c>
      <c r="D75" t="str">
        <f t="shared" ca="1" si="39"/>
        <v>Southwest Gas</v>
      </c>
      <c r="E75" s="22"/>
      <c r="F75" s="63">
        <f t="shared" ca="1" si="42"/>
        <v>6.084968635509366</v>
      </c>
      <c r="G75" s="63">
        <f t="shared" si="40"/>
        <v>8.25</v>
      </c>
      <c r="H75" s="63">
        <f ca="1">IFERROR(VLOOKUP($A75,LASTYR,'2017'!$L$3,FALSE),"N/A")</f>
        <v>9.1038152383108795</v>
      </c>
      <c r="I75" s="63">
        <f t="shared" ca="1" si="41"/>
        <v>7.4075987514799264</v>
      </c>
      <c r="J75" s="63">
        <f t="shared" ca="1" si="41"/>
        <v>6.5555040018559332</v>
      </c>
      <c r="K75" s="63">
        <f t="shared" ca="1" si="41"/>
        <v>6.3454910292728997</v>
      </c>
      <c r="L75" s="63">
        <f t="shared" ca="1" si="41"/>
        <v>5.9443231441048043</v>
      </c>
      <c r="M75" s="63">
        <f t="shared" ca="1" si="41"/>
        <v>5.5499935325313672</v>
      </c>
      <c r="N75" s="63">
        <f t="shared" ca="1" si="41"/>
        <v>5.6010872759330006</v>
      </c>
      <c r="O75" s="63">
        <f t="shared" ca="1" si="41"/>
        <v>4.9079089924160346</v>
      </c>
      <c r="P75" s="63">
        <f t="shared" ca="1" si="41"/>
        <v>3.844379467186485</v>
      </c>
      <c r="Q75" s="63">
        <f t="shared" ca="1" si="41"/>
        <v>4.8887732083984039</v>
      </c>
      <c r="R75" s="63">
        <f t="shared" ca="1" si="41"/>
        <v>5.4208407150909972</v>
      </c>
      <c r="S75" s="63">
        <f t="shared" ca="1" si="41"/>
        <v>5.284876905041032</v>
      </c>
      <c r="T75" s="63"/>
      <c r="U75" s="63"/>
      <c r="V75" s="63"/>
      <c r="W75" s="63"/>
    </row>
    <row r="76" spans="1:23" x14ac:dyDescent="0.2">
      <c r="A76" s="51" t="str">
        <f t="shared" si="37"/>
        <v>SR</v>
      </c>
      <c r="B76" s="46">
        <f t="shared" ca="1" si="38"/>
        <v>64</v>
      </c>
      <c r="C76" s="1">
        <f ca="1">IF(ISERROR(D76),"",IF(D76="","",MAX($C$66:C75)+1))</f>
        <v>22</v>
      </c>
      <c r="D76" t="str">
        <f t="shared" ca="1" si="39"/>
        <v>Spire Inc.</v>
      </c>
      <c r="E76" s="22"/>
      <c r="F76" s="63">
        <f t="shared" ca="1" si="42"/>
        <v>9.5195721731389149</v>
      </c>
      <c r="G76" s="63">
        <f t="shared" si="40"/>
        <v>9.3311258278145708</v>
      </c>
      <c r="H76" s="63">
        <f ca="1">IFERROR(VLOOKUP($A76,LASTYR,'2017'!$L$3,FALSE),"N/A")</f>
        <v>10.393059165265248</v>
      </c>
      <c r="I76" s="63">
        <f t="shared" ca="1" si="41"/>
        <v>10.319909061383566</v>
      </c>
      <c r="J76" s="63">
        <f t="shared" ca="1" si="41"/>
        <v>8.4657133571660701</v>
      </c>
      <c r="K76" s="63">
        <f t="shared" ca="1" si="41"/>
        <v>12.031290405999483</v>
      </c>
      <c r="L76" s="63">
        <f t="shared" ca="1" si="41"/>
        <v>13.755847484780519</v>
      </c>
      <c r="M76" s="63">
        <f t="shared" ca="1" si="41"/>
        <v>8.8010471204188487</v>
      </c>
      <c r="N76" s="63">
        <f t="shared" ca="1" si="41"/>
        <v>8.079904720658293</v>
      </c>
      <c r="O76" s="63">
        <f t="shared" ca="1" si="41"/>
        <v>8.1248478948649296</v>
      </c>
      <c r="P76" s="63">
        <f t="shared" ca="1" si="41"/>
        <v>8.579328505595786</v>
      </c>
      <c r="Q76" s="63">
        <f t="shared" ca="1" si="41"/>
        <v>8.9523809523809508</v>
      </c>
      <c r="R76" s="63">
        <f t="shared" ca="1" si="41"/>
        <v>8.4581827568404755</v>
      </c>
      <c r="S76" s="63">
        <f t="shared" ca="1" si="41"/>
        <v>8.4618009976371749</v>
      </c>
      <c r="T76" s="63"/>
      <c r="U76" s="63"/>
      <c r="V76" s="63"/>
      <c r="W76" s="63"/>
    </row>
    <row r="77" spans="1:23" x14ac:dyDescent="0.2">
      <c r="A77" s="51" t="str">
        <f t="shared" si="37"/>
        <v>UGI</v>
      </c>
      <c r="B77" s="46">
        <f t="shared" ca="1" si="38"/>
        <v>66</v>
      </c>
      <c r="C77" s="1">
        <f ca="1">IF(ISERROR(D77),"",IF(D77="","",MAX($C$66:C76)+1))</f>
        <v>23</v>
      </c>
      <c r="D77" t="str">
        <f t="shared" ca="1" si="39"/>
        <v>UGI Corp.</v>
      </c>
      <c r="E77" s="22"/>
      <c r="F77" s="63">
        <f t="shared" ca="1" si="42"/>
        <v>7.6362723677848496</v>
      </c>
      <c r="G77" s="63">
        <f t="shared" si="40"/>
        <v>9.5809523809523807</v>
      </c>
      <c r="H77" s="63">
        <f ca="1">IFERROR(VLOOKUP($A77,LASTYR,'2017'!$L$3,FALSE),"N/A")</f>
        <v>10.091562698244871</v>
      </c>
      <c r="I77" s="63">
        <f t="shared" ca="1" si="41"/>
        <v>9.0175238962221211</v>
      </c>
      <c r="J77" s="63">
        <f t="shared" ca="1" si="41"/>
        <v>8.467300832342449</v>
      </c>
      <c r="K77" s="63">
        <f t="shared" ca="1" si="41"/>
        <v>7.4872933629410312</v>
      </c>
      <c r="L77" s="63">
        <f t="shared" ca="1" si="41"/>
        <v>6.5533049040511733</v>
      </c>
      <c r="M77" s="63">
        <f t="shared" ca="1" si="41"/>
        <v>6.3007543456871105</v>
      </c>
      <c r="N77" s="63">
        <f t="shared" ca="1" si="41"/>
        <v>7.5111030214779761</v>
      </c>
      <c r="O77" s="63">
        <f t="shared" ca="1" si="41"/>
        <v>6.0150034891835311</v>
      </c>
      <c r="P77" s="63">
        <f t="shared" ca="1" si="41"/>
        <v>5.7384833451452861</v>
      </c>
      <c r="Q77" s="63">
        <f t="shared" ca="1" si="41"/>
        <v>7.1116035455277995</v>
      </c>
      <c r="R77" s="63">
        <f t="shared" ca="1" si="41"/>
        <v>7.9175897208684098</v>
      </c>
      <c r="S77" s="63">
        <f t="shared" ca="1" si="41"/>
        <v>7.4790652385589098</v>
      </c>
      <c r="T77" s="63"/>
      <c r="U77" s="63"/>
      <c r="V77" s="63"/>
      <c r="W77" s="63"/>
    </row>
    <row r="78" spans="1:23" x14ac:dyDescent="0.2">
      <c r="A78" s="51" t="str">
        <f t="shared" si="37"/>
        <v>WGL</v>
      </c>
      <c r="B78" s="46">
        <f t="shared" ca="1" si="38"/>
        <v>73</v>
      </c>
      <c r="C78" s="1">
        <f ca="1">IF(ISERROR(D78),"",IF(D78="","",MAX($C$66:C77)+1))</f>
        <v>24</v>
      </c>
      <c r="D78" t="str">
        <f t="shared" ca="1" si="39"/>
        <v>WGL Holdings Inc.</v>
      </c>
      <c r="E78" s="22"/>
      <c r="F78" s="63">
        <f t="shared" ca="1" si="42"/>
        <v>9.1744107576116871</v>
      </c>
      <c r="G78" s="63" t="str">
        <f t="shared" si="40"/>
        <v>N/A</v>
      </c>
      <c r="H78" s="63">
        <f ca="1">IFERROR(VLOOKUP($A78,LASTYR,'2017'!$L$3,FALSE),"N/A")</f>
        <v>12.918384036637226</v>
      </c>
      <c r="I78" s="63">
        <f t="shared" ca="1" si="41"/>
        <v>11.36384122031548</v>
      </c>
      <c r="J78" s="63">
        <f t="shared" ca="1" si="41"/>
        <v>9.5870380289234074</v>
      </c>
      <c r="K78" s="63">
        <f t="shared" ca="1" si="41"/>
        <v>8.4593749999999996</v>
      </c>
      <c r="L78" s="63">
        <f t="shared" ca="1" si="41"/>
        <v>9.8308840681128995</v>
      </c>
      <c r="M78" s="63">
        <f t="shared" ca="1" si="41"/>
        <v>9.0269137436576212</v>
      </c>
      <c r="N78" s="63">
        <f t="shared" ca="1" si="41"/>
        <v>9.5160727635185651</v>
      </c>
      <c r="O78" s="63">
        <f t="shared" ca="1" si="41"/>
        <v>8.3439552420335694</v>
      </c>
      <c r="P78" s="63">
        <f t="shared" ca="1" si="41"/>
        <v>7.1658789106459606</v>
      </c>
      <c r="Q78" s="63">
        <f t="shared" ca="1" si="41"/>
        <v>7.6821848352154865</v>
      </c>
      <c r="R78" s="63">
        <f t="shared" ca="1" si="41"/>
        <v>8.3900180087471057</v>
      </c>
      <c r="S78" s="63">
        <f t="shared" ca="1" si="41"/>
        <v>7.8083832335329344</v>
      </c>
      <c r="T78" s="63" t="str">
        <f t="shared" ca="1" si="41"/>
        <v>N/A</v>
      </c>
      <c r="U78" s="63" t="str">
        <f t="shared" ca="1" si="41"/>
        <v>N/A</v>
      </c>
      <c r="V78" s="63" t="str">
        <f t="shared" ca="1" si="41"/>
        <v>N/A</v>
      </c>
      <c r="W78" s="63" t="str">
        <f t="shared" ca="1" si="41"/>
        <v>N/A</v>
      </c>
    </row>
    <row r="79" spans="1:23" hidden="1" x14ac:dyDescent="0.2">
      <c r="A79" s="51">
        <f t="shared" si="37"/>
        <v>0</v>
      </c>
      <c r="B79" s="46" t="str">
        <f t="shared" ca="1" si="38"/>
        <v/>
      </c>
      <c r="C79" s="1" t="str">
        <f>IF(ISERROR(D79),"",IF(D79="","",MAX($C$66:C78)+1))</f>
        <v/>
      </c>
      <c r="D79" t="e">
        <f t="shared" si="39"/>
        <v>#N/A</v>
      </c>
      <c r="E79" s="22"/>
      <c r="F79" s="63" t="str">
        <f t="shared" ca="1" si="42"/>
        <v>N/A</v>
      </c>
      <c r="G79" s="63" t="str">
        <f t="shared" si="40"/>
        <v>N/A</v>
      </c>
      <c r="H79" s="63" t="str">
        <f ca="1">IFERROR(VLOOKUP($A79,LASTYR,'2017'!$L$3,FALSE),"N/A")</f>
        <v>N/A</v>
      </c>
      <c r="I79" s="63" t="str">
        <f t="shared" ca="1" si="41"/>
        <v>N/A</v>
      </c>
      <c r="J79" s="63" t="str">
        <f t="shared" ca="1" si="41"/>
        <v>N/A</v>
      </c>
      <c r="K79" s="63" t="str">
        <f t="shared" ca="1" si="41"/>
        <v>N/A</v>
      </c>
      <c r="L79" s="63" t="str">
        <f t="shared" ca="1" si="41"/>
        <v>N/A</v>
      </c>
      <c r="M79" s="63" t="str">
        <f t="shared" ca="1" si="41"/>
        <v>N/A</v>
      </c>
      <c r="N79" s="63" t="str">
        <f t="shared" ca="1" si="41"/>
        <v>N/A</v>
      </c>
      <c r="O79" s="63" t="str">
        <f t="shared" ca="1" si="41"/>
        <v>N/A</v>
      </c>
      <c r="P79" s="63" t="str">
        <f t="shared" ca="1" si="41"/>
        <v>N/A</v>
      </c>
      <c r="Q79" s="63" t="str">
        <f t="shared" ca="1" si="41"/>
        <v>N/A</v>
      </c>
      <c r="R79" s="63" t="str">
        <f t="shared" ca="1" si="41"/>
        <v>N/A</v>
      </c>
      <c r="S79" s="63" t="str">
        <f t="shared" ca="1" si="41"/>
        <v>N/A</v>
      </c>
      <c r="T79" s="63" t="str">
        <f t="shared" ca="1" si="41"/>
        <v>N/A</v>
      </c>
      <c r="U79" s="63" t="str">
        <f t="shared" ca="1" si="41"/>
        <v>N/A</v>
      </c>
      <c r="V79" s="63" t="str">
        <f t="shared" ca="1" si="41"/>
        <v>N/A</v>
      </c>
      <c r="W79" s="63" t="str">
        <f t="shared" ca="1" si="41"/>
        <v>N/A</v>
      </c>
    </row>
    <row r="80" spans="1:23" hidden="1" x14ac:dyDescent="0.2">
      <c r="A80" s="51">
        <f t="shared" si="37"/>
        <v>0</v>
      </c>
      <c r="B80" s="46" t="str">
        <f t="shared" ca="1" si="38"/>
        <v/>
      </c>
      <c r="C80" s="1" t="str">
        <f>IF(ISERROR(D80),"",IF(D80="","",MAX($C$66:C79)+1))</f>
        <v/>
      </c>
      <c r="D80" t="e">
        <f t="shared" si="39"/>
        <v>#N/A</v>
      </c>
      <c r="E80" s="22"/>
      <c r="F80" s="63" t="str">
        <f t="shared" ca="1" si="42"/>
        <v>N/A</v>
      </c>
      <c r="G80" s="63" t="str">
        <f t="shared" si="40"/>
        <v>N/A</v>
      </c>
      <c r="H80" s="63" t="str">
        <f ca="1">IFERROR(VLOOKUP($A80,LASTYR,'2017'!$L$3,FALSE),"N/A")</f>
        <v>N/A</v>
      </c>
      <c r="I80" s="63" t="str">
        <f t="shared" ca="1" si="41"/>
        <v>N/A</v>
      </c>
      <c r="J80" s="63" t="str">
        <f t="shared" ca="1" si="41"/>
        <v>N/A</v>
      </c>
      <c r="K80" s="63" t="str">
        <f t="shared" ca="1" si="41"/>
        <v>N/A</v>
      </c>
      <c r="L80" s="63" t="str">
        <f t="shared" ca="1" si="41"/>
        <v>N/A</v>
      </c>
      <c r="M80" s="63" t="str">
        <f t="shared" ca="1" si="41"/>
        <v>N/A</v>
      </c>
      <c r="N80" s="63" t="str">
        <f t="shared" ca="1" si="41"/>
        <v>N/A</v>
      </c>
      <c r="O80" s="63" t="str">
        <f t="shared" ca="1" si="41"/>
        <v>N/A</v>
      </c>
      <c r="P80" s="63" t="str">
        <f t="shared" ca="1" si="41"/>
        <v>N/A</v>
      </c>
      <c r="Q80" s="63" t="str">
        <f t="shared" ca="1" si="41"/>
        <v>N/A</v>
      </c>
      <c r="R80" s="63" t="str">
        <f t="shared" ca="1" si="41"/>
        <v>N/A</v>
      </c>
      <c r="S80" s="63" t="str">
        <f t="shared" ca="1" si="41"/>
        <v>N/A</v>
      </c>
      <c r="T80" s="63" t="str">
        <f t="shared" ca="1" si="41"/>
        <v>N/A</v>
      </c>
      <c r="U80" s="63" t="str">
        <f t="shared" ca="1" si="41"/>
        <v>N/A</v>
      </c>
      <c r="V80" s="63" t="str">
        <f t="shared" ca="1" si="41"/>
        <v>N/A</v>
      </c>
      <c r="W80" s="63" t="str">
        <f t="shared" ca="1" si="41"/>
        <v>N/A</v>
      </c>
    </row>
    <row r="81" spans="1:23" hidden="1" x14ac:dyDescent="0.2">
      <c r="A81" s="51">
        <f t="shared" si="37"/>
        <v>0</v>
      </c>
      <c r="B81" s="46" t="str">
        <f t="shared" ca="1" si="38"/>
        <v/>
      </c>
      <c r="C81" s="1" t="str">
        <f>IF(ISERROR(D81),"",IF(D81="","",MAX($C$66:C80)+1))</f>
        <v/>
      </c>
      <c r="D81" t="e">
        <f t="shared" si="39"/>
        <v>#N/A</v>
      </c>
      <c r="E81" s="22"/>
      <c r="F81" s="63" t="str">
        <f t="shared" ca="1" si="42"/>
        <v>N/A</v>
      </c>
      <c r="G81" s="63" t="str">
        <f t="shared" si="40"/>
        <v>N/A</v>
      </c>
      <c r="H81" s="63" t="str">
        <f ca="1">IFERROR(VLOOKUP($A81,LASTYR,'2017'!$L$3,FALSE),"N/A")</f>
        <v>N/A</v>
      </c>
      <c r="I81" s="63" t="str">
        <f t="shared" ca="1" si="41"/>
        <v>N/A</v>
      </c>
      <c r="J81" s="63" t="str">
        <f t="shared" ca="1" si="41"/>
        <v>N/A</v>
      </c>
      <c r="K81" s="63" t="str">
        <f t="shared" ca="1" si="41"/>
        <v>N/A</v>
      </c>
      <c r="L81" s="63" t="str">
        <f t="shared" ca="1" si="41"/>
        <v>N/A</v>
      </c>
      <c r="M81" s="63" t="str">
        <f t="shared" ca="1" si="41"/>
        <v>N/A</v>
      </c>
      <c r="N81" s="63" t="str">
        <f t="shared" ca="1" si="41"/>
        <v>N/A</v>
      </c>
      <c r="O81" s="63" t="str">
        <f t="shared" ca="1" si="41"/>
        <v>N/A</v>
      </c>
      <c r="P81" s="63" t="str">
        <f t="shared" ca="1" si="41"/>
        <v>N/A</v>
      </c>
      <c r="Q81" s="63" t="str">
        <f t="shared" ca="1" si="41"/>
        <v>N/A</v>
      </c>
      <c r="R81" s="63" t="str">
        <f t="shared" ca="1" si="41"/>
        <v>N/A</v>
      </c>
      <c r="S81" s="63" t="str">
        <f t="shared" ca="1" si="41"/>
        <v>N/A</v>
      </c>
      <c r="T81" s="63" t="str">
        <f t="shared" ca="1" si="41"/>
        <v>N/A</v>
      </c>
      <c r="U81" s="63" t="str">
        <f t="shared" ca="1" si="41"/>
        <v>N/A</v>
      </c>
      <c r="V81" s="63" t="str">
        <f t="shared" ca="1" si="41"/>
        <v>N/A</v>
      </c>
      <c r="W81" s="63" t="str">
        <f t="shared" ca="1" si="41"/>
        <v>N/A</v>
      </c>
    </row>
    <row r="82" spans="1:23" hidden="1" x14ac:dyDescent="0.2">
      <c r="A82" s="51">
        <f t="shared" si="37"/>
        <v>0</v>
      </c>
      <c r="B82" s="46" t="str">
        <f t="shared" ca="1" si="38"/>
        <v/>
      </c>
      <c r="C82" s="1" t="str">
        <f>IF(ISERROR(D82),"",IF(D82="","",MAX($C$66:C81)+1))</f>
        <v/>
      </c>
      <c r="D82" t="e">
        <f t="shared" si="39"/>
        <v>#N/A</v>
      </c>
      <c r="E82" s="22"/>
      <c r="F82" s="63" t="str">
        <f t="shared" ca="1" si="42"/>
        <v>N/A</v>
      </c>
      <c r="G82" s="63" t="str">
        <f t="shared" si="40"/>
        <v>N/A</v>
      </c>
      <c r="H82" s="63" t="str">
        <f ca="1">IFERROR(VLOOKUP($A82,LASTYR,'2017'!$L$3,FALSE),"N/A")</f>
        <v>N/A</v>
      </c>
      <c r="I82" s="63" t="str">
        <f t="shared" ca="1" si="41"/>
        <v>N/A</v>
      </c>
      <c r="J82" s="63" t="str">
        <f t="shared" ca="1" si="41"/>
        <v>N/A</v>
      </c>
      <c r="K82" s="63" t="str">
        <f t="shared" ca="1" si="41"/>
        <v>N/A</v>
      </c>
      <c r="L82" s="63" t="str">
        <f t="shared" ca="1" si="41"/>
        <v>N/A</v>
      </c>
      <c r="M82" s="63" t="str">
        <f t="shared" ca="1" si="41"/>
        <v>N/A</v>
      </c>
      <c r="N82" s="63" t="str">
        <f t="shared" ca="1" si="41"/>
        <v>N/A</v>
      </c>
      <c r="O82" s="63" t="str">
        <f t="shared" ca="1" si="41"/>
        <v>N/A</v>
      </c>
      <c r="P82" s="63" t="str">
        <f t="shared" ca="1" si="41"/>
        <v>N/A</v>
      </c>
      <c r="Q82" s="63" t="str">
        <f t="shared" ca="1" si="41"/>
        <v>N/A</v>
      </c>
      <c r="R82" s="63" t="str">
        <f t="shared" ca="1" si="41"/>
        <v>N/A</v>
      </c>
      <c r="S82" s="63" t="str">
        <f t="shared" ca="1" si="41"/>
        <v>N/A</v>
      </c>
      <c r="T82" s="63" t="str">
        <f t="shared" ca="1" si="41"/>
        <v>N/A</v>
      </c>
      <c r="U82" s="63" t="str">
        <f t="shared" ca="1" si="41"/>
        <v>N/A</v>
      </c>
      <c r="V82" s="63" t="str">
        <f t="shared" ca="1" si="41"/>
        <v>N/A</v>
      </c>
      <c r="W82" s="63" t="str">
        <f t="shared" ca="1" si="41"/>
        <v>N/A</v>
      </c>
    </row>
    <row r="83" spans="1:23" hidden="1" x14ac:dyDescent="0.2">
      <c r="A83" s="51">
        <f t="shared" si="37"/>
        <v>0</v>
      </c>
      <c r="B83" s="46" t="str">
        <f t="shared" ca="1" si="38"/>
        <v/>
      </c>
      <c r="C83" s="1" t="str">
        <f>IF(ISERROR(D83),"",IF(D83="","",MAX($C$66:C82)+1))</f>
        <v/>
      </c>
      <c r="D83" t="e">
        <f t="shared" si="39"/>
        <v>#N/A</v>
      </c>
      <c r="E83" s="22"/>
      <c r="F83" s="63" t="str">
        <f t="shared" ca="1" si="42"/>
        <v>N/A</v>
      </c>
      <c r="G83" s="63" t="str">
        <f t="shared" si="40"/>
        <v>N/A</v>
      </c>
      <c r="H83" s="63" t="str">
        <f ca="1">IFERROR(VLOOKUP($A83,LASTYR,'2017'!$L$3,FALSE),"N/A")</f>
        <v>N/A</v>
      </c>
      <c r="I83" s="63" t="str">
        <f t="shared" ca="1" si="41"/>
        <v>N/A</v>
      </c>
      <c r="J83" s="63" t="str">
        <f t="shared" ca="1" si="41"/>
        <v>N/A</v>
      </c>
      <c r="K83" s="63" t="str">
        <f t="shared" ca="1" si="41"/>
        <v>N/A</v>
      </c>
      <c r="L83" s="63" t="str">
        <f t="shared" ca="1" si="41"/>
        <v>N/A</v>
      </c>
      <c r="M83" s="63" t="str">
        <f t="shared" ca="1" si="41"/>
        <v>N/A</v>
      </c>
      <c r="N83" s="63" t="str">
        <f t="shared" ca="1" si="41"/>
        <v>N/A</v>
      </c>
      <c r="O83" s="63" t="str">
        <f t="shared" ca="1" si="41"/>
        <v>N/A</v>
      </c>
      <c r="P83" s="63" t="str">
        <f t="shared" ca="1" si="41"/>
        <v>N/A</v>
      </c>
      <c r="Q83" s="63" t="str">
        <f t="shared" ca="1" si="41"/>
        <v>N/A</v>
      </c>
      <c r="R83" s="63" t="str">
        <f t="shared" ca="1" si="41"/>
        <v>N/A</v>
      </c>
      <c r="S83" s="63" t="str">
        <f t="shared" ca="1" si="41"/>
        <v>N/A</v>
      </c>
      <c r="T83" s="63" t="str">
        <f t="shared" ca="1" si="41"/>
        <v>N/A</v>
      </c>
      <c r="U83" s="63" t="str">
        <f t="shared" ca="1" si="41"/>
        <v>N/A</v>
      </c>
      <c r="V83" s="63" t="str">
        <f t="shared" ca="1" si="41"/>
        <v>N/A</v>
      </c>
      <c r="W83" s="63" t="str">
        <f t="shared" ca="1" si="41"/>
        <v>N/A</v>
      </c>
    </row>
    <row r="84" spans="1:23" hidden="1" x14ac:dyDescent="0.2">
      <c r="A84" s="51">
        <f t="shared" si="37"/>
        <v>0</v>
      </c>
      <c r="B84" s="46" t="str">
        <f t="shared" ca="1" si="38"/>
        <v/>
      </c>
      <c r="C84" s="1" t="str">
        <f>IF(ISERROR(D84),"",IF(D84="","",MAX($C$66:C83)+1))</f>
        <v/>
      </c>
      <c r="D84" t="e">
        <f t="shared" si="39"/>
        <v>#N/A</v>
      </c>
      <c r="E84" s="22"/>
      <c r="F84" s="63" t="str">
        <f t="shared" ca="1" si="42"/>
        <v>N/A</v>
      </c>
      <c r="G84" s="63" t="str">
        <f t="shared" si="40"/>
        <v>N/A</v>
      </c>
      <c r="H84" s="63" t="str">
        <f ca="1">IFERROR(VLOOKUP($A84,LASTYR,'2017'!$L$3,FALSE),"N/A")</f>
        <v>N/A</v>
      </c>
      <c r="I84" s="63" t="str">
        <f t="shared" ref="I84:I112" ca="1" si="43">IFERROR(IF(INDEX(MP_CF_WP,$B84,I$67)=0,"N/A",INDEX(MP_CF_WP,$B84,I$67)),"N/A")</f>
        <v>N/A</v>
      </c>
      <c r="J84" s="63" t="str">
        <f t="shared" ref="J84:W102" ca="1" si="44">IFERROR(IF(INDEX(MP_CF_WP,$B84,J$67)=0,"N/A",INDEX(MP_CF_WP,$B84,J$67)),"N/A")</f>
        <v>N/A</v>
      </c>
      <c r="K84" s="63" t="str">
        <f t="shared" ca="1" si="44"/>
        <v>N/A</v>
      </c>
      <c r="L84" s="63" t="str">
        <f t="shared" ca="1" si="44"/>
        <v>N/A</v>
      </c>
      <c r="M84" s="63" t="str">
        <f t="shared" ca="1" si="44"/>
        <v>N/A</v>
      </c>
      <c r="N84" s="63" t="str">
        <f t="shared" ca="1" si="44"/>
        <v>N/A</v>
      </c>
      <c r="O84" s="63" t="str">
        <f t="shared" ca="1" si="44"/>
        <v>N/A</v>
      </c>
      <c r="P84" s="63" t="str">
        <f t="shared" ca="1" si="44"/>
        <v>N/A</v>
      </c>
      <c r="Q84" s="63" t="str">
        <f t="shared" ca="1" si="44"/>
        <v>N/A</v>
      </c>
      <c r="R84" s="63" t="str">
        <f t="shared" ca="1" si="44"/>
        <v>N/A</v>
      </c>
      <c r="S84" s="63" t="str">
        <f t="shared" ca="1" si="44"/>
        <v>N/A</v>
      </c>
      <c r="T84" s="63" t="str">
        <f t="shared" ca="1" si="44"/>
        <v>N/A</v>
      </c>
      <c r="U84" s="63" t="str">
        <f t="shared" ca="1" si="44"/>
        <v>N/A</v>
      </c>
      <c r="V84" s="63" t="str">
        <f t="shared" ca="1" si="44"/>
        <v>N/A</v>
      </c>
      <c r="W84" s="63" t="str">
        <f t="shared" ca="1" si="44"/>
        <v>N/A</v>
      </c>
    </row>
    <row r="85" spans="1:23" hidden="1" x14ac:dyDescent="0.2">
      <c r="A85" s="51">
        <f t="shared" si="37"/>
        <v>0</v>
      </c>
      <c r="B85" s="46" t="str">
        <f t="shared" ca="1" si="38"/>
        <v/>
      </c>
      <c r="C85" s="1" t="str">
        <f>IF(ISERROR(D85),"",IF(D85="","",MAX($C$66:C84)+1))</f>
        <v/>
      </c>
      <c r="D85" t="e">
        <f t="shared" si="39"/>
        <v>#N/A</v>
      </c>
      <c r="E85" s="22"/>
      <c r="F85" s="63" t="str">
        <f t="shared" ca="1" si="42"/>
        <v>N/A</v>
      </c>
      <c r="G85" s="63" t="str">
        <f t="shared" si="40"/>
        <v>N/A</v>
      </c>
      <c r="H85" s="63" t="str">
        <f ca="1">IFERROR(VLOOKUP($A85,LASTYR,'2017'!$L$3,FALSE),"N/A")</f>
        <v>N/A</v>
      </c>
      <c r="I85" s="63" t="str">
        <f t="shared" ca="1" si="43"/>
        <v>N/A</v>
      </c>
      <c r="J85" s="63" t="str">
        <f t="shared" ca="1" si="44"/>
        <v>N/A</v>
      </c>
      <c r="K85" s="63" t="str">
        <f t="shared" ca="1" si="44"/>
        <v>N/A</v>
      </c>
      <c r="L85" s="63" t="str">
        <f t="shared" ca="1" si="44"/>
        <v>N/A</v>
      </c>
      <c r="M85" s="63" t="str">
        <f t="shared" ca="1" si="44"/>
        <v>N/A</v>
      </c>
      <c r="N85" s="63" t="str">
        <f t="shared" ca="1" si="44"/>
        <v>N/A</v>
      </c>
      <c r="O85" s="63" t="str">
        <f t="shared" ca="1" si="44"/>
        <v>N/A</v>
      </c>
      <c r="P85" s="63" t="str">
        <f t="shared" ca="1" si="44"/>
        <v>N/A</v>
      </c>
      <c r="Q85" s="63" t="str">
        <f t="shared" ca="1" si="44"/>
        <v>N/A</v>
      </c>
      <c r="R85" s="63" t="str">
        <f t="shared" ca="1" si="44"/>
        <v>N/A</v>
      </c>
      <c r="S85" s="63" t="str">
        <f t="shared" ca="1" si="44"/>
        <v>N/A</v>
      </c>
      <c r="T85" s="63" t="str">
        <f t="shared" ca="1" si="44"/>
        <v>N/A</v>
      </c>
      <c r="U85" s="63" t="str">
        <f t="shared" ca="1" si="44"/>
        <v>N/A</v>
      </c>
      <c r="V85" s="63" t="str">
        <f t="shared" ca="1" si="44"/>
        <v>N/A</v>
      </c>
      <c r="W85" s="63" t="str">
        <f t="shared" ca="1" si="44"/>
        <v>N/A</v>
      </c>
    </row>
    <row r="86" spans="1:23" hidden="1" x14ac:dyDescent="0.2">
      <c r="A86" s="51">
        <f t="shared" si="37"/>
        <v>0</v>
      </c>
      <c r="B86" s="46" t="str">
        <f t="shared" ca="1" si="38"/>
        <v/>
      </c>
      <c r="C86" s="1" t="str">
        <f>IF(ISERROR(D86),"",IF(D86="","",MAX($C$66:C85)+1))</f>
        <v/>
      </c>
      <c r="D86" t="e">
        <f t="shared" si="39"/>
        <v>#N/A</v>
      </c>
      <c r="E86" s="22"/>
      <c r="F86" s="63" t="str">
        <f t="shared" ca="1" si="42"/>
        <v>N/A</v>
      </c>
      <c r="G86" s="63" t="str">
        <f t="shared" si="40"/>
        <v>N/A</v>
      </c>
      <c r="H86" s="63" t="str">
        <f ca="1">IFERROR(VLOOKUP($A86,LASTYR,'2017'!$L$3,FALSE),"N/A")</f>
        <v>N/A</v>
      </c>
      <c r="I86" s="63" t="str">
        <f t="shared" ca="1" si="43"/>
        <v>N/A</v>
      </c>
      <c r="J86" s="63" t="str">
        <f t="shared" ca="1" si="44"/>
        <v>N/A</v>
      </c>
      <c r="K86" s="63" t="str">
        <f t="shared" ca="1" si="44"/>
        <v>N/A</v>
      </c>
      <c r="L86" s="63" t="str">
        <f t="shared" ca="1" si="44"/>
        <v>N/A</v>
      </c>
      <c r="M86" s="63" t="str">
        <f t="shared" ca="1" si="44"/>
        <v>N/A</v>
      </c>
      <c r="N86" s="63" t="str">
        <f t="shared" ca="1" si="44"/>
        <v>N/A</v>
      </c>
      <c r="O86" s="63" t="str">
        <f t="shared" ca="1" si="44"/>
        <v>N/A</v>
      </c>
      <c r="P86" s="63" t="str">
        <f t="shared" ca="1" si="44"/>
        <v>N/A</v>
      </c>
      <c r="Q86" s="63" t="str">
        <f t="shared" ca="1" si="44"/>
        <v>N/A</v>
      </c>
      <c r="R86" s="63" t="str">
        <f t="shared" ca="1" si="44"/>
        <v>N/A</v>
      </c>
      <c r="S86" s="63" t="str">
        <f t="shared" ca="1" si="44"/>
        <v>N/A</v>
      </c>
      <c r="T86" s="63" t="str">
        <f t="shared" ca="1" si="44"/>
        <v>N/A</v>
      </c>
      <c r="U86" s="63" t="str">
        <f t="shared" ca="1" si="44"/>
        <v>N/A</v>
      </c>
      <c r="V86" s="63" t="str">
        <f t="shared" ca="1" si="44"/>
        <v>N/A</v>
      </c>
      <c r="W86" s="63" t="str">
        <f t="shared" ca="1" si="44"/>
        <v>N/A</v>
      </c>
    </row>
    <row r="87" spans="1:23" hidden="1" x14ac:dyDescent="0.2">
      <c r="A87" s="51">
        <f t="shared" si="37"/>
        <v>0</v>
      </c>
      <c r="B87" s="46" t="str">
        <f t="shared" ca="1" si="38"/>
        <v/>
      </c>
      <c r="C87" s="1" t="str">
        <f>IF(ISERROR(D87),"",IF(D87="","",MAX($C$66:C86)+1))</f>
        <v/>
      </c>
      <c r="D87" t="e">
        <f t="shared" si="39"/>
        <v>#N/A</v>
      </c>
      <c r="E87" s="22"/>
      <c r="F87" s="63" t="str">
        <f t="shared" ca="1" si="42"/>
        <v>N/A</v>
      </c>
      <c r="G87" s="63" t="str">
        <f t="shared" si="40"/>
        <v>N/A</v>
      </c>
      <c r="H87" s="63" t="str">
        <f ca="1">IFERROR(VLOOKUP($A87,LASTYR,'2017'!$L$3,FALSE),"N/A")</f>
        <v>N/A</v>
      </c>
      <c r="I87" s="63" t="str">
        <f t="shared" ca="1" si="43"/>
        <v>N/A</v>
      </c>
      <c r="J87" s="63" t="str">
        <f t="shared" ca="1" si="44"/>
        <v>N/A</v>
      </c>
      <c r="K87" s="63" t="str">
        <f t="shared" ca="1" si="44"/>
        <v>N/A</v>
      </c>
      <c r="L87" s="63" t="str">
        <f t="shared" ca="1" si="44"/>
        <v>N/A</v>
      </c>
      <c r="M87" s="63" t="str">
        <f t="shared" ca="1" si="44"/>
        <v>N/A</v>
      </c>
      <c r="N87" s="63" t="str">
        <f t="shared" ca="1" si="44"/>
        <v>N/A</v>
      </c>
      <c r="O87" s="63" t="str">
        <f t="shared" ca="1" si="44"/>
        <v>N/A</v>
      </c>
      <c r="P87" s="63" t="str">
        <f t="shared" ca="1" si="44"/>
        <v>N/A</v>
      </c>
      <c r="Q87" s="63" t="str">
        <f t="shared" ca="1" si="44"/>
        <v>N/A</v>
      </c>
      <c r="R87" s="63" t="str">
        <f t="shared" ca="1" si="44"/>
        <v>N/A</v>
      </c>
      <c r="S87" s="63" t="str">
        <f t="shared" ca="1" si="44"/>
        <v>N/A</v>
      </c>
      <c r="T87" s="63" t="str">
        <f t="shared" ca="1" si="44"/>
        <v>N/A</v>
      </c>
      <c r="U87" s="63" t="str">
        <f t="shared" ca="1" si="44"/>
        <v>N/A</v>
      </c>
      <c r="V87" s="63" t="str">
        <f t="shared" ca="1" si="44"/>
        <v>N/A</v>
      </c>
      <c r="W87" s="63" t="str">
        <f t="shared" ca="1" si="44"/>
        <v>N/A</v>
      </c>
    </row>
    <row r="88" spans="1:23" hidden="1" x14ac:dyDescent="0.2">
      <c r="A88" s="51">
        <f t="shared" si="37"/>
        <v>0</v>
      </c>
      <c r="B88" s="46" t="str">
        <f t="shared" ca="1" si="38"/>
        <v/>
      </c>
      <c r="C88" s="1" t="str">
        <f>IF(ISERROR(D88),"",IF(D88="","",MAX($C$66:C87)+1))</f>
        <v/>
      </c>
      <c r="D88" t="e">
        <f t="shared" si="39"/>
        <v>#N/A</v>
      </c>
      <c r="E88" s="22"/>
      <c r="F88" s="63" t="str">
        <f t="shared" ca="1" si="42"/>
        <v>N/A</v>
      </c>
      <c r="G88" s="63" t="str">
        <f t="shared" si="40"/>
        <v>N/A</v>
      </c>
      <c r="H88" s="63" t="str">
        <f ca="1">IFERROR(VLOOKUP($A88,LASTYR,'2017'!$L$3,FALSE),"N/A")</f>
        <v>N/A</v>
      </c>
      <c r="I88" s="63" t="str">
        <f t="shared" ca="1" si="43"/>
        <v>N/A</v>
      </c>
      <c r="J88" s="63" t="str">
        <f t="shared" ca="1" si="44"/>
        <v>N/A</v>
      </c>
      <c r="K88" s="63" t="str">
        <f t="shared" ca="1" si="44"/>
        <v>N/A</v>
      </c>
      <c r="L88" s="63" t="str">
        <f t="shared" ca="1" si="44"/>
        <v>N/A</v>
      </c>
      <c r="M88" s="63" t="str">
        <f t="shared" ca="1" si="44"/>
        <v>N/A</v>
      </c>
      <c r="N88" s="63" t="str">
        <f t="shared" ca="1" si="44"/>
        <v>N/A</v>
      </c>
      <c r="O88" s="63" t="str">
        <f t="shared" ca="1" si="44"/>
        <v>N/A</v>
      </c>
      <c r="P88" s="63" t="str">
        <f t="shared" ca="1" si="44"/>
        <v>N/A</v>
      </c>
      <c r="Q88" s="63" t="str">
        <f t="shared" ca="1" si="44"/>
        <v>N/A</v>
      </c>
      <c r="R88" s="63" t="str">
        <f t="shared" ca="1" si="44"/>
        <v>N/A</v>
      </c>
      <c r="S88" s="63" t="str">
        <f t="shared" ca="1" si="44"/>
        <v>N/A</v>
      </c>
      <c r="T88" s="63" t="str">
        <f t="shared" ca="1" si="44"/>
        <v>N/A</v>
      </c>
      <c r="U88" s="63" t="str">
        <f t="shared" ca="1" si="44"/>
        <v>N/A</v>
      </c>
      <c r="V88" s="63" t="str">
        <f t="shared" ca="1" si="44"/>
        <v>N/A</v>
      </c>
      <c r="W88" s="63" t="str">
        <f t="shared" ca="1" si="44"/>
        <v>N/A</v>
      </c>
    </row>
    <row r="89" spans="1:23" hidden="1" x14ac:dyDescent="0.2">
      <c r="A89" s="51">
        <f t="shared" si="37"/>
        <v>0</v>
      </c>
      <c r="B89" s="46" t="str">
        <f t="shared" ca="1" si="38"/>
        <v/>
      </c>
      <c r="C89" s="1" t="str">
        <f>IF(ISERROR(D89),"",IF(D89="","",MAX($C$66:C88)+1))</f>
        <v/>
      </c>
      <c r="D89" t="e">
        <f t="shared" si="39"/>
        <v>#N/A</v>
      </c>
      <c r="E89" s="22"/>
      <c r="F89" s="63" t="str">
        <f t="shared" ca="1" si="42"/>
        <v>N/A</v>
      </c>
      <c r="G89" s="63" t="str">
        <f t="shared" si="40"/>
        <v>N/A</v>
      </c>
      <c r="H89" s="63" t="str">
        <f ca="1">IFERROR(VLOOKUP($A89,LASTYR,'2017'!$L$3,FALSE),"N/A")</f>
        <v>N/A</v>
      </c>
      <c r="I89" s="63" t="str">
        <f t="shared" ca="1" si="43"/>
        <v>N/A</v>
      </c>
      <c r="J89" s="63" t="str">
        <f t="shared" ca="1" si="44"/>
        <v>N/A</v>
      </c>
      <c r="K89" s="63" t="str">
        <f t="shared" ca="1" si="44"/>
        <v>N/A</v>
      </c>
      <c r="L89" s="63" t="str">
        <f t="shared" ca="1" si="44"/>
        <v>N/A</v>
      </c>
      <c r="M89" s="63" t="str">
        <f t="shared" ca="1" si="44"/>
        <v>N/A</v>
      </c>
      <c r="N89" s="63" t="str">
        <f t="shared" ca="1" si="44"/>
        <v>N/A</v>
      </c>
      <c r="O89" s="63" t="str">
        <f t="shared" ca="1" si="44"/>
        <v>N/A</v>
      </c>
      <c r="P89" s="63" t="str">
        <f t="shared" ca="1" si="44"/>
        <v>N/A</v>
      </c>
      <c r="Q89" s="63" t="str">
        <f t="shared" ca="1" si="44"/>
        <v>N/A</v>
      </c>
      <c r="R89" s="63" t="str">
        <f t="shared" ca="1" si="44"/>
        <v>N/A</v>
      </c>
      <c r="S89" s="63" t="str">
        <f t="shared" ca="1" si="44"/>
        <v>N/A</v>
      </c>
      <c r="T89" s="63" t="str">
        <f t="shared" ca="1" si="44"/>
        <v>N/A</v>
      </c>
      <c r="U89" s="63" t="str">
        <f t="shared" ca="1" si="44"/>
        <v>N/A</v>
      </c>
      <c r="V89" s="63" t="str">
        <f t="shared" ca="1" si="44"/>
        <v>N/A</v>
      </c>
      <c r="W89" s="63" t="str">
        <f t="shared" ca="1" si="44"/>
        <v>N/A</v>
      </c>
    </row>
    <row r="90" spans="1:23" hidden="1" x14ac:dyDescent="0.2">
      <c r="A90" s="51">
        <f t="shared" si="37"/>
        <v>0</v>
      </c>
      <c r="B90" s="46" t="str">
        <f t="shared" ca="1" si="38"/>
        <v/>
      </c>
      <c r="C90" s="1" t="str">
        <f>IF(ISERROR(D90),"",IF(D90="","",MAX($C$66:C89)+1))</f>
        <v/>
      </c>
      <c r="D90" t="e">
        <f t="shared" si="39"/>
        <v>#N/A</v>
      </c>
      <c r="E90" s="22"/>
      <c r="F90" s="63" t="str">
        <f t="shared" ca="1" si="42"/>
        <v>N/A</v>
      </c>
      <c r="G90" s="63" t="str">
        <f t="shared" si="40"/>
        <v>N/A</v>
      </c>
      <c r="H90" s="63" t="str">
        <f ca="1">IFERROR(VLOOKUP($A90,LASTYR,'2017'!$L$3,FALSE),"N/A")</f>
        <v>N/A</v>
      </c>
      <c r="I90" s="63" t="str">
        <f t="shared" ca="1" si="43"/>
        <v>N/A</v>
      </c>
      <c r="J90" s="63" t="str">
        <f t="shared" ca="1" si="44"/>
        <v>N/A</v>
      </c>
      <c r="K90" s="63" t="str">
        <f t="shared" ca="1" si="44"/>
        <v>N/A</v>
      </c>
      <c r="L90" s="63" t="str">
        <f t="shared" ca="1" si="44"/>
        <v>N/A</v>
      </c>
      <c r="M90" s="63" t="str">
        <f t="shared" ca="1" si="44"/>
        <v>N/A</v>
      </c>
      <c r="N90" s="63" t="str">
        <f t="shared" ca="1" si="44"/>
        <v>N/A</v>
      </c>
      <c r="O90" s="63" t="str">
        <f t="shared" ca="1" si="44"/>
        <v>N/A</v>
      </c>
      <c r="P90" s="63" t="str">
        <f t="shared" ca="1" si="44"/>
        <v>N/A</v>
      </c>
      <c r="Q90" s="63" t="str">
        <f t="shared" ca="1" si="44"/>
        <v>N/A</v>
      </c>
      <c r="R90" s="63" t="str">
        <f t="shared" ca="1" si="44"/>
        <v>N/A</v>
      </c>
      <c r="S90" s="63" t="str">
        <f t="shared" ca="1" si="44"/>
        <v>N/A</v>
      </c>
      <c r="T90" s="63" t="str">
        <f t="shared" ca="1" si="44"/>
        <v>N/A</v>
      </c>
      <c r="U90" s="63" t="str">
        <f t="shared" ca="1" si="44"/>
        <v>N/A</v>
      </c>
      <c r="V90" s="63" t="str">
        <f t="shared" ca="1" si="44"/>
        <v>N/A</v>
      </c>
      <c r="W90" s="63" t="str">
        <f t="shared" ca="1" si="44"/>
        <v>N/A</v>
      </c>
    </row>
    <row r="91" spans="1:23" hidden="1" x14ac:dyDescent="0.2">
      <c r="A91" s="51">
        <f t="shared" si="37"/>
        <v>0</v>
      </c>
      <c r="B91" s="46" t="str">
        <f t="shared" ca="1" si="38"/>
        <v/>
      </c>
      <c r="C91" s="1" t="str">
        <f>IF(ISERROR(D91),"",IF(D91="","",MAX($C$66:C90)+1))</f>
        <v/>
      </c>
      <c r="D91" t="e">
        <f t="shared" si="39"/>
        <v>#N/A</v>
      </c>
      <c r="E91" s="22"/>
      <c r="F91" s="63" t="str">
        <f t="shared" ca="1" si="42"/>
        <v>N/A</v>
      </c>
      <c r="G91" s="63" t="str">
        <f t="shared" si="40"/>
        <v>N/A</v>
      </c>
      <c r="H91" s="63" t="str">
        <f ca="1">IFERROR(VLOOKUP($A91,LASTYR,'2017'!$L$3,FALSE),"N/A")</f>
        <v>N/A</v>
      </c>
      <c r="I91" s="63" t="str">
        <f t="shared" ca="1" si="43"/>
        <v>N/A</v>
      </c>
      <c r="J91" s="63" t="str">
        <f t="shared" ca="1" si="44"/>
        <v>N/A</v>
      </c>
      <c r="K91" s="63" t="str">
        <f t="shared" ca="1" si="44"/>
        <v>N/A</v>
      </c>
      <c r="L91" s="63" t="str">
        <f t="shared" ca="1" si="44"/>
        <v>N/A</v>
      </c>
      <c r="M91" s="63" t="str">
        <f t="shared" ca="1" si="44"/>
        <v>N/A</v>
      </c>
      <c r="N91" s="63" t="str">
        <f t="shared" ca="1" si="44"/>
        <v>N/A</v>
      </c>
      <c r="O91" s="63" t="str">
        <f t="shared" ca="1" si="44"/>
        <v>N/A</v>
      </c>
      <c r="P91" s="63" t="str">
        <f t="shared" ca="1" si="44"/>
        <v>N/A</v>
      </c>
      <c r="Q91" s="63" t="str">
        <f t="shared" ca="1" si="44"/>
        <v>N/A</v>
      </c>
      <c r="R91" s="63" t="str">
        <f t="shared" ca="1" si="44"/>
        <v>N/A</v>
      </c>
      <c r="S91" s="63" t="str">
        <f t="shared" ca="1" si="44"/>
        <v>N/A</v>
      </c>
      <c r="T91" s="63" t="str">
        <f t="shared" ca="1" si="44"/>
        <v>N/A</v>
      </c>
      <c r="U91" s="63" t="str">
        <f t="shared" ca="1" si="44"/>
        <v>N/A</v>
      </c>
      <c r="V91" s="63" t="str">
        <f t="shared" ca="1" si="44"/>
        <v>N/A</v>
      </c>
      <c r="W91" s="63" t="str">
        <f t="shared" ca="1" si="44"/>
        <v>N/A</v>
      </c>
    </row>
    <row r="92" spans="1:23" hidden="1" x14ac:dyDescent="0.2">
      <c r="A92" s="51">
        <f t="shared" si="37"/>
        <v>0</v>
      </c>
      <c r="B92" s="46" t="str">
        <f t="shared" ca="1" si="38"/>
        <v/>
      </c>
      <c r="C92" s="1" t="str">
        <f>IF(ISERROR(D92),"",IF(D92="","",MAX($C$66:C91)+1))</f>
        <v/>
      </c>
      <c r="D92" t="e">
        <f t="shared" si="39"/>
        <v>#N/A</v>
      </c>
      <c r="E92" s="22"/>
      <c r="F92" s="63" t="str">
        <f t="shared" ca="1" si="42"/>
        <v>N/A</v>
      </c>
      <c r="G92" s="63" t="str">
        <f t="shared" si="40"/>
        <v>N/A</v>
      </c>
      <c r="H92" s="63" t="str">
        <f ca="1">IFERROR(VLOOKUP($A92,LASTYR,'2017'!$L$3,FALSE),"N/A")</f>
        <v>N/A</v>
      </c>
      <c r="I92" s="63" t="str">
        <f t="shared" ca="1" si="43"/>
        <v>N/A</v>
      </c>
      <c r="J92" s="63" t="str">
        <f t="shared" ca="1" si="44"/>
        <v>N/A</v>
      </c>
      <c r="K92" s="63" t="str">
        <f t="shared" ca="1" si="44"/>
        <v>N/A</v>
      </c>
      <c r="L92" s="63" t="str">
        <f t="shared" ca="1" si="44"/>
        <v>N/A</v>
      </c>
      <c r="M92" s="63" t="str">
        <f t="shared" ca="1" si="44"/>
        <v>N/A</v>
      </c>
      <c r="N92" s="63" t="str">
        <f t="shared" ca="1" si="44"/>
        <v>N/A</v>
      </c>
      <c r="O92" s="63" t="str">
        <f t="shared" ca="1" si="44"/>
        <v>N/A</v>
      </c>
      <c r="P92" s="63" t="str">
        <f t="shared" ca="1" si="44"/>
        <v>N/A</v>
      </c>
      <c r="Q92" s="63" t="str">
        <f t="shared" ca="1" si="44"/>
        <v>N/A</v>
      </c>
      <c r="R92" s="63" t="str">
        <f t="shared" ca="1" si="44"/>
        <v>N/A</v>
      </c>
      <c r="S92" s="63" t="str">
        <f t="shared" ca="1" si="44"/>
        <v>N/A</v>
      </c>
      <c r="T92" s="63" t="str">
        <f t="shared" ca="1" si="44"/>
        <v>N/A</v>
      </c>
      <c r="U92" s="63" t="str">
        <f t="shared" ca="1" si="44"/>
        <v>N/A</v>
      </c>
      <c r="V92" s="63" t="str">
        <f t="shared" ca="1" si="44"/>
        <v>N/A</v>
      </c>
      <c r="W92" s="63" t="str">
        <f t="shared" ca="1" si="44"/>
        <v>N/A</v>
      </c>
    </row>
    <row r="93" spans="1:23" hidden="1" x14ac:dyDescent="0.2">
      <c r="A93" s="51">
        <f t="shared" si="37"/>
        <v>0</v>
      </c>
      <c r="B93" s="46" t="str">
        <f t="shared" ca="1" si="38"/>
        <v/>
      </c>
      <c r="C93" s="1" t="str">
        <f>IF(ISERROR(D93),"",IF(D93="","",MAX($C$66:C92)+1))</f>
        <v/>
      </c>
      <c r="D93" t="e">
        <f t="shared" si="39"/>
        <v>#N/A</v>
      </c>
      <c r="E93" s="22"/>
      <c r="F93" s="63" t="str">
        <f t="shared" ca="1" si="42"/>
        <v>N/A</v>
      </c>
      <c r="G93" s="63" t="str">
        <f t="shared" si="40"/>
        <v>N/A</v>
      </c>
      <c r="H93" s="63" t="str">
        <f ca="1">IFERROR(VLOOKUP($A93,LASTYR,'2017'!$L$3,FALSE),"N/A")</f>
        <v>N/A</v>
      </c>
      <c r="I93" s="63" t="str">
        <f t="shared" ca="1" si="43"/>
        <v>N/A</v>
      </c>
      <c r="J93" s="63" t="str">
        <f t="shared" ca="1" si="44"/>
        <v>N/A</v>
      </c>
      <c r="K93" s="63" t="str">
        <f t="shared" ca="1" si="44"/>
        <v>N/A</v>
      </c>
      <c r="L93" s="63" t="str">
        <f t="shared" ca="1" si="44"/>
        <v>N/A</v>
      </c>
      <c r="M93" s="63" t="str">
        <f t="shared" ca="1" si="44"/>
        <v>N/A</v>
      </c>
      <c r="N93" s="63" t="str">
        <f t="shared" ca="1" si="44"/>
        <v>N/A</v>
      </c>
      <c r="O93" s="63" t="str">
        <f t="shared" ca="1" si="44"/>
        <v>N/A</v>
      </c>
      <c r="P93" s="63" t="str">
        <f t="shared" ca="1" si="44"/>
        <v>N/A</v>
      </c>
      <c r="Q93" s="63" t="str">
        <f t="shared" ca="1" si="44"/>
        <v>N/A</v>
      </c>
      <c r="R93" s="63" t="str">
        <f t="shared" ca="1" si="44"/>
        <v>N/A</v>
      </c>
      <c r="S93" s="63" t="str">
        <f t="shared" ca="1" si="44"/>
        <v>N/A</v>
      </c>
      <c r="T93" s="63" t="str">
        <f t="shared" ca="1" si="44"/>
        <v>N/A</v>
      </c>
      <c r="U93" s="63" t="str">
        <f t="shared" ca="1" si="44"/>
        <v>N/A</v>
      </c>
      <c r="V93" s="63" t="str">
        <f t="shared" ca="1" si="44"/>
        <v>N/A</v>
      </c>
      <c r="W93" s="63" t="str">
        <f t="shared" ca="1" si="44"/>
        <v>N/A</v>
      </c>
    </row>
    <row r="94" spans="1:23" hidden="1" x14ac:dyDescent="0.2">
      <c r="A94" s="51">
        <f t="shared" si="37"/>
        <v>0</v>
      </c>
      <c r="B94" s="46" t="str">
        <f t="shared" ca="1" si="38"/>
        <v/>
      </c>
      <c r="C94" s="1" t="str">
        <f>IF(ISERROR(D94),"",IF(D94="","",MAX($C$66:C93)+1))</f>
        <v/>
      </c>
      <c r="D94" t="e">
        <f t="shared" si="39"/>
        <v>#N/A</v>
      </c>
      <c r="E94" s="22"/>
      <c r="F94" s="63" t="str">
        <f t="shared" ca="1" si="42"/>
        <v>N/A</v>
      </c>
      <c r="G94" s="63" t="str">
        <f t="shared" si="40"/>
        <v>N/A</v>
      </c>
      <c r="H94" s="63" t="str">
        <f ca="1">IFERROR(VLOOKUP($A94,LASTYR,'2017'!$L$3,FALSE),"N/A")</f>
        <v>N/A</v>
      </c>
      <c r="I94" s="63" t="str">
        <f t="shared" ca="1" si="43"/>
        <v>N/A</v>
      </c>
      <c r="J94" s="63" t="str">
        <f t="shared" ca="1" si="44"/>
        <v>N/A</v>
      </c>
      <c r="K94" s="63" t="str">
        <f t="shared" ca="1" si="44"/>
        <v>N/A</v>
      </c>
      <c r="L94" s="63" t="str">
        <f t="shared" ca="1" si="44"/>
        <v>N/A</v>
      </c>
      <c r="M94" s="63" t="str">
        <f t="shared" ca="1" si="44"/>
        <v>N/A</v>
      </c>
      <c r="N94" s="63" t="str">
        <f t="shared" ca="1" si="44"/>
        <v>N/A</v>
      </c>
      <c r="O94" s="63" t="str">
        <f t="shared" ca="1" si="44"/>
        <v>N/A</v>
      </c>
      <c r="P94" s="63" t="str">
        <f t="shared" ca="1" si="44"/>
        <v>N/A</v>
      </c>
      <c r="Q94" s="63" t="str">
        <f t="shared" ca="1" si="44"/>
        <v>N/A</v>
      </c>
      <c r="R94" s="63" t="str">
        <f t="shared" ca="1" si="44"/>
        <v>N/A</v>
      </c>
      <c r="S94" s="63" t="str">
        <f t="shared" ca="1" si="44"/>
        <v>N/A</v>
      </c>
      <c r="T94" s="63" t="str">
        <f t="shared" ca="1" si="44"/>
        <v>N/A</v>
      </c>
      <c r="U94" s="63" t="str">
        <f t="shared" ca="1" si="44"/>
        <v>N/A</v>
      </c>
      <c r="V94" s="63" t="str">
        <f t="shared" ca="1" si="44"/>
        <v>N/A</v>
      </c>
      <c r="W94" s="63" t="str">
        <f t="shared" ca="1" si="44"/>
        <v>N/A</v>
      </c>
    </row>
    <row r="95" spans="1:23" hidden="1" x14ac:dyDescent="0.2">
      <c r="A95" s="51">
        <f t="shared" si="37"/>
        <v>0</v>
      </c>
      <c r="B95" s="46" t="str">
        <f t="shared" ca="1" si="38"/>
        <v/>
      </c>
      <c r="C95" s="1" t="str">
        <f>IF(ISERROR(D95),"",IF(D95="","",MAX($C$66:C94)+1))</f>
        <v/>
      </c>
      <c r="D95" t="e">
        <f t="shared" si="39"/>
        <v>#N/A</v>
      </c>
      <c r="E95" s="22"/>
      <c r="F95" s="63" t="str">
        <f t="shared" ca="1" si="42"/>
        <v>N/A</v>
      </c>
      <c r="G95" s="63" t="str">
        <f t="shared" si="40"/>
        <v>N/A</v>
      </c>
      <c r="H95" s="63" t="str">
        <f ca="1">IFERROR(VLOOKUP($A95,LASTYR,'2017'!$L$3,FALSE),"N/A")</f>
        <v>N/A</v>
      </c>
      <c r="I95" s="63" t="str">
        <f t="shared" ca="1" si="43"/>
        <v>N/A</v>
      </c>
      <c r="J95" s="63" t="str">
        <f t="shared" ca="1" si="44"/>
        <v>N/A</v>
      </c>
      <c r="K95" s="63" t="str">
        <f t="shared" ca="1" si="44"/>
        <v>N/A</v>
      </c>
      <c r="L95" s="63" t="str">
        <f t="shared" ca="1" si="44"/>
        <v>N/A</v>
      </c>
      <c r="M95" s="63" t="str">
        <f t="shared" ca="1" si="44"/>
        <v>N/A</v>
      </c>
      <c r="N95" s="63" t="str">
        <f t="shared" ca="1" si="44"/>
        <v>N/A</v>
      </c>
      <c r="O95" s="63" t="str">
        <f t="shared" ca="1" si="44"/>
        <v>N/A</v>
      </c>
      <c r="P95" s="63" t="str">
        <f t="shared" ca="1" si="44"/>
        <v>N/A</v>
      </c>
      <c r="Q95" s="63" t="str">
        <f t="shared" ca="1" si="44"/>
        <v>N/A</v>
      </c>
      <c r="R95" s="63" t="str">
        <f t="shared" ca="1" si="44"/>
        <v>N/A</v>
      </c>
      <c r="S95" s="63" t="str">
        <f t="shared" ca="1" si="44"/>
        <v>N/A</v>
      </c>
      <c r="T95" s="63" t="str">
        <f t="shared" ca="1" si="44"/>
        <v>N/A</v>
      </c>
      <c r="U95" s="63" t="str">
        <f t="shared" ca="1" si="44"/>
        <v>N/A</v>
      </c>
      <c r="V95" s="63" t="str">
        <f t="shared" ca="1" si="44"/>
        <v>N/A</v>
      </c>
      <c r="W95" s="63" t="str">
        <f t="shared" ca="1" si="44"/>
        <v>N/A</v>
      </c>
    </row>
    <row r="96" spans="1:23" hidden="1" x14ac:dyDescent="0.2">
      <c r="A96" s="51">
        <f t="shared" si="37"/>
        <v>0</v>
      </c>
      <c r="B96" s="46" t="str">
        <f t="shared" ca="1" si="38"/>
        <v/>
      </c>
      <c r="C96" s="1" t="str">
        <f>IF(ISERROR(D96),"",IF(D96="","",MAX($C$66:C95)+1))</f>
        <v/>
      </c>
      <c r="D96" t="e">
        <f t="shared" si="39"/>
        <v>#N/A</v>
      </c>
      <c r="E96" s="22"/>
      <c r="F96" s="63" t="str">
        <f t="shared" ca="1" si="42"/>
        <v>N/A</v>
      </c>
      <c r="G96" s="63" t="str">
        <f t="shared" si="40"/>
        <v>N/A</v>
      </c>
      <c r="H96" s="63" t="str">
        <f ca="1">IFERROR(VLOOKUP($A96,LASTYR,'2017'!$L$3,FALSE),"N/A")</f>
        <v>N/A</v>
      </c>
      <c r="I96" s="63" t="str">
        <f t="shared" ca="1" si="43"/>
        <v>N/A</v>
      </c>
      <c r="J96" s="63" t="str">
        <f t="shared" ca="1" si="44"/>
        <v>N/A</v>
      </c>
      <c r="K96" s="63" t="str">
        <f t="shared" ca="1" si="44"/>
        <v>N/A</v>
      </c>
      <c r="L96" s="63" t="str">
        <f t="shared" ca="1" si="44"/>
        <v>N/A</v>
      </c>
      <c r="M96" s="63" t="str">
        <f t="shared" ca="1" si="44"/>
        <v>N/A</v>
      </c>
      <c r="N96" s="63" t="str">
        <f t="shared" ca="1" si="44"/>
        <v>N/A</v>
      </c>
      <c r="O96" s="63" t="str">
        <f t="shared" ca="1" si="44"/>
        <v>N/A</v>
      </c>
      <c r="P96" s="63" t="str">
        <f t="shared" ca="1" si="44"/>
        <v>N/A</v>
      </c>
      <c r="Q96" s="63" t="str">
        <f t="shared" ca="1" si="44"/>
        <v>N/A</v>
      </c>
      <c r="R96" s="63" t="str">
        <f t="shared" ca="1" si="44"/>
        <v>N/A</v>
      </c>
      <c r="S96" s="63" t="str">
        <f t="shared" ca="1" si="44"/>
        <v>N/A</v>
      </c>
      <c r="T96" s="63" t="str">
        <f t="shared" ca="1" si="44"/>
        <v>N/A</v>
      </c>
      <c r="U96" s="63" t="str">
        <f t="shared" ca="1" si="44"/>
        <v>N/A</v>
      </c>
      <c r="V96" s="63" t="str">
        <f t="shared" ca="1" si="44"/>
        <v>N/A</v>
      </c>
      <c r="W96" s="63" t="str">
        <f t="shared" ca="1" si="44"/>
        <v>N/A</v>
      </c>
    </row>
    <row r="97" spans="1:23" hidden="1" x14ac:dyDescent="0.2">
      <c r="A97" s="51">
        <f t="shared" si="37"/>
        <v>0</v>
      </c>
      <c r="B97" s="46" t="str">
        <f t="shared" ca="1" si="38"/>
        <v/>
      </c>
      <c r="C97" s="1" t="str">
        <f>IF(ISERROR(D97),"",IF(D97="","",MAX($C$66:C96)+1))</f>
        <v/>
      </c>
      <c r="D97" t="e">
        <f t="shared" si="39"/>
        <v>#N/A</v>
      </c>
      <c r="E97" s="22"/>
      <c r="F97" s="63" t="str">
        <f t="shared" ca="1" si="42"/>
        <v>N/A</v>
      </c>
      <c r="G97" s="63" t="str">
        <f t="shared" si="40"/>
        <v>N/A</v>
      </c>
      <c r="H97" s="63" t="str">
        <f ca="1">IFERROR(VLOOKUP($A97,LASTYR,'2017'!$L$3,FALSE),"N/A")</f>
        <v>N/A</v>
      </c>
      <c r="I97" s="63" t="str">
        <f t="shared" ca="1" si="43"/>
        <v>N/A</v>
      </c>
      <c r="J97" s="63" t="str">
        <f t="shared" ca="1" si="44"/>
        <v>N/A</v>
      </c>
      <c r="K97" s="63" t="str">
        <f t="shared" ca="1" si="44"/>
        <v>N/A</v>
      </c>
      <c r="L97" s="63" t="str">
        <f t="shared" ca="1" si="44"/>
        <v>N/A</v>
      </c>
      <c r="M97" s="63" t="str">
        <f t="shared" ca="1" si="44"/>
        <v>N/A</v>
      </c>
      <c r="N97" s="63" t="str">
        <f t="shared" ca="1" si="44"/>
        <v>N/A</v>
      </c>
      <c r="O97" s="63" t="str">
        <f t="shared" ca="1" si="44"/>
        <v>N/A</v>
      </c>
      <c r="P97" s="63" t="str">
        <f t="shared" ca="1" si="44"/>
        <v>N/A</v>
      </c>
      <c r="Q97" s="63" t="str">
        <f t="shared" ca="1" si="44"/>
        <v>N/A</v>
      </c>
      <c r="R97" s="63" t="str">
        <f t="shared" ca="1" si="44"/>
        <v>N/A</v>
      </c>
      <c r="S97" s="63" t="str">
        <f t="shared" ca="1" si="44"/>
        <v>N/A</v>
      </c>
      <c r="T97" s="63" t="str">
        <f t="shared" ca="1" si="44"/>
        <v>N/A</v>
      </c>
      <c r="U97" s="63" t="str">
        <f t="shared" ca="1" si="44"/>
        <v>N/A</v>
      </c>
      <c r="V97" s="63" t="str">
        <f t="shared" ca="1" si="44"/>
        <v>N/A</v>
      </c>
      <c r="W97" s="63" t="str">
        <f t="shared" ca="1" si="44"/>
        <v>N/A</v>
      </c>
    </row>
    <row r="98" spans="1:23" hidden="1" x14ac:dyDescent="0.2">
      <c r="A98" s="51">
        <f t="shared" si="37"/>
        <v>0</v>
      </c>
      <c r="B98" s="46" t="str">
        <f t="shared" ca="1" si="38"/>
        <v/>
      </c>
      <c r="C98" s="1" t="str">
        <f>IF(ISERROR(D98),"",IF(D98="","",MAX($C$66:C97)+1))</f>
        <v/>
      </c>
      <c r="D98" t="e">
        <f t="shared" si="39"/>
        <v>#N/A</v>
      </c>
      <c r="E98" s="22"/>
      <c r="F98" s="63" t="str">
        <f t="shared" ca="1" si="42"/>
        <v>N/A</v>
      </c>
      <c r="G98" s="63" t="str">
        <f t="shared" si="40"/>
        <v>N/A</v>
      </c>
      <c r="H98" s="63" t="str">
        <f ca="1">IFERROR(VLOOKUP($A98,LASTYR,'2017'!$L$3,FALSE),"N/A")</f>
        <v>N/A</v>
      </c>
      <c r="I98" s="63" t="str">
        <f t="shared" ca="1" si="43"/>
        <v>N/A</v>
      </c>
      <c r="J98" s="63" t="str">
        <f t="shared" ca="1" si="44"/>
        <v>N/A</v>
      </c>
      <c r="K98" s="63" t="str">
        <f t="shared" ca="1" si="44"/>
        <v>N/A</v>
      </c>
      <c r="L98" s="63" t="str">
        <f t="shared" ca="1" si="44"/>
        <v>N/A</v>
      </c>
      <c r="M98" s="63" t="str">
        <f t="shared" ca="1" si="44"/>
        <v>N/A</v>
      </c>
      <c r="N98" s="63" t="str">
        <f t="shared" ca="1" si="44"/>
        <v>N/A</v>
      </c>
      <c r="O98" s="63" t="str">
        <f t="shared" ca="1" si="44"/>
        <v>N/A</v>
      </c>
      <c r="P98" s="63" t="str">
        <f t="shared" ca="1" si="44"/>
        <v>N/A</v>
      </c>
      <c r="Q98" s="63" t="str">
        <f t="shared" ca="1" si="44"/>
        <v>N/A</v>
      </c>
      <c r="R98" s="63" t="str">
        <f t="shared" ca="1" si="44"/>
        <v>N/A</v>
      </c>
      <c r="S98" s="63" t="str">
        <f t="shared" ca="1" si="44"/>
        <v>N/A</v>
      </c>
      <c r="T98" s="63" t="str">
        <f t="shared" ca="1" si="44"/>
        <v>N/A</v>
      </c>
      <c r="U98" s="63" t="str">
        <f t="shared" ca="1" si="44"/>
        <v>N/A</v>
      </c>
      <c r="V98" s="63" t="str">
        <f t="shared" ca="1" si="44"/>
        <v>N/A</v>
      </c>
      <c r="W98" s="63" t="str">
        <f t="shared" ca="1" si="44"/>
        <v>N/A</v>
      </c>
    </row>
    <row r="99" spans="1:23" hidden="1" x14ac:dyDescent="0.2">
      <c r="A99" s="51">
        <f t="shared" si="37"/>
        <v>0</v>
      </c>
      <c r="B99" s="46" t="str">
        <f t="shared" ca="1" si="38"/>
        <v/>
      </c>
      <c r="C99" s="1" t="str">
        <f>IF(ISERROR(D99),"",IF(D99="","",MAX($C$66:C98)+1))</f>
        <v/>
      </c>
      <c r="D99" t="e">
        <f t="shared" si="39"/>
        <v>#N/A</v>
      </c>
      <c r="E99" s="22"/>
      <c r="F99" s="63" t="str">
        <f t="shared" ca="1" si="42"/>
        <v>N/A</v>
      </c>
      <c r="G99" s="63" t="str">
        <f t="shared" si="40"/>
        <v>N/A</v>
      </c>
      <c r="H99" s="63" t="str">
        <f ca="1">IFERROR(VLOOKUP($A99,LASTYR,'2017'!$L$3,FALSE),"N/A")</f>
        <v>N/A</v>
      </c>
      <c r="I99" s="63" t="str">
        <f t="shared" ca="1" si="43"/>
        <v>N/A</v>
      </c>
      <c r="J99" s="63" t="str">
        <f t="shared" ca="1" si="44"/>
        <v>N/A</v>
      </c>
      <c r="K99" s="63" t="str">
        <f t="shared" ca="1" si="44"/>
        <v>N/A</v>
      </c>
      <c r="L99" s="63" t="str">
        <f t="shared" ca="1" si="44"/>
        <v>N/A</v>
      </c>
      <c r="M99" s="63" t="str">
        <f t="shared" ca="1" si="44"/>
        <v>N/A</v>
      </c>
      <c r="N99" s="63" t="str">
        <f t="shared" ca="1" si="44"/>
        <v>N/A</v>
      </c>
      <c r="O99" s="63" t="str">
        <f t="shared" ca="1" si="44"/>
        <v>N/A</v>
      </c>
      <c r="P99" s="63" t="str">
        <f t="shared" ca="1" si="44"/>
        <v>N/A</v>
      </c>
      <c r="Q99" s="63" t="str">
        <f t="shared" ca="1" si="44"/>
        <v>N/A</v>
      </c>
      <c r="R99" s="63" t="str">
        <f t="shared" ca="1" si="44"/>
        <v>N/A</v>
      </c>
      <c r="S99" s="63" t="str">
        <f t="shared" ca="1" si="44"/>
        <v>N/A</v>
      </c>
      <c r="T99" s="63" t="str">
        <f t="shared" ca="1" si="44"/>
        <v>N/A</v>
      </c>
      <c r="U99" s="63" t="str">
        <f t="shared" ca="1" si="44"/>
        <v>N/A</v>
      </c>
      <c r="V99" s="63" t="str">
        <f t="shared" ca="1" si="44"/>
        <v>N/A</v>
      </c>
      <c r="W99" s="63" t="str">
        <f t="shared" ca="1" si="44"/>
        <v>N/A</v>
      </c>
    </row>
    <row r="100" spans="1:23" hidden="1" x14ac:dyDescent="0.2">
      <c r="A100" s="51">
        <f t="shared" si="37"/>
        <v>0</v>
      </c>
      <c r="B100" s="46" t="str">
        <f t="shared" ca="1" si="38"/>
        <v/>
      </c>
      <c r="C100" s="1" t="str">
        <f>IF(ISERROR(D100),"",IF(D100="","",MAX($C$66:C99)+1))</f>
        <v/>
      </c>
      <c r="D100" t="e">
        <f t="shared" si="39"/>
        <v>#N/A</v>
      </c>
      <c r="E100" s="22"/>
      <c r="F100" s="63" t="str">
        <f t="shared" ca="1" si="42"/>
        <v>N/A</v>
      </c>
      <c r="G100" s="63" t="str">
        <f t="shared" si="40"/>
        <v>N/A</v>
      </c>
      <c r="H100" s="63" t="str">
        <f ca="1">IFERROR(VLOOKUP($A100,LASTYR,'2017'!$L$3,FALSE),"N/A")</f>
        <v>N/A</v>
      </c>
      <c r="I100" s="63" t="str">
        <f t="shared" ca="1" si="43"/>
        <v>N/A</v>
      </c>
      <c r="J100" s="63" t="str">
        <f t="shared" ca="1" si="44"/>
        <v>N/A</v>
      </c>
      <c r="K100" s="63" t="str">
        <f t="shared" ca="1" si="44"/>
        <v>N/A</v>
      </c>
      <c r="L100" s="63" t="str">
        <f t="shared" ca="1" si="44"/>
        <v>N/A</v>
      </c>
      <c r="M100" s="63" t="str">
        <f t="shared" ca="1" si="44"/>
        <v>N/A</v>
      </c>
      <c r="N100" s="63" t="str">
        <f t="shared" ca="1" si="44"/>
        <v>N/A</v>
      </c>
      <c r="O100" s="63" t="str">
        <f t="shared" ca="1" si="44"/>
        <v>N/A</v>
      </c>
      <c r="P100" s="63" t="str">
        <f t="shared" ca="1" si="44"/>
        <v>N/A</v>
      </c>
      <c r="Q100" s="63" t="str">
        <f t="shared" ca="1" si="44"/>
        <v>N/A</v>
      </c>
      <c r="R100" s="63" t="str">
        <f t="shared" ca="1" si="44"/>
        <v>N/A</v>
      </c>
      <c r="S100" s="63" t="str">
        <f t="shared" ca="1" si="44"/>
        <v>N/A</v>
      </c>
      <c r="T100" s="63" t="str">
        <f t="shared" ca="1" si="44"/>
        <v>N/A</v>
      </c>
      <c r="U100" s="63" t="str">
        <f t="shared" ca="1" si="44"/>
        <v>N/A</v>
      </c>
      <c r="V100" s="63" t="str">
        <f t="shared" ca="1" si="44"/>
        <v>N/A</v>
      </c>
      <c r="W100" s="63" t="str">
        <f t="shared" ca="1" si="44"/>
        <v>N/A</v>
      </c>
    </row>
    <row r="101" spans="1:23" hidden="1" x14ac:dyDescent="0.2">
      <c r="A101" s="51">
        <f t="shared" si="37"/>
        <v>0</v>
      </c>
      <c r="B101" s="46" t="str">
        <f t="shared" ca="1" si="38"/>
        <v/>
      </c>
      <c r="C101" s="1" t="str">
        <f>IF(ISERROR(D101),"",IF(D101="","",MAX($C$66:C100)+1))</f>
        <v/>
      </c>
      <c r="D101" t="e">
        <f t="shared" si="39"/>
        <v>#N/A</v>
      </c>
      <c r="E101" s="22"/>
      <c r="F101" s="63" t="str">
        <f t="shared" ca="1" si="42"/>
        <v>N/A</v>
      </c>
      <c r="G101" s="63" t="str">
        <f t="shared" si="40"/>
        <v>N/A</v>
      </c>
      <c r="H101" s="63" t="str">
        <f ca="1">IFERROR(VLOOKUP($A101,LASTYR,'2017'!$L$3,FALSE),"N/A")</f>
        <v>N/A</v>
      </c>
      <c r="I101" s="63" t="str">
        <f t="shared" ca="1" si="43"/>
        <v>N/A</v>
      </c>
      <c r="J101" s="63" t="str">
        <f t="shared" ca="1" si="44"/>
        <v>N/A</v>
      </c>
      <c r="K101" s="63" t="str">
        <f t="shared" ca="1" si="44"/>
        <v>N/A</v>
      </c>
      <c r="L101" s="63" t="str">
        <f t="shared" ca="1" si="44"/>
        <v>N/A</v>
      </c>
      <c r="M101" s="63" t="str">
        <f t="shared" ca="1" si="44"/>
        <v>N/A</v>
      </c>
      <c r="N101" s="63" t="str">
        <f t="shared" ca="1" si="44"/>
        <v>N/A</v>
      </c>
      <c r="O101" s="63" t="str">
        <f t="shared" ca="1" si="44"/>
        <v>N/A</v>
      </c>
      <c r="P101" s="63" t="str">
        <f t="shared" ca="1" si="44"/>
        <v>N/A</v>
      </c>
      <c r="Q101" s="63" t="str">
        <f t="shared" ca="1" si="44"/>
        <v>N/A</v>
      </c>
      <c r="R101" s="63" t="str">
        <f t="shared" ca="1" si="44"/>
        <v>N/A</v>
      </c>
      <c r="S101" s="63" t="str">
        <f t="shared" ca="1" si="44"/>
        <v>N/A</v>
      </c>
      <c r="T101" s="63" t="str">
        <f t="shared" ca="1" si="44"/>
        <v>N/A</v>
      </c>
      <c r="U101" s="63" t="str">
        <f t="shared" ca="1" si="44"/>
        <v>N/A</v>
      </c>
      <c r="V101" s="63" t="str">
        <f t="shared" ca="1" si="44"/>
        <v>N/A</v>
      </c>
      <c r="W101" s="63" t="str">
        <f t="shared" ca="1" si="44"/>
        <v>N/A</v>
      </c>
    </row>
    <row r="102" spans="1:23" hidden="1" x14ac:dyDescent="0.2">
      <c r="A102" s="51">
        <f t="shared" si="37"/>
        <v>0</v>
      </c>
      <c r="B102" s="46" t="str">
        <f t="shared" ca="1" si="38"/>
        <v/>
      </c>
      <c r="C102" s="1" t="str">
        <f>IF(ISERROR(D102),"",IF(D102="","",MAX($C$66:C101)+1))</f>
        <v/>
      </c>
      <c r="D102" t="e">
        <f t="shared" si="39"/>
        <v>#N/A</v>
      </c>
      <c r="E102" s="22"/>
      <c r="F102" s="63" t="str">
        <f t="shared" ca="1" si="42"/>
        <v>N/A</v>
      </c>
      <c r="G102" s="63" t="str">
        <f t="shared" si="40"/>
        <v>N/A</v>
      </c>
      <c r="H102" s="63" t="str">
        <f ca="1">IFERROR(VLOOKUP($A102,LASTYR,'2017'!$L$3,FALSE),"N/A")</f>
        <v>N/A</v>
      </c>
      <c r="I102" s="63" t="str">
        <f t="shared" ca="1" si="43"/>
        <v>N/A</v>
      </c>
      <c r="J102" s="63" t="str">
        <f t="shared" ca="1" si="44"/>
        <v>N/A</v>
      </c>
      <c r="K102" s="63" t="str">
        <f t="shared" ca="1" si="44"/>
        <v>N/A</v>
      </c>
      <c r="L102" s="63" t="str">
        <f t="shared" ca="1" si="44"/>
        <v>N/A</v>
      </c>
      <c r="M102" s="63" t="str">
        <f t="shared" ref="M102:W102" ca="1" si="45">IFERROR(IF(INDEX(MP_CF_WP,$B102,M$67)=0,"N/A",INDEX(MP_CF_WP,$B102,M$67)),"N/A")</f>
        <v>N/A</v>
      </c>
      <c r="N102" s="63" t="str">
        <f t="shared" ca="1" si="45"/>
        <v>N/A</v>
      </c>
      <c r="O102" s="63" t="str">
        <f t="shared" ca="1" si="45"/>
        <v>N/A</v>
      </c>
      <c r="P102" s="63" t="str">
        <f t="shared" ca="1" si="45"/>
        <v>N/A</v>
      </c>
      <c r="Q102" s="63" t="str">
        <f t="shared" ca="1" si="45"/>
        <v>N/A</v>
      </c>
      <c r="R102" s="63" t="str">
        <f t="shared" ca="1" si="45"/>
        <v>N/A</v>
      </c>
      <c r="S102" s="63" t="str">
        <f t="shared" ca="1" si="45"/>
        <v>N/A</v>
      </c>
      <c r="T102" s="63" t="str">
        <f t="shared" ca="1" si="45"/>
        <v>N/A</v>
      </c>
      <c r="U102" s="63" t="str">
        <f t="shared" ca="1" si="45"/>
        <v>N/A</v>
      </c>
      <c r="V102" s="63" t="str">
        <f t="shared" ca="1" si="45"/>
        <v>N/A</v>
      </c>
      <c r="W102" s="63" t="str">
        <f t="shared" ca="1" si="45"/>
        <v>N/A</v>
      </c>
    </row>
    <row r="103" spans="1:23" hidden="1" x14ac:dyDescent="0.2">
      <c r="A103" s="51">
        <f t="shared" si="37"/>
        <v>0</v>
      </c>
      <c r="B103" s="46" t="str">
        <f t="shared" ca="1" si="38"/>
        <v/>
      </c>
      <c r="C103" s="1" t="str">
        <f>IF(ISERROR(D103),"",IF(D103="","",MAX($C$66:C102)+1))</f>
        <v/>
      </c>
      <c r="D103" t="e">
        <f t="shared" si="39"/>
        <v>#N/A</v>
      </c>
      <c r="E103" s="22"/>
      <c r="F103" s="63" t="str">
        <f t="shared" ca="1" si="42"/>
        <v>N/A</v>
      </c>
      <c r="G103" s="63" t="str">
        <f t="shared" si="40"/>
        <v>N/A</v>
      </c>
      <c r="H103" s="63" t="str">
        <f ca="1">IFERROR(VLOOKUP($A103,LASTYR,'2017'!$L$3,FALSE),"N/A")</f>
        <v>N/A</v>
      </c>
      <c r="I103" s="63" t="str">
        <f t="shared" ca="1" si="43"/>
        <v>N/A</v>
      </c>
      <c r="J103" s="63" t="str">
        <f t="shared" ref="J103:W112" ca="1" si="46">IFERROR(IF(INDEX(MP_CF_WP,$B103,J$67)=0,"N/A",INDEX(MP_CF_WP,$B103,J$67)),"N/A")</f>
        <v>N/A</v>
      </c>
      <c r="K103" s="63" t="str">
        <f t="shared" ca="1" si="46"/>
        <v>N/A</v>
      </c>
      <c r="L103" s="63" t="str">
        <f t="shared" ca="1" si="46"/>
        <v>N/A</v>
      </c>
      <c r="M103" s="63" t="str">
        <f t="shared" ca="1" si="46"/>
        <v>N/A</v>
      </c>
      <c r="N103" s="63" t="str">
        <f t="shared" ca="1" si="46"/>
        <v>N/A</v>
      </c>
      <c r="O103" s="63" t="str">
        <f t="shared" ca="1" si="46"/>
        <v>N/A</v>
      </c>
      <c r="P103" s="63" t="str">
        <f t="shared" ca="1" si="46"/>
        <v>N/A</v>
      </c>
      <c r="Q103" s="63" t="str">
        <f t="shared" ca="1" si="46"/>
        <v>N/A</v>
      </c>
      <c r="R103" s="63" t="str">
        <f t="shared" ca="1" si="46"/>
        <v>N/A</v>
      </c>
      <c r="S103" s="63" t="str">
        <f t="shared" ca="1" si="46"/>
        <v>N/A</v>
      </c>
      <c r="T103" s="63" t="str">
        <f t="shared" ca="1" si="46"/>
        <v>N/A</v>
      </c>
      <c r="U103" s="63" t="str">
        <f t="shared" ca="1" si="46"/>
        <v>N/A</v>
      </c>
      <c r="V103" s="63" t="str">
        <f t="shared" ca="1" si="46"/>
        <v>N/A</v>
      </c>
      <c r="W103" s="63" t="str">
        <f t="shared" ca="1" si="46"/>
        <v>N/A</v>
      </c>
    </row>
    <row r="104" spans="1:23" hidden="1" x14ac:dyDescent="0.2">
      <c r="A104" s="51">
        <f t="shared" si="37"/>
        <v>0</v>
      </c>
      <c r="B104" s="46" t="str">
        <f t="shared" ca="1" si="38"/>
        <v/>
      </c>
      <c r="C104" s="1" t="str">
        <f>IF(ISERROR(D104),"",IF(D104="","",MAX($C$66:C103)+1))</f>
        <v/>
      </c>
      <c r="D104" t="e">
        <f t="shared" si="39"/>
        <v>#N/A</v>
      </c>
      <c r="E104" s="22"/>
      <c r="F104" s="63" t="str">
        <f t="shared" ca="1" si="42"/>
        <v>N/A</v>
      </c>
      <c r="G104" s="63" t="str">
        <f t="shared" si="40"/>
        <v>N/A</v>
      </c>
      <c r="H104" s="63" t="str">
        <f ca="1">IFERROR(VLOOKUP($A104,LASTYR,'2017'!$L$3,FALSE),"N/A")</f>
        <v>N/A</v>
      </c>
      <c r="I104" s="63" t="str">
        <f t="shared" ca="1" si="43"/>
        <v>N/A</v>
      </c>
      <c r="J104" s="63" t="str">
        <f t="shared" ca="1" si="46"/>
        <v>N/A</v>
      </c>
      <c r="K104" s="63" t="str">
        <f t="shared" ca="1" si="46"/>
        <v>N/A</v>
      </c>
      <c r="L104" s="63" t="str">
        <f t="shared" ca="1" si="46"/>
        <v>N/A</v>
      </c>
      <c r="M104" s="63" t="str">
        <f t="shared" ca="1" si="46"/>
        <v>N/A</v>
      </c>
      <c r="N104" s="63" t="str">
        <f t="shared" ca="1" si="46"/>
        <v>N/A</v>
      </c>
      <c r="O104" s="63" t="str">
        <f t="shared" ca="1" si="46"/>
        <v>N/A</v>
      </c>
      <c r="P104" s="63" t="str">
        <f t="shared" ca="1" si="46"/>
        <v>N/A</v>
      </c>
      <c r="Q104" s="63" t="str">
        <f t="shared" ca="1" si="46"/>
        <v>N/A</v>
      </c>
      <c r="R104" s="63" t="str">
        <f t="shared" ca="1" si="46"/>
        <v>N/A</v>
      </c>
      <c r="S104" s="63" t="str">
        <f t="shared" ca="1" si="46"/>
        <v>N/A</v>
      </c>
      <c r="T104" s="63" t="str">
        <f t="shared" ca="1" si="46"/>
        <v>N/A</v>
      </c>
      <c r="U104" s="63" t="str">
        <f t="shared" ca="1" si="46"/>
        <v>N/A</v>
      </c>
      <c r="V104" s="63" t="str">
        <f t="shared" ca="1" si="46"/>
        <v>N/A</v>
      </c>
      <c r="W104" s="63" t="str">
        <f t="shared" ca="1" si="46"/>
        <v>N/A</v>
      </c>
    </row>
    <row r="105" spans="1:23" hidden="1" x14ac:dyDescent="0.2">
      <c r="A105" s="51">
        <f t="shared" si="37"/>
        <v>0</v>
      </c>
      <c r="B105" s="46" t="str">
        <f t="shared" ca="1" si="38"/>
        <v/>
      </c>
      <c r="C105" s="1" t="str">
        <f>IF(ISERROR(D105),"",IF(D105="","",MAX($C$66:C104)+1))</f>
        <v/>
      </c>
      <c r="D105" t="e">
        <f t="shared" si="39"/>
        <v>#N/A</v>
      </c>
      <c r="E105" s="22"/>
      <c r="F105" s="63" t="str">
        <f t="shared" ca="1" si="42"/>
        <v>N/A</v>
      </c>
      <c r="G105" s="63" t="str">
        <f t="shared" si="40"/>
        <v>N/A</v>
      </c>
      <c r="H105" s="63" t="str">
        <f ca="1">IFERROR(VLOOKUP($A105,LASTYR,'2017'!$L$3,FALSE),"N/A")</f>
        <v>N/A</v>
      </c>
      <c r="I105" s="63" t="str">
        <f t="shared" ca="1" si="43"/>
        <v>N/A</v>
      </c>
      <c r="J105" s="63" t="str">
        <f t="shared" ca="1" si="46"/>
        <v>N/A</v>
      </c>
      <c r="K105" s="63" t="str">
        <f t="shared" ca="1" si="46"/>
        <v>N/A</v>
      </c>
      <c r="L105" s="63" t="str">
        <f t="shared" ca="1" si="46"/>
        <v>N/A</v>
      </c>
      <c r="M105" s="63" t="str">
        <f t="shared" ca="1" si="46"/>
        <v>N/A</v>
      </c>
      <c r="N105" s="63" t="str">
        <f t="shared" ca="1" si="46"/>
        <v>N/A</v>
      </c>
      <c r="O105" s="63" t="str">
        <f t="shared" ca="1" si="46"/>
        <v>N/A</v>
      </c>
      <c r="P105" s="63" t="str">
        <f t="shared" ca="1" si="46"/>
        <v>N/A</v>
      </c>
      <c r="Q105" s="63" t="str">
        <f t="shared" ca="1" si="46"/>
        <v>N/A</v>
      </c>
      <c r="R105" s="63" t="str">
        <f t="shared" ca="1" si="46"/>
        <v>N/A</v>
      </c>
      <c r="S105" s="63" t="str">
        <f t="shared" ca="1" si="46"/>
        <v>N/A</v>
      </c>
      <c r="T105" s="63" t="str">
        <f t="shared" ca="1" si="46"/>
        <v>N/A</v>
      </c>
      <c r="U105" s="63" t="str">
        <f t="shared" ca="1" si="46"/>
        <v>N/A</v>
      </c>
      <c r="V105" s="63" t="str">
        <f t="shared" ca="1" si="46"/>
        <v>N/A</v>
      </c>
      <c r="W105" s="63" t="str">
        <f t="shared" ca="1" si="46"/>
        <v>N/A</v>
      </c>
    </row>
    <row r="106" spans="1:23" hidden="1" x14ac:dyDescent="0.2">
      <c r="A106" s="51">
        <f t="shared" si="37"/>
        <v>0</v>
      </c>
      <c r="B106" s="46" t="str">
        <f t="shared" ca="1" si="38"/>
        <v/>
      </c>
      <c r="C106" s="1" t="str">
        <f>IF(ISERROR(D106),"",IF(D106="","",MAX($C$66:C105)+1))</f>
        <v/>
      </c>
      <c r="D106" t="e">
        <f t="shared" si="39"/>
        <v>#N/A</v>
      </c>
      <c r="E106" s="22"/>
      <c r="F106" s="63" t="str">
        <f t="shared" ca="1" si="42"/>
        <v>N/A</v>
      </c>
      <c r="G106" s="63" t="str">
        <f t="shared" si="40"/>
        <v>N/A</v>
      </c>
      <c r="H106" s="63" t="str">
        <f ca="1">IFERROR(VLOOKUP($A106,LASTYR,'2017'!$L$3,FALSE),"N/A")</f>
        <v>N/A</v>
      </c>
      <c r="I106" s="63" t="str">
        <f t="shared" ca="1" si="43"/>
        <v>N/A</v>
      </c>
      <c r="J106" s="63" t="str">
        <f t="shared" ca="1" si="46"/>
        <v>N/A</v>
      </c>
      <c r="K106" s="63" t="str">
        <f t="shared" ca="1" si="46"/>
        <v>N/A</v>
      </c>
      <c r="L106" s="63" t="str">
        <f t="shared" ca="1" si="46"/>
        <v>N/A</v>
      </c>
      <c r="M106" s="63" t="str">
        <f t="shared" ca="1" si="46"/>
        <v>N/A</v>
      </c>
      <c r="N106" s="63" t="str">
        <f t="shared" ca="1" si="46"/>
        <v>N/A</v>
      </c>
      <c r="O106" s="63" t="str">
        <f t="shared" ca="1" si="46"/>
        <v>N/A</v>
      </c>
      <c r="P106" s="63" t="str">
        <f t="shared" ca="1" si="46"/>
        <v>N/A</v>
      </c>
      <c r="Q106" s="63" t="str">
        <f t="shared" ca="1" si="46"/>
        <v>N/A</v>
      </c>
      <c r="R106" s="63" t="str">
        <f t="shared" ca="1" si="46"/>
        <v>N/A</v>
      </c>
      <c r="S106" s="63" t="str">
        <f t="shared" ca="1" si="46"/>
        <v>N/A</v>
      </c>
      <c r="T106" s="63" t="str">
        <f t="shared" ca="1" si="46"/>
        <v>N/A</v>
      </c>
      <c r="U106" s="63" t="str">
        <f t="shared" ca="1" si="46"/>
        <v>N/A</v>
      </c>
      <c r="V106" s="63" t="str">
        <f t="shared" ca="1" si="46"/>
        <v>N/A</v>
      </c>
      <c r="W106" s="63" t="str">
        <f t="shared" ca="1" si="46"/>
        <v>N/A</v>
      </c>
    </row>
    <row r="107" spans="1:23" hidden="1" x14ac:dyDescent="0.2">
      <c r="A107" s="51">
        <f t="shared" si="37"/>
        <v>0</v>
      </c>
      <c r="B107" s="46" t="str">
        <f t="shared" ca="1" si="38"/>
        <v/>
      </c>
      <c r="C107" s="1" t="str">
        <f>IF(ISERROR(D107),"",IF(D107="","",MAX($C$66:C106)+1))</f>
        <v/>
      </c>
      <c r="D107" t="e">
        <f t="shared" si="39"/>
        <v>#N/A</v>
      </c>
      <c r="E107" s="22"/>
      <c r="F107" s="63" t="str">
        <f t="shared" ca="1" si="42"/>
        <v>N/A</v>
      </c>
      <c r="G107" s="63" t="str">
        <f t="shared" si="40"/>
        <v>N/A</v>
      </c>
      <c r="H107" s="63" t="str">
        <f ca="1">IFERROR(VLOOKUP($A107,LASTYR,'2017'!$L$3,FALSE),"N/A")</f>
        <v>N/A</v>
      </c>
      <c r="I107" s="63" t="str">
        <f t="shared" ca="1" si="43"/>
        <v>N/A</v>
      </c>
      <c r="J107" s="63" t="str">
        <f t="shared" ca="1" si="46"/>
        <v>N/A</v>
      </c>
      <c r="K107" s="63" t="str">
        <f t="shared" ca="1" si="46"/>
        <v>N/A</v>
      </c>
      <c r="L107" s="63" t="str">
        <f t="shared" ca="1" si="46"/>
        <v>N/A</v>
      </c>
      <c r="M107" s="63" t="str">
        <f t="shared" ca="1" si="46"/>
        <v>N/A</v>
      </c>
      <c r="N107" s="63" t="str">
        <f t="shared" ca="1" si="46"/>
        <v>N/A</v>
      </c>
      <c r="O107" s="63" t="str">
        <f t="shared" ca="1" si="46"/>
        <v>N/A</v>
      </c>
      <c r="P107" s="63" t="str">
        <f t="shared" ca="1" si="46"/>
        <v>N/A</v>
      </c>
      <c r="Q107" s="63" t="str">
        <f t="shared" ca="1" si="46"/>
        <v>N/A</v>
      </c>
      <c r="R107" s="63" t="str">
        <f t="shared" ca="1" si="46"/>
        <v>N/A</v>
      </c>
      <c r="S107" s="63" t="str">
        <f t="shared" ca="1" si="46"/>
        <v>N/A</v>
      </c>
      <c r="T107" s="63" t="str">
        <f t="shared" ca="1" si="46"/>
        <v>N/A</v>
      </c>
      <c r="U107" s="63" t="str">
        <f t="shared" ca="1" si="46"/>
        <v>N/A</v>
      </c>
      <c r="V107" s="63" t="str">
        <f t="shared" ca="1" si="46"/>
        <v>N/A</v>
      </c>
      <c r="W107" s="63" t="str">
        <f t="shared" ca="1" si="46"/>
        <v>N/A</v>
      </c>
    </row>
    <row r="108" spans="1:23" hidden="1" x14ac:dyDescent="0.2">
      <c r="A108" s="51">
        <f t="shared" si="37"/>
        <v>0</v>
      </c>
      <c r="B108" s="46" t="str">
        <f t="shared" ca="1" si="38"/>
        <v/>
      </c>
      <c r="C108" s="1" t="str">
        <f>IF(ISERROR(D108),"",IF(D108="","",MAX($C$66:C107)+1))</f>
        <v/>
      </c>
      <c r="D108" t="e">
        <f t="shared" si="39"/>
        <v>#N/A</v>
      </c>
      <c r="E108" s="22"/>
      <c r="F108" s="63" t="str">
        <f t="shared" ca="1" si="42"/>
        <v>N/A</v>
      </c>
      <c r="G108" s="63" t="str">
        <f t="shared" si="40"/>
        <v>N/A</v>
      </c>
      <c r="H108" s="63" t="str">
        <f ca="1">IFERROR(VLOOKUP($A108,LASTYR,'2017'!$L$3,FALSE),"N/A")</f>
        <v>N/A</v>
      </c>
      <c r="I108" s="63" t="str">
        <f t="shared" ca="1" si="43"/>
        <v>N/A</v>
      </c>
      <c r="J108" s="63" t="str">
        <f t="shared" ca="1" si="46"/>
        <v>N/A</v>
      </c>
      <c r="K108" s="63" t="str">
        <f t="shared" ca="1" si="46"/>
        <v>N/A</v>
      </c>
      <c r="L108" s="63" t="str">
        <f t="shared" ca="1" si="46"/>
        <v>N/A</v>
      </c>
      <c r="M108" s="63" t="str">
        <f t="shared" ca="1" si="46"/>
        <v>N/A</v>
      </c>
      <c r="N108" s="63" t="str">
        <f t="shared" ca="1" si="46"/>
        <v>N/A</v>
      </c>
      <c r="O108" s="63" t="str">
        <f t="shared" ca="1" si="46"/>
        <v>N/A</v>
      </c>
      <c r="P108" s="63" t="str">
        <f t="shared" ca="1" si="46"/>
        <v>N/A</v>
      </c>
      <c r="Q108" s="63" t="str">
        <f t="shared" ca="1" si="46"/>
        <v>N/A</v>
      </c>
      <c r="R108" s="63" t="str">
        <f t="shared" ca="1" si="46"/>
        <v>N/A</v>
      </c>
      <c r="S108" s="63" t="str">
        <f t="shared" ca="1" si="46"/>
        <v>N/A</v>
      </c>
      <c r="T108" s="63" t="str">
        <f t="shared" ca="1" si="46"/>
        <v>N/A</v>
      </c>
      <c r="U108" s="63" t="str">
        <f t="shared" ca="1" si="46"/>
        <v>N/A</v>
      </c>
      <c r="V108" s="63" t="str">
        <f t="shared" ca="1" si="46"/>
        <v>N/A</v>
      </c>
      <c r="W108" s="63" t="str">
        <f t="shared" ca="1" si="46"/>
        <v>N/A</v>
      </c>
    </row>
    <row r="109" spans="1:23" hidden="1" x14ac:dyDescent="0.2">
      <c r="A109" s="51">
        <f t="shared" si="37"/>
        <v>0</v>
      </c>
      <c r="B109" s="46" t="str">
        <f t="shared" ca="1" si="38"/>
        <v/>
      </c>
      <c r="C109" s="1" t="str">
        <f>IF(ISERROR(D109),"",IF(D109="","",MAX($C$66:C108)+1))</f>
        <v/>
      </c>
      <c r="D109" t="e">
        <f t="shared" si="39"/>
        <v>#N/A</v>
      </c>
      <c r="E109" s="22"/>
      <c r="F109" s="63" t="str">
        <f t="shared" ca="1" si="42"/>
        <v>N/A</v>
      </c>
      <c r="G109" s="63" t="str">
        <f t="shared" si="40"/>
        <v>N/A</v>
      </c>
      <c r="H109" s="63" t="str">
        <f ca="1">IFERROR(VLOOKUP($A109,LASTYR,'2017'!$L$3,FALSE),"N/A")</f>
        <v>N/A</v>
      </c>
      <c r="I109" s="63" t="str">
        <f t="shared" ca="1" si="43"/>
        <v>N/A</v>
      </c>
      <c r="J109" s="63" t="str">
        <f t="shared" ca="1" si="46"/>
        <v>N/A</v>
      </c>
      <c r="K109" s="63" t="str">
        <f t="shared" ca="1" si="46"/>
        <v>N/A</v>
      </c>
      <c r="L109" s="63" t="str">
        <f t="shared" ca="1" si="46"/>
        <v>N/A</v>
      </c>
      <c r="M109" s="63" t="str">
        <f t="shared" ca="1" si="46"/>
        <v>N/A</v>
      </c>
      <c r="N109" s="63" t="str">
        <f t="shared" ca="1" si="46"/>
        <v>N/A</v>
      </c>
      <c r="O109" s="63" t="str">
        <f t="shared" ca="1" si="46"/>
        <v>N/A</v>
      </c>
      <c r="P109" s="63" t="str">
        <f t="shared" ca="1" si="46"/>
        <v>N/A</v>
      </c>
      <c r="Q109" s="63" t="str">
        <f t="shared" ca="1" si="46"/>
        <v>N/A</v>
      </c>
      <c r="R109" s="63" t="str">
        <f t="shared" ca="1" si="46"/>
        <v>N/A</v>
      </c>
      <c r="S109" s="63" t="str">
        <f t="shared" ca="1" si="46"/>
        <v>N/A</v>
      </c>
      <c r="T109" s="63" t="str">
        <f t="shared" ca="1" si="46"/>
        <v>N/A</v>
      </c>
      <c r="U109" s="63" t="str">
        <f t="shared" ca="1" si="46"/>
        <v>N/A</v>
      </c>
      <c r="V109" s="63" t="str">
        <f t="shared" ca="1" si="46"/>
        <v>N/A</v>
      </c>
      <c r="W109" s="63" t="str">
        <f t="shared" ca="1" si="46"/>
        <v>N/A</v>
      </c>
    </row>
    <row r="110" spans="1:23" hidden="1" x14ac:dyDescent="0.2">
      <c r="A110" s="51">
        <f t="shared" si="37"/>
        <v>0</v>
      </c>
      <c r="B110" s="46" t="str">
        <f t="shared" ca="1" si="38"/>
        <v/>
      </c>
      <c r="C110" s="1" t="str">
        <f>IF(ISERROR(D110),"",IF(D110="","",MAX($C$66:C109)+1))</f>
        <v/>
      </c>
      <c r="D110" t="e">
        <f t="shared" si="39"/>
        <v>#N/A</v>
      </c>
      <c r="F110" s="63" t="str">
        <f t="shared" ca="1" si="42"/>
        <v>N/A</v>
      </c>
      <c r="G110" s="63" t="str">
        <f t="shared" si="40"/>
        <v>N/A</v>
      </c>
      <c r="H110" s="63" t="str">
        <f ca="1">IFERROR(VLOOKUP($A110,LASTYR,'2017'!$L$3,FALSE),"N/A")</f>
        <v>N/A</v>
      </c>
      <c r="I110" s="63" t="str">
        <f t="shared" ca="1" si="43"/>
        <v>N/A</v>
      </c>
      <c r="J110" s="63" t="str">
        <f t="shared" ca="1" si="46"/>
        <v>N/A</v>
      </c>
      <c r="K110" s="63" t="str">
        <f t="shared" ca="1" si="46"/>
        <v>N/A</v>
      </c>
      <c r="L110" s="63" t="str">
        <f t="shared" ca="1" si="46"/>
        <v>N/A</v>
      </c>
      <c r="M110" s="63" t="str">
        <f t="shared" ca="1" si="46"/>
        <v>N/A</v>
      </c>
      <c r="N110" s="63" t="str">
        <f t="shared" ca="1" si="46"/>
        <v>N/A</v>
      </c>
      <c r="O110" s="63" t="str">
        <f t="shared" ca="1" si="46"/>
        <v>N/A</v>
      </c>
      <c r="P110" s="63" t="str">
        <f t="shared" ca="1" si="46"/>
        <v>N/A</v>
      </c>
      <c r="Q110" s="63" t="str">
        <f t="shared" ca="1" si="46"/>
        <v>N/A</v>
      </c>
      <c r="R110" s="63" t="str">
        <f t="shared" ca="1" si="46"/>
        <v>N/A</v>
      </c>
      <c r="S110" s="63" t="str">
        <f t="shared" ca="1" si="46"/>
        <v>N/A</v>
      </c>
      <c r="T110" s="63" t="str">
        <f t="shared" ca="1" si="46"/>
        <v>N/A</v>
      </c>
      <c r="U110" s="63" t="str">
        <f t="shared" ca="1" si="46"/>
        <v>N/A</v>
      </c>
      <c r="V110" s="63" t="str">
        <f t="shared" ca="1" si="46"/>
        <v>N/A</v>
      </c>
      <c r="W110" s="63" t="str">
        <f t="shared" ca="1" si="46"/>
        <v>N/A</v>
      </c>
    </row>
    <row r="111" spans="1:23" hidden="1" x14ac:dyDescent="0.2">
      <c r="A111" s="51">
        <f t="shared" si="37"/>
        <v>0</v>
      </c>
      <c r="B111" s="46" t="str">
        <f t="shared" ca="1" si="38"/>
        <v/>
      </c>
      <c r="C111" s="1" t="str">
        <f>IF(ISERROR(D111),"",IF(D111="","",MAX($C$66:C110)+1))</f>
        <v/>
      </c>
      <c r="D111" t="e">
        <f t="shared" si="39"/>
        <v>#N/A</v>
      </c>
      <c r="F111" s="63" t="str">
        <f t="shared" ca="1" si="42"/>
        <v>N/A</v>
      </c>
      <c r="G111" s="63" t="str">
        <f t="shared" si="40"/>
        <v>N/A</v>
      </c>
      <c r="H111" s="63" t="str">
        <f ca="1">IFERROR(VLOOKUP($A111,LASTYR,'2017'!$L$3,FALSE),"N/A")</f>
        <v>N/A</v>
      </c>
      <c r="I111" s="63" t="str">
        <f t="shared" ca="1" si="43"/>
        <v>N/A</v>
      </c>
      <c r="J111" s="63" t="str">
        <f t="shared" ca="1" si="46"/>
        <v>N/A</v>
      </c>
      <c r="K111" s="63" t="str">
        <f t="shared" ca="1" si="46"/>
        <v>N/A</v>
      </c>
      <c r="L111" s="63" t="str">
        <f t="shared" ca="1" si="46"/>
        <v>N/A</v>
      </c>
      <c r="M111" s="63" t="str">
        <f t="shared" ca="1" si="46"/>
        <v>N/A</v>
      </c>
      <c r="N111" s="63" t="str">
        <f t="shared" ca="1" si="46"/>
        <v>N/A</v>
      </c>
      <c r="O111" s="63" t="str">
        <f t="shared" ca="1" si="46"/>
        <v>N/A</v>
      </c>
      <c r="P111" s="63" t="str">
        <f t="shared" ca="1" si="46"/>
        <v>N/A</v>
      </c>
      <c r="Q111" s="63" t="str">
        <f t="shared" ca="1" si="46"/>
        <v>N/A</v>
      </c>
      <c r="R111" s="63" t="str">
        <f t="shared" ca="1" si="46"/>
        <v>N/A</v>
      </c>
      <c r="S111" s="63" t="str">
        <f t="shared" ca="1" si="46"/>
        <v>N/A</v>
      </c>
      <c r="T111" s="63" t="str">
        <f t="shared" ca="1" si="46"/>
        <v>N/A</v>
      </c>
      <c r="U111" s="63" t="str">
        <f t="shared" ca="1" si="46"/>
        <v>N/A</v>
      </c>
      <c r="V111" s="63" t="str">
        <f t="shared" ca="1" si="46"/>
        <v>N/A</v>
      </c>
      <c r="W111" s="63" t="str">
        <f t="shared" ca="1" si="46"/>
        <v>N/A</v>
      </c>
    </row>
    <row r="112" spans="1:23" hidden="1" x14ac:dyDescent="0.2">
      <c r="A112" s="51">
        <f t="shared" si="37"/>
        <v>0</v>
      </c>
      <c r="B112" s="46" t="str">
        <f t="shared" ca="1" si="38"/>
        <v/>
      </c>
      <c r="C112" s="1" t="str">
        <f>IF(ISERROR(D112),"",IF(D112="","",MAX($C$66:C111)+1))</f>
        <v/>
      </c>
      <c r="D112" t="e">
        <f t="shared" si="39"/>
        <v>#N/A</v>
      </c>
      <c r="F112" s="63" t="str">
        <f t="shared" ca="1" si="42"/>
        <v>N/A</v>
      </c>
      <c r="G112" s="63" t="str">
        <f t="shared" si="40"/>
        <v>N/A</v>
      </c>
      <c r="H112" s="63" t="str">
        <f ca="1">IFERROR(VLOOKUP($A112,LASTYR,'2017'!$L$3,FALSE),"N/A")</f>
        <v>N/A</v>
      </c>
      <c r="I112" s="63" t="str">
        <f t="shared" ca="1" si="43"/>
        <v>N/A</v>
      </c>
      <c r="J112" s="63" t="str">
        <f t="shared" ca="1" si="46"/>
        <v>N/A</v>
      </c>
      <c r="K112" s="63" t="str">
        <f t="shared" ca="1" si="46"/>
        <v>N/A</v>
      </c>
      <c r="L112" s="63" t="str">
        <f t="shared" ca="1" si="46"/>
        <v>N/A</v>
      </c>
      <c r="M112" s="63" t="str">
        <f t="shared" ca="1" si="46"/>
        <v>N/A</v>
      </c>
      <c r="N112" s="63" t="str">
        <f t="shared" ca="1" si="46"/>
        <v>N/A</v>
      </c>
      <c r="O112" s="63" t="str">
        <f t="shared" ca="1" si="46"/>
        <v>N/A</v>
      </c>
      <c r="P112" s="63" t="str">
        <f t="shared" ca="1" si="46"/>
        <v>N/A</v>
      </c>
      <c r="Q112" s="63" t="str">
        <f t="shared" ca="1" si="46"/>
        <v>N/A</v>
      </c>
      <c r="R112" s="63" t="str">
        <f t="shared" ca="1" si="46"/>
        <v>N/A</v>
      </c>
      <c r="S112" s="63" t="str">
        <f t="shared" ca="1" si="46"/>
        <v>N/A</v>
      </c>
      <c r="T112" s="63" t="str">
        <f t="shared" ca="1" si="46"/>
        <v>N/A</v>
      </c>
      <c r="U112" s="63" t="str">
        <f t="shared" ca="1" si="46"/>
        <v>N/A</v>
      </c>
      <c r="V112" s="63" t="str">
        <f t="shared" ca="1" si="46"/>
        <v>N/A</v>
      </c>
      <c r="W112" s="63" t="str">
        <f t="shared" ca="1" si="46"/>
        <v>N/A</v>
      </c>
    </row>
    <row r="113" spans="1:23" x14ac:dyDescent="0.2">
      <c r="A113" s="31"/>
      <c r="B113" s="31"/>
      <c r="C113" s="1" t="str">
        <f>IF(ISERROR(D113),"",IF(D113="","",MAX($C$66:C112)+1))</f>
        <v/>
      </c>
      <c r="F113" s="63"/>
      <c r="G113" s="63"/>
      <c r="H113" s="63"/>
      <c r="I113" s="63"/>
      <c r="J113" s="63"/>
      <c r="K113" s="63"/>
      <c r="L113" s="63"/>
      <c r="M113" s="63"/>
      <c r="N113" s="63"/>
      <c r="O113" s="63"/>
      <c r="P113" s="63"/>
      <c r="Q113" s="63"/>
      <c r="R113" s="63"/>
      <c r="S113" s="63"/>
      <c r="T113" s="63"/>
      <c r="U113" s="63"/>
      <c r="V113" s="63"/>
      <c r="W113" s="63"/>
    </row>
    <row r="114" spans="1:23" x14ac:dyDescent="0.2">
      <c r="A114" s="31"/>
      <c r="B114" s="31"/>
      <c r="C114" s="1">
        <f ca="1">IF(ISERROR(D114),"",IF(D114="","",MAX($C$66:C113)+1))</f>
        <v>25</v>
      </c>
      <c r="D114" t="s">
        <v>98</v>
      </c>
      <c r="F114" s="63">
        <f ca="1">AVERAGE(G114:S114)</f>
        <v>9.3678310278732404</v>
      </c>
      <c r="G114" s="63">
        <f t="shared" ref="G114:S114" si="47">AVERAGE(G68:G113)</f>
        <v>10.993947674260024</v>
      </c>
      <c r="H114" s="63">
        <f t="shared" ref="H114:I114" ca="1" si="48">AVERAGE(H68:H113)</f>
        <v>16.251750283685457</v>
      </c>
      <c r="I114" s="63">
        <f t="shared" ca="1" si="48"/>
        <v>10.688603267888405</v>
      </c>
      <c r="J114" s="63">
        <f t="shared" ca="1" si="47"/>
        <v>9.4523640136032938</v>
      </c>
      <c r="K114" s="63">
        <f t="shared" ca="1" si="47"/>
        <v>9.0404699564783755</v>
      </c>
      <c r="L114" s="63">
        <f t="shared" ca="1" si="47"/>
        <v>9.2101370655360064</v>
      </c>
      <c r="M114" s="63">
        <f t="shared" ca="1" si="47"/>
        <v>8.4696565194294777</v>
      </c>
      <c r="N114" s="63">
        <f t="shared" ca="1" si="47"/>
        <v>8.5512407849351533</v>
      </c>
      <c r="O114" s="63">
        <f t="shared" ca="1" si="47"/>
        <v>7.6035869483084584</v>
      </c>
      <c r="P114" s="63">
        <f t="shared" ca="1" si="47"/>
        <v>7.3802773126733383</v>
      </c>
      <c r="Q114" s="63">
        <f t="shared" ca="1" si="47"/>
        <v>7.615213522431719</v>
      </c>
      <c r="R114" s="63">
        <f t="shared" ca="1" si="47"/>
        <v>8.6436487392931554</v>
      </c>
      <c r="S114" s="63">
        <f t="shared" ca="1" si="47"/>
        <v>7.880907273829254</v>
      </c>
      <c r="T114" s="63"/>
      <c r="U114" s="63"/>
      <c r="V114" s="63"/>
      <c r="W114" s="63"/>
    </row>
    <row r="115" spans="1:23" x14ac:dyDescent="0.2">
      <c r="A115" s="31"/>
      <c r="B115" s="31"/>
      <c r="C115" s="1">
        <f ca="1">IF(ISERROR(D115),"",IF(D115="","",MAX($C$66:C114)+1))</f>
        <v>26</v>
      </c>
      <c r="D115" t="s">
        <v>257</v>
      </c>
      <c r="F115" s="63">
        <f ca="1">AVERAGE(G115:S115)</f>
        <v>8.9957710559277686</v>
      </c>
      <c r="G115" s="63">
        <f>MEDIAN(G68:G113)</f>
        <v>11.697497573077339</v>
      </c>
      <c r="H115" s="63">
        <f t="shared" ref="H115:I115" ca="1" si="49">MEDIAN(H68:H113)</f>
        <v>12.109932497589201</v>
      </c>
      <c r="I115" s="63">
        <f t="shared" ca="1" si="49"/>
        <v>11.095010127048425</v>
      </c>
      <c r="J115" s="63">
        <f t="shared" ref="J115:S115" ca="1" si="50">MEDIAN(J68:J113)</f>
        <v>9.4593603585251582</v>
      </c>
      <c r="K115" s="63">
        <f t="shared" ca="1" si="50"/>
        <v>8.8426988523941432</v>
      </c>
      <c r="L115" s="63">
        <f t="shared" ca="1" si="50"/>
        <v>8.6620278130144346</v>
      </c>
      <c r="M115" s="63">
        <f t="shared" ca="1" si="50"/>
        <v>8.3063946514666043</v>
      </c>
      <c r="N115" s="63">
        <f t="shared" ca="1" si="50"/>
        <v>7.795503871068135</v>
      </c>
      <c r="O115" s="63">
        <f t="shared" ca="1" si="50"/>
        <v>7.2416287529244556</v>
      </c>
      <c r="P115" s="63">
        <f t="shared" ca="1" si="50"/>
        <v>7.712579770768258</v>
      </c>
      <c r="Q115" s="63">
        <f t="shared" ca="1" si="50"/>
        <v>7.781492417607744</v>
      </c>
      <c r="R115" s="63">
        <f t="shared" ca="1" si="50"/>
        <v>8.4241003827937906</v>
      </c>
      <c r="S115" s="63">
        <f t="shared" ca="1" si="50"/>
        <v>7.8167966587832733</v>
      </c>
      <c r="T115" s="63"/>
      <c r="U115" s="63"/>
      <c r="V115" s="63"/>
      <c r="W115" s="63"/>
    </row>
    <row r="116" spans="1:23" x14ac:dyDescent="0.2">
      <c r="A116" s="31"/>
      <c r="B116" s="31"/>
      <c r="C116" s="1"/>
      <c r="G116" s="214"/>
    </row>
    <row r="117" spans="1:23" x14ac:dyDescent="0.2">
      <c r="A117" s="31"/>
      <c r="B117" s="31"/>
      <c r="C117" s="1"/>
    </row>
    <row r="118" spans="1:23" ht="17.25" x14ac:dyDescent="0.25">
      <c r="A118" s="31"/>
      <c r="B118" s="31"/>
      <c r="C118" s="6"/>
      <c r="D118" s="6"/>
      <c r="E118" s="19"/>
      <c r="F118" s="235" t="s">
        <v>259</v>
      </c>
      <c r="G118" s="235"/>
      <c r="H118" s="235"/>
      <c r="I118" s="235"/>
      <c r="J118" s="235"/>
      <c r="K118" s="235"/>
      <c r="L118" s="235"/>
      <c r="M118" s="235"/>
      <c r="N118" s="235"/>
      <c r="O118" s="235"/>
      <c r="P118" s="235"/>
      <c r="Q118" s="235"/>
      <c r="R118" s="235"/>
      <c r="S118" s="235"/>
      <c r="T118" s="235"/>
      <c r="U118" s="235"/>
      <c r="V118" s="235"/>
      <c r="W118" s="235"/>
    </row>
    <row r="119" spans="1:23" ht="15" x14ac:dyDescent="0.25">
      <c r="A119" s="31"/>
      <c r="B119" s="31"/>
      <c r="C119" s="6"/>
      <c r="D119" s="7"/>
      <c r="E119" s="7"/>
      <c r="F119" s="8" t="s">
        <v>429</v>
      </c>
      <c r="G119" s="8"/>
      <c r="H119" s="8"/>
      <c r="I119" s="8"/>
      <c r="J119" s="8"/>
      <c r="K119" s="8"/>
      <c r="L119" s="8"/>
      <c r="M119" s="8"/>
      <c r="N119" s="8"/>
      <c r="O119" s="8"/>
      <c r="P119" s="7"/>
      <c r="Q119" s="7"/>
      <c r="R119" s="7"/>
      <c r="S119" s="7"/>
      <c r="T119" s="7"/>
      <c r="U119" s="7"/>
      <c r="V119" s="7"/>
    </row>
    <row r="120" spans="1:23" ht="17.25" x14ac:dyDescent="0.25">
      <c r="A120" s="31"/>
      <c r="B120" s="31"/>
      <c r="C120" s="9" t="s">
        <v>96</v>
      </c>
      <c r="D120" s="234" t="s">
        <v>97</v>
      </c>
      <c r="E120" s="234"/>
      <c r="F120" s="10" t="s">
        <v>98</v>
      </c>
      <c r="G120" s="10" t="s">
        <v>424</v>
      </c>
      <c r="H120" s="41">
        <v>2017</v>
      </c>
      <c r="I120" s="41">
        <v>2016</v>
      </c>
      <c r="J120" s="41">
        <v>2015</v>
      </c>
      <c r="K120" s="41">
        <v>2014</v>
      </c>
      <c r="L120" s="41">
        <v>2013</v>
      </c>
      <c r="M120" s="41">
        <v>2012</v>
      </c>
      <c r="N120" s="41">
        <v>2011</v>
      </c>
      <c r="O120" s="41">
        <v>2010</v>
      </c>
      <c r="P120" s="41">
        <v>2009</v>
      </c>
      <c r="Q120" s="41">
        <v>2008</v>
      </c>
      <c r="R120" s="41">
        <v>2007</v>
      </c>
      <c r="S120" s="41">
        <v>2006</v>
      </c>
      <c r="T120" s="41">
        <v>2005</v>
      </c>
      <c r="U120" s="41"/>
      <c r="V120" s="41"/>
      <c r="W120" s="41"/>
    </row>
    <row r="121" spans="1:23" ht="15" x14ac:dyDescent="0.25">
      <c r="A121" s="42"/>
      <c r="B121" s="42"/>
      <c r="C121" s="9"/>
      <c r="D121" s="11"/>
      <c r="E121" s="11"/>
      <c r="F121" s="12">
        <v>-1</v>
      </c>
      <c r="G121" s="12">
        <f t="shared" ref="G121:T121" si="51">+F121-1</f>
        <v>-2</v>
      </c>
      <c r="H121" s="12">
        <f t="shared" ref="H121" si="52">+G121-1</f>
        <v>-3</v>
      </c>
      <c r="I121" s="12">
        <f t="shared" ref="I121" si="53">+H121-1</f>
        <v>-4</v>
      </c>
      <c r="J121" s="12">
        <f t="shared" ref="J121" si="54">+I121-1</f>
        <v>-5</v>
      </c>
      <c r="K121" s="12">
        <f t="shared" ref="K121" si="55">+J121-1</f>
        <v>-6</v>
      </c>
      <c r="L121" s="12">
        <f t="shared" ref="L121" si="56">+K121-1</f>
        <v>-7</v>
      </c>
      <c r="M121" s="12">
        <f t="shared" ref="M121" si="57">+L121-1</f>
        <v>-8</v>
      </c>
      <c r="N121" s="12">
        <f t="shared" ref="N121" si="58">+M121-1</f>
        <v>-9</v>
      </c>
      <c r="O121" s="12">
        <f t="shared" ref="O121" si="59">+N121-1</f>
        <v>-10</v>
      </c>
      <c r="P121" s="12">
        <f t="shared" ref="P121" si="60">+O121-1</f>
        <v>-11</v>
      </c>
      <c r="Q121" s="12">
        <f t="shared" ref="Q121" si="61">+P121-1</f>
        <v>-12</v>
      </c>
      <c r="R121" s="12">
        <f t="shared" ref="R121" si="62">+Q121-1</f>
        <v>-13</v>
      </c>
      <c r="S121" s="12">
        <f t="shared" ref="S121" si="63">+R121-1</f>
        <v>-14</v>
      </c>
      <c r="T121" s="12">
        <f t="shared" si="51"/>
        <v>-15</v>
      </c>
      <c r="U121" s="12"/>
      <c r="V121" s="12"/>
      <c r="W121" s="12"/>
    </row>
    <row r="122" spans="1:23" x14ac:dyDescent="0.2">
      <c r="A122" s="43"/>
      <c r="B122" s="44"/>
      <c r="C122" s="6"/>
      <c r="E122" s="22"/>
      <c r="F122" s="36"/>
      <c r="G122" s="36"/>
      <c r="H122" s="36"/>
      <c r="I122" s="16">
        <f t="shared" ref="I122:J122" ca="1" si="64">MATCH(VALUE(LEFT(I120,4)),OFFSET(MP_BV_WP,-1,0,1,),0)</f>
        <v>6</v>
      </c>
      <c r="J122" s="16">
        <f t="shared" ca="1" si="64"/>
        <v>7</v>
      </c>
      <c r="K122" s="16">
        <f t="shared" ref="K122:T122" ca="1" si="65">MATCH(VALUE(LEFT(K120,4)),OFFSET(MP_BV_WP,-1,0,1,),0)</f>
        <v>8</v>
      </c>
      <c r="L122" s="16">
        <f t="shared" ca="1" si="65"/>
        <v>9</v>
      </c>
      <c r="M122" s="16">
        <f t="shared" ca="1" si="65"/>
        <v>10</v>
      </c>
      <c r="N122" s="16">
        <f t="shared" ca="1" si="65"/>
        <v>11</v>
      </c>
      <c r="O122" s="16">
        <f t="shared" ca="1" si="65"/>
        <v>12</v>
      </c>
      <c r="P122" s="16">
        <f t="shared" ca="1" si="65"/>
        <v>13</v>
      </c>
      <c r="Q122" s="16">
        <f t="shared" ca="1" si="65"/>
        <v>14</v>
      </c>
      <c r="R122" s="16">
        <f t="shared" ca="1" si="65"/>
        <v>15</v>
      </c>
      <c r="S122" s="16">
        <f t="shared" ca="1" si="65"/>
        <v>16</v>
      </c>
      <c r="T122" s="16">
        <f t="shared" ca="1" si="65"/>
        <v>17</v>
      </c>
      <c r="U122" s="52"/>
      <c r="V122" s="52"/>
      <c r="W122" s="52"/>
    </row>
    <row r="123" spans="1:23" x14ac:dyDescent="0.2">
      <c r="A123" s="51" t="str">
        <f t="shared" ref="A123:A167" si="66">A13</f>
        <v>ATO</v>
      </c>
      <c r="B123" s="46">
        <f t="shared" ref="B123:B167" ca="1" si="67">MATCH(A123,OFFSET(MP_BV_WP,0,0,,1),0)</f>
        <v>9</v>
      </c>
      <c r="C123" s="1">
        <f ca="1">C115+1</f>
        <v>27</v>
      </c>
      <c r="D123" t="str">
        <f t="shared" ref="D123:D167" ca="1" si="68">D13</f>
        <v>Atmos Energy</v>
      </c>
      <c r="E123" s="22"/>
      <c r="F123" s="63">
        <f ca="1">AVERAGE(G123:S123)</f>
        <v>1.5183763855705712</v>
      </c>
      <c r="G123" s="63">
        <f t="shared" ref="G123:G167" si="69">IFERROR(IF(VLOOKUP(A123,LUCurYr,18,FALSE)=0,"",VLOOKUP(A123,LUCurYr,18,FALSE)),"N/A")</f>
        <v>2.057176196032672</v>
      </c>
      <c r="H123" s="63">
        <f ca="1">IFERROR(VLOOKUP($A123,LASTYR,'2017'!$M$3,FALSE),"N/A")</f>
        <v>2.1588558676246463</v>
      </c>
      <c r="I123" s="63">
        <f t="shared" ref="I123:S138" ca="1" si="70">IFERROR(IF(INDEX(MP_BV_WP,$B123,I$122)=0,"N/A",INDEX(MP_BV_WP,$B123,I$122)),"N/A")</f>
        <v>2.1099306743495099</v>
      </c>
      <c r="J123" s="63">
        <f t="shared" ca="1" si="70"/>
        <v>1.7177752366431611</v>
      </c>
      <c r="K123" s="63">
        <f t="shared" ca="1" si="70"/>
        <v>1.5493933578375567</v>
      </c>
      <c r="L123" s="63">
        <f t="shared" ca="1" si="70"/>
        <v>1.3939021391689206</v>
      </c>
      <c r="M123" s="63">
        <f t="shared" ca="1" si="70"/>
        <v>1.2795287637698898</v>
      </c>
      <c r="N123" s="63">
        <f t="shared" ca="1" si="70"/>
        <v>1.2988229642085034</v>
      </c>
      <c r="O123" s="63">
        <f t="shared" ca="1" si="70"/>
        <v>1.1810016556291392</v>
      </c>
      <c r="P123" s="63">
        <f t="shared" ca="1" si="70"/>
        <v>1.0502147200136061</v>
      </c>
      <c r="Q123" s="63">
        <f t="shared" ca="1" si="70"/>
        <v>1.2021149506658999</v>
      </c>
      <c r="R123" s="63">
        <f t="shared" ca="1" si="70"/>
        <v>1.3987094428792148</v>
      </c>
      <c r="S123" s="63">
        <f t="shared" ca="1" si="70"/>
        <v>1.3414670435947031</v>
      </c>
      <c r="T123" s="63"/>
      <c r="U123" s="17"/>
      <c r="V123" s="17"/>
      <c r="W123" s="17"/>
    </row>
    <row r="124" spans="1:23" x14ac:dyDescent="0.2">
      <c r="A124" s="51" t="str">
        <f t="shared" si="66"/>
        <v>CPK</v>
      </c>
      <c r="B124" s="46">
        <f t="shared" ca="1" si="67"/>
        <v>16</v>
      </c>
      <c r="C124" s="1">
        <f ca="1">IF(ISERROR(D124),"",IF(D124="","",MAX($C$121:C123)+1))</f>
        <v>28</v>
      </c>
      <c r="D124" t="str">
        <f t="shared" ca="1" si="68"/>
        <v>Chesapeake Utilities</v>
      </c>
      <c r="E124" s="22"/>
      <c r="F124" s="63">
        <f t="shared" ref="F124:F167" ca="1" si="71">AVERAGE(G124:S124)</f>
        <v>1.9077833865519922</v>
      </c>
      <c r="G124" s="63">
        <f t="shared" si="69"/>
        <v>2.507861635220126</v>
      </c>
      <c r="H124" s="63">
        <f ca="1">IFERROR(VLOOKUP($A124,LASTYR,'2017'!$M$3,FALSE),"N/A")</f>
        <v>2.5079823883305887</v>
      </c>
      <c r="I124" s="63">
        <f t="shared" ca="1" si="70"/>
        <v>2.2760498519790944</v>
      </c>
      <c r="J124" s="63">
        <f t="shared" ca="1" si="70"/>
        <v>2.1877371764806206</v>
      </c>
      <c r="K124" s="63">
        <f t="shared" ca="1" si="70"/>
        <v>2.1239191683668515</v>
      </c>
      <c r="L124" s="63">
        <f t="shared" ca="1" si="70"/>
        <v>1.831034125090758</v>
      </c>
      <c r="M124" s="63">
        <f t="shared" ca="1" si="70"/>
        <v>1.6558011669658885</v>
      </c>
      <c r="N124" s="63">
        <f t="shared" ca="1" si="70"/>
        <v>1.6144951722493743</v>
      </c>
      <c r="O124" s="63">
        <f t="shared" ca="1" si="70"/>
        <v>1.403700429401364</v>
      </c>
      <c r="P124" s="63">
        <f t="shared" ca="1" si="70"/>
        <v>1.3671659837442065</v>
      </c>
      <c r="Q124" s="63">
        <f t="shared" ca="1" si="70"/>
        <v>1.6393742719254452</v>
      </c>
      <c r="R124" s="63">
        <f t="shared" ca="1" si="70"/>
        <v>1.8378677095732019</v>
      </c>
      <c r="S124" s="63">
        <f t="shared" ca="1" si="70"/>
        <v>1.8481949458483755</v>
      </c>
      <c r="T124" s="63"/>
      <c r="U124" s="17"/>
      <c r="V124" s="17"/>
      <c r="W124" s="17"/>
    </row>
    <row r="125" spans="1:23" x14ac:dyDescent="0.2">
      <c r="A125" s="51" t="str">
        <f t="shared" si="66"/>
        <v>NJR</v>
      </c>
      <c r="B125" s="46">
        <f t="shared" ca="1" si="67"/>
        <v>42</v>
      </c>
      <c r="C125" s="1">
        <f ca="1">IF(ISERROR(D125),"",IF(D125="","",MAX($C$121:C124)+1))</f>
        <v>29</v>
      </c>
      <c r="D125" t="str">
        <f t="shared" ca="1" si="68"/>
        <v>New Jersey Resources</v>
      </c>
      <c r="E125" s="22"/>
      <c r="F125" s="63">
        <f t="shared" ca="1" si="71"/>
        <v>2.257269422018263</v>
      </c>
      <c r="G125" s="63">
        <f t="shared" si="69"/>
        <v>2.6959247648902824</v>
      </c>
      <c r="H125" s="63">
        <f ca="1">IFERROR(VLOOKUP($A125,LASTYR,'2017'!$M$3,FALSE),"N/A")</f>
        <v>2.702219740332263</v>
      </c>
      <c r="I125" s="63">
        <f t="shared" ca="1" si="70"/>
        <v>2.5188102775528236</v>
      </c>
      <c r="J125" s="63">
        <f t="shared" ca="1" si="70"/>
        <v>2.2755675259715278</v>
      </c>
      <c r="K125" s="63">
        <f t="shared" ca="1" si="70"/>
        <v>2.1266230936819173</v>
      </c>
      <c r="L125" s="63">
        <f t="shared" ca="1" si="70"/>
        <v>2.0483522673927332</v>
      </c>
      <c r="M125" s="63">
        <f t="shared" ca="1" si="70"/>
        <v>2.3270741912440047</v>
      </c>
      <c r="N125" s="63">
        <f t="shared" ca="1" si="70"/>
        <v>2.3079551521623065</v>
      </c>
      <c r="O125" s="63">
        <f t="shared" ca="1" si="70"/>
        <v>2.0919409761634506</v>
      </c>
      <c r="P125" s="63">
        <f t="shared" ca="1" si="70"/>
        <v>2.159652719160738</v>
      </c>
      <c r="Q125" s="63">
        <f t="shared" ca="1" si="70"/>
        <v>1.9173802360564685</v>
      </c>
      <c r="R125" s="63">
        <f t="shared" ca="1" si="70"/>
        <v>2.1672689726381003</v>
      </c>
      <c r="S125" s="63">
        <f t="shared" ca="1" si="70"/>
        <v>2.0057325689908012</v>
      </c>
      <c r="T125" s="63"/>
      <c r="U125" s="17"/>
      <c r="V125" s="17"/>
      <c r="W125" s="17"/>
    </row>
    <row r="126" spans="1:23" x14ac:dyDescent="0.2">
      <c r="A126" s="51" t="str">
        <f t="shared" si="66"/>
        <v>NI</v>
      </c>
      <c r="B126" s="46">
        <f t="shared" ca="1" si="67"/>
        <v>44</v>
      </c>
      <c r="C126" s="1">
        <f ca="1">IF(ISERROR(D126),"",IF(D126="","",MAX($C$121:C125)+1))</f>
        <v>30</v>
      </c>
      <c r="D126" t="str">
        <f t="shared" ca="1" si="68"/>
        <v>NiSource Inc.</v>
      </c>
      <c r="E126" s="22"/>
      <c r="F126" s="63">
        <f t="shared" ca="1" si="71"/>
        <v>1.4219905147234722</v>
      </c>
      <c r="G126" s="63">
        <f t="shared" si="69"/>
        <v>1.7971530249110319</v>
      </c>
      <c r="H126" s="63">
        <f ca="1">IFERROR(VLOOKUP($A126,LASTYR,'2017'!$M$3,FALSE),"N/A")</f>
        <v>1.9592791949450035</v>
      </c>
      <c r="I126" s="63">
        <f t="shared" ca="1" si="70"/>
        <v>1.840212732179711</v>
      </c>
      <c r="J126" s="63">
        <f t="shared" ca="1" si="70"/>
        <v>1.9531717037529059</v>
      </c>
      <c r="K126" s="63">
        <f t="shared" ca="1" si="70"/>
        <v>1.943654042988741</v>
      </c>
      <c r="L126" s="63">
        <f t="shared" ca="1" si="70"/>
        <v>1.5801673149677626</v>
      </c>
      <c r="M126" s="63">
        <f t="shared" ca="1" si="70"/>
        <v>1.3676330931232892</v>
      </c>
      <c r="N126" s="63">
        <f t="shared" ca="1" si="70"/>
        <v>1.1479954827780914</v>
      </c>
      <c r="O126" s="63">
        <f t="shared" ca="1" si="70"/>
        <v>0.92171101151642376</v>
      </c>
      <c r="P126" s="63">
        <f t="shared" ca="1" si="70"/>
        <v>0.68660546273592982</v>
      </c>
      <c r="Q126" s="63">
        <f t="shared" ca="1" si="70"/>
        <v>0.93765224451919738</v>
      </c>
      <c r="R126" s="63">
        <f t="shared" ca="1" si="70"/>
        <v>1.1584575502268308</v>
      </c>
      <c r="S126" s="63">
        <f t="shared" ca="1" si="70"/>
        <v>1.1921838327602203</v>
      </c>
      <c r="T126" s="63"/>
      <c r="U126" s="17"/>
      <c r="V126" s="17"/>
      <c r="W126" s="17"/>
    </row>
    <row r="127" spans="1:23" x14ac:dyDescent="0.2">
      <c r="A127" s="51" t="str">
        <f t="shared" si="66"/>
        <v>NWN</v>
      </c>
      <c r="B127" s="46">
        <f t="shared" ca="1" si="67"/>
        <v>45</v>
      </c>
      <c r="C127" s="1">
        <f ca="1">IF(ISERROR(D127),"",IF(D127="","",MAX($C$121:C126)+1))</f>
        <v>31</v>
      </c>
      <c r="D127" t="str">
        <f t="shared" ca="1" si="68"/>
        <v>Northwest Nat. Gas</v>
      </c>
      <c r="E127" s="22"/>
      <c r="F127" s="63">
        <f t="shared" ca="1" si="71"/>
        <v>1.8520702442292836</v>
      </c>
      <c r="G127" s="63">
        <f t="shared" si="69"/>
        <v>2.3396584440227701</v>
      </c>
      <c r="H127" s="63">
        <f ca="1">IFERROR(VLOOKUP($A127,LASTYR,'2017'!$M$3,FALSE),"N/A")</f>
        <v>2.4074589910244506</v>
      </c>
      <c r="I127" s="63">
        <f t="shared" ca="1" si="70"/>
        <v>1.921362687672524</v>
      </c>
      <c r="J127" s="63">
        <f t="shared" ca="1" si="70"/>
        <v>1.6307638279192274</v>
      </c>
      <c r="K127" s="63">
        <f t="shared" ca="1" si="70"/>
        <v>1.5891263378729155</v>
      </c>
      <c r="L127" s="63">
        <f t="shared" ca="1" si="70"/>
        <v>1.5631976953546993</v>
      </c>
      <c r="M127" s="63">
        <f t="shared" ca="1" si="70"/>
        <v>1.7180993647413065</v>
      </c>
      <c r="N127" s="63">
        <f t="shared" ca="1" si="70"/>
        <v>1.7021420011983224</v>
      </c>
      <c r="O127" s="63">
        <f t="shared" ca="1" si="70"/>
        <v>1.7765337423312886</v>
      </c>
      <c r="P127" s="63">
        <f t="shared" ca="1" si="70"/>
        <v>1.7259536154990152</v>
      </c>
      <c r="Q127" s="63">
        <f t="shared" ca="1" si="70"/>
        <v>1.9591328919067101</v>
      </c>
      <c r="R127" s="63">
        <f t="shared" ca="1" si="70"/>
        <v>2.0512387887398988</v>
      </c>
      <c r="S127" s="63">
        <f t="shared" ca="1" si="70"/>
        <v>1.6922447866975603</v>
      </c>
      <c r="T127" s="63"/>
      <c r="U127" s="17"/>
      <c r="V127" s="17"/>
      <c r="W127" s="17"/>
    </row>
    <row r="128" spans="1:23" x14ac:dyDescent="0.2">
      <c r="A128" s="51" t="str">
        <f t="shared" si="66"/>
        <v>OGS</v>
      </c>
      <c r="B128" s="46">
        <f t="shared" ca="1" si="67"/>
        <v>48</v>
      </c>
      <c r="C128" s="1">
        <f ca="1">IF(ISERROR(D128),"",IF(D128="","",MAX($C$121:C127)+1))</f>
        <v>32</v>
      </c>
      <c r="D128" t="str">
        <f t="shared" ca="1" si="68"/>
        <v>ONE Gas Inc.</v>
      </c>
      <c r="E128" s="22"/>
      <c r="F128" s="63">
        <f t="shared" ca="1" si="71"/>
        <v>1.5574436775629068</v>
      </c>
      <c r="G128" s="63">
        <f t="shared" si="69"/>
        <v>1.8983268983268982</v>
      </c>
      <c r="H128" s="63">
        <f ca="1">IFERROR(VLOOKUP($A128,LASTYR,'2017'!$M$3,FALSE),"N/A")</f>
        <v>1.8911958581302875</v>
      </c>
      <c r="I128" s="63">
        <f t="shared" ca="1" si="70"/>
        <v>1.6683833097987097</v>
      </c>
      <c r="J128" s="63">
        <f t="shared" ca="1" si="70"/>
        <v>1.2579812139958568</v>
      </c>
      <c r="K128" s="63">
        <f t="shared" ca="1" si="70"/>
        <v>1.0713311075627812</v>
      </c>
      <c r="L128" s="63" t="str">
        <f t="shared" ca="1" si="70"/>
        <v>N/A</v>
      </c>
      <c r="M128" s="63" t="str">
        <f t="shared" ca="1" si="70"/>
        <v>N/A</v>
      </c>
      <c r="N128" s="63" t="str">
        <f t="shared" ca="1" si="70"/>
        <v>N/A</v>
      </c>
      <c r="O128" s="63" t="str">
        <f t="shared" ca="1" si="70"/>
        <v>N/A</v>
      </c>
      <c r="P128" s="63" t="str">
        <f t="shared" ca="1" si="70"/>
        <v>N/A</v>
      </c>
      <c r="Q128" s="63" t="str">
        <f t="shared" ca="1" si="70"/>
        <v>N/A</v>
      </c>
      <c r="R128" s="63" t="str">
        <f t="shared" ca="1" si="70"/>
        <v>N/A</v>
      </c>
      <c r="S128" s="63" t="str">
        <f t="shared" ca="1" si="70"/>
        <v>N/A</v>
      </c>
      <c r="T128" s="63"/>
      <c r="U128" s="17"/>
      <c r="V128" s="17"/>
      <c r="W128" s="17"/>
    </row>
    <row r="129" spans="1:23" x14ac:dyDescent="0.2">
      <c r="A129" s="51" t="str">
        <f t="shared" si="66"/>
        <v>SJI</v>
      </c>
      <c r="B129" s="46">
        <f t="shared" ca="1" si="67"/>
        <v>61</v>
      </c>
      <c r="C129" s="1">
        <f ca="1">IF(ISERROR(D129),"",IF(D129="","",MAX($C$121:C128)+1))</f>
        <v>33</v>
      </c>
      <c r="D129" t="str">
        <f t="shared" ca="1" si="68"/>
        <v>South Jersey Inds.</v>
      </c>
      <c r="E129" s="22"/>
      <c r="F129" s="63">
        <f t="shared" ca="1" si="71"/>
        <v>2.1246390672512714</v>
      </c>
      <c r="G129" s="63">
        <f t="shared" si="69"/>
        <v>2.0900000000000003</v>
      </c>
      <c r="H129" s="63">
        <f ca="1">IFERROR(VLOOKUP($A129,LASTYR,'2017'!$M$3,FALSE),"N/A")</f>
        <v>2.2909939959973316</v>
      </c>
      <c r="I129" s="63">
        <f t="shared" ca="1" si="70"/>
        <v>1.7937858331792123</v>
      </c>
      <c r="J129" s="63">
        <f t="shared" ca="1" si="70"/>
        <v>1.7678522571819426</v>
      </c>
      <c r="K129" s="63">
        <f t="shared" ca="1" si="70"/>
        <v>2.0683766947599853</v>
      </c>
      <c r="L129" s="63">
        <f t="shared" ca="1" si="70"/>
        <v>2.2658438167576551</v>
      </c>
      <c r="M129" s="63">
        <f t="shared" ca="1" si="70"/>
        <v>2.2062086163900592</v>
      </c>
      <c r="N129" s="63">
        <f t="shared" ca="1" si="70"/>
        <v>2.5855358698809177</v>
      </c>
      <c r="O129" s="63">
        <f t="shared" ca="1" si="70"/>
        <v>2.3779081953468877</v>
      </c>
      <c r="P129" s="63">
        <f t="shared" ca="1" si="70"/>
        <v>1.9509975882481914</v>
      </c>
      <c r="Q129" s="63">
        <f t="shared" ca="1" si="70"/>
        <v>2.0820447726748208</v>
      </c>
      <c r="R129" s="63">
        <f t="shared" ca="1" si="70"/>
        <v>2.2099950763170852</v>
      </c>
      <c r="S129" s="63">
        <f t="shared" ca="1" si="70"/>
        <v>1.9307651575324332</v>
      </c>
      <c r="T129" s="63"/>
      <c r="U129" s="17"/>
      <c r="V129" s="17"/>
      <c r="W129" s="17"/>
    </row>
    <row r="130" spans="1:23" x14ac:dyDescent="0.2">
      <c r="A130" s="51" t="str">
        <f t="shared" si="66"/>
        <v>SWX</v>
      </c>
      <c r="B130" s="46">
        <f t="shared" ca="1" si="67"/>
        <v>63</v>
      </c>
      <c r="C130" s="1">
        <f ca="1">IF(ISERROR(D130),"",IF(D130="","",MAX($C$121:C129)+1))</f>
        <v>34</v>
      </c>
      <c r="D130" t="str">
        <f t="shared" ca="1" si="68"/>
        <v>Southwest Gas</v>
      </c>
      <c r="E130" s="22"/>
      <c r="F130" s="63">
        <f t="shared" ca="1" si="71"/>
        <v>1.5524626585175436</v>
      </c>
      <c r="G130" s="63">
        <f t="shared" si="69"/>
        <v>1.8378712871287128</v>
      </c>
      <c r="H130" s="63">
        <f ca="1">IFERROR(VLOOKUP($A130,LASTYR,'2017'!$M$3,FALSE),"N/A")</f>
        <v>2.1309060073667752</v>
      </c>
      <c r="I130" s="63">
        <f t="shared" ca="1" si="70"/>
        <v>1.9644916366957812</v>
      </c>
      <c r="J130" s="63">
        <f t="shared" ca="1" si="70"/>
        <v>1.6815436341456156</v>
      </c>
      <c r="K130" s="63">
        <f t="shared" ca="1" si="70"/>
        <v>1.6827558143174635</v>
      </c>
      <c r="L130" s="63">
        <f t="shared" ca="1" si="70"/>
        <v>1.6084088223710122</v>
      </c>
      <c r="M130" s="63">
        <f t="shared" ca="1" si="70"/>
        <v>1.5132075471698112</v>
      </c>
      <c r="N130" s="63">
        <f t="shared" ca="1" si="70"/>
        <v>1.4300558952620326</v>
      </c>
      <c r="O130" s="63">
        <f t="shared" ca="1" si="70"/>
        <v>1.2379465157134493</v>
      </c>
      <c r="P130" s="63">
        <f t="shared" ca="1" si="70"/>
        <v>0.9682909864571827</v>
      </c>
      <c r="Q130" s="63">
        <f t="shared" ca="1" si="70"/>
        <v>1.1996593570364062</v>
      </c>
      <c r="R130" s="63">
        <f t="shared" ca="1" si="70"/>
        <v>1.4646649260226283</v>
      </c>
      <c r="S130" s="63">
        <f t="shared" ca="1" si="70"/>
        <v>1.4622121310411937</v>
      </c>
      <c r="T130" s="63"/>
      <c r="U130" s="17"/>
      <c r="V130" s="17"/>
      <c r="W130" s="17"/>
    </row>
    <row r="131" spans="1:23" x14ac:dyDescent="0.2">
      <c r="A131" s="51" t="str">
        <f t="shared" si="66"/>
        <v>SR</v>
      </c>
      <c r="B131" s="46">
        <f t="shared" ca="1" si="67"/>
        <v>64</v>
      </c>
      <c r="C131" s="1">
        <f ca="1">IF(ISERROR(D131),"",IF(D131="","",MAX($C$121:C130)+1))</f>
        <v>35</v>
      </c>
      <c r="D131" t="str">
        <f t="shared" ca="1" si="68"/>
        <v>Spire Inc.</v>
      </c>
      <c r="E131" s="22"/>
      <c r="F131" s="63">
        <f t="shared" ca="1" si="71"/>
        <v>1.5455842992354483</v>
      </c>
      <c r="G131" s="63">
        <f t="shared" si="69"/>
        <v>1.5827903841833297</v>
      </c>
      <c r="H131" s="63">
        <f ca="1">IFERROR(VLOOKUP($A131,LASTYR,'2017'!$M$3,FALSE),"N/A")</f>
        <v>1.6476647519329115</v>
      </c>
      <c r="I131" s="63">
        <f t="shared" ca="1" si="70"/>
        <v>1.6407197996540419</v>
      </c>
      <c r="J131" s="63">
        <f t="shared" ca="1" si="70"/>
        <v>1.4353647784879877</v>
      </c>
      <c r="K131" s="63">
        <f t="shared" ca="1" si="70"/>
        <v>1.3319496135127398</v>
      </c>
      <c r="L131" s="63">
        <f t="shared" ca="1" si="70"/>
        <v>1.3416669270914716</v>
      </c>
      <c r="M131" s="63">
        <f t="shared" ca="1" si="70"/>
        <v>1.5124840668816075</v>
      </c>
      <c r="N131" s="63">
        <f t="shared" ca="1" si="70"/>
        <v>1.4598200312989047</v>
      </c>
      <c r="O131" s="63">
        <f t="shared" ca="1" si="70"/>
        <v>1.3895941727367325</v>
      </c>
      <c r="P131" s="63">
        <f t="shared" ca="1" si="70"/>
        <v>1.6762852120224669</v>
      </c>
      <c r="Q131" s="63">
        <f t="shared" ca="1" si="70"/>
        <v>1.7083954970839548</v>
      </c>
      <c r="R131" s="63">
        <f t="shared" ca="1" si="70"/>
        <v>1.6559025672124521</v>
      </c>
      <c r="S131" s="63">
        <f t="shared" ca="1" si="70"/>
        <v>1.7099580879622263</v>
      </c>
      <c r="T131" s="63"/>
      <c r="U131" s="17"/>
      <c r="V131" s="17"/>
      <c r="W131" s="17"/>
    </row>
    <row r="132" spans="1:23" x14ac:dyDescent="0.2">
      <c r="A132" s="51" t="str">
        <f t="shared" si="66"/>
        <v>UGI</v>
      </c>
      <c r="B132" s="46">
        <f t="shared" ca="1" si="67"/>
        <v>66</v>
      </c>
      <c r="C132" s="1">
        <f ca="1">IF(ISERROR(D132),"",IF(D132="","",MAX($C$121:C131)+1))</f>
        <v>36</v>
      </c>
      <c r="D132" t="str">
        <f t="shared" ca="1" si="68"/>
        <v>UGI Corp.</v>
      </c>
      <c r="E132" s="22"/>
      <c r="F132" s="63">
        <f t="shared" ca="1" si="71"/>
        <v>2.0229386852827087</v>
      </c>
      <c r="G132" s="63">
        <f t="shared" si="69"/>
        <v>2.5276381909547738</v>
      </c>
      <c r="H132" s="63">
        <f ca="1">IFERROR(VLOOKUP($A132,LASTYR,'2017'!$M$3,FALSE),"N/A")</f>
        <v>2.6248831197403879</v>
      </c>
      <c r="I132" s="63">
        <f t="shared" ca="1" si="70"/>
        <v>2.4064986334649254</v>
      </c>
      <c r="J132" s="63">
        <f t="shared" ca="1" si="70"/>
        <v>2.2897106109324756</v>
      </c>
      <c r="K132" s="63">
        <f t="shared" ca="1" si="70"/>
        <v>1.9712875146160842</v>
      </c>
      <c r="L132" s="63">
        <f t="shared" ca="1" si="70"/>
        <v>1.6857260386672153</v>
      </c>
      <c r="M132" s="63">
        <f t="shared" ca="1" si="70"/>
        <v>1.4543871602695131</v>
      </c>
      <c r="N132" s="63">
        <f t="shared" ca="1" si="70"/>
        <v>1.7501908558826025</v>
      </c>
      <c r="O132" s="63">
        <f t="shared" ca="1" si="70"/>
        <v>1.5532029912604739</v>
      </c>
      <c r="P132" s="63">
        <f t="shared" ca="1" si="70"/>
        <v>1.6565057283142388</v>
      </c>
      <c r="Q132" s="63">
        <f t="shared" ca="1" si="70"/>
        <v>2.0057954545454542</v>
      </c>
      <c r="R132" s="63">
        <f t="shared" ca="1" si="70"/>
        <v>2.1626527895437495</v>
      </c>
      <c r="S132" s="63">
        <f t="shared" ca="1" si="70"/>
        <v>2.2097238204833141</v>
      </c>
      <c r="T132" s="63"/>
      <c r="U132" s="17"/>
      <c r="V132" s="17"/>
      <c r="W132" s="17"/>
    </row>
    <row r="133" spans="1:23" x14ac:dyDescent="0.2">
      <c r="A133" s="51" t="str">
        <f t="shared" si="66"/>
        <v>WGL</v>
      </c>
      <c r="B133" s="46">
        <f t="shared" ca="1" si="67"/>
        <v>73</v>
      </c>
      <c r="C133" s="1">
        <f ca="1">IF(ISERROR(D133),"",IF(D133="","",MAX($C$121:C132)+1))</f>
        <v>37</v>
      </c>
      <c r="D133" t="str">
        <f t="shared" ca="1" si="68"/>
        <v>WGL Holdings Inc.</v>
      </c>
      <c r="E133" s="22"/>
      <c r="F133" s="63">
        <f t="shared" ca="1" si="71"/>
        <v>1.8126569376417014</v>
      </c>
      <c r="G133" s="63" t="str">
        <f t="shared" si="69"/>
        <v>N/A</v>
      </c>
      <c r="H133" s="63">
        <f ca="1">IFERROR(VLOOKUP($A133,LASTYR,'2017'!$M$3,FALSE),"N/A")</f>
        <v>2.6913483490646404</v>
      </c>
      <c r="I133" s="63">
        <f t="shared" ca="1" si="70"/>
        <v>2.448203749346479</v>
      </c>
      <c r="J133" s="63">
        <f t="shared" ca="1" si="70"/>
        <v>2.1502022183958678</v>
      </c>
      <c r="K133" s="63">
        <f t="shared" ca="1" si="70"/>
        <v>1.6859740906826108</v>
      </c>
      <c r="L133" s="63">
        <f t="shared" ca="1" si="70"/>
        <v>1.7094589113328467</v>
      </c>
      <c r="M133" s="63">
        <f t="shared" ca="1" si="70"/>
        <v>1.6606063065622336</v>
      </c>
      <c r="N133" s="63">
        <f t="shared" ca="1" si="70"/>
        <v>1.6255054697143831</v>
      </c>
      <c r="O133" s="63">
        <f t="shared" ca="1" si="70"/>
        <v>1.5030233984751555</v>
      </c>
      <c r="P133" s="63">
        <f t="shared" ca="1" si="70"/>
        <v>1.4543876478918278</v>
      </c>
      <c r="Q133" s="63">
        <f t="shared" ca="1" si="70"/>
        <v>1.5883446106928427</v>
      </c>
      <c r="R133" s="63">
        <f t="shared" ca="1" si="70"/>
        <v>1.6442472521932037</v>
      </c>
      <c r="S133" s="63">
        <f t="shared" ca="1" si="70"/>
        <v>1.5905812473483241</v>
      </c>
      <c r="T133" s="63"/>
      <c r="U133" s="17"/>
      <c r="V133" s="17"/>
      <c r="W133" s="17"/>
    </row>
    <row r="134" spans="1:23" hidden="1" x14ac:dyDescent="0.2">
      <c r="A134" s="51">
        <f t="shared" si="66"/>
        <v>0</v>
      </c>
      <c r="B134" s="46" t="e">
        <f t="shared" ca="1" si="67"/>
        <v>#N/A</v>
      </c>
      <c r="C134" s="1" t="str">
        <f>IF(ISERROR(D134),"",IF(D134="","",MAX($C$121:C133)+1))</f>
        <v/>
      </c>
      <c r="D134" t="e">
        <f t="shared" si="68"/>
        <v>#N/A</v>
      </c>
      <c r="E134" s="22"/>
      <c r="F134" s="63" t="e">
        <f t="shared" ca="1" si="71"/>
        <v>#DIV/0!</v>
      </c>
      <c r="G134" s="63" t="str">
        <f t="shared" si="69"/>
        <v>N/A</v>
      </c>
      <c r="H134" s="63"/>
      <c r="I134" s="63" t="str">
        <f t="shared" ca="1" si="70"/>
        <v>N/A</v>
      </c>
      <c r="J134" s="63" t="str">
        <f t="shared" ca="1" si="70"/>
        <v>N/A</v>
      </c>
      <c r="K134" s="63" t="str">
        <f t="shared" ca="1" si="70"/>
        <v>N/A</v>
      </c>
      <c r="L134" s="63" t="str">
        <f t="shared" ca="1" si="70"/>
        <v>N/A</v>
      </c>
      <c r="M134" s="63" t="str">
        <f t="shared" ca="1" si="70"/>
        <v>N/A</v>
      </c>
      <c r="N134" s="63" t="str">
        <f t="shared" ca="1" si="70"/>
        <v>N/A</v>
      </c>
      <c r="O134" s="63" t="str">
        <f t="shared" ca="1" si="70"/>
        <v>N/A</v>
      </c>
      <c r="P134" s="63" t="str">
        <f t="shared" ca="1" si="70"/>
        <v>N/A</v>
      </c>
      <c r="Q134" s="63" t="str">
        <f t="shared" ca="1" si="70"/>
        <v>N/A</v>
      </c>
      <c r="R134" s="63" t="str">
        <f t="shared" ca="1" si="70"/>
        <v>N/A</v>
      </c>
      <c r="S134" s="63" t="str">
        <f t="shared" ca="1" si="70"/>
        <v>N/A</v>
      </c>
      <c r="T134" s="63"/>
      <c r="U134" s="17"/>
      <c r="V134" s="17"/>
      <c r="W134" s="17"/>
    </row>
    <row r="135" spans="1:23" hidden="1" x14ac:dyDescent="0.2">
      <c r="A135" s="51">
        <f t="shared" si="66"/>
        <v>0</v>
      </c>
      <c r="B135" s="46" t="e">
        <f t="shared" ca="1" si="67"/>
        <v>#N/A</v>
      </c>
      <c r="C135" s="1" t="str">
        <f>IF(ISERROR(D135),"",IF(D135="","",MAX($C$121:C134)+1))</f>
        <v/>
      </c>
      <c r="D135" t="e">
        <f t="shared" si="68"/>
        <v>#N/A</v>
      </c>
      <c r="E135" s="22"/>
      <c r="F135" s="63" t="e">
        <f t="shared" ca="1" si="71"/>
        <v>#DIV/0!</v>
      </c>
      <c r="G135" s="63" t="str">
        <f t="shared" si="69"/>
        <v>N/A</v>
      </c>
      <c r="H135" s="63"/>
      <c r="I135" s="63" t="str">
        <f t="shared" ca="1" si="70"/>
        <v>N/A</v>
      </c>
      <c r="J135" s="63" t="str">
        <f t="shared" ca="1" si="70"/>
        <v>N/A</v>
      </c>
      <c r="K135" s="63" t="str">
        <f t="shared" ca="1" si="70"/>
        <v>N/A</v>
      </c>
      <c r="L135" s="63" t="str">
        <f t="shared" ca="1" si="70"/>
        <v>N/A</v>
      </c>
      <c r="M135" s="63" t="str">
        <f t="shared" ca="1" si="70"/>
        <v>N/A</v>
      </c>
      <c r="N135" s="63" t="str">
        <f t="shared" ca="1" si="70"/>
        <v>N/A</v>
      </c>
      <c r="O135" s="63" t="str">
        <f t="shared" ca="1" si="70"/>
        <v>N/A</v>
      </c>
      <c r="P135" s="63" t="str">
        <f t="shared" ca="1" si="70"/>
        <v>N/A</v>
      </c>
      <c r="Q135" s="63" t="str">
        <f t="shared" ca="1" si="70"/>
        <v>N/A</v>
      </c>
      <c r="R135" s="63" t="str">
        <f t="shared" ca="1" si="70"/>
        <v>N/A</v>
      </c>
      <c r="S135" s="63" t="str">
        <f t="shared" ca="1" si="70"/>
        <v>N/A</v>
      </c>
      <c r="T135" s="63"/>
      <c r="U135" s="17"/>
      <c r="V135" s="17"/>
      <c r="W135" s="17"/>
    </row>
    <row r="136" spans="1:23" hidden="1" x14ac:dyDescent="0.2">
      <c r="A136" s="51">
        <f t="shared" si="66"/>
        <v>0</v>
      </c>
      <c r="B136" s="46" t="e">
        <f t="shared" ca="1" si="67"/>
        <v>#N/A</v>
      </c>
      <c r="C136" s="1" t="str">
        <f>IF(ISERROR(D136),"",IF(D136="","",MAX($C$121:C135)+1))</f>
        <v/>
      </c>
      <c r="D136" t="e">
        <f t="shared" si="68"/>
        <v>#N/A</v>
      </c>
      <c r="E136" s="22"/>
      <c r="F136" s="63" t="e">
        <f t="shared" ca="1" si="71"/>
        <v>#DIV/0!</v>
      </c>
      <c r="G136" s="63" t="str">
        <f t="shared" si="69"/>
        <v>N/A</v>
      </c>
      <c r="H136" s="63"/>
      <c r="I136" s="63" t="str">
        <f t="shared" ca="1" si="70"/>
        <v>N/A</v>
      </c>
      <c r="J136" s="63" t="str">
        <f t="shared" ca="1" si="70"/>
        <v>N/A</v>
      </c>
      <c r="K136" s="63" t="str">
        <f t="shared" ca="1" si="70"/>
        <v>N/A</v>
      </c>
      <c r="L136" s="63" t="str">
        <f t="shared" ca="1" si="70"/>
        <v>N/A</v>
      </c>
      <c r="M136" s="63" t="str">
        <f t="shared" ca="1" si="70"/>
        <v>N/A</v>
      </c>
      <c r="N136" s="63" t="str">
        <f t="shared" ca="1" si="70"/>
        <v>N/A</v>
      </c>
      <c r="O136" s="63" t="str">
        <f t="shared" ca="1" si="70"/>
        <v>N/A</v>
      </c>
      <c r="P136" s="63" t="str">
        <f t="shared" ca="1" si="70"/>
        <v>N/A</v>
      </c>
      <c r="Q136" s="63" t="str">
        <f t="shared" ca="1" si="70"/>
        <v>N/A</v>
      </c>
      <c r="R136" s="63" t="str">
        <f t="shared" ca="1" si="70"/>
        <v>N/A</v>
      </c>
      <c r="S136" s="63" t="str">
        <f t="shared" ca="1" si="70"/>
        <v>N/A</v>
      </c>
      <c r="T136" s="63"/>
      <c r="U136" s="17"/>
      <c r="V136" s="17"/>
      <c r="W136" s="17"/>
    </row>
    <row r="137" spans="1:23" hidden="1" x14ac:dyDescent="0.2">
      <c r="A137" s="51">
        <f t="shared" si="66"/>
        <v>0</v>
      </c>
      <c r="B137" s="46" t="e">
        <f t="shared" ca="1" si="67"/>
        <v>#N/A</v>
      </c>
      <c r="C137" s="1" t="str">
        <f>IF(ISERROR(D137),"",IF(D137="","",MAX($C$121:C136)+1))</f>
        <v/>
      </c>
      <c r="D137" t="e">
        <f t="shared" si="68"/>
        <v>#N/A</v>
      </c>
      <c r="E137" s="22"/>
      <c r="F137" s="63" t="e">
        <f t="shared" ca="1" si="71"/>
        <v>#DIV/0!</v>
      </c>
      <c r="G137" s="63" t="str">
        <f t="shared" si="69"/>
        <v>N/A</v>
      </c>
      <c r="H137" s="63"/>
      <c r="I137" s="63" t="str">
        <f t="shared" ca="1" si="70"/>
        <v>N/A</v>
      </c>
      <c r="J137" s="63" t="str">
        <f t="shared" ca="1" si="70"/>
        <v>N/A</v>
      </c>
      <c r="K137" s="63" t="str">
        <f t="shared" ca="1" si="70"/>
        <v>N/A</v>
      </c>
      <c r="L137" s="63" t="str">
        <f t="shared" ca="1" si="70"/>
        <v>N/A</v>
      </c>
      <c r="M137" s="63" t="str">
        <f t="shared" ca="1" si="70"/>
        <v>N/A</v>
      </c>
      <c r="N137" s="63" t="str">
        <f t="shared" ca="1" si="70"/>
        <v>N/A</v>
      </c>
      <c r="O137" s="63" t="str">
        <f t="shared" ca="1" si="70"/>
        <v>N/A</v>
      </c>
      <c r="P137" s="63" t="str">
        <f t="shared" ca="1" si="70"/>
        <v>N/A</v>
      </c>
      <c r="Q137" s="63" t="str">
        <f t="shared" ca="1" si="70"/>
        <v>N/A</v>
      </c>
      <c r="R137" s="63" t="str">
        <f t="shared" ca="1" si="70"/>
        <v>N/A</v>
      </c>
      <c r="S137" s="63" t="str">
        <f t="shared" ca="1" si="70"/>
        <v>N/A</v>
      </c>
      <c r="T137" s="63"/>
      <c r="U137" s="17"/>
      <c r="V137" s="17"/>
      <c r="W137" s="17"/>
    </row>
    <row r="138" spans="1:23" hidden="1" x14ac:dyDescent="0.2">
      <c r="A138" s="51">
        <f t="shared" si="66"/>
        <v>0</v>
      </c>
      <c r="B138" s="46" t="e">
        <f t="shared" ca="1" si="67"/>
        <v>#N/A</v>
      </c>
      <c r="C138" s="1" t="str">
        <f>IF(ISERROR(D138),"",IF(D138="","",MAX($C$121:C137)+1))</f>
        <v/>
      </c>
      <c r="D138" t="e">
        <f t="shared" si="68"/>
        <v>#N/A</v>
      </c>
      <c r="E138" s="22"/>
      <c r="F138" s="63" t="e">
        <f t="shared" ca="1" si="71"/>
        <v>#DIV/0!</v>
      </c>
      <c r="G138" s="63" t="str">
        <f t="shared" si="69"/>
        <v>N/A</v>
      </c>
      <c r="H138" s="63"/>
      <c r="I138" s="63" t="str">
        <f t="shared" ca="1" si="70"/>
        <v>N/A</v>
      </c>
      <c r="J138" s="63" t="str">
        <f t="shared" ca="1" si="70"/>
        <v>N/A</v>
      </c>
      <c r="K138" s="63" t="str">
        <f t="shared" ca="1" si="70"/>
        <v>N/A</v>
      </c>
      <c r="L138" s="63" t="str">
        <f t="shared" ca="1" si="70"/>
        <v>N/A</v>
      </c>
      <c r="M138" s="63" t="str">
        <f t="shared" ca="1" si="70"/>
        <v>N/A</v>
      </c>
      <c r="N138" s="63" t="str">
        <f t="shared" ca="1" si="70"/>
        <v>N/A</v>
      </c>
      <c r="O138" s="63" t="str">
        <f t="shared" ca="1" si="70"/>
        <v>N/A</v>
      </c>
      <c r="P138" s="63" t="str">
        <f t="shared" ca="1" si="70"/>
        <v>N/A</v>
      </c>
      <c r="Q138" s="63" t="str">
        <f t="shared" ca="1" si="70"/>
        <v>N/A</v>
      </c>
      <c r="R138" s="63" t="str">
        <f t="shared" ca="1" si="70"/>
        <v>N/A</v>
      </c>
      <c r="S138" s="63" t="str">
        <f t="shared" ca="1" si="70"/>
        <v>N/A</v>
      </c>
      <c r="T138" s="63"/>
      <c r="U138" s="17"/>
      <c r="V138" s="17"/>
      <c r="W138" s="17"/>
    </row>
    <row r="139" spans="1:23" hidden="1" x14ac:dyDescent="0.2">
      <c r="A139" s="51">
        <f t="shared" si="66"/>
        <v>0</v>
      </c>
      <c r="B139" s="46" t="e">
        <f t="shared" ca="1" si="67"/>
        <v>#N/A</v>
      </c>
      <c r="C139" s="1" t="str">
        <f>IF(ISERROR(D139),"",IF(D139="","",MAX($C$121:C138)+1))</f>
        <v/>
      </c>
      <c r="D139" t="e">
        <f t="shared" si="68"/>
        <v>#N/A</v>
      </c>
      <c r="E139" s="22"/>
      <c r="F139" s="63" t="e">
        <f t="shared" ca="1" si="71"/>
        <v>#DIV/0!</v>
      </c>
      <c r="G139" s="63" t="str">
        <f t="shared" si="69"/>
        <v>N/A</v>
      </c>
      <c r="H139" s="63"/>
      <c r="I139" s="63" t="str">
        <f t="shared" ref="I139:I167" ca="1" si="72">IFERROR(IF(INDEX(MP_BV_WP,$B139,I$122)=0,"N/A",INDEX(MP_BV_WP,$B139,I$122)),"N/A")</f>
        <v>N/A</v>
      </c>
      <c r="J139" s="63" t="str">
        <f t="shared" ref="J139:S162" ca="1" si="73">IFERROR(IF(INDEX(MP_BV_WP,$B139,J$122)=0,"N/A",INDEX(MP_BV_WP,$B139,J$122)),"N/A")</f>
        <v>N/A</v>
      </c>
      <c r="K139" s="63" t="str">
        <f t="shared" ca="1" si="73"/>
        <v>N/A</v>
      </c>
      <c r="L139" s="63" t="str">
        <f t="shared" ca="1" si="73"/>
        <v>N/A</v>
      </c>
      <c r="M139" s="63" t="str">
        <f t="shared" ca="1" si="73"/>
        <v>N/A</v>
      </c>
      <c r="N139" s="63" t="str">
        <f t="shared" ca="1" si="73"/>
        <v>N/A</v>
      </c>
      <c r="O139" s="63" t="str">
        <f t="shared" ca="1" si="73"/>
        <v>N/A</v>
      </c>
      <c r="P139" s="63" t="str">
        <f t="shared" ca="1" si="73"/>
        <v>N/A</v>
      </c>
      <c r="Q139" s="63" t="str">
        <f t="shared" ca="1" si="73"/>
        <v>N/A</v>
      </c>
      <c r="R139" s="63" t="str">
        <f t="shared" ca="1" si="73"/>
        <v>N/A</v>
      </c>
      <c r="S139" s="63" t="str">
        <f t="shared" ca="1" si="73"/>
        <v>N/A</v>
      </c>
      <c r="T139" s="63"/>
      <c r="U139" s="17"/>
      <c r="V139" s="17"/>
      <c r="W139" s="17"/>
    </row>
    <row r="140" spans="1:23" hidden="1" x14ac:dyDescent="0.2">
      <c r="A140" s="51">
        <f t="shared" si="66"/>
        <v>0</v>
      </c>
      <c r="B140" s="46" t="e">
        <f t="shared" ca="1" si="67"/>
        <v>#N/A</v>
      </c>
      <c r="C140" s="1" t="str">
        <f>IF(ISERROR(D140),"",IF(D140="","",MAX($C$121:C139)+1))</f>
        <v/>
      </c>
      <c r="D140" t="e">
        <f t="shared" si="68"/>
        <v>#N/A</v>
      </c>
      <c r="E140" s="22"/>
      <c r="F140" s="63" t="e">
        <f t="shared" ca="1" si="71"/>
        <v>#DIV/0!</v>
      </c>
      <c r="G140" s="63" t="str">
        <f t="shared" si="69"/>
        <v>N/A</v>
      </c>
      <c r="H140" s="63"/>
      <c r="I140" s="63" t="str">
        <f t="shared" ca="1" si="72"/>
        <v>N/A</v>
      </c>
      <c r="J140" s="63" t="str">
        <f t="shared" ca="1" si="73"/>
        <v>N/A</v>
      </c>
      <c r="K140" s="63" t="str">
        <f t="shared" ca="1" si="73"/>
        <v>N/A</v>
      </c>
      <c r="L140" s="63" t="str">
        <f t="shared" ca="1" si="73"/>
        <v>N/A</v>
      </c>
      <c r="M140" s="63" t="str">
        <f t="shared" ca="1" si="73"/>
        <v>N/A</v>
      </c>
      <c r="N140" s="63" t="str">
        <f t="shared" ca="1" si="73"/>
        <v>N/A</v>
      </c>
      <c r="O140" s="63" t="str">
        <f t="shared" ca="1" si="73"/>
        <v>N/A</v>
      </c>
      <c r="P140" s="63" t="str">
        <f t="shared" ca="1" si="73"/>
        <v>N/A</v>
      </c>
      <c r="Q140" s="63" t="str">
        <f t="shared" ca="1" si="73"/>
        <v>N/A</v>
      </c>
      <c r="R140" s="63" t="str">
        <f t="shared" ca="1" si="73"/>
        <v>N/A</v>
      </c>
      <c r="S140" s="63" t="str">
        <f t="shared" ca="1" si="73"/>
        <v>N/A</v>
      </c>
      <c r="T140" s="63"/>
      <c r="U140" s="17"/>
      <c r="V140" s="17"/>
      <c r="W140" s="17"/>
    </row>
    <row r="141" spans="1:23" hidden="1" x14ac:dyDescent="0.2">
      <c r="A141" s="51">
        <f t="shared" si="66"/>
        <v>0</v>
      </c>
      <c r="B141" s="46" t="e">
        <f t="shared" ca="1" si="67"/>
        <v>#N/A</v>
      </c>
      <c r="C141" s="1" t="str">
        <f>IF(ISERROR(D141),"",IF(D141="","",MAX($C$121:C140)+1))</f>
        <v/>
      </c>
      <c r="D141" t="e">
        <f t="shared" si="68"/>
        <v>#N/A</v>
      </c>
      <c r="E141" s="22"/>
      <c r="F141" s="63" t="e">
        <f t="shared" ca="1" si="71"/>
        <v>#DIV/0!</v>
      </c>
      <c r="G141" s="63" t="str">
        <f t="shared" si="69"/>
        <v>N/A</v>
      </c>
      <c r="H141" s="63"/>
      <c r="I141" s="63" t="str">
        <f t="shared" ca="1" si="72"/>
        <v>N/A</v>
      </c>
      <c r="J141" s="63" t="str">
        <f t="shared" ca="1" si="73"/>
        <v>N/A</v>
      </c>
      <c r="K141" s="63" t="str">
        <f t="shared" ca="1" si="73"/>
        <v>N/A</v>
      </c>
      <c r="L141" s="63" t="str">
        <f t="shared" ca="1" si="73"/>
        <v>N/A</v>
      </c>
      <c r="M141" s="63" t="str">
        <f t="shared" ca="1" si="73"/>
        <v>N/A</v>
      </c>
      <c r="N141" s="63" t="str">
        <f t="shared" ca="1" si="73"/>
        <v>N/A</v>
      </c>
      <c r="O141" s="63" t="str">
        <f t="shared" ca="1" si="73"/>
        <v>N/A</v>
      </c>
      <c r="P141" s="63" t="str">
        <f t="shared" ca="1" si="73"/>
        <v>N/A</v>
      </c>
      <c r="Q141" s="63" t="str">
        <f t="shared" ca="1" si="73"/>
        <v>N/A</v>
      </c>
      <c r="R141" s="63" t="str">
        <f t="shared" ca="1" si="73"/>
        <v>N/A</v>
      </c>
      <c r="S141" s="63" t="str">
        <f t="shared" ca="1" si="73"/>
        <v>N/A</v>
      </c>
      <c r="T141" s="63"/>
      <c r="U141" s="17"/>
      <c r="V141" s="17"/>
      <c r="W141" s="17"/>
    </row>
    <row r="142" spans="1:23" hidden="1" x14ac:dyDescent="0.2">
      <c r="A142" s="51">
        <f t="shared" si="66"/>
        <v>0</v>
      </c>
      <c r="B142" s="46" t="e">
        <f t="shared" ca="1" si="67"/>
        <v>#N/A</v>
      </c>
      <c r="C142" s="1" t="str">
        <f>IF(ISERROR(D142),"",IF(D142="","",MAX($C$121:C141)+1))</f>
        <v/>
      </c>
      <c r="D142" t="e">
        <f t="shared" si="68"/>
        <v>#N/A</v>
      </c>
      <c r="E142" s="22"/>
      <c r="F142" s="63" t="e">
        <f t="shared" ca="1" si="71"/>
        <v>#DIV/0!</v>
      </c>
      <c r="G142" s="63" t="str">
        <f t="shared" si="69"/>
        <v>N/A</v>
      </c>
      <c r="H142" s="63"/>
      <c r="I142" s="63" t="str">
        <f t="shared" ca="1" si="72"/>
        <v>N/A</v>
      </c>
      <c r="J142" s="63" t="str">
        <f t="shared" ca="1" si="73"/>
        <v>N/A</v>
      </c>
      <c r="K142" s="63" t="str">
        <f t="shared" ca="1" si="73"/>
        <v>N/A</v>
      </c>
      <c r="L142" s="63" t="str">
        <f t="shared" ca="1" si="73"/>
        <v>N/A</v>
      </c>
      <c r="M142" s="63" t="str">
        <f t="shared" ca="1" si="73"/>
        <v>N/A</v>
      </c>
      <c r="N142" s="63" t="str">
        <f t="shared" ca="1" si="73"/>
        <v>N/A</v>
      </c>
      <c r="O142" s="63" t="str">
        <f t="shared" ca="1" si="73"/>
        <v>N/A</v>
      </c>
      <c r="P142" s="63" t="str">
        <f t="shared" ca="1" si="73"/>
        <v>N/A</v>
      </c>
      <c r="Q142" s="63" t="str">
        <f t="shared" ca="1" si="73"/>
        <v>N/A</v>
      </c>
      <c r="R142" s="63" t="str">
        <f t="shared" ca="1" si="73"/>
        <v>N/A</v>
      </c>
      <c r="S142" s="63" t="str">
        <f t="shared" ca="1" si="73"/>
        <v>N/A</v>
      </c>
      <c r="T142" s="63"/>
      <c r="U142" s="17"/>
      <c r="V142" s="17"/>
      <c r="W142" s="17"/>
    </row>
    <row r="143" spans="1:23" hidden="1" x14ac:dyDescent="0.2">
      <c r="A143" s="51">
        <f t="shared" si="66"/>
        <v>0</v>
      </c>
      <c r="B143" s="46" t="e">
        <f t="shared" ca="1" si="67"/>
        <v>#N/A</v>
      </c>
      <c r="C143" s="1" t="str">
        <f>IF(ISERROR(D143),"",IF(D143="","",MAX($C$121:C142)+1))</f>
        <v/>
      </c>
      <c r="D143" t="e">
        <f t="shared" si="68"/>
        <v>#N/A</v>
      </c>
      <c r="E143" s="22"/>
      <c r="F143" s="63" t="e">
        <f t="shared" ca="1" si="71"/>
        <v>#DIV/0!</v>
      </c>
      <c r="G143" s="63" t="str">
        <f t="shared" si="69"/>
        <v>N/A</v>
      </c>
      <c r="H143" s="63"/>
      <c r="I143" s="63" t="str">
        <f t="shared" ca="1" si="72"/>
        <v>N/A</v>
      </c>
      <c r="J143" s="63" t="str">
        <f t="shared" ca="1" si="73"/>
        <v>N/A</v>
      </c>
      <c r="K143" s="63" t="str">
        <f t="shared" ca="1" si="73"/>
        <v>N/A</v>
      </c>
      <c r="L143" s="63" t="str">
        <f t="shared" ca="1" si="73"/>
        <v>N/A</v>
      </c>
      <c r="M143" s="63" t="str">
        <f t="shared" ca="1" si="73"/>
        <v>N/A</v>
      </c>
      <c r="N143" s="63" t="str">
        <f t="shared" ca="1" si="73"/>
        <v>N/A</v>
      </c>
      <c r="O143" s="63" t="str">
        <f t="shared" ca="1" si="73"/>
        <v>N/A</v>
      </c>
      <c r="P143" s="63" t="str">
        <f t="shared" ca="1" si="73"/>
        <v>N/A</v>
      </c>
      <c r="Q143" s="63" t="str">
        <f t="shared" ca="1" si="73"/>
        <v>N/A</v>
      </c>
      <c r="R143" s="63" t="str">
        <f t="shared" ca="1" si="73"/>
        <v>N/A</v>
      </c>
      <c r="S143" s="63" t="str">
        <f t="shared" ca="1" si="73"/>
        <v>N/A</v>
      </c>
      <c r="T143" s="63"/>
      <c r="U143" s="17"/>
      <c r="V143" s="17"/>
      <c r="W143" s="17"/>
    </row>
    <row r="144" spans="1:23" hidden="1" x14ac:dyDescent="0.2">
      <c r="A144" s="51">
        <f t="shared" si="66"/>
        <v>0</v>
      </c>
      <c r="B144" s="46" t="e">
        <f t="shared" ca="1" si="67"/>
        <v>#N/A</v>
      </c>
      <c r="C144" s="1" t="str">
        <f>IF(ISERROR(D144),"",IF(D144="","",MAX($C$121:C143)+1))</f>
        <v/>
      </c>
      <c r="D144" t="e">
        <f t="shared" si="68"/>
        <v>#N/A</v>
      </c>
      <c r="E144" s="22"/>
      <c r="F144" s="63" t="e">
        <f t="shared" ca="1" si="71"/>
        <v>#DIV/0!</v>
      </c>
      <c r="G144" s="63" t="str">
        <f t="shared" si="69"/>
        <v>N/A</v>
      </c>
      <c r="H144" s="63"/>
      <c r="I144" s="63" t="str">
        <f t="shared" ca="1" si="72"/>
        <v>N/A</v>
      </c>
      <c r="J144" s="63" t="str">
        <f t="shared" ca="1" si="73"/>
        <v>N/A</v>
      </c>
      <c r="K144" s="63" t="str">
        <f t="shared" ca="1" si="73"/>
        <v>N/A</v>
      </c>
      <c r="L144" s="63" t="str">
        <f t="shared" ca="1" si="73"/>
        <v>N/A</v>
      </c>
      <c r="M144" s="63" t="str">
        <f t="shared" ca="1" si="73"/>
        <v>N/A</v>
      </c>
      <c r="N144" s="63" t="str">
        <f t="shared" ca="1" si="73"/>
        <v>N/A</v>
      </c>
      <c r="O144" s="63" t="str">
        <f t="shared" ca="1" si="73"/>
        <v>N/A</v>
      </c>
      <c r="P144" s="63" t="str">
        <f t="shared" ca="1" si="73"/>
        <v>N/A</v>
      </c>
      <c r="Q144" s="63" t="str">
        <f t="shared" ca="1" si="73"/>
        <v>N/A</v>
      </c>
      <c r="R144" s="63" t="str">
        <f t="shared" ca="1" si="73"/>
        <v>N/A</v>
      </c>
      <c r="S144" s="63" t="str">
        <f t="shared" ca="1" si="73"/>
        <v>N/A</v>
      </c>
      <c r="T144" s="63"/>
      <c r="U144" s="17"/>
      <c r="V144" s="17"/>
      <c r="W144" s="17"/>
    </row>
    <row r="145" spans="1:23" hidden="1" x14ac:dyDescent="0.2">
      <c r="A145" s="51">
        <f t="shared" si="66"/>
        <v>0</v>
      </c>
      <c r="B145" s="46" t="e">
        <f t="shared" ca="1" si="67"/>
        <v>#N/A</v>
      </c>
      <c r="C145" s="1" t="str">
        <f>IF(ISERROR(D145),"",IF(D145="","",MAX($C$121:C144)+1))</f>
        <v/>
      </c>
      <c r="D145" t="e">
        <f t="shared" si="68"/>
        <v>#N/A</v>
      </c>
      <c r="E145" s="22"/>
      <c r="F145" s="63" t="e">
        <f t="shared" ca="1" si="71"/>
        <v>#DIV/0!</v>
      </c>
      <c r="G145" s="63" t="str">
        <f t="shared" si="69"/>
        <v>N/A</v>
      </c>
      <c r="H145" s="63"/>
      <c r="I145" s="63" t="str">
        <f t="shared" ca="1" si="72"/>
        <v>N/A</v>
      </c>
      <c r="J145" s="63" t="str">
        <f t="shared" ca="1" si="73"/>
        <v>N/A</v>
      </c>
      <c r="K145" s="63" t="str">
        <f t="shared" ca="1" si="73"/>
        <v>N/A</v>
      </c>
      <c r="L145" s="63" t="str">
        <f t="shared" ca="1" si="73"/>
        <v>N/A</v>
      </c>
      <c r="M145" s="63" t="str">
        <f t="shared" ca="1" si="73"/>
        <v>N/A</v>
      </c>
      <c r="N145" s="63" t="str">
        <f t="shared" ca="1" si="73"/>
        <v>N/A</v>
      </c>
      <c r="O145" s="63" t="str">
        <f t="shared" ca="1" si="73"/>
        <v>N/A</v>
      </c>
      <c r="P145" s="63" t="str">
        <f t="shared" ca="1" si="73"/>
        <v>N/A</v>
      </c>
      <c r="Q145" s="63" t="str">
        <f t="shared" ca="1" si="73"/>
        <v>N/A</v>
      </c>
      <c r="R145" s="63" t="str">
        <f t="shared" ca="1" si="73"/>
        <v>N/A</v>
      </c>
      <c r="S145" s="63" t="str">
        <f t="shared" ca="1" si="73"/>
        <v>N/A</v>
      </c>
      <c r="T145" s="63"/>
      <c r="U145" s="17"/>
      <c r="V145" s="17"/>
      <c r="W145" s="17"/>
    </row>
    <row r="146" spans="1:23" hidden="1" x14ac:dyDescent="0.2">
      <c r="A146" s="51">
        <f t="shared" si="66"/>
        <v>0</v>
      </c>
      <c r="B146" s="46" t="e">
        <f t="shared" ca="1" si="67"/>
        <v>#N/A</v>
      </c>
      <c r="C146" s="1" t="str">
        <f>IF(ISERROR(D146),"",IF(D146="","",MAX($C$121:C145)+1))</f>
        <v/>
      </c>
      <c r="D146" t="e">
        <f t="shared" si="68"/>
        <v>#N/A</v>
      </c>
      <c r="E146" s="22"/>
      <c r="F146" s="63" t="e">
        <f t="shared" ca="1" si="71"/>
        <v>#DIV/0!</v>
      </c>
      <c r="G146" s="63" t="str">
        <f t="shared" si="69"/>
        <v>N/A</v>
      </c>
      <c r="H146" s="63"/>
      <c r="I146" s="63" t="str">
        <f t="shared" ca="1" si="72"/>
        <v>N/A</v>
      </c>
      <c r="J146" s="63" t="str">
        <f t="shared" ca="1" si="73"/>
        <v>N/A</v>
      </c>
      <c r="K146" s="63" t="str">
        <f t="shared" ca="1" si="73"/>
        <v>N/A</v>
      </c>
      <c r="L146" s="63" t="str">
        <f t="shared" ca="1" si="73"/>
        <v>N/A</v>
      </c>
      <c r="M146" s="63" t="str">
        <f t="shared" ca="1" si="73"/>
        <v>N/A</v>
      </c>
      <c r="N146" s="63" t="str">
        <f t="shared" ca="1" si="73"/>
        <v>N/A</v>
      </c>
      <c r="O146" s="63" t="str">
        <f t="shared" ca="1" si="73"/>
        <v>N/A</v>
      </c>
      <c r="P146" s="63" t="str">
        <f t="shared" ca="1" si="73"/>
        <v>N/A</v>
      </c>
      <c r="Q146" s="63" t="str">
        <f t="shared" ca="1" si="73"/>
        <v>N/A</v>
      </c>
      <c r="R146" s="63" t="str">
        <f t="shared" ca="1" si="73"/>
        <v>N/A</v>
      </c>
      <c r="S146" s="63" t="str">
        <f t="shared" ca="1" si="73"/>
        <v>N/A</v>
      </c>
      <c r="T146" s="63"/>
      <c r="U146" s="17"/>
      <c r="V146" s="17"/>
      <c r="W146" s="17"/>
    </row>
    <row r="147" spans="1:23" hidden="1" x14ac:dyDescent="0.2">
      <c r="A147" s="51">
        <f t="shared" si="66"/>
        <v>0</v>
      </c>
      <c r="B147" s="46" t="e">
        <f t="shared" ca="1" si="67"/>
        <v>#N/A</v>
      </c>
      <c r="C147" s="1" t="str">
        <f>IF(ISERROR(D147),"",IF(D147="","",MAX($C$121:C146)+1))</f>
        <v/>
      </c>
      <c r="D147" t="e">
        <f t="shared" si="68"/>
        <v>#N/A</v>
      </c>
      <c r="E147" s="22"/>
      <c r="F147" s="63" t="e">
        <f t="shared" ca="1" si="71"/>
        <v>#DIV/0!</v>
      </c>
      <c r="G147" s="63" t="str">
        <f t="shared" si="69"/>
        <v>N/A</v>
      </c>
      <c r="H147" s="63"/>
      <c r="I147" s="63" t="str">
        <f t="shared" ca="1" si="72"/>
        <v>N/A</v>
      </c>
      <c r="J147" s="63" t="str">
        <f t="shared" ca="1" si="73"/>
        <v>N/A</v>
      </c>
      <c r="K147" s="63" t="str">
        <f t="shared" ca="1" si="73"/>
        <v>N/A</v>
      </c>
      <c r="L147" s="63" t="str">
        <f t="shared" ca="1" si="73"/>
        <v>N/A</v>
      </c>
      <c r="M147" s="63" t="str">
        <f t="shared" ca="1" si="73"/>
        <v>N/A</v>
      </c>
      <c r="N147" s="63" t="str">
        <f t="shared" ca="1" si="73"/>
        <v>N/A</v>
      </c>
      <c r="O147" s="63" t="str">
        <f t="shared" ca="1" si="73"/>
        <v>N/A</v>
      </c>
      <c r="P147" s="63" t="str">
        <f t="shared" ca="1" si="73"/>
        <v>N/A</v>
      </c>
      <c r="Q147" s="63" t="str">
        <f t="shared" ca="1" si="73"/>
        <v>N/A</v>
      </c>
      <c r="R147" s="63" t="str">
        <f t="shared" ca="1" si="73"/>
        <v>N/A</v>
      </c>
      <c r="S147" s="63" t="str">
        <f t="shared" ca="1" si="73"/>
        <v>N/A</v>
      </c>
      <c r="T147" s="63"/>
      <c r="U147" s="17"/>
      <c r="V147" s="17"/>
      <c r="W147" s="17"/>
    </row>
    <row r="148" spans="1:23" hidden="1" x14ac:dyDescent="0.2">
      <c r="A148" s="51">
        <f t="shared" si="66"/>
        <v>0</v>
      </c>
      <c r="B148" s="46" t="e">
        <f t="shared" ca="1" si="67"/>
        <v>#N/A</v>
      </c>
      <c r="C148" s="1" t="str">
        <f>IF(ISERROR(D148),"",IF(D148="","",MAX($C$121:C147)+1))</f>
        <v/>
      </c>
      <c r="D148" t="e">
        <f t="shared" si="68"/>
        <v>#N/A</v>
      </c>
      <c r="E148" s="22"/>
      <c r="F148" s="63" t="e">
        <f t="shared" ca="1" si="71"/>
        <v>#DIV/0!</v>
      </c>
      <c r="G148" s="63" t="str">
        <f t="shared" si="69"/>
        <v>N/A</v>
      </c>
      <c r="H148" s="63"/>
      <c r="I148" s="63" t="str">
        <f t="shared" ca="1" si="72"/>
        <v>N/A</v>
      </c>
      <c r="J148" s="63" t="str">
        <f t="shared" ca="1" si="73"/>
        <v>N/A</v>
      </c>
      <c r="K148" s="63" t="str">
        <f t="shared" ca="1" si="73"/>
        <v>N/A</v>
      </c>
      <c r="L148" s="63" t="str">
        <f t="shared" ca="1" si="73"/>
        <v>N/A</v>
      </c>
      <c r="M148" s="63" t="str">
        <f t="shared" ca="1" si="73"/>
        <v>N/A</v>
      </c>
      <c r="N148" s="63" t="str">
        <f t="shared" ca="1" si="73"/>
        <v>N/A</v>
      </c>
      <c r="O148" s="63" t="str">
        <f t="shared" ca="1" si="73"/>
        <v>N/A</v>
      </c>
      <c r="P148" s="63" t="str">
        <f t="shared" ca="1" si="73"/>
        <v>N/A</v>
      </c>
      <c r="Q148" s="63" t="str">
        <f t="shared" ca="1" si="73"/>
        <v>N/A</v>
      </c>
      <c r="R148" s="63" t="str">
        <f t="shared" ca="1" si="73"/>
        <v>N/A</v>
      </c>
      <c r="S148" s="63" t="str">
        <f t="shared" ca="1" si="73"/>
        <v>N/A</v>
      </c>
      <c r="T148" s="63"/>
      <c r="U148" s="17"/>
      <c r="V148" s="17"/>
      <c r="W148" s="17"/>
    </row>
    <row r="149" spans="1:23" hidden="1" x14ac:dyDescent="0.2">
      <c r="A149" s="51">
        <f t="shared" si="66"/>
        <v>0</v>
      </c>
      <c r="B149" s="46" t="e">
        <f t="shared" ca="1" si="67"/>
        <v>#N/A</v>
      </c>
      <c r="C149" s="1" t="str">
        <f>IF(ISERROR(D149),"",IF(D149="","",MAX($C$121:C148)+1))</f>
        <v/>
      </c>
      <c r="D149" t="e">
        <f t="shared" si="68"/>
        <v>#N/A</v>
      </c>
      <c r="E149" s="22"/>
      <c r="F149" s="63" t="e">
        <f t="shared" ca="1" si="71"/>
        <v>#DIV/0!</v>
      </c>
      <c r="G149" s="63" t="str">
        <f t="shared" si="69"/>
        <v>N/A</v>
      </c>
      <c r="H149" s="63"/>
      <c r="I149" s="63" t="str">
        <f t="shared" ca="1" si="72"/>
        <v>N/A</v>
      </c>
      <c r="J149" s="63" t="str">
        <f t="shared" ca="1" si="73"/>
        <v>N/A</v>
      </c>
      <c r="K149" s="63" t="str">
        <f t="shared" ca="1" si="73"/>
        <v>N/A</v>
      </c>
      <c r="L149" s="63" t="str">
        <f t="shared" ca="1" si="73"/>
        <v>N/A</v>
      </c>
      <c r="M149" s="63" t="str">
        <f t="shared" ca="1" si="73"/>
        <v>N/A</v>
      </c>
      <c r="N149" s="63" t="str">
        <f t="shared" ca="1" si="73"/>
        <v>N/A</v>
      </c>
      <c r="O149" s="63" t="str">
        <f t="shared" ca="1" si="73"/>
        <v>N/A</v>
      </c>
      <c r="P149" s="63" t="str">
        <f t="shared" ca="1" si="73"/>
        <v>N/A</v>
      </c>
      <c r="Q149" s="63" t="str">
        <f t="shared" ca="1" si="73"/>
        <v>N/A</v>
      </c>
      <c r="R149" s="63" t="str">
        <f t="shared" ca="1" si="73"/>
        <v>N/A</v>
      </c>
      <c r="S149" s="63" t="str">
        <f t="shared" ca="1" si="73"/>
        <v>N/A</v>
      </c>
      <c r="T149" s="63"/>
      <c r="U149" s="17"/>
      <c r="V149" s="17"/>
      <c r="W149" s="17"/>
    </row>
    <row r="150" spans="1:23" hidden="1" x14ac:dyDescent="0.2">
      <c r="A150" s="51">
        <f t="shared" si="66"/>
        <v>0</v>
      </c>
      <c r="B150" s="46" t="e">
        <f t="shared" ca="1" si="67"/>
        <v>#N/A</v>
      </c>
      <c r="C150" s="1" t="str">
        <f>IF(ISERROR(D150),"",IF(D150="","",MAX($C$121:C149)+1))</f>
        <v/>
      </c>
      <c r="D150" t="e">
        <f t="shared" si="68"/>
        <v>#N/A</v>
      </c>
      <c r="E150" s="22"/>
      <c r="F150" s="63" t="e">
        <f t="shared" ca="1" si="71"/>
        <v>#DIV/0!</v>
      </c>
      <c r="G150" s="63" t="str">
        <f t="shared" si="69"/>
        <v>N/A</v>
      </c>
      <c r="H150" s="63"/>
      <c r="I150" s="63" t="str">
        <f t="shared" ca="1" si="72"/>
        <v>N/A</v>
      </c>
      <c r="J150" s="63" t="str">
        <f t="shared" ca="1" si="73"/>
        <v>N/A</v>
      </c>
      <c r="K150" s="63" t="str">
        <f t="shared" ca="1" si="73"/>
        <v>N/A</v>
      </c>
      <c r="L150" s="63" t="str">
        <f t="shared" ca="1" si="73"/>
        <v>N/A</v>
      </c>
      <c r="M150" s="63" t="str">
        <f t="shared" ca="1" si="73"/>
        <v>N/A</v>
      </c>
      <c r="N150" s="63" t="str">
        <f t="shared" ca="1" si="73"/>
        <v>N/A</v>
      </c>
      <c r="O150" s="63" t="str">
        <f t="shared" ca="1" si="73"/>
        <v>N/A</v>
      </c>
      <c r="P150" s="63" t="str">
        <f t="shared" ca="1" si="73"/>
        <v>N/A</v>
      </c>
      <c r="Q150" s="63" t="str">
        <f t="shared" ca="1" si="73"/>
        <v>N/A</v>
      </c>
      <c r="R150" s="63" t="str">
        <f t="shared" ca="1" si="73"/>
        <v>N/A</v>
      </c>
      <c r="S150" s="63" t="str">
        <f t="shared" ca="1" si="73"/>
        <v>N/A</v>
      </c>
      <c r="T150" s="63"/>
      <c r="U150" s="17"/>
      <c r="V150" s="17"/>
      <c r="W150" s="17"/>
    </row>
    <row r="151" spans="1:23" hidden="1" x14ac:dyDescent="0.2">
      <c r="A151" s="51">
        <f t="shared" si="66"/>
        <v>0</v>
      </c>
      <c r="B151" s="46" t="e">
        <f t="shared" ca="1" si="67"/>
        <v>#N/A</v>
      </c>
      <c r="C151" s="1" t="str">
        <f>IF(ISERROR(D151),"",IF(D151="","",MAX($C$121:C150)+1))</f>
        <v/>
      </c>
      <c r="D151" t="e">
        <f t="shared" si="68"/>
        <v>#N/A</v>
      </c>
      <c r="E151" s="22"/>
      <c r="F151" s="63" t="e">
        <f t="shared" ca="1" si="71"/>
        <v>#DIV/0!</v>
      </c>
      <c r="G151" s="63" t="str">
        <f t="shared" si="69"/>
        <v>N/A</v>
      </c>
      <c r="H151" s="63"/>
      <c r="I151" s="63" t="str">
        <f t="shared" ca="1" si="72"/>
        <v>N/A</v>
      </c>
      <c r="J151" s="63" t="str">
        <f t="shared" ca="1" si="73"/>
        <v>N/A</v>
      </c>
      <c r="K151" s="63" t="str">
        <f t="shared" ca="1" si="73"/>
        <v>N/A</v>
      </c>
      <c r="L151" s="63" t="str">
        <f t="shared" ca="1" si="73"/>
        <v>N/A</v>
      </c>
      <c r="M151" s="63" t="str">
        <f t="shared" ca="1" si="73"/>
        <v>N/A</v>
      </c>
      <c r="N151" s="63" t="str">
        <f t="shared" ca="1" si="73"/>
        <v>N/A</v>
      </c>
      <c r="O151" s="63" t="str">
        <f t="shared" ca="1" si="73"/>
        <v>N/A</v>
      </c>
      <c r="P151" s="63" t="str">
        <f t="shared" ca="1" si="73"/>
        <v>N/A</v>
      </c>
      <c r="Q151" s="63" t="str">
        <f t="shared" ca="1" si="73"/>
        <v>N/A</v>
      </c>
      <c r="R151" s="63" t="str">
        <f t="shared" ca="1" si="73"/>
        <v>N/A</v>
      </c>
      <c r="S151" s="63" t="str">
        <f t="shared" ca="1" si="73"/>
        <v>N/A</v>
      </c>
      <c r="T151" s="63"/>
      <c r="U151" s="17"/>
      <c r="V151" s="17"/>
      <c r="W151" s="17"/>
    </row>
    <row r="152" spans="1:23" hidden="1" x14ac:dyDescent="0.2">
      <c r="A152" s="51">
        <f t="shared" si="66"/>
        <v>0</v>
      </c>
      <c r="B152" s="46" t="e">
        <f t="shared" ca="1" si="67"/>
        <v>#N/A</v>
      </c>
      <c r="C152" s="1" t="str">
        <f>IF(ISERROR(D152),"",IF(D152="","",MAX($C$121:C151)+1))</f>
        <v/>
      </c>
      <c r="D152" t="e">
        <f t="shared" si="68"/>
        <v>#N/A</v>
      </c>
      <c r="E152" s="22"/>
      <c r="F152" s="63" t="e">
        <f t="shared" ca="1" si="71"/>
        <v>#DIV/0!</v>
      </c>
      <c r="G152" s="63" t="str">
        <f t="shared" si="69"/>
        <v>N/A</v>
      </c>
      <c r="H152" s="63"/>
      <c r="I152" s="63" t="str">
        <f t="shared" ca="1" si="72"/>
        <v>N/A</v>
      </c>
      <c r="J152" s="63" t="str">
        <f t="shared" ca="1" si="73"/>
        <v>N/A</v>
      </c>
      <c r="K152" s="63" t="str">
        <f t="shared" ca="1" si="73"/>
        <v>N/A</v>
      </c>
      <c r="L152" s="63" t="str">
        <f t="shared" ca="1" si="73"/>
        <v>N/A</v>
      </c>
      <c r="M152" s="63" t="str">
        <f t="shared" ca="1" si="73"/>
        <v>N/A</v>
      </c>
      <c r="N152" s="63" t="str">
        <f t="shared" ca="1" si="73"/>
        <v>N/A</v>
      </c>
      <c r="O152" s="63" t="str">
        <f t="shared" ca="1" si="73"/>
        <v>N/A</v>
      </c>
      <c r="P152" s="63" t="str">
        <f t="shared" ca="1" si="73"/>
        <v>N/A</v>
      </c>
      <c r="Q152" s="63" t="str">
        <f t="shared" ca="1" si="73"/>
        <v>N/A</v>
      </c>
      <c r="R152" s="63" t="str">
        <f t="shared" ca="1" si="73"/>
        <v>N/A</v>
      </c>
      <c r="S152" s="63" t="str">
        <f t="shared" ca="1" si="73"/>
        <v>N/A</v>
      </c>
      <c r="T152" s="63"/>
      <c r="U152" s="17"/>
      <c r="V152" s="17"/>
      <c r="W152" s="17"/>
    </row>
    <row r="153" spans="1:23" hidden="1" x14ac:dyDescent="0.2">
      <c r="A153" s="51">
        <f t="shared" si="66"/>
        <v>0</v>
      </c>
      <c r="B153" s="46" t="e">
        <f t="shared" ca="1" si="67"/>
        <v>#N/A</v>
      </c>
      <c r="C153" s="1" t="str">
        <f>IF(ISERROR(D153),"",IF(D153="","",MAX($C$121:C152)+1))</f>
        <v/>
      </c>
      <c r="D153" t="e">
        <f t="shared" si="68"/>
        <v>#N/A</v>
      </c>
      <c r="E153" s="22"/>
      <c r="F153" s="63" t="e">
        <f t="shared" ca="1" si="71"/>
        <v>#DIV/0!</v>
      </c>
      <c r="G153" s="63" t="str">
        <f t="shared" si="69"/>
        <v>N/A</v>
      </c>
      <c r="H153" s="63"/>
      <c r="I153" s="63" t="str">
        <f t="shared" ca="1" si="72"/>
        <v>N/A</v>
      </c>
      <c r="J153" s="63" t="str">
        <f t="shared" ca="1" si="73"/>
        <v>N/A</v>
      </c>
      <c r="K153" s="63" t="str">
        <f t="shared" ca="1" si="73"/>
        <v>N/A</v>
      </c>
      <c r="L153" s="63" t="str">
        <f t="shared" ca="1" si="73"/>
        <v>N/A</v>
      </c>
      <c r="M153" s="63" t="str">
        <f t="shared" ca="1" si="73"/>
        <v>N/A</v>
      </c>
      <c r="N153" s="63" t="str">
        <f t="shared" ca="1" si="73"/>
        <v>N/A</v>
      </c>
      <c r="O153" s="63" t="str">
        <f t="shared" ca="1" si="73"/>
        <v>N/A</v>
      </c>
      <c r="P153" s="63" t="str">
        <f t="shared" ca="1" si="73"/>
        <v>N/A</v>
      </c>
      <c r="Q153" s="63" t="str">
        <f t="shared" ca="1" si="73"/>
        <v>N/A</v>
      </c>
      <c r="R153" s="63" t="str">
        <f t="shared" ca="1" si="73"/>
        <v>N/A</v>
      </c>
      <c r="S153" s="63" t="str">
        <f t="shared" ca="1" si="73"/>
        <v>N/A</v>
      </c>
      <c r="T153" s="63"/>
      <c r="U153" s="17"/>
      <c r="V153" s="17"/>
      <c r="W153" s="17"/>
    </row>
    <row r="154" spans="1:23" hidden="1" x14ac:dyDescent="0.2">
      <c r="A154" s="51">
        <f t="shared" si="66"/>
        <v>0</v>
      </c>
      <c r="B154" s="46" t="e">
        <f t="shared" ca="1" si="67"/>
        <v>#N/A</v>
      </c>
      <c r="C154" s="1" t="str">
        <f>IF(ISERROR(D154),"",IF(D154="","",MAX($C$121:C153)+1))</f>
        <v/>
      </c>
      <c r="D154" t="e">
        <f t="shared" si="68"/>
        <v>#N/A</v>
      </c>
      <c r="E154" s="22"/>
      <c r="F154" s="63" t="e">
        <f t="shared" ca="1" si="71"/>
        <v>#DIV/0!</v>
      </c>
      <c r="G154" s="63" t="str">
        <f t="shared" si="69"/>
        <v>N/A</v>
      </c>
      <c r="H154" s="63"/>
      <c r="I154" s="63" t="str">
        <f t="shared" ca="1" si="72"/>
        <v>N/A</v>
      </c>
      <c r="J154" s="63" t="str">
        <f t="shared" ca="1" si="73"/>
        <v>N/A</v>
      </c>
      <c r="K154" s="63" t="str">
        <f t="shared" ca="1" si="73"/>
        <v>N/A</v>
      </c>
      <c r="L154" s="63" t="str">
        <f t="shared" ca="1" si="73"/>
        <v>N/A</v>
      </c>
      <c r="M154" s="63" t="str">
        <f t="shared" ca="1" si="73"/>
        <v>N/A</v>
      </c>
      <c r="N154" s="63" t="str">
        <f t="shared" ca="1" si="73"/>
        <v>N/A</v>
      </c>
      <c r="O154" s="63" t="str">
        <f t="shared" ca="1" si="73"/>
        <v>N/A</v>
      </c>
      <c r="P154" s="63" t="str">
        <f t="shared" ca="1" si="73"/>
        <v>N/A</v>
      </c>
      <c r="Q154" s="63" t="str">
        <f t="shared" ca="1" si="73"/>
        <v>N/A</v>
      </c>
      <c r="R154" s="63" t="str">
        <f t="shared" ca="1" si="73"/>
        <v>N/A</v>
      </c>
      <c r="S154" s="63" t="str">
        <f t="shared" ca="1" si="73"/>
        <v>N/A</v>
      </c>
      <c r="T154" s="63"/>
      <c r="U154" s="17"/>
      <c r="V154" s="17"/>
      <c r="W154" s="17"/>
    </row>
    <row r="155" spans="1:23" hidden="1" x14ac:dyDescent="0.2">
      <c r="A155" s="51">
        <f t="shared" si="66"/>
        <v>0</v>
      </c>
      <c r="B155" s="46" t="e">
        <f t="shared" ca="1" si="67"/>
        <v>#N/A</v>
      </c>
      <c r="C155" s="1" t="str">
        <f>IF(ISERROR(D155),"",IF(D155="","",MAX($C$121:C154)+1))</f>
        <v/>
      </c>
      <c r="D155" t="e">
        <f t="shared" si="68"/>
        <v>#N/A</v>
      </c>
      <c r="E155" s="22"/>
      <c r="F155" s="63" t="e">
        <f t="shared" ca="1" si="71"/>
        <v>#DIV/0!</v>
      </c>
      <c r="G155" s="63" t="str">
        <f t="shared" si="69"/>
        <v>N/A</v>
      </c>
      <c r="H155" s="63"/>
      <c r="I155" s="63" t="str">
        <f t="shared" ca="1" si="72"/>
        <v>N/A</v>
      </c>
      <c r="J155" s="63" t="str">
        <f t="shared" ca="1" si="73"/>
        <v>N/A</v>
      </c>
      <c r="K155" s="63" t="str">
        <f t="shared" ca="1" si="73"/>
        <v>N/A</v>
      </c>
      <c r="L155" s="63" t="str">
        <f t="shared" ca="1" si="73"/>
        <v>N/A</v>
      </c>
      <c r="M155" s="63" t="str">
        <f t="shared" ca="1" si="73"/>
        <v>N/A</v>
      </c>
      <c r="N155" s="63" t="str">
        <f t="shared" ca="1" si="73"/>
        <v>N/A</v>
      </c>
      <c r="O155" s="63" t="str">
        <f t="shared" ca="1" si="73"/>
        <v>N/A</v>
      </c>
      <c r="P155" s="63" t="str">
        <f t="shared" ca="1" si="73"/>
        <v>N/A</v>
      </c>
      <c r="Q155" s="63" t="str">
        <f t="shared" ca="1" si="73"/>
        <v>N/A</v>
      </c>
      <c r="R155" s="63" t="str">
        <f t="shared" ca="1" si="73"/>
        <v>N/A</v>
      </c>
      <c r="S155" s="63" t="str">
        <f t="shared" ca="1" si="73"/>
        <v>N/A</v>
      </c>
      <c r="T155" s="63"/>
      <c r="U155" s="17"/>
      <c r="V155" s="17"/>
      <c r="W155" s="17"/>
    </row>
    <row r="156" spans="1:23" hidden="1" x14ac:dyDescent="0.2">
      <c r="A156" s="51">
        <f t="shared" si="66"/>
        <v>0</v>
      </c>
      <c r="B156" s="46" t="e">
        <f t="shared" ca="1" si="67"/>
        <v>#N/A</v>
      </c>
      <c r="C156" s="1" t="str">
        <f>IF(ISERROR(D156),"",IF(D156="","",MAX($C$121:C155)+1))</f>
        <v/>
      </c>
      <c r="D156" t="e">
        <f t="shared" si="68"/>
        <v>#N/A</v>
      </c>
      <c r="E156" s="22"/>
      <c r="F156" s="63" t="e">
        <f t="shared" ca="1" si="71"/>
        <v>#DIV/0!</v>
      </c>
      <c r="G156" s="63" t="str">
        <f t="shared" si="69"/>
        <v>N/A</v>
      </c>
      <c r="H156" s="63"/>
      <c r="I156" s="63" t="str">
        <f t="shared" ca="1" si="72"/>
        <v>N/A</v>
      </c>
      <c r="J156" s="63" t="str">
        <f t="shared" ca="1" si="73"/>
        <v>N/A</v>
      </c>
      <c r="K156" s="63" t="str">
        <f t="shared" ca="1" si="73"/>
        <v>N/A</v>
      </c>
      <c r="L156" s="63" t="str">
        <f t="shared" ca="1" si="73"/>
        <v>N/A</v>
      </c>
      <c r="M156" s="63" t="str">
        <f t="shared" ca="1" si="73"/>
        <v>N/A</v>
      </c>
      <c r="N156" s="63" t="str">
        <f t="shared" ca="1" si="73"/>
        <v>N/A</v>
      </c>
      <c r="O156" s="63" t="str">
        <f t="shared" ca="1" si="73"/>
        <v>N/A</v>
      </c>
      <c r="P156" s="63" t="str">
        <f t="shared" ca="1" si="73"/>
        <v>N/A</v>
      </c>
      <c r="Q156" s="63" t="str">
        <f t="shared" ca="1" si="73"/>
        <v>N/A</v>
      </c>
      <c r="R156" s="63" t="str">
        <f t="shared" ca="1" si="73"/>
        <v>N/A</v>
      </c>
      <c r="S156" s="63" t="str">
        <f t="shared" ca="1" si="73"/>
        <v>N/A</v>
      </c>
      <c r="T156" s="63"/>
      <c r="U156" s="17"/>
      <c r="V156" s="17"/>
      <c r="W156" s="17"/>
    </row>
    <row r="157" spans="1:23" hidden="1" x14ac:dyDescent="0.2">
      <c r="A157" s="51">
        <f t="shared" si="66"/>
        <v>0</v>
      </c>
      <c r="B157" s="46" t="e">
        <f t="shared" ca="1" si="67"/>
        <v>#N/A</v>
      </c>
      <c r="C157" s="1" t="str">
        <f>IF(ISERROR(D157),"",IF(D157="","",MAX($C$121:C156)+1))</f>
        <v/>
      </c>
      <c r="D157" t="e">
        <f t="shared" si="68"/>
        <v>#N/A</v>
      </c>
      <c r="E157" s="22"/>
      <c r="F157" s="63" t="e">
        <f t="shared" ca="1" si="71"/>
        <v>#DIV/0!</v>
      </c>
      <c r="G157" s="63" t="str">
        <f t="shared" si="69"/>
        <v>N/A</v>
      </c>
      <c r="H157" s="63"/>
      <c r="I157" s="63" t="str">
        <f t="shared" ca="1" si="72"/>
        <v>N/A</v>
      </c>
      <c r="J157" s="63" t="str">
        <f t="shared" ca="1" si="73"/>
        <v>N/A</v>
      </c>
      <c r="K157" s="63" t="str">
        <f t="shared" ca="1" si="73"/>
        <v>N/A</v>
      </c>
      <c r="L157" s="63" t="str">
        <f t="shared" ca="1" si="73"/>
        <v>N/A</v>
      </c>
      <c r="M157" s="63" t="str">
        <f t="shared" ca="1" si="73"/>
        <v>N/A</v>
      </c>
      <c r="N157" s="63" t="str">
        <f t="shared" ca="1" si="73"/>
        <v>N/A</v>
      </c>
      <c r="O157" s="63" t="str">
        <f t="shared" ca="1" si="73"/>
        <v>N/A</v>
      </c>
      <c r="P157" s="63" t="str">
        <f t="shared" ca="1" si="73"/>
        <v>N/A</v>
      </c>
      <c r="Q157" s="63" t="str">
        <f t="shared" ca="1" si="73"/>
        <v>N/A</v>
      </c>
      <c r="R157" s="63" t="str">
        <f t="shared" ca="1" si="73"/>
        <v>N/A</v>
      </c>
      <c r="S157" s="63" t="str">
        <f t="shared" ca="1" si="73"/>
        <v>N/A</v>
      </c>
      <c r="T157" s="63"/>
      <c r="U157" s="17"/>
      <c r="V157" s="17"/>
      <c r="W157" s="17"/>
    </row>
    <row r="158" spans="1:23" hidden="1" x14ac:dyDescent="0.2">
      <c r="A158" s="51">
        <f t="shared" si="66"/>
        <v>0</v>
      </c>
      <c r="B158" s="46" t="e">
        <f t="shared" ca="1" si="67"/>
        <v>#N/A</v>
      </c>
      <c r="C158" s="1" t="str">
        <f>IF(ISERROR(D158),"",IF(D158="","",MAX($C$121:C157)+1))</f>
        <v/>
      </c>
      <c r="D158" t="e">
        <f t="shared" si="68"/>
        <v>#N/A</v>
      </c>
      <c r="E158" s="22"/>
      <c r="F158" s="63" t="e">
        <f t="shared" ca="1" si="71"/>
        <v>#DIV/0!</v>
      </c>
      <c r="G158" s="63" t="str">
        <f t="shared" si="69"/>
        <v>N/A</v>
      </c>
      <c r="H158" s="63"/>
      <c r="I158" s="63" t="str">
        <f t="shared" ca="1" si="72"/>
        <v>N/A</v>
      </c>
      <c r="J158" s="63" t="str">
        <f t="shared" ca="1" si="73"/>
        <v>N/A</v>
      </c>
      <c r="K158" s="63" t="str">
        <f t="shared" ca="1" si="73"/>
        <v>N/A</v>
      </c>
      <c r="L158" s="63" t="str">
        <f t="shared" ca="1" si="73"/>
        <v>N/A</v>
      </c>
      <c r="M158" s="63" t="str">
        <f t="shared" ca="1" si="73"/>
        <v>N/A</v>
      </c>
      <c r="N158" s="63" t="str">
        <f t="shared" ca="1" si="73"/>
        <v>N/A</v>
      </c>
      <c r="O158" s="63" t="str">
        <f t="shared" ca="1" si="73"/>
        <v>N/A</v>
      </c>
      <c r="P158" s="63" t="str">
        <f t="shared" ca="1" si="73"/>
        <v>N/A</v>
      </c>
      <c r="Q158" s="63" t="str">
        <f t="shared" ca="1" si="73"/>
        <v>N/A</v>
      </c>
      <c r="R158" s="63" t="str">
        <f t="shared" ca="1" si="73"/>
        <v>N/A</v>
      </c>
      <c r="S158" s="63" t="str">
        <f t="shared" ca="1" si="73"/>
        <v>N/A</v>
      </c>
      <c r="T158" s="63"/>
      <c r="U158" s="17"/>
      <c r="V158" s="17"/>
      <c r="W158" s="17"/>
    </row>
    <row r="159" spans="1:23" hidden="1" x14ac:dyDescent="0.2">
      <c r="A159" s="51">
        <f t="shared" si="66"/>
        <v>0</v>
      </c>
      <c r="B159" s="46" t="e">
        <f t="shared" ca="1" si="67"/>
        <v>#N/A</v>
      </c>
      <c r="C159" s="1" t="str">
        <f>IF(ISERROR(D159),"",IF(D159="","",MAX($C$121:C158)+1))</f>
        <v/>
      </c>
      <c r="D159" t="e">
        <f t="shared" si="68"/>
        <v>#N/A</v>
      </c>
      <c r="E159" s="22"/>
      <c r="F159" s="63" t="e">
        <f t="shared" ca="1" si="71"/>
        <v>#DIV/0!</v>
      </c>
      <c r="G159" s="63" t="str">
        <f t="shared" si="69"/>
        <v>N/A</v>
      </c>
      <c r="H159" s="63"/>
      <c r="I159" s="63" t="str">
        <f t="shared" ca="1" si="72"/>
        <v>N/A</v>
      </c>
      <c r="J159" s="63" t="str">
        <f t="shared" ca="1" si="73"/>
        <v>N/A</v>
      </c>
      <c r="K159" s="63" t="str">
        <f t="shared" ca="1" si="73"/>
        <v>N/A</v>
      </c>
      <c r="L159" s="63" t="str">
        <f t="shared" ca="1" si="73"/>
        <v>N/A</v>
      </c>
      <c r="M159" s="63" t="str">
        <f t="shared" ca="1" si="73"/>
        <v>N/A</v>
      </c>
      <c r="N159" s="63" t="str">
        <f t="shared" ca="1" si="73"/>
        <v>N/A</v>
      </c>
      <c r="O159" s="63" t="str">
        <f t="shared" ca="1" si="73"/>
        <v>N/A</v>
      </c>
      <c r="P159" s="63" t="str">
        <f t="shared" ca="1" si="73"/>
        <v>N/A</v>
      </c>
      <c r="Q159" s="63" t="str">
        <f t="shared" ca="1" si="73"/>
        <v>N/A</v>
      </c>
      <c r="R159" s="63" t="str">
        <f t="shared" ca="1" si="73"/>
        <v>N/A</v>
      </c>
      <c r="S159" s="63" t="str">
        <f t="shared" ca="1" si="73"/>
        <v>N/A</v>
      </c>
      <c r="T159" s="63"/>
      <c r="U159" s="17"/>
      <c r="V159" s="17"/>
      <c r="W159" s="17"/>
    </row>
    <row r="160" spans="1:23" hidden="1" x14ac:dyDescent="0.2">
      <c r="A160" s="51">
        <f t="shared" si="66"/>
        <v>0</v>
      </c>
      <c r="B160" s="46" t="e">
        <f t="shared" ca="1" si="67"/>
        <v>#N/A</v>
      </c>
      <c r="C160" s="1" t="str">
        <f>IF(ISERROR(D160),"",IF(D160="","",MAX($C$121:C159)+1))</f>
        <v/>
      </c>
      <c r="D160" t="e">
        <f t="shared" si="68"/>
        <v>#N/A</v>
      </c>
      <c r="E160" s="22"/>
      <c r="F160" s="63" t="e">
        <f t="shared" ca="1" si="71"/>
        <v>#DIV/0!</v>
      </c>
      <c r="G160" s="63" t="str">
        <f t="shared" si="69"/>
        <v>N/A</v>
      </c>
      <c r="H160" s="63"/>
      <c r="I160" s="63" t="str">
        <f t="shared" ca="1" si="72"/>
        <v>N/A</v>
      </c>
      <c r="J160" s="63" t="str">
        <f t="shared" ca="1" si="73"/>
        <v>N/A</v>
      </c>
      <c r="K160" s="63" t="str">
        <f t="shared" ca="1" si="73"/>
        <v>N/A</v>
      </c>
      <c r="L160" s="63" t="str">
        <f t="shared" ca="1" si="73"/>
        <v>N/A</v>
      </c>
      <c r="M160" s="63" t="str">
        <f t="shared" ca="1" si="73"/>
        <v>N/A</v>
      </c>
      <c r="N160" s="63" t="str">
        <f t="shared" ca="1" si="73"/>
        <v>N/A</v>
      </c>
      <c r="O160" s="63" t="str">
        <f t="shared" ca="1" si="73"/>
        <v>N/A</v>
      </c>
      <c r="P160" s="63" t="str">
        <f t="shared" ca="1" si="73"/>
        <v>N/A</v>
      </c>
      <c r="Q160" s="63" t="str">
        <f t="shared" ca="1" si="73"/>
        <v>N/A</v>
      </c>
      <c r="R160" s="63" t="str">
        <f t="shared" ca="1" si="73"/>
        <v>N/A</v>
      </c>
      <c r="S160" s="63" t="str">
        <f t="shared" ca="1" si="73"/>
        <v>N/A</v>
      </c>
      <c r="T160" s="63"/>
      <c r="U160" s="17"/>
      <c r="V160" s="17"/>
      <c r="W160" s="17"/>
    </row>
    <row r="161" spans="1:23" hidden="1" x14ac:dyDescent="0.2">
      <c r="A161" s="51">
        <f t="shared" si="66"/>
        <v>0</v>
      </c>
      <c r="B161" s="46" t="e">
        <f t="shared" ca="1" si="67"/>
        <v>#N/A</v>
      </c>
      <c r="C161" s="1" t="str">
        <f>IF(ISERROR(D161),"",IF(D161="","",MAX($C$121:C160)+1))</f>
        <v/>
      </c>
      <c r="D161" t="e">
        <f t="shared" si="68"/>
        <v>#N/A</v>
      </c>
      <c r="E161" s="22"/>
      <c r="F161" s="63" t="e">
        <f t="shared" ca="1" si="71"/>
        <v>#DIV/0!</v>
      </c>
      <c r="G161" s="63" t="str">
        <f t="shared" si="69"/>
        <v>N/A</v>
      </c>
      <c r="H161" s="63"/>
      <c r="I161" s="63" t="str">
        <f t="shared" ca="1" si="72"/>
        <v>N/A</v>
      </c>
      <c r="J161" s="63" t="str">
        <f t="shared" ca="1" si="73"/>
        <v>N/A</v>
      </c>
      <c r="K161" s="63" t="str">
        <f t="shared" ca="1" si="73"/>
        <v>N/A</v>
      </c>
      <c r="L161" s="63" t="str">
        <f t="shared" ca="1" si="73"/>
        <v>N/A</v>
      </c>
      <c r="M161" s="63" t="str">
        <f t="shared" ca="1" si="73"/>
        <v>N/A</v>
      </c>
      <c r="N161" s="63" t="str">
        <f t="shared" ca="1" si="73"/>
        <v>N/A</v>
      </c>
      <c r="O161" s="63" t="str">
        <f t="shared" ca="1" si="73"/>
        <v>N/A</v>
      </c>
      <c r="P161" s="63" t="str">
        <f t="shared" ca="1" si="73"/>
        <v>N/A</v>
      </c>
      <c r="Q161" s="63" t="str">
        <f t="shared" ca="1" si="73"/>
        <v>N/A</v>
      </c>
      <c r="R161" s="63" t="str">
        <f t="shared" ca="1" si="73"/>
        <v>N/A</v>
      </c>
      <c r="S161" s="63" t="str">
        <f t="shared" ca="1" si="73"/>
        <v>N/A</v>
      </c>
      <c r="T161" s="63"/>
      <c r="U161" s="17"/>
      <c r="V161" s="17"/>
      <c r="W161" s="17"/>
    </row>
    <row r="162" spans="1:23" hidden="1" x14ac:dyDescent="0.2">
      <c r="A162" s="51">
        <f t="shared" si="66"/>
        <v>0</v>
      </c>
      <c r="B162" s="46" t="e">
        <f t="shared" ca="1" si="67"/>
        <v>#N/A</v>
      </c>
      <c r="C162" s="1" t="str">
        <f>IF(ISERROR(D162),"",IF(D162="","",MAX($C$121:C161)+1))</f>
        <v/>
      </c>
      <c r="D162" t="e">
        <f t="shared" si="68"/>
        <v>#N/A</v>
      </c>
      <c r="E162" s="22"/>
      <c r="F162" s="63" t="e">
        <f t="shared" ca="1" si="71"/>
        <v>#DIV/0!</v>
      </c>
      <c r="G162" s="63" t="str">
        <f t="shared" si="69"/>
        <v>N/A</v>
      </c>
      <c r="H162" s="63"/>
      <c r="I162" s="63" t="str">
        <f t="shared" ca="1" si="72"/>
        <v>N/A</v>
      </c>
      <c r="J162" s="63" t="str">
        <f t="shared" ca="1" si="73"/>
        <v>N/A</v>
      </c>
      <c r="K162" s="63" t="str">
        <f t="shared" ca="1" si="73"/>
        <v>N/A</v>
      </c>
      <c r="L162" s="63" t="str">
        <f t="shared" ref="J162:S167" ca="1" si="74">IFERROR(IF(INDEX(MP_BV_WP,$B162,L$122)=0,"N/A",INDEX(MP_BV_WP,$B162,L$122)),"N/A")</f>
        <v>N/A</v>
      </c>
      <c r="M162" s="63" t="str">
        <f t="shared" ca="1" si="74"/>
        <v>N/A</v>
      </c>
      <c r="N162" s="63" t="str">
        <f t="shared" ca="1" si="74"/>
        <v>N/A</v>
      </c>
      <c r="O162" s="63" t="str">
        <f t="shared" ca="1" si="74"/>
        <v>N/A</v>
      </c>
      <c r="P162" s="63" t="str">
        <f t="shared" ca="1" si="74"/>
        <v>N/A</v>
      </c>
      <c r="Q162" s="63" t="str">
        <f t="shared" ca="1" si="74"/>
        <v>N/A</v>
      </c>
      <c r="R162" s="63" t="str">
        <f t="shared" ca="1" si="74"/>
        <v>N/A</v>
      </c>
      <c r="S162" s="63" t="str">
        <f t="shared" ca="1" si="74"/>
        <v>N/A</v>
      </c>
      <c r="T162" s="63"/>
      <c r="U162" s="17"/>
      <c r="V162" s="17"/>
      <c r="W162" s="17"/>
    </row>
    <row r="163" spans="1:23" hidden="1" x14ac:dyDescent="0.2">
      <c r="A163" s="51">
        <f t="shared" si="66"/>
        <v>0</v>
      </c>
      <c r="B163" s="46" t="e">
        <f t="shared" ca="1" si="67"/>
        <v>#N/A</v>
      </c>
      <c r="C163" s="1" t="str">
        <f>IF(ISERROR(D163),"",IF(D163="","",MAX($C$121:C162)+1))</f>
        <v/>
      </c>
      <c r="D163" t="e">
        <f t="shared" si="68"/>
        <v>#N/A</v>
      </c>
      <c r="E163" s="22"/>
      <c r="F163" s="63" t="e">
        <f t="shared" ca="1" si="71"/>
        <v>#DIV/0!</v>
      </c>
      <c r="G163" s="63" t="str">
        <f t="shared" si="69"/>
        <v>N/A</v>
      </c>
      <c r="H163" s="63"/>
      <c r="I163" s="63" t="str">
        <f t="shared" ca="1" si="72"/>
        <v>N/A</v>
      </c>
      <c r="J163" s="63" t="str">
        <f t="shared" ca="1" si="74"/>
        <v>N/A</v>
      </c>
      <c r="K163" s="63" t="str">
        <f t="shared" ca="1" si="74"/>
        <v>N/A</v>
      </c>
      <c r="L163" s="63" t="str">
        <f t="shared" ca="1" si="74"/>
        <v>N/A</v>
      </c>
      <c r="M163" s="63" t="str">
        <f t="shared" ca="1" si="74"/>
        <v>N/A</v>
      </c>
      <c r="N163" s="63" t="str">
        <f t="shared" ca="1" si="74"/>
        <v>N/A</v>
      </c>
      <c r="O163" s="63" t="str">
        <f t="shared" ca="1" si="74"/>
        <v>N/A</v>
      </c>
      <c r="P163" s="63" t="str">
        <f t="shared" ca="1" si="74"/>
        <v>N/A</v>
      </c>
      <c r="Q163" s="63" t="str">
        <f t="shared" ca="1" si="74"/>
        <v>N/A</v>
      </c>
      <c r="R163" s="63" t="str">
        <f t="shared" ca="1" si="74"/>
        <v>N/A</v>
      </c>
      <c r="S163" s="63" t="str">
        <f t="shared" ca="1" si="74"/>
        <v>N/A</v>
      </c>
      <c r="T163" s="63"/>
      <c r="U163" s="17"/>
      <c r="V163" s="17"/>
      <c r="W163" s="17"/>
    </row>
    <row r="164" spans="1:23" hidden="1" x14ac:dyDescent="0.2">
      <c r="A164" s="51">
        <f t="shared" si="66"/>
        <v>0</v>
      </c>
      <c r="B164" s="46" t="e">
        <f t="shared" ca="1" si="67"/>
        <v>#N/A</v>
      </c>
      <c r="C164" s="1" t="str">
        <f>IF(ISERROR(D164),"",IF(D164="","",MAX($C$121:C163)+1))</f>
        <v/>
      </c>
      <c r="D164" t="e">
        <f t="shared" si="68"/>
        <v>#N/A</v>
      </c>
      <c r="E164" s="22"/>
      <c r="F164" s="63" t="e">
        <f t="shared" ca="1" si="71"/>
        <v>#DIV/0!</v>
      </c>
      <c r="G164" s="63" t="str">
        <f t="shared" si="69"/>
        <v>N/A</v>
      </c>
      <c r="H164" s="63"/>
      <c r="I164" s="63" t="str">
        <f t="shared" ca="1" si="72"/>
        <v>N/A</v>
      </c>
      <c r="J164" s="63" t="str">
        <f t="shared" ca="1" si="74"/>
        <v>N/A</v>
      </c>
      <c r="K164" s="63" t="str">
        <f t="shared" ca="1" si="74"/>
        <v>N/A</v>
      </c>
      <c r="L164" s="63" t="str">
        <f t="shared" ca="1" si="74"/>
        <v>N/A</v>
      </c>
      <c r="M164" s="63" t="str">
        <f t="shared" ca="1" si="74"/>
        <v>N/A</v>
      </c>
      <c r="N164" s="63" t="str">
        <f t="shared" ca="1" si="74"/>
        <v>N/A</v>
      </c>
      <c r="O164" s="63" t="str">
        <f t="shared" ca="1" si="74"/>
        <v>N/A</v>
      </c>
      <c r="P164" s="63" t="str">
        <f t="shared" ca="1" si="74"/>
        <v>N/A</v>
      </c>
      <c r="Q164" s="63" t="str">
        <f t="shared" ca="1" si="74"/>
        <v>N/A</v>
      </c>
      <c r="R164" s="63" t="str">
        <f t="shared" ca="1" si="74"/>
        <v>N/A</v>
      </c>
      <c r="S164" s="63" t="str">
        <f t="shared" ca="1" si="74"/>
        <v>N/A</v>
      </c>
      <c r="T164" s="63"/>
      <c r="U164" s="17"/>
      <c r="V164" s="17"/>
      <c r="W164" s="17"/>
    </row>
    <row r="165" spans="1:23" hidden="1" x14ac:dyDescent="0.2">
      <c r="A165" s="51">
        <f t="shared" si="66"/>
        <v>0</v>
      </c>
      <c r="B165" s="46" t="e">
        <f t="shared" ca="1" si="67"/>
        <v>#N/A</v>
      </c>
      <c r="C165" s="1" t="str">
        <f>IF(ISERROR(D165),"",IF(D165="","",MAX($C$121:C164)+1))</f>
        <v/>
      </c>
      <c r="D165" t="e">
        <f t="shared" si="68"/>
        <v>#N/A</v>
      </c>
      <c r="F165" s="63" t="e">
        <f t="shared" ca="1" si="71"/>
        <v>#DIV/0!</v>
      </c>
      <c r="G165" s="63" t="str">
        <f t="shared" si="69"/>
        <v>N/A</v>
      </c>
      <c r="H165" s="63"/>
      <c r="I165" s="63" t="str">
        <f t="shared" ca="1" si="72"/>
        <v>N/A</v>
      </c>
      <c r="J165" s="63" t="str">
        <f t="shared" ca="1" si="74"/>
        <v>N/A</v>
      </c>
      <c r="K165" s="63" t="str">
        <f t="shared" ca="1" si="74"/>
        <v>N/A</v>
      </c>
      <c r="L165" s="63" t="str">
        <f t="shared" ca="1" si="74"/>
        <v>N/A</v>
      </c>
      <c r="M165" s="63" t="str">
        <f t="shared" ca="1" si="74"/>
        <v>N/A</v>
      </c>
      <c r="N165" s="63" t="str">
        <f t="shared" ca="1" si="74"/>
        <v>N/A</v>
      </c>
      <c r="O165" s="63" t="str">
        <f t="shared" ca="1" si="74"/>
        <v>N/A</v>
      </c>
      <c r="P165" s="63" t="str">
        <f t="shared" ca="1" si="74"/>
        <v>N/A</v>
      </c>
      <c r="Q165" s="63" t="str">
        <f t="shared" ca="1" si="74"/>
        <v>N/A</v>
      </c>
      <c r="R165" s="63" t="str">
        <f t="shared" ca="1" si="74"/>
        <v>N/A</v>
      </c>
      <c r="S165" s="63" t="str">
        <f t="shared" ca="1" si="74"/>
        <v>N/A</v>
      </c>
      <c r="T165" s="63"/>
      <c r="U165" s="17"/>
      <c r="V165" s="17"/>
      <c r="W165" s="17"/>
    </row>
    <row r="166" spans="1:23" hidden="1" x14ac:dyDescent="0.2">
      <c r="A166" s="51">
        <f t="shared" si="66"/>
        <v>0</v>
      </c>
      <c r="B166" s="46" t="e">
        <f t="shared" ca="1" si="67"/>
        <v>#N/A</v>
      </c>
      <c r="C166" s="1" t="str">
        <f>IF(ISERROR(D166),"",IF(D166="","",MAX($C$121:C165)+1))</f>
        <v/>
      </c>
      <c r="D166" t="e">
        <f t="shared" si="68"/>
        <v>#N/A</v>
      </c>
      <c r="F166" s="63" t="e">
        <f t="shared" ca="1" si="71"/>
        <v>#DIV/0!</v>
      </c>
      <c r="G166" s="63" t="str">
        <f t="shared" si="69"/>
        <v>N/A</v>
      </c>
      <c r="H166" s="63"/>
      <c r="I166" s="63" t="str">
        <f t="shared" ca="1" si="72"/>
        <v>N/A</v>
      </c>
      <c r="J166" s="63" t="str">
        <f t="shared" ca="1" si="74"/>
        <v>N/A</v>
      </c>
      <c r="K166" s="63" t="str">
        <f t="shared" ca="1" si="74"/>
        <v>N/A</v>
      </c>
      <c r="L166" s="63" t="str">
        <f t="shared" ca="1" si="74"/>
        <v>N/A</v>
      </c>
      <c r="M166" s="63" t="str">
        <f t="shared" ca="1" si="74"/>
        <v>N/A</v>
      </c>
      <c r="N166" s="63" t="str">
        <f t="shared" ca="1" si="74"/>
        <v>N/A</v>
      </c>
      <c r="O166" s="63" t="str">
        <f t="shared" ca="1" si="74"/>
        <v>N/A</v>
      </c>
      <c r="P166" s="63" t="str">
        <f t="shared" ca="1" si="74"/>
        <v>N/A</v>
      </c>
      <c r="Q166" s="63" t="str">
        <f t="shared" ca="1" si="74"/>
        <v>N/A</v>
      </c>
      <c r="R166" s="63" t="str">
        <f t="shared" ca="1" si="74"/>
        <v>N/A</v>
      </c>
      <c r="S166" s="63" t="str">
        <f t="shared" ca="1" si="74"/>
        <v>N/A</v>
      </c>
      <c r="T166" s="63"/>
      <c r="U166" s="17"/>
      <c r="V166" s="17"/>
      <c r="W166" s="17"/>
    </row>
    <row r="167" spans="1:23" hidden="1" x14ac:dyDescent="0.2">
      <c r="A167" s="51">
        <f t="shared" si="66"/>
        <v>0</v>
      </c>
      <c r="B167" s="46" t="e">
        <f t="shared" ca="1" si="67"/>
        <v>#N/A</v>
      </c>
      <c r="C167" s="1" t="str">
        <f>IF(ISERROR(D167),"",IF(D167="","",MAX($C$121:C166)+1))</f>
        <v/>
      </c>
      <c r="D167" t="e">
        <f t="shared" si="68"/>
        <v>#N/A</v>
      </c>
      <c r="F167" s="63" t="e">
        <f t="shared" ca="1" si="71"/>
        <v>#DIV/0!</v>
      </c>
      <c r="G167" s="63" t="str">
        <f t="shared" si="69"/>
        <v>N/A</v>
      </c>
      <c r="H167" s="63"/>
      <c r="I167" s="63" t="str">
        <f t="shared" ca="1" si="72"/>
        <v>N/A</v>
      </c>
      <c r="J167" s="63" t="str">
        <f t="shared" ca="1" si="74"/>
        <v>N/A</v>
      </c>
      <c r="K167" s="63" t="str">
        <f t="shared" ca="1" si="74"/>
        <v>N/A</v>
      </c>
      <c r="L167" s="63" t="str">
        <f t="shared" ca="1" si="74"/>
        <v>N/A</v>
      </c>
      <c r="M167" s="63" t="str">
        <f t="shared" ca="1" si="74"/>
        <v>N/A</v>
      </c>
      <c r="N167" s="63" t="str">
        <f t="shared" ca="1" si="74"/>
        <v>N/A</v>
      </c>
      <c r="O167" s="63" t="str">
        <f t="shared" ca="1" si="74"/>
        <v>N/A</v>
      </c>
      <c r="P167" s="63" t="str">
        <f t="shared" ca="1" si="74"/>
        <v>N/A</v>
      </c>
      <c r="Q167" s="63" t="str">
        <f t="shared" ca="1" si="74"/>
        <v>N/A</v>
      </c>
      <c r="R167" s="63" t="str">
        <f t="shared" ca="1" si="74"/>
        <v>N/A</v>
      </c>
      <c r="S167" s="63" t="str">
        <f t="shared" ca="1" si="74"/>
        <v>N/A</v>
      </c>
      <c r="T167" s="63"/>
      <c r="U167" s="17"/>
      <c r="V167" s="17"/>
      <c r="W167" s="17"/>
    </row>
    <row r="168" spans="1:23" x14ac:dyDescent="0.2">
      <c r="A168" s="31"/>
      <c r="B168" s="31"/>
      <c r="C168" s="1" t="str">
        <f>IF(ISERROR(D168),"",IF(D168="","",MAX($C$121:C167)+1))</f>
        <v/>
      </c>
      <c r="F168" s="63"/>
      <c r="G168" s="63"/>
      <c r="H168" s="63"/>
      <c r="I168" s="63"/>
      <c r="J168" s="63"/>
      <c r="K168" s="63"/>
      <c r="L168" s="63"/>
      <c r="M168" s="63"/>
      <c r="N168" s="63"/>
      <c r="O168" s="63"/>
      <c r="P168" s="63"/>
      <c r="Q168" s="63"/>
      <c r="R168" s="63"/>
      <c r="S168" s="63"/>
      <c r="T168" s="63"/>
      <c r="U168" s="17"/>
      <c r="V168" s="17"/>
    </row>
    <row r="169" spans="1:23" x14ac:dyDescent="0.2">
      <c r="A169" s="31"/>
      <c r="B169" s="31"/>
      <c r="C169" s="1">
        <f ca="1">IF(ISERROR(D169),"",IF(D169="","",MAX($C$121:C168)+1))</f>
        <v>38</v>
      </c>
      <c r="D169" t="s">
        <v>98</v>
      </c>
      <c r="F169" s="63">
        <f ca="1">AVERAGE(G169:S169)</f>
        <v>1.7866309205787516</v>
      </c>
      <c r="G169" s="63">
        <f t="shared" ref="G169:S169" si="75">AVERAGE(G123:G168)</f>
        <v>2.1334400825670601</v>
      </c>
      <c r="H169" s="63">
        <f t="shared" ref="H169:I169" ca="1" si="76">AVERAGE(H123:H168)</f>
        <v>2.2738898422262985</v>
      </c>
      <c r="I169" s="63">
        <f t="shared" ca="1" si="76"/>
        <v>2.0534953805338918</v>
      </c>
      <c r="J169" s="63">
        <f t="shared" ca="1" si="75"/>
        <v>1.8497881985370173</v>
      </c>
      <c r="K169" s="63">
        <f t="shared" ca="1" si="75"/>
        <v>1.7403991669272403</v>
      </c>
      <c r="L169" s="63">
        <f t="shared" ca="1" si="75"/>
        <v>1.7027758058195075</v>
      </c>
      <c r="M169" s="63">
        <f t="shared" ca="1" si="75"/>
        <v>1.6695030277117606</v>
      </c>
      <c r="N169" s="63">
        <f t="shared" ca="1" si="75"/>
        <v>1.6922518894635439</v>
      </c>
      <c r="O169" s="63">
        <f t="shared" ca="1" si="75"/>
        <v>1.5436563088574364</v>
      </c>
      <c r="P169" s="63">
        <f t="shared" ca="1" si="75"/>
        <v>1.4696059664087402</v>
      </c>
      <c r="Q169" s="63">
        <f t="shared" ca="1" si="75"/>
        <v>1.6239894287107202</v>
      </c>
      <c r="R169" s="63">
        <f t="shared" ca="1" si="75"/>
        <v>1.7751005075346367</v>
      </c>
      <c r="S169" s="63">
        <f t="shared" ca="1" si="75"/>
        <v>1.6983063622259151</v>
      </c>
      <c r="T169" s="63"/>
      <c r="U169" s="17"/>
      <c r="V169" s="17"/>
      <c r="W169" s="17"/>
    </row>
    <row r="170" spans="1:23" x14ac:dyDescent="0.2">
      <c r="A170" s="31"/>
      <c r="B170" s="31"/>
      <c r="C170" s="1">
        <f ca="1">IF(ISERROR(D170),"",IF(D170="","",MAX($C$121:C169)+1))</f>
        <v>39</v>
      </c>
      <c r="D170" t="s">
        <v>257</v>
      </c>
      <c r="F170" s="63">
        <f ca="1">AVERAGE(G170:S170)</f>
        <v>1.7511655576470431</v>
      </c>
      <c r="G170" s="63">
        <f>MEDIAN(G123:G168)</f>
        <v>2.0735880980163364</v>
      </c>
      <c r="H170" s="63">
        <f t="shared" ref="H170:I170" ca="1" si="77">MEDIAN(H123:H168)</f>
        <v>2.2909939959973316</v>
      </c>
      <c r="I170" s="63">
        <f t="shared" ca="1" si="77"/>
        <v>1.9644916366957812</v>
      </c>
      <c r="J170" s="63">
        <f t="shared" ref="J170:S170" ca="1" si="78">MEDIAN(J123:J168)</f>
        <v>1.7678522571819426</v>
      </c>
      <c r="K170" s="63">
        <f t="shared" ca="1" si="78"/>
        <v>1.6859740906826108</v>
      </c>
      <c r="L170" s="63">
        <f t="shared" ca="1" si="78"/>
        <v>1.6470674305191138</v>
      </c>
      <c r="M170" s="63">
        <f t="shared" ca="1" si="78"/>
        <v>1.5845043570678499</v>
      </c>
      <c r="N170" s="63">
        <f t="shared" ca="1" si="78"/>
        <v>1.6200003209818787</v>
      </c>
      <c r="O170" s="63">
        <f t="shared" ca="1" si="78"/>
        <v>1.4533619139382599</v>
      </c>
      <c r="P170" s="63">
        <f t="shared" ca="1" si="78"/>
        <v>1.5554466881030333</v>
      </c>
      <c r="Q170" s="63">
        <f t="shared" ca="1" si="78"/>
        <v>1.6738848845046999</v>
      </c>
      <c r="R170" s="63">
        <f t="shared" ca="1" si="78"/>
        <v>1.746885138392827</v>
      </c>
      <c r="S170" s="63">
        <f t="shared" ca="1" si="78"/>
        <v>1.7011014373298932</v>
      </c>
      <c r="T170" s="63"/>
      <c r="U170" s="17"/>
      <c r="V170" s="17"/>
      <c r="W170" s="17"/>
    </row>
    <row r="171" spans="1:23" x14ac:dyDescent="0.2">
      <c r="A171" s="31"/>
      <c r="B171" s="31"/>
      <c r="C171" s="1"/>
    </row>
    <row r="172" spans="1:23" x14ac:dyDescent="0.2">
      <c r="A172" s="31"/>
      <c r="B172" s="31"/>
      <c r="D172" s="18"/>
      <c r="E172" s="91"/>
    </row>
    <row r="173" spans="1:23" x14ac:dyDescent="0.2">
      <c r="A173" s="31"/>
      <c r="B173" s="31"/>
      <c r="D173" s="20" t="s">
        <v>107</v>
      </c>
    </row>
    <row r="174" spans="1:23" ht="16.5" x14ac:dyDescent="0.2">
      <c r="A174" s="31"/>
      <c r="B174" s="31"/>
      <c r="D174" s="79">
        <v>1</v>
      </c>
      <c r="E174" s="21" t="str">
        <f>"The Value Line Investment Survey Investment Analyzer Software, downloaded on "&amp;TEXT('2017'!$A$1,"mmmm d, yyyy.")</f>
        <v>The Value Line Investment Survey Investment Analyzer Software, downloaded on June 21, 2018.</v>
      </c>
    </row>
    <row r="175" spans="1:23" ht="16.5" x14ac:dyDescent="0.2">
      <c r="A175" s="31"/>
      <c r="B175" s="31"/>
      <c r="D175" s="79">
        <v>2</v>
      </c>
      <c r="E175" s="21" t="str">
        <f>"The Value Line Investment Survey, "&amp;'2018 Data (WP)'!$D$2</f>
        <v>The Value Line Investment Survey, November 30, 2018.</v>
      </c>
    </row>
    <row r="176" spans="1:23" x14ac:dyDescent="0.2">
      <c r="A176" s="31"/>
      <c r="B176" s="31"/>
      <c r="D176" s="20" t="s">
        <v>329</v>
      </c>
    </row>
    <row r="177" spans="1:5" ht="16.5" x14ac:dyDescent="0.2">
      <c r="A177" s="31"/>
      <c r="B177" s="31"/>
      <c r="D177" s="79" t="s">
        <v>355</v>
      </c>
      <c r="E177" s="21" t="str">
        <f>"Based on the average of the high and low price for 2018 and the projected 2018 Cash Flow per share, published in The Value Line Investment Survey, "&amp;'2018 Data (WP)'!$D$2</f>
        <v>Based on the average of the high and low price for 2018 and the projected 2018 Cash Flow per share, published in The Value Line Investment Survey, November 30, 2018.</v>
      </c>
    </row>
    <row r="178" spans="1:5" ht="16.5" x14ac:dyDescent="0.2">
      <c r="A178" s="31"/>
      <c r="B178" s="31"/>
      <c r="D178" s="79" t="s">
        <v>356</v>
      </c>
      <c r="E178" s="21" t="str">
        <f>"Based on the average of the high and low price for 2018 and the projected 2018 Book Value per share, published in The Value Line Investment Survey, "&amp;'2018 Data (WP)'!$D$2</f>
        <v>Based on the average of the high and low price for 2018 and the projected 2018 Book Value per share, published in The Value Line Investment Survey, November 30, 2018.</v>
      </c>
    </row>
    <row r="179" spans="1:5" ht="16.5" x14ac:dyDescent="0.2">
      <c r="D179" s="79"/>
      <c r="E179" s="92"/>
    </row>
  </sheetData>
  <mergeCells count="9">
    <mergeCell ref="F118:W118"/>
    <mergeCell ref="D120:E120"/>
    <mergeCell ref="C4:W4"/>
    <mergeCell ref="C1:W1"/>
    <mergeCell ref="C5:W5"/>
    <mergeCell ref="F8:W8"/>
    <mergeCell ref="D10:E10"/>
    <mergeCell ref="F63:W63"/>
    <mergeCell ref="D65:E65"/>
  </mergeCells>
  <printOptions horizontalCentered="1"/>
  <pageMargins left="0.7" right="0.7" top="1" bottom="0.75" header="0.55000000000000004" footer="0.51"/>
  <pageSetup scale="54" fitToHeight="0" orientation="portrait" useFirstPageNumber="1" r:id="rId1"/>
  <headerFooter>
    <oddHeader>&amp;R&amp;17Exhibit MPG-2
Page 1 of 5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T165"/>
  <sheetViews>
    <sheetView zoomScale="70" zoomScaleNormal="70" workbookViewId="0">
      <selection activeCell="O78" sqref="O78"/>
    </sheetView>
  </sheetViews>
  <sheetFormatPr defaultRowHeight="14.25" x14ac:dyDescent="0.2"/>
  <cols>
    <col min="1" max="2" width="8" customWidth="1"/>
    <col min="3" max="3" width="4.75" bestFit="1" customWidth="1"/>
    <col min="4" max="4" width="1.75" customWidth="1"/>
    <col min="5" max="5" width="26.5" customWidth="1"/>
    <col min="6" max="19" width="9" customWidth="1"/>
  </cols>
  <sheetData>
    <row r="1" spans="1:19" ht="27.75" x14ac:dyDescent="0.4">
      <c r="C1" s="236" t="str">
        <f>GasU</f>
        <v>Enter Utility Name</v>
      </c>
      <c r="D1" s="236"/>
      <c r="E1" s="236"/>
      <c r="F1" s="236"/>
      <c r="G1" s="236"/>
      <c r="H1" s="236"/>
      <c r="I1" s="236"/>
      <c r="J1" s="236"/>
      <c r="K1" s="236"/>
      <c r="L1" s="236"/>
      <c r="M1" s="236"/>
      <c r="N1" s="236"/>
      <c r="O1" s="236"/>
      <c r="P1" s="236"/>
      <c r="Q1" s="236"/>
      <c r="R1" s="236"/>
      <c r="S1" s="236"/>
    </row>
    <row r="2" spans="1:19" x14ac:dyDescent="0.2">
      <c r="C2" s="4"/>
      <c r="D2" s="5"/>
      <c r="E2" s="6"/>
      <c r="F2" s="6"/>
      <c r="G2" s="6"/>
      <c r="H2" s="6"/>
      <c r="I2" s="6"/>
      <c r="J2" s="6"/>
      <c r="K2" s="6"/>
      <c r="L2" s="6"/>
      <c r="M2" s="6"/>
      <c r="N2" s="6"/>
      <c r="O2" s="7"/>
      <c r="P2" s="7"/>
      <c r="Q2" s="7"/>
      <c r="R2" s="7"/>
      <c r="S2" s="7"/>
    </row>
    <row r="3" spans="1:19" x14ac:dyDescent="0.2">
      <c r="C3" s="4"/>
      <c r="D3" s="5"/>
      <c r="E3" s="6"/>
      <c r="F3" s="6"/>
      <c r="G3" s="6"/>
      <c r="H3" s="6"/>
      <c r="I3" s="6"/>
      <c r="J3" s="6"/>
      <c r="K3" s="6"/>
      <c r="L3" s="6"/>
      <c r="M3" s="6"/>
      <c r="N3" s="6"/>
      <c r="O3" s="7"/>
      <c r="P3" s="7"/>
      <c r="Q3" s="7"/>
      <c r="R3" s="7"/>
      <c r="S3" s="7"/>
    </row>
    <row r="4" spans="1:19" ht="20.25" x14ac:dyDescent="0.3">
      <c r="C4" s="237" t="s">
        <v>273</v>
      </c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</row>
    <row r="5" spans="1:19" ht="18" x14ac:dyDescent="0.25">
      <c r="C5" s="238" t="s">
        <v>274</v>
      </c>
      <c r="D5" s="238"/>
      <c r="E5" s="238"/>
      <c r="F5" s="238"/>
      <c r="G5" s="238"/>
      <c r="H5" s="238"/>
      <c r="I5" s="238"/>
      <c r="J5" s="238"/>
      <c r="K5" s="238"/>
      <c r="L5" s="238"/>
      <c r="M5" s="238"/>
      <c r="N5" s="238"/>
      <c r="O5" s="238"/>
      <c r="P5" s="238"/>
      <c r="Q5" s="238"/>
      <c r="R5" s="238"/>
      <c r="S5" s="238"/>
    </row>
    <row r="6" spans="1:19" x14ac:dyDescent="0.2">
      <c r="C6" s="6"/>
      <c r="D6" s="7"/>
      <c r="E6" s="7"/>
      <c r="F6" s="7"/>
      <c r="G6" s="225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</row>
    <row r="7" spans="1:19" x14ac:dyDescent="0.2">
      <c r="C7" s="6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</row>
    <row r="8" spans="1:19" ht="17.25" x14ac:dyDescent="0.25">
      <c r="C8" s="6"/>
      <c r="D8" s="7"/>
      <c r="E8" s="7"/>
      <c r="F8" s="239" t="s">
        <v>380</v>
      </c>
      <c r="G8" s="239"/>
      <c r="H8" s="239"/>
      <c r="I8" s="239"/>
      <c r="J8" s="239"/>
      <c r="K8" s="239"/>
      <c r="L8" s="239"/>
      <c r="M8" s="239"/>
      <c r="N8" s="239"/>
      <c r="O8" s="239"/>
      <c r="P8" s="239"/>
      <c r="Q8" s="239"/>
      <c r="R8" s="239"/>
      <c r="S8" s="239"/>
    </row>
    <row r="9" spans="1:19" ht="15" x14ac:dyDescent="0.25">
      <c r="A9" s="42" t="s">
        <v>99</v>
      </c>
      <c r="B9" s="42" t="s">
        <v>241</v>
      </c>
      <c r="C9" s="6"/>
      <c r="D9" s="7"/>
      <c r="E9" s="7"/>
      <c r="F9" s="8" t="s">
        <v>429</v>
      </c>
      <c r="G9" s="116">
        <v>2018</v>
      </c>
      <c r="H9" s="116"/>
      <c r="I9" s="8"/>
      <c r="J9" s="8"/>
      <c r="K9" s="8"/>
      <c r="L9" s="8"/>
      <c r="M9" s="8"/>
      <c r="N9" s="7"/>
      <c r="O9" s="7"/>
      <c r="P9" s="7"/>
      <c r="Q9" s="7"/>
      <c r="R9" s="7"/>
      <c r="S9" s="7"/>
    </row>
    <row r="10" spans="1:19" ht="17.25" x14ac:dyDescent="0.25">
      <c r="A10" s="42" t="s">
        <v>100</v>
      </c>
      <c r="B10" s="42" t="s">
        <v>242</v>
      </c>
      <c r="C10" s="9" t="s">
        <v>96</v>
      </c>
      <c r="D10" s="234" t="s">
        <v>97</v>
      </c>
      <c r="E10" s="234"/>
      <c r="F10" s="10" t="s">
        <v>98</v>
      </c>
      <c r="G10" s="41" t="s">
        <v>423</v>
      </c>
      <c r="H10" s="41">
        <v>2017</v>
      </c>
      <c r="I10" s="41">
        <v>2016</v>
      </c>
      <c r="J10" s="41">
        <v>2015</v>
      </c>
      <c r="K10" s="41">
        <v>2014</v>
      </c>
      <c r="L10" s="41">
        <v>2013</v>
      </c>
      <c r="M10" s="41">
        <v>2012</v>
      </c>
      <c r="N10" s="41">
        <v>2011</v>
      </c>
      <c r="O10" s="41">
        <v>2010</v>
      </c>
      <c r="P10" s="41">
        <v>2009</v>
      </c>
      <c r="Q10" s="41">
        <v>2008</v>
      </c>
      <c r="R10" s="41">
        <v>2007</v>
      </c>
      <c r="S10" s="41">
        <v>2006</v>
      </c>
    </row>
    <row r="11" spans="1:19" ht="15" x14ac:dyDescent="0.25">
      <c r="A11" s="42"/>
      <c r="B11" s="42"/>
      <c r="C11" s="9"/>
      <c r="D11" s="94"/>
      <c r="E11" s="94"/>
      <c r="F11" s="12">
        <v>-1</v>
      </c>
      <c r="G11" s="12">
        <f t="shared" ref="G11" si="0">+F11-1</f>
        <v>-2</v>
      </c>
      <c r="H11" s="12">
        <f t="shared" ref="H11" si="1">+G11-1</f>
        <v>-3</v>
      </c>
      <c r="I11" s="12">
        <f t="shared" ref="I11" si="2">+H11-1</f>
        <v>-4</v>
      </c>
      <c r="J11" s="12">
        <f t="shared" ref="J11" si="3">+I11-1</f>
        <v>-5</v>
      </c>
      <c r="K11" s="12">
        <f t="shared" ref="K11" si="4">+J11-1</f>
        <v>-6</v>
      </c>
      <c r="L11" s="12">
        <f t="shared" ref="L11" si="5">+K11-1</f>
        <v>-7</v>
      </c>
      <c r="M11" s="12">
        <f t="shared" ref="M11" si="6">+L11-1</f>
        <v>-8</v>
      </c>
      <c r="N11" s="12">
        <f t="shared" ref="N11" si="7">+M11-1</f>
        <v>-9</v>
      </c>
      <c r="O11" s="12">
        <f t="shared" ref="O11" si="8">+N11-1</f>
        <v>-10</v>
      </c>
      <c r="P11" s="12">
        <f t="shared" ref="P11" si="9">+O11-1</f>
        <v>-11</v>
      </c>
      <c r="Q11" s="12">
        <f t="shared" ref="Q11" si="10">+P11-1</f>
        <v>-12</v>
      </c>
      <c r="R11" s="12">
        <f t="shared" ref="R11" si="11">+Q11-1</f>
        <v>-13</v>
      </c>
      <c r="S11" s="12">
        <f t="shared" ref="S11" si="12">+R11-1</f>
        <v>-14</v>
      </c>
    </row>
    <row r="12" spans="1:19" ht="15" x14ac:dyDescent="0.25">
      <c r="A12" s="43"/>
      <c r="B12" s="44"/>
      <c r="C12" s="9"/>
      <c r="D12" s="14" t="s">
        <v>101</v>
      </c>
      <c r="E12" s="11"/>
      <c r="F12" s="36"/>
      <c r="G12" s="36"/>
      <c r="H12" s="36"/>
      <c r="I12" s="16">
        <f t="shared" ref="I12:S12" ca="1" si="13">MATCH(I10,OFFSET(DIV_MP_WP,-1,0,1,),0)</f>
        <v>6</v>
      </c>
      <c r="J12" s="16">
        <f t="shared" ca="1" si="13"/>
        <v>7</v>
      </c>
      <c r="K12" s="16">
        <f t="shared" ca="1" si="13"/>
        <v>8</v>
      </c>
      <c r="L12" s="16">
        <f t="shared" ca="1" si="13"/>
        <v>9</v>
      </c>
      <c r="M12" s="16">
        <f t="shared" ca="1" si="13"/>
        <v>10</v>
      </c>
      <c r="N12" s="16">
        <f t="shared" ca="1" si="13"/>
        <v>11</v>
      </c>
      <c r="O12" s="16">
        <f t="shared" ca="1" si="13"/>
        <v>12</v>
      </c>
      <c r="P12" s="16">
        <f t="shared" ca="1" si="13"/>
        <v>13</v>
      </c>
      <c r="Q12" s="16">
        <f t="shared" ca="1" si="13"/>
        <v>14</v>
      </c>
      <c r="R12" s="16">
        <f t="shared" ca="1" si="13"/>
        <v>15</v>
      </c>
      <c r="S12" s="16">
        <f t="shared" ca="1" si="13"/>
        <v>16</v>
      </c>
    </row>
    <row r="13" spans="1:19" x14ac:dyDescent="0.2">
      <c r="A13" s="45" t="s">
        <v>175</v>
      </c>
      <c r="B13" s="117">
        <f t="shared" ref="B13:B57" ca="1" si="14">IFERROR(MATCH(A13,OFFSET(DIV_MP_WP,0,0,,1),0),"")</f>
        <v>9</v>
      </c>
      <c r="C13" s="1">
        <f ca="1">IF(ISERROR(D13),"",IF(D13="","",MAX($C$12:C12)+1))</f>
        <v>1</v>
      </c>
      <c r="D13" t="str">
        <f t="shared" ref="D13:D57" ca="1" si="15">VLOOKUP(A13,LUCurYr,2,FALSE)</f>
        <v>Atmos Energy</v>
      </c>
      <c r="E13" s="15"/>
      <c r="F13" s="80">
        <f t="shared" ref="F13:F57" ca="1" si="16">IFERROR(AVERAGE(G13:S13),"N/A")</f>
        <v>3.7183766938615949E-2</v>
      </c>
      <c r="G13" s="80">
        <f t="shared" ref="G13:G57" si="17">IFERROR(IF(VLOOKUP(A13,LUCurYr,22,FALSE)=0,"",VLOOKUP(A13,LUCurYr,22,FALSE)),"N/A")</f>
        <v>2.2007941009642651E-2</v>
      </c>
      <c r="H13" s="80">
        <f ca="1">IFERROR(VLOOKUP($A13,LASTYR,'2017'!$Q$3,FALSE),"N/A")</f>
        <v>2.269145918688938E-2</v>
      </c>
      <c r="I13" s="80">
        <f t="shared" ref="I13:S28" ca="1" si="18">IFERROR(INDEX(DIV_MP_WP,$B13,I$12),"N/A")</f>
        <v>2.389588222743759E-2</v>
      </c>
      <c r="J13" s="80">
        <f t="shared" ca="1" si="18"/>
        <v>2.8846687253832357E-2</v>
      </c>
      <c r="K13" s="80">
        <f t="shared" ca="1" si="18"/>
        <v>3.1070896227405369E-2</v>
      </c>
      <c r="L13" s="80">
        <f t="shared" ca="1" si="18"/>
        <v>3.527959075674722E-2</v>
      </c>
      <c r="M13" s="80">
        <f t="shared" ca="1" si="18"/>
        <v>4.1253138825780224E-2</v>
      </c>
      <c r="N13" s="80">
        <f t="shared" ca="1" si="18"/>
        <v>4.1920966648172124E-2</v>
      </c>
      <c r="O13" s="80">
        <f t="shared" ca="1" si="18"/>
        <v>4.6963165457540396E-2</v>
      </c>
      <c r="P13" s="80">
        <f t="shared" ca="1" si="18"/>
        <v>5.3441295546558708E-2</v>
      </c>
      <c r="Q13" s="80">
        <f t="shared" ca="1" si="18"/>
        <v>4.7848651036107331E-2</v>
      </c>
      <c r="R13" s="80">
        <f t="shared" ca="1" si="18"/>
        <v>4.1585445094217022E-2</v>
      </c>
      <c r="S13" s="80">
        <f t="shared" ca="1" si="18"/>
        <v>4.6583850931677023E-2</v>
      </c>
    </row>
    <row r="14" spans="1:19" x14ac:dyDescent="0.2">
      <c r="A14" s="45" t="s">
        <v>178</v>
      </c>
      <c r="B14" s="117">
        <f t="shared" ca="1" si="14"/>
        <v>16</v>
      </c>
      <c r="C14" s="1">
        <f ca="1">IF(ISERROR(D14),"",IF(D14="","",MAX($C$12:C13)+1))</f>
        <v>2</v>
      </c>
      <c r="D14" t="str">
        <f t="shared" ca="1" si="15"/>
        <v>Chesapeake Utilities</v>
      </c>
      <c r="E14" s="15"/>
      <c r="F14" s="80">
        <f t="shared" ca="1" si="16"/>
        <v>2.9947619208335906E-2</v>
      </c>
      <c r="G14" s="80">
        <f t="shared" si="17"/>
        <v>1.7429467084639497E-2</v>
      </c>
      <c r="H14" s="80">
        <f ca="1">IFERROR(VLOOKUP($A14,LASTYR,'2017'!$Q$3,FALSE),"N/A")</f>
        <v>1.6885553470919322E-2</v>
      </c>
      <c r="I14" s="80">
        <f t="shared" ca="1" si="18"/>
        <v>1.9108791649939783E-2</v>
      </c>
      <c r="J14" s="80">
        <f t="shared" ca="1" si="18"/>
        <v>2.1828529107953774E-2</v>
      </c>
      <c r="K14" s="80">
        <f t="shared" ca="1" si="18"/>
        <v>2.4403631955721244E-2</v>
      </c>
      <c r="L14" s="80">
        <f t="shared" ca="1" si="18"/>
        <v>2.8692007024301816E-2</v>
      </c>
      <c r="M14" s="80">
        <f t="shared" ca="1" si="18"/>
        <v>3.2528038491512215E-2</v>
      </c>
      <c r="N14" s="80">
        <f t="shared" ca="1" si="18"/>
        <v>3.3594211458948614E-2</v>
      </c>
      <c r="O14" s="80">
        <f t="shared" ca="1" si="18"/>
        <v>3.9138062890818302E-2</v>
      </c>
      <c r="P14" s="80">
        <f t="shared" ca="1" si="18"/>
        <v>4.0927627376799482E-2</v>
      </c>
      <c r="Q14" s="80">
        <f t="shared" ca="1" si="18"/>
        <v>4.0960308598111866E-2</v>
      </c>
      <c r="R14" s="80">
        <f t="shared" ca="1" si="18"/>
        <v>3.6221492343988526E-2</v>
      </c>
      <c r="S14" s="80">
        <f t="shared" ca="1" si="18"/>
        <v>3.7601328254712373E-2</v>
      </c>
    </row>
    <row r="15" spans="1:19" x14ac:dyDescent="0.2">
      <c r="A15" s="45" t="s">
        <v>190</v>
      </c>
      <c r="B15" s="117">
        <f t="shared" ca="1" si="14"/>
        <v>42</v>
      </c>
      <c r="C15" s="1">
        <f ca="1">IF(ISERROR(D15),"",IF(D15="","",MAX($C$12:C14)+1))</f>
        <v>3</v>
      </c>
      <c r="D15" t="str">
        <f t="shared" ca="1" si="15"/>
        <v>New Jersey Resources</v>
      </c>
      <c r="E15" s="15"/>
      <c r="F15" s="80">
        <f t="shared" ca="1" si="16"/>
        <v>3.2222198427052449E-2</v>
      </c>
      <c r="G15" s="80">
        <f t="shared" si="17"/>
        <v>2.5581395348837212E-2</v>
      </c>
      <c r="H15" s="80">
        <f ca="1">IFERROR(VLOOKUP($A15,LASTYR,'2017'!$Q$3,FALSE),"N/A")</f>
        <v>2.6865054763380861E-2</v>
      </c>
      <c r="I15" s="80">
        <f t="shared" ca="1" si="18"/>
        <v>2.8644082658638527E-2</v>
      </c>
      <c r="J15" s="80">
        <f t="shared" ca="1" si="18"/>
        <v>3.1449731155523991E-2</v>
      </c>
      <c r="K15" s="80">
        <f t="shared" ca="1" si="18"/>
        <v>3.50366758185469E-2</v>
      </c>
      <c r="L15" s="80">
        <f t="shared" ca="1" si="18"/>
        <v>3.7127011046431686E-2</v>
      </c>
      <c r="M15" s="80">
        <f t="shared" ca="1" si="18"/>
        <v>3.3767486734201636E-2</v>
      </c>
      <c r="N15" s="80">
        <f t="shared" ca="1" si="18"/>
        <v>3.3311742389192191E-2</v>
      </c>
      <c r="O15" s="80">
        <f t="shared" ca="1" si="18"/>
        <v>3.689636462289745E-2</v>
      </c>
      <c r="P15" s="80">
        <f t="shared" ca="1" si="18"/>
        <v>3.461753210496929E-2</v>
      </c>
      <c r="Q15" s="80">
        <f t="shared" ca="1" si="18"/>
        <v>3.3494266747133378E-2</v>
      </c>
      <c r="R15" s="80">
        <f t="shared" ca="1" si="18"/>
        <v>3.0192949023344448E-2</v>
      </c>
      <c r="S15" s="80">
        <f t="shared" ca="1" si="18"/>
        <v>3.1904287138584245E-2</v>
      </c>
    </row>
    <row r="16" spans="1:19" x14ac:dyDescent="0.2">
      <c r="A16" s="45" t="s">
        <v>26</v>
      </c>
      <c r="B16" s="117">
        <f t="shared" ca="1" si="14"/>
        <v>44</v>
      </c>
      <c r="C16" s="1">
        <f ca="1">IF(ISERROR(D16),"",IF(D16="","",MAX($C$12:C15)+1))</f>
        <v>4</v>
      </c>
      <c r="D16" t="str">
        <f t="shared" ca="1" si="15"/>
        <v>NiSource Inc.</v>
      </c>
      <c r="E16" s="15"/>
      <c r="F16" s="80">
        <f t="shared" ca="1" si="16"/>
        <v>4.1550018853757371E-2</v>
      </c>
      <c r="G16" s="80">
        <f t="shared" si="17"/>
        <v>3.0891089108910891E-2</v>
      </c>
      <c r="H16" s="80">
        <f ca="1">IFERROR(VLOOKUP($A16,LASTYR,'2017'!$Q$3,FALSE),"N/A")</f>
        <v>2.7870680044593088E-2</v>
      </c>
      <c r="I16" s="80">
        <f t="shared" ca="1" si="18"/>
        <v>2.7606435750334297E-2</v>
      </c>
      <c r="J16" s="80">
        <f t="shared" ca="1" si="18"/>
        <v>3.5283115116476783E-2</v>
      </c>
      <c r="K16" s="80">
        <f t="shared" ca="1" si="18"/>
        <v>2.6856947260328078E-2</v>
      </c>
      <c r="L16" s="80">
        <f t="shared" ca="1" si="18"/>
        <v>3.304670375990558E-2</v>
      </c>
      <c r="M16" s="80">
        <f t="shared" ca="1" si="18"/>
        <v>3.8395555918634097E-2</v>
      </c>
      <c r="N16" s="80">
        <f t="shared" ca="1" si="18"/>
        <v>4.525109438788058E-2</v>
      </c>
      <c r="O16" s="80">
        <f t="shared" ca="1" si="18"/>
        <v>5.6625838616359947E-2</v>
      </c>
      <c r="P16" s="80">
        <f t="shared" ca="1" si="18"/>
        <v>7.6405614151648538E-2</v>
      </c>
      <c r="Q16" s="80">
        <f t="shared" ca="1" si="18"/>
        <v>5.6906043174367538E-2</v>
      </c>
      <c r="R16" s="80">
        <f t="shared" ca="1" si="18"/>
        <v>4.2890442890442894E-2</v>
      </c>
      <c r="S16" s="80">
        <f t="shared" ca="1" si="18"/>
        <v>4.2120684918963466E-2</v>
      </c>
    </row>
    <row r="17" spans="1:19" x14ac:dyDescent="0.2">
      <c r="A17" s="45" t="s">
        <v>192</v>
      </c>
      <c r="B17" s="117">
        <f t="shared" ca="1" si="14"/>
        <v>45</v>
      </c>
      <c r="C17" s="1">
        <f ca="1">IF(ISERROR(D17),"",IF(D17="","",MAX($C$12:C16)+1))</f>
        <v>5</v>
      </c>
      <c r="D17" t="str">
        <f t="shared" ca="1" si="15"/>
        <v>Northwest Nat. Gas</v>
      </c>
      <c r="E17" s="15"/>
      <c r="F17" s="80">
        <f t="shared" ca="1" si="16"/>
        <v>3.6055841209511927E-2</v>
      </c>
      <c r="G17" s="80">
        <f t="shared" si="17"/>
        <v>3.0656934306569343E-2</v>
      </c>
      <c r="H17" s="80">
        <f ca="1">IFERROR(VLOOKUP($A17,LASTYR,'2017'!$Q$3,FALSE),"N/A")</f>
        <v>3.0211480362537763E-2</v>
      </c>
      <c r="I17" s="80">
        <f t="shared" ca="1" si="18"/>
        <v>3.2763333099726684E-2</v>
      </c>
      <c r="J17" s="80">
        <f t="shared" ca="1" si="18"/>
        <v>4.0055129640795939E-2</v>
      </c>
      <c r="K17" s="80">
        <f t="shared" ca="1" si="18"/>
        <v>4.1395359244590632E-2</v>
      </c>
      <c r="L17" s="80">
        <f t="shared" ca="1" si="18"/>
        <v>4.2156185210780933E-2</v>
      </c>
      <c r="M17" s="80">
        <f t="shared" ca="1" si="18"/>
        <v>3.8256855243753871E-2</v>
      </c>
      <c r="N17" s="80">
        <f t="shared" ca="1" si="18"/>
        <v>3.8500462005544064E-2</v>
      </c>
      <c r="O17" s="80">
        <f t="shared" ca="1" si="18"/>
        <v>3.6260036260036259E-2</v>
      </c>
      <c r="P17" s="80">
        <f t="shared" ca="1" si="18"/>
        <v>3.7261294829995344E-2</v>
      </c>
      <c r="Q17" s="80">
        <f t="shared" ca="1" si="18"/>
        <v>3.2721245129485717E-2</v>
      </c>
      <c r="R17" s="80">
        <f t="shared" ca="1" si="18"/>
        <v>3.1170180527295553E-2</v>
      </c>
      <c r="S17" s="80">
        <f t="shared" ca="1" si="18"/>
        <v>3.7317439862542955E-2</v>
      </c>
    </row>
    <row r="18" spans="1:19" x14ac:dyDescent="0.2">
      <c r="A18" s="45" t="s">
        <v>346</v>
      </c>
      <c r="B18" s="117">
        <f t="shared" ca="1" si="14"/>
        <v>48</v>
      </c>
      <c r="C18" s="1">
        <f ca="1">IF(ISERROR(D18),"",IF(D18="","",MAX($C$12:C17)+1))</f>
        <v>6</v>
      </c>
      <c r="D18" t="str">
        <f t="shared" ca="1" si="15"/>
        <v>ONE Gas Inc.</v>
      </c>
      <c r="E18" s="15"/>
      <c r="F18" s="80">
        <f t="shared" ca="1" si="16"/>
        <v>2.434454293581375E-2</v>
      </c>
      <c r="G18" s="80">
        <f t="shared" si="17"/>
        <v>2.4949152542372881E-2</v>
      </c>
      <c r="H18" s="80">
        <f ca="1">IFERROR(VLOOKUP($A18,LASTYR,'2017'!$Q$3,FALSE),"N/A")</f>
        <v>2.3707048613560999E-2</v>
      </c>
      <c r="I18" s="80">
        <f t="shared" ca="1" si="18"/>
        <v>2.3233815158404832E-2</v>
      </c>
      <c r="J18" s="80">
        <f t="shared" ca="1" si="18"/>
        <v>2.7069704489059328E-2</v>
      </c>
      <c r="K18" s="80">
        <f t="shared" ca="1" si="18"/>
        <v>2.2762993875670694E-2</v>
      </c>
      <c r="L18" s="80" t="str">
        <f t="shared" ca="1" si="18"/>
        <v>N/A</v>
      </c>
      <c r="M18" s="80" t="str">
        <f t="shared" ca="1" si="18"/>
        <v>N/A</v>
      </c>
      <c r="N18" s="80" t="str">
        <f t="shared" ca="1" si="18"/>
        <v>N/A</v>
      </c>
      <c r="O18" s="80" t="str">
        <f t="shared" ca="1" si="18"/>
        <v>N/A</v>
      </c>
      <c r="P18" s="80" t="str">
        <f t="shared" ca="1" si="18"/>
        <v>N/A</v>
      </c>
      <c r="Q18" s="80" t="str">
        <f t="shared" ca="1" si="18"/>
        <v>N/A</v>
      </c>
      <c r="R18" s="80" t="str">
        <f t="shared" ca="1" si="18"/>
        <v>N/A</v>
      </c>
      <c r="S18" s="80" t="str">
        <f t="shared" ca="1" si="18"/>
        <v>N/A</v>
      </c>
    </row>
    <row r="19" spans="1:19" x14ac:dyDescent="0.2">
      <c r="A19" s="45" t="s">
        <v>198</v>
      </c>
      <c r="B19" s="117">
        <f t="shared" ca="1" si="14"/>
        <v>61</v>
      </c>
      <c r="C19" s="1">
        <f ca="1">IF(ISERROR(D19),"",IF(D19="","",MAX($C$12:C18)+1))</f>
        <v>7</v>
      </c>
      <c r="D19" t="str">
        <f t="shared" ca="1" si="15"/>
        <v>South Jersey Inds.</v>
      </c>
      <c r="E19" s="15"/>
      <c r="F19" s="80">
        <f t="shared" ca="1" si="16"/>
        <v>3.2689251690641345E-2</v>
      </c>
      <c r="G19" s="80">
        <f t="shared" si="17"/>
        <v>3.6682615629984046E-2</v>
      </c>
      <c r="H19" s="80">
        <f ca="1">IFERROR(VLOOKUP($A19,LASTYR,'2017'!$Q$3,FALSE),"N/A")</f>
        <v>3.2030749519538763E-2</v>
      </c>
      <c r="I19" s="80">
        <f t="shared" ca="1" si="18"/>
        <v>3.6429872495446269E-2</v>
      </c>
      <c r="J19" s="80">
        <f t="shared" ca="1" si="18"/>
        <v>3.9464520622146559E-2</v>
      </c>
      <c r="K19" s="80">
        <f t="shared" ca="1" si="18"/>
        <v>3.4014810615455478E-2</v>
      </c>
      <c r="L19" s="80">
        <f t="shared" ca="1" si="18"/>
        <v>3.1426775612822123E-2</v>
      </c>
      <c r="M19" s="80">
        <f t="shared" ca="1" si="18"/>
        <v>3.215622076707203E-2</v>
      </c>
      <c r="N19" s="80">
        <f t="shared" ca="1" si="18"/>
        <v>2.8083576724331611E-2</v>
      </c>
      <c r="O19" s="80">
        <f t="shared" ca="1" si="18"/>
        <v>2.996914940502424E-2</v>
      </c>
      <c r="P19" s="80">
        <f t="shared" ca="1" si="18"/>
        <v>3.4275439680845086E-2</v>
      </c>
      <c r="Q19" s="80">
        <f t="shared" ca="1" si="18"/>
        <v>3.0759851465942473E-2</v>
      </c>
      <c r="R19" s="80">
        <f t="shared" ca="1" si="18"/>
        <v>2.8127436782889606E-2</v>
      </c>
      <c r="S19" s="80">
        <f t="shared" ca="1" si="18"/>
        <v>3.1539252656839219E-2</v>
      </c>
    </row>
    <row r="20" spans="1:19" x14ac:dyDescent="0.2">
      <c r="A20" s="45" t="s">
        <v>200</v>
      </c>
      <c r="B20" s="117">
        <f t="shared" ca="1" si="14"/>
        <v>63</v>
      </c>
      <c r="C20" s="1">
        <f ca="1">IF(ISERROR(D20),"",IF(D20="","",MAX($C$12:C19)+1))</f>
        <v>8</v>
      </c>
      <c r="D20" t="str">
        <f t="shared" ca="1" si="15"/>
        <v>Southwest Gas</v>
      </c>
      <c r="E20" s="15"/>
      <c r="F20" s="80">
        <f t="shared" ca="1" si="16"/>
        <v>2.8616559412141248E-2</v>
      </c>
      <c r="G20" s="80">
        <f t="shared" si="17"/>
        <v>2.8013468013468015E-2</v>
      </c>
      <c r="H20" s="80">
        <f ca="1">IFERROR(VLOOKUP($A20,LASTYR,'2017'!$Q$3,FALSE),"N/A")</f>
        <v>2.4622578158032184E-2</v>
      </c>
      <c r="I20" s="80">
        <f t="shared" ca="1" si="18"/>
        <v>2.6153667325351623E-2</v>
      </c>
      <c r="J20" s="80">
        <f t="shared" ca="1" si="18"/>
        <v>2.866495620631691E-2</v>
      </c>
      <c r="K20" s="80">
        <f t="shared" ca="1" si="18"/>
        <v>2.7158243270894174E-2</v>
      </c>
      <c r="L20" s="80">
        <f t="shared" ca="1" si="18"/>
        <v>2.6936026936026935E-2</v>
      </c>
      <c r="M20" s="80">
        <f t="shared" ca="1" si="18"/>
        <v>2.750134010767474E-2</v>
      </c>
      <c r="N20" s="80">
        <f t="shared" ca="1" si="18"/>
        <v>2.7806196059914481E-2</v>
      </c>
      <c r="O20" s="80">
        <f t="shared" ca="1" si="18"/>
        <v>3.1535793125197095E-2</v>
      </c>
      <c r="P20" s="80">
        <f t="shared" ca="1" si="18"/>
        <v>4.0141975830305078E-2</v>
      </c>
      <c r="Q20" s="80">
        <f t="shared" ca="1" si="18"/>
        <v>3.1944345850784414E-2</v>
      </c>
      <c r="R20" s="80">
        <f t="shared" ca="1" si="18"/>
        <v>2.5551131974567709E-2</v>
      </c>
      <c r="S20" s="80">
        <f t="shared" ca="1" si="18"/>
        <v>2.5985549499302825E-2</v>
      </c>
    </row>
    <row r="21" spans="1:19" x14ac:dyDescent="0.2">
      <c r="A21" s="45" t="s">
        <v>244</v>
      </c>
      <c r="B21" s="117">
        <f t="shared" ca="1" si="14"/>
        <v>64</v>
      </c>
      <c r="C21" s="1">
        <f ca="1">IF(ISERROR(D21),"",IF(D21="","",MAX($C$12:C20)+1))</f>
        <v>9</v>
      </c>
      <c r="D21" t="str">
        <f t="shared" ca="1" si="15"/>
        <v>Spire Inc.</v>
      </c>
      <c r="E21" s="15"/>
      <c r="F21" s="80">
        <f t="shared" ca="1" si="16"/>
        <v>3.876846507189808E-2</v>
      </c>
      <c r="G21" s="80">
        <f t="shared" si="17"/>
        <v>3.1937544357700492E-2</v>
      </c>
      <c r="H21" s="80">
        <f ca="1">IFERROR(VLOOKUP($A21,LASTYR,'2017'!$Q$3,FALSE),"N/A")</f>
        <v>3.0890984245598038E-2</v>
      </c>
      <c r="I21" s="80">
        <f t="shared" ca="1" si="18"/>
        <v>3.0841856805664831E-2</v>
      </c>
      <c r="J21" s="80">
        <f t="shared" ca="1" si="18"/>
        <v>3.5318054435870862E-2</v>
      </c>
      <c r="K21" s="80">
        <f t="shared" ca="1" si="18"/>
        <v>3.7829124126813544E-2</v>
      </c>
      <c r="L21" s="80">
        <f t="shared" ca="1" si="18"/>
        <v>3.9597503028044344E-2</v>
      </c>
      <c r="M21" s="80">
        <f t="shared" ca="1" si="18"/>
        <v>4.1146143168748754E-2</v>
      </c>
      <c r="N21" s="80">
        <f t="shared" ca="1" si="18"/>
        <v>4.3148500522606062E-2</v>
      </c>
      <c r="O21" s="80">
        <f t="shared" ca="1" si="18"/>
        <v>4.702710798262693E-2</v>
      </c>
      <c r="P21" s="80">
        <f t="shared" ca="1" si="18"/>
        <v>3.9134438305709028E-2</v>
      </c>
      <c r="Q21" s="80">
        <f t="shared" ca="1" si="18"/>
        <v>3.9430507039271728E-2</v>
      </c>
      <c r="R21" s="80">
        <f t="shared" ca="1" si="18"/>
        <v>4.425183874019592E-2</v>
      </c>
      <c r="S21" s="80">
        <f t="shared" ca="1" si="18"/>
        <v>4.3436443175824513E-2</v>
      </c>
    </row>
    <row r="22" spans="1:19" x14ac:dyDescent="0.2">
      <c r="A22" s="45" t="s">
        <v>204</v>
      </c>
      <c r="B22" s="117">
        <f t="shared" ca="1" si="14"/>
        <v>66</v>
      </c>
      <c r="C22" s="1">
        <f ca="1">IF(ISERROR(D22),"",IF(D22="","",MAX($C$12:C21)+1))</f>
        <v>10</v>
      </c>
      <c r="D22" t="str">
        <f t="shared" ca="1" si="15"/>
        <v>UGI Corp.</v>
      </c>
      <c r="E22" s="15"/>
      <c r="F22" s="80">
        <f t="shared" ca="1" si="16"/>
        <v>2.8224287046249723E-2</v>
      </c>
      <c r="G22" s="80">
        <f t="shared" si="17"/>
        <v>2.0278330019880716E-2</v>
      </c>
      <c r="H22" s="80">
        <f ca="1">IFERROR(VLOOKUP($A22,LASTYR,'2017'!$Q$3,FALSE),"N/A")</f>
        <v>2.0116086582989336E-2</v>
      </c>
      <c r="I22" s="80">
        <f t="shared" ca="1" si="18"/>
        <v>2.3471216212805696E-2</v>
      </c>
      <c r="J22" s="80">
        <f t="shared" ca="1" si="18"/>
        <v>2.499648925712681E-2</v>
      </c>
      <c r="K22" s="80">
        <f t="shared" ca="1" si="18"/>
        <v>2.6066038357608911E-2</v>
      </c>
      <c r="L22" s="80">
        <f t="shared" ca="1" si="18"/>
        <v>3.0095981779729948E-2</v>
      </c>
      <c r="M22" s="80">
        <f t="shared" ca="1" si="18"/>
        <v>3.6801832283587528E-2</v>
      </c>
      <c r="N22" s="80">
        <f t="shared" ca="1" si="18"/>
        <v>3.2956913681965787E-2</v>
      </c>
      <c r="O22" s="80">
        <f t="shared" ca="1" si="18"/>
        <v>3.4804803062822666E-2</v>
      </c>
      <c r="P22" s="80">
        <f t="shared" ca="1" si="18"/>
        <v>3.2295912066197363E-2</v>
      </c>
      <c r="Q22" s="80">
        <f t="shared" ca="1" si="18"/>
        <v>2.8496969010254378E-2</v>
      </c>
      <c r="R22" s="80">
        <f t="shared" ca="1" si="18"/>
        <v>2.6916620033575821E-2</v>
      </c>
      <c r="S22" s="80">
        <f t="shared" ca="1" si="18"/>
        <v>2.9618539252701474E-2</v>
      </c>
    </row>
    <row r="23" spans="1:19" x14ac:dyDescent="0.2">
      <c r="A23" s="45" t="s">
        <v>206</v>
      </c>
      <c r="B23" s="117">
        <f t="shared" ca="1" si="14"/>
        <v>73</v>
      </c>
      <c r="C23" s="1">
        <f ca="1">IF(ISERROR(D23),"",IF(D23="","",MAX($C$12:C22)+1))</f>
        <v>11</v>
      </c>
      <c r="D23" t="str">
        <f t="shared" ca="1" si="15"/>
        <v>WGL Holdings Inc.</v>
      </c>
      <c r="E23" s="15"/>
      <c r="F23" s="80">
        <f t="shared" ca="1" si="16"/>
        <v>3.909415234003296E-2</v>
      </c>
      <c r="G23" s="80" t="str">
        <f t="shared" si="17"/>
        <v>N/A</v>
      </c>
      <c r="H23" s="80">
        <f ca="1">IFERROR(VLOOKUP($A23,LASTYR,'2017'!$Q$3,FALSE),"N/A")</f>
        <v>2.5575123760809285E-2</v>
      </c>
      <c r="I23" s="80">
        <f t="shared" ca="1" si="18"/>
        <v>2.9439580219042676E-2</v>
      </c>
      <c r="J23" s="80">
        <f t="shared" ref="J23:S32" ca="1" si="19">IFERROR(INDEX(DIV_MP_WP,$B23,J$12),"N/A")</f>
        <v>3.4080116207609361E-2</v>
      </c>
      <c r="K23" s="80">
        <f t="shared" ca="1" si="19"/>
        <v>4.2359315355251816E-2</v>
      </c>
      <c r="L23" s="80">
        <f t="shared" ca="1" si="19"/>
        <v>3.9387827737572663E-2</v>
      </c>
      <c r="M23" s="80">
        <f t="shared" ca="1" si="19"/>
        <v>3.8857254576113789E-2</v>
      </c>
      <c r="N23" s="80">
        <f t="shared" ca="1" si="19"/>
        <v>4.0588666596836701E-2</v>
      </c>
      <c r="O23" s="80">
        <f t="shared" ca="1" si="19"/>
        <v>4.3729228616407205E-2</v>
      </c>
      <c r="P23" s="80">
        <f t="shared" ca="1" si="19"/>
        <v>4.6171241912180409E-2</v>
      </c>
      <c r="Q23" s="80">
        <f t="shared" ca="1" si="19"/>
        <v>4.2240422404224043E-2</v>
      </c>
      <c r="R23" s="80">
        <f t="shared" ca="1" si="19"/>
        <v>4.1855758616460195E-2</v>
      </c>
      <c r="S23" s="80">
        <f t="shared" ca="1" si="19"/>
        <v>4.4845292077887434E-2</v>
      </c>
    </row>
    <row r="24" spans="1:19" hidden="1" x14ac:dyDescent="0.2">
      <c r="A24" s="45"/>
      <c r="B24" s="117" t="str">
        <f t="shared" ca="1" si="14"/>
        <v/>
      </c>
      <c r="C24" s="1" t="str">
        <f>IF(ISERROR(D24),"",IF(D24="","",MAX($C$12:C23)+1))</f>
        <v/>
      </c>
      <c r="D24" t="e">
        <f t="shared" si="15"/>
        <v>#N/A</v>
      </c>
      <c r="E24" s="15"/>
      <c r="F24" s="80" t="str">
        <f t="shared" ca="1" si="16"/>
        <v>N/A</v>
      </c>
      <c r="G24" s="80" t="str">
        <f t="shared" si="17"/>
        <v>N/A</v>
      </c>
      <c r="H24" s="80" t="str">
        <f ca="1">IFERROR(VLOOKUP($A24,LASTYR,'2017'!$Q$3,FALSE),"N/A")</f>
        <v>N/A</v>
      </c>
      <c r="I24" s="80" t="str">
        <f t="shared" ca="1" si="18"/>
        <v>N/A</v>
      </c>
      <c r="J24" s="80" t="str">
        <f t="shared" ca="1" si="19"/>
        <v>N/A</v>
      </c>
      <c r="K24" s="80" t="str">
        <f t="shared" ca="1" si="19"/>
        <v>N/A</v>
      </c>
      <c r="L24" s="80" t="str">
        <f t="shared" ca="1" si="19"/>
        <v>N/A</v>
      </c>
      <c r="M24" s="80" t="str">
        <f t="shared" ca="1" si="19"/>
        <v>N/A</v>
      </c>
      <c r="N24" s="80" t="str">
        <f t="shared" ca="1" si="19"/>
        <v>N/A</v>
      </c>
      <c r="O24" s="80" t="str">
        <f t="shared" ca="1" si="19"/>
        <v>N/A</v>
      </c>
      <c r="P24" s="80" t="str">
        <f t="shared" ca="1" si="19"/>
        <v>N/A</v>
      </c>
      <c r="Q24" s="80" t="str">
        <f t="shared" ca="1" si="19"/>
        <v>N/A</v>
      </c>
      <c r="R24" s="80" t="str">
        <f t="shared" ca="1" si="19"/>
        <v>N/A</v>
      </c>
      <c r="S24" s="80" t="str">
        <f t="shared" ca="1" si="19"/>
        <v>N/A</v>
      </c>
    </row>
    <row r="25" spans="1:19" hidden="1" x14ac:dyDescent="0.2">
      <c r="A25" s="45"/>
      <c r="B25" s="117" t="str">
        <f t="shared" ca="1" si="14"/>
        <v/>
      </c>
      <c r="C25" s="1" t="str">
        <f>IF(ISERROR(D25),"",IF(D25="","",MAX($C$12:C24)+1))</f>
        <v/>
      </c>
      <c r="D25" t="e">
        <f t="shared" si="15"/>
        <v>#N/A</v>
      </c>
      <c r="E25" s="15"/>
      <c r="F25" s="80" t="str">
        <f t="shared" ca="1" si="16"/>
        <v>N/A</v>
      </c>
      <c r="G25" s="80" t="str">
        <f t="shared" si="17"/>
        <v>N/A</v>
      </c>
      <c r="H25" s="80" t="str">
        <f ca="1">IFERROR(VLOOKUP($A25,LASTYR,'2017'!$Q$3,FALSE),"N/A")</f>
        <v>N/A</v>
      </c>
      <c r="I25" s="80" t="str">
        <f t="shared" ca="1" si="18"/>
        <v>N/A</v>
      </c>
      <c r="J25" s="80" t="str">
        <f t="shared" ca="1" si="19"/>
        <v>N/A</v>
      </c>
      <c r="K25" s="80" t="str">
        <f t="shared" ca="1" si="19"/>
        <v>N/A</v>
      </c>
      <c r="L25" s="80" t="str">
        <f t="shared" ca="1" si="19"/>
        <v>N/A</v>
      </c>
      <c r="M25" s="80" t="str">
        <f t="shared" ca="1" si="19"/>
        <v>N/A</v>
      </c>
      <c r="N25" s="80" t="str">
        <f t="shared" ca="1" si="19"/>
        <v>N/A</v>
      </c>
      <c r="O25" s="80" t="str">
        <f t="shared" ca="1" si="19"/>
        <v>N/A</v>
      </c>
      <c r="P25" s="80" t="str">
        <f t="shared" ca="1" si="19"/>
        <v>N/A</v>
      </c>
      <c r="Q25" s="80" t="str">
        <f t="shared" ca="1" si="19"/>
        <v>N/A</v>
      </c>
      <c r="R25" s="80" t="str">
        <f t="shared" ca="1" si="19"/>
        <v>N/A</v>
      </c>
      <c r="S25" s="80" t="str">
        <f t="shared" ca="1" si="19"/>
        <v>N/A</v>
      </c>
    </row>
    <row r="26" spans="1:19" hidden="1" x14ac:dyDescent="0.2">
      <c r="A26" s="45"/>
      <c r="B26" s="117" t="str">
        <f t="shared" ca="1" si="14"/>
        <v/>
      </c>
      <c r="C26" s="1" t="str">
        <f>IF(ISERROR(D26),"",IF(D26="","",MAX($C$12:C25)+1))</f>
        <v/>
      </c>
      <c r="D26" t="e">
        <f t="shared" si="15"/>
        <v>#N/A</v>
      </c>
      <c r="E26" s="15"/>
      <c r="F26" s="80" t="str">
        <f t="shared" ca="1" si="16"/>
        <v>N/A</v>
      </c>
      <c r="G26" s="80" t="str">
        <f t="shared" si="17"/>
        <v>N/A</v>
      </c>
      <c r="H26" s="80" t="str">
        <f ca="1">IFERROR(VLOOKUP($A26,LASTYR,'2017'!$Q$3,FALSE),"N/A")</f>
        <v>N/A</v>
      </c>
      <c r="I26" s="80" t="str">
        <f t="shared" ca="1" si="18"/>
        <v>N/A</v>
      </c>
      <c r="J26" s="80" t="str">
        <f t="shared" ca="1" si="19"/>
        <v>N/A</v>
      </c>
      <c r="K26" s="80" t="str">
        <f t="shared" ca="1" si="19"/>
        <v>N/A</v>
      </c>
      <c r="L26" s="80" t="str">
        <f t="shared" ca="1" si="19"/>
        <v>N/A</v>
      </c>
      <c r="M26" s="80" t="str">
        <f t="shared" ca="1" si="19"/>
        <v>N/A</v>
      </c>
      <c r="N26" s="80" t="str">
        <f t="shared" ca="1" si="19"/>
        <v>N/A</v>
      </c>
      <c r="O26" s="80" t="str">
        <f t="shared" ca="1" si="19"/>
        <v>N/A</v>
      </c>
      <c r="P26" s="80" t="str">
        <f t="shared" ca="1" si="19"/>
        <v>N/A</v>
      </c>
      <c r="Q26" s="80" t="str">
        <f t="shared" ca="1" si="19"/>
        <v>N/A</v>
      </c>
      <c r="R26" s="80" t="str">
        <f t="shared" ca="1" si="19"/>
        <v>N/A</v>
      </c>
      <c r="S26" s="80" t="str">
        <f t="shared" ca="1" si="19"/>
        <v>N/A</v>
      </c>
    </row>
    <row r="27" spans="1:19" hidden="1" x14ac:dyDescent="0.2">
      <c r="A27" s="45"/>
      <c r="B27" s="117" t="str">
        <f t="shared" ca="1" si="14"/>
        <v/>
      </c>
      <c r="C27" s="1" t="str">
        <f>IF(ISERROR(D27),"",IF(D27="","",MAX($C$12:C26)+1))</f>
        <v/>
      </c>
      <c r="D27" t="e">
        <f t="shared" si="15"/>
        <v>#N/A</v>
      </c>
      <c r="E27" s="15"/>
      <c r="F27" s="80" t="str">
        <f t="shared" ca="1" si="16"/>
        <v>N/A</v>
      </c>
      <c r="G27" s="80" t="str">
        <f t="shared" si="17"/>
        <v>N/A</v>
      </c>
      <c r="H27" s="80" t="str">
        <f ca="1">IFERROR(VLOOKUP($A27,LASTYR,'2017'!$Q$3,FALSE),"N/A")</f>
        <v>N/A</v>
      </c>
      <c r="I27" s="80" t="str">
        <f t="shared" ca="1" si="18"/>
        <v>N/A</v>
      </c>
      <c r="J27" s="80" t="str">
        <f t="shared" ca="1" si="19"/>
        <v>N/A</v>
      </c>
      <c r="K27" s="80" t="str">
        <f t="shared" ca="1" si="19"/>
        <v>N/A</v>
      </c>
      <c r="L27" s="80" t="str">
        <f t="shared" ca="1" si="19"/>
        <v>N/A</v>
      </c>
      <c r="M27" s="80" t="str">
        <f t="shared" ca="1" si="19"/>
        <v>N/A</v>
      </c>
      <c r="N27" s="80" t="str">
        <f t="shared" ca="1" si="19"/>
        <v>N/A</v>
      </c>
      <c r="O27" s="80" t="str">
        <f t="shared" ca="1" si="19"/>
        <v>N/A</v>
      </c>
      <c r="P27" s="80" t="str">
        <f t="shared" ca="1" si="19"/>
        <v>N/A</v>
      </c>
      <c r="Q27" s="80" t="str">
        <f t="shared" ca="1" si="19"/>
        <v>N/A</v>
      </c>
      <c r="R27" s="80" t="str">
        <f t="shared" ca="1" si="19"/>
        <v>N/A</v>
      </c>
      <c r="S27" s="80" t="str">
        <f t="shared" ca="1" si="19"/>
        <v>N/A</v>
      </c>
    </row>
    <row r="28" spans="1:19" hidden="1" x14ac:dyDescent="0.2">
      <c r="A28" s="45"/>
      <c r="B28" s="117" t="str">
        <f t="shared" ca="1" si="14"/>
        <v/>
      </c>
      <c r="C28" s="1" t="str">
        <f>IF(ISERROR(D28),"",IF(D28="","",MAX($C$12:C27)+1))</f>
        <v/>
      </c>
      <c r="D28" t="e">
        <f t="shared" si="15"/>
        <v>#N/A</v>
      </c>
      <c r="E28" s="15"/>
      <c r="F28" s="80" t="str">
        <f t="shared" ca="1" si="16"/>
        <v>N/A</v>
      </c>
      <c r="G28" s="80" t="str">
        <f t="shared" si="17"/>
        <v>N/A</v>
      </c>
      <c r="H28" s="80" t="str">
        <f ca="1">IFERROR(VLOOKUP($A28,LASTYR,'2017'!$Q$3,FALSE),"N/A")</f>
        <v>N/A</v>
      </c>
      <c r="I28" s="80" t="str">
        <f t="shared" ca="1" si="18"/>
        <v>N/A</v>
      </c>
      <c r="J28" s="80" t="str">
        <f t="shared" ca="1" si="19"/>
        <v>N/A</v>
      </c>
      <c r="K28" s="80" t="str">
        <f t="shared" ca="1" si="19"/>
        <v>N/A</v>
      </c>
      <c r="L28" s="80" t="str">
        <f t="shared" ca="1" si="19"/>
        <v>N/A</v>
      </c>
      <c r="M28" s="80" t="str">
        <f t="shared" ca="1" si="19"/>
        <v>N/A</v>
      </c>
      <c r="N28" s="80" t="str">
        <f t="shared" ca="1" si="19"/>
        <v>N/A</v>
      </c>
      <c r="O28" s="80" t="str">
        <f t="shared" ca="1" si="19"/>
        <v>N/A</v>
      </c>
      <c r="P28" s="80" t="str">
        <f t="shared" ca="1" si="19"/>
        <v>N/A</v>
      </c>
      <c r="Q28" s="80" t="str">
        <f t="shared" ca="1" si="19"/>
        <v>N/A</v>
      </c>
      <c r="R28" s="80" t="str">
        <f t="shared" ca="1" si="19"/>
        <v>N/A</v>
      </c>
      <c r="S28" s="80" t="str">
        <f t="shared" ca="1" si="19"/>
        <v>N/A</v>
      </c>
    </row>
    <row r="29" spans="1:19" hidden="1" x14ac:dyDescent="0.2">
      <c r="A29" s="45"/>
      <c r="B29" s="117" t="str">
        <f t="shared" ca="1" si="14"/>
        <v/>
      </c>
      <c r="C29" s="1" t="str">
        <f>IF(ISERROR(D29),"",IF(D29="","",MAX($C$12:C28)+1))</f>
        <v/>
      </c>
      <c r="D29" t="e">
        <f t="shared" si="15"/>
        <v>#N/A</v>
      </c>
      <c r="E29" s="15"/>
      <c r="F29" s="80" t="str">
        <f t="shared" ca="1" si="16"/>
        <v>N/A</v>
      </c>
      <c r="G29" s="80" t="str">
        <f t="shared" si="17"/>
        <v>N/A</v>
      </c>
      <c r="H29" s="80" t="str">
        <f ca="1">IFERROR(VLOOKUP($A29,LASTYR,'2017'!$Q$3,FALSE),"N/A")</f>
        <v>N/A</v>
      </c>
      <c r="I29" s="80" t="str">
        <f t="shared" ref="I29:I57" ca="1" si="20">IFERROR(INDEX(DIV_MP_WP,$B29,I$12),"N/A")</f>
        <v>N/A</v>
      </c>
      <c r="J29" s="80" t="str">
        <f t="shared" ca="1" si="19"/>
        <v>N/A</v>
      </c>
      <c r="K29" s="80" t="str">
        <f t="shared" ca="1" si="19"/>
        <v>N/A</v>
      </c>
      <c r="L29" s="80" t="str">
        <f t="shared" ca="1" si="19"/>
        <v>N/A</v>
      </c>
      <c r="M29" s="80" t="str">
        <f t="shared" ca="1" si="19"/>
        <v>N/A</v>
      </c>
      <c r="N29" s="80" t="str">
        <f t="shared" ca="1" si="19"/>
        <v>N/A</v>
      </c>
      <c r="O29" s="80" t="str">
        <f t="shared" ca="1" si="19"/>
        <v>N/A</v>
      </c>
      <c r="P29" s="80" t="str">
        <f t="shared" ca="1" si="19"/>
        <v>N/A</v>
      </c>
      <c r="Q29" s="80" t="str">
        <f t="shared" ca="1" si="19"/>
        <v>N/A</v>
      </c>
      <c r="R29" s="80" t="str">
        <f t="shared" ca="1" si="19"/>
        <v>N/A</v>
      </c>
      <c r="S29" s="80" t="str">
        <f t="shared" ca="1" si="19"/>
        <v>N/A</v>
      </c>
    </row>
    <row r="30" spans="1:19" hidden="1" x14ac:dyDescent="0.2">
      <c r="A30" s="45"/>
      <c r="B30" s="117" t="str">
        <f t="shared" ca="1" si="14"/>
        <v/>
      </c>
      <c r="C30" s="1" t="str">
        <f>IF(ISERROR(D30),"",IF(D30="","",MAX($C$12:C29)+1))</f>
        <v/>
      </c>
      <c r="D30" t="e">
        <f t="shared" si="15"/>
        <v>#N/A</v>
      </c>
      <c r="E30" s="15"/>
      <c r="F30" s="80" t="str">
        <f t="shared" ca="1" si="16"/>
        <v>N/A</v>
      </c>
      <c r="G30" s="80" t="str">
        <f t="shared" si="17"/>
        <v>N/A</v>
      </c>
      <c r="H30" s="80" t="str">
        <f ca="1">IFERROR(VLOOKUP($A30,LASTYR,'2017'!$Q$3,FALSE),"N/A")</f>
        <v>N/A</v>
      </c>
      <c r="I30" s="80" t="str">
        <f t="shared" ca="1" si="20"/>
        <v>N/A</v>
      </c>
      <c r="J30" s="80" t="str">
        <f t="shared" ca="1" si="19"/>
        <v>N/A</v>
      </c>
      <c r="K30" s="80" t="str">
        <f t="shared" ca="1" si="19"/>
        <v>N/A</v>
      </c>
      <c r="L30" s="80" t="str">
        <f t="shared" ca="1" si="19"/>
        <v>N/A</v>
      </c>
      <c r="M30" s="80" t="str">
        <f t="shared" ca="1" si="19"/>
        <v>N/A</v>
      </c>
      <c r="N30" s="80" t="str">
        <f t="shared" ca="1" si="19"/>
        <v>N/A</v>
      </c>
      <c r="O30" s="80" t="str">
        <f t="shared" ca="1" si="19"/>
        <v>N/A</v>
      </c>
      <c r="P30" s="80" t="str">
        <f t="shared" ca="1" si="19"/>
        <v>N/A</v>
      </c>
      <c r="Q30" s="80" t="str">
        <f t="shared" ca="1" si="19"/>
        <v>N/A</v>
      </c>
      <c r="R30" s="80" t="str">
        <f t="shared" ca="1" si="19"/>
        <v>N/A</v>
      </c>
      <c r="S30" s="80" t="str">
        <f t="shared" ca="1" si="19"/>
        <v>N/A</v>
      </c>
    </row>
    <row r="31" spans="1:19" hidden="1" x14ac:dyDescent="0.2">
      <c r="A31" s="45"/>
      <c r="B31" s="117" t="str">
        <f t="shared" ca="1" si="14"/>
        <v/>
      </c>
      <c r="C31" s="1" t="str">
        <f>IF(ISERROR(D31),"",IF(D31="","",MAX($C$12:C30)+1))</f>
        <v/>
      </c>
      <c r="D31" t="e">
        <f t="shared" si="15"/>
        <v>#N/A</v>
      </c>
      <c r="E31" s="15"/>
      <c r="F31" s="80" t="str">
        <f t="shared" ca="1" si="16"/>
        <v>N/A</v>
      </c>
      <c r="G31" s="80" t="str">
        <f t="shared" si="17"/>
        <v>N/A</v>
      </c>
      <c r="H31" s="80" t="str">
        <f ca="1">IFERROR(VLOOKUP($A31,LASTYR,'2017'!$Q$3,FALSE),"N/A")</f>
        <v>N/A</v>
      </c>
      <c r="I31" s="80" t="str">
        <f t="shared" ca="1" si="20"/>
        <v>N/A</v>
      </c>
      <c r="J31" s="80" t="str">
        <f t="shared" ca="1" si="19"/>
        <v>N/A</v>
      </c>
      <c r="K31" s="80" t="str">
        <f t="shared" ca="1" si="19"/>
        <v>N/A</v>
      </c>
      <c r="L31" s="80" t="str">
        <f t="shared" ca="1" si="19"/>
        <v>N/A</v>
      </c>
      <c r="M31" s="80" t="str">
        <f t="shared" ca="1" si="19"/>
        <v>N/A</v>
      </c>
      <c r="N31" s="80" t="str">
        <f t="shared" ca="1" si="19"/>
        <v>N/A</v>
      </c>
      <c r="O31" s="80" t="str">
        <f t="shared" ca="1" si="19"/>
        <v>N/A</v>
      </c>
      <c r="P31" s="80" t="str">
        <f t="shared" ca="1" si="19"/>
        <v>N/A</v>
      </c>
      <c r="Q31" s="80" t="str">
        <f t="shared" ca="1" si="19"/>
        <v>N/A</v>
      </c>
      <c r="R31" s="80" t="str">
        <f t="shared" ca="1" si="19"/>
        <v>N/A</v>
      </c>
      <c r="S31" s="80" t="str">
        <f t="shared" ca="1" si="19"/>
        <v>N/A</v>
      </c>
    </row>
    <row r="32" spans="1:19" hidden="1" x14ac:dyDescent="0.2">
      <c r="A32" s="45"/>
      <c r="B32" s="117" t="str">
        <f t="shared" ca="1" si="14"/>
        <v/>
      </c>
      <c r="C32" s="1" t="str">
        <f>IF(ISERROR(D32),"",IF(D32="","",MAX($C$12:C31)+1))</f>
        <v/>
      </c>
      <c r="D32" t="e">
        <f t="shared" si="15"/>
        <v>#N/A</v>
      </c>
      <c r="E32" s="15"/>
      <c r="F32" s="80" t="str">
        <f t="shared" ca="1" si="16"/>
        <v>N/A</v>
      </c>
      <c r="G32" s="80" t="str">
        <f t="shared" si="17"/>
        <v>N/A</v>
      </c>
      <c r="H32" s="80" t="str">
        <f ca="1">IFERROR(VLOOKUP($A32,LASTYR,'2017'!$Q$3,FALSE),"N/A")</f>
        <v>N/A</v>
      </c>
      <c r="I32" s="80" t="str">
        <f t="shared" ca="1" si="20"/>
        <v>N/A</v>
      </c>
      <c r="J32" s="80" t="str">
        <f t="shared" ca="1" si="19"/>
        <v>N/A</v>
      </c>
      <c r="K32" s="80" t="str">
        <f t="shared" ca="1" si="19"/>
        <v>N/A</v>
      </c>
      <c r="L32" s="80" t="str">
        <f t="shared" ca="1" si="19"/>
        <v>N/A</v>
      </c>
      <c r="M32" s="80" t="str">
        <f t="shared" ca="1" si="19"/>
        <v>N/A</v>
      </c>
      <c r="N32" s="80" t="str">
        <f t="shared" ca="1" si="19"/>
        <v>N/A</v>
      </c>
      <c r="O32" s="80" t="str">
        <f t="shared" ca="1" si="19"/>
        <v>N/A</v>
      </c>
      <c r="P32" s="80" t="str">
        <f t="shared" ca="1" si="19"/>
        <v>N/A</v>
      </c>
      <c r="Q32" s="80" t="str">
        <f t="shared" ca="1" si="19"/>
        <v>N/A</v>
      </c>
      <c r="R32" s="80" t="str">
        <f t="shared" ca="1" si="19"/>
        <v>N/A</v>
      </c>
      <c r="S32" s="80" t="str">
        <f t="shared" ca="1" si="19"/>
        <v>N/A</v>
      </c>
    </row>
    <row r="33" spans="1:19" hidden="1" x14ac:dyDescent="0.2">
      <c r="A33" s="45"/>
      <c r="B33" s="117" t="str">
        <f t="shared" ca="1" si="14"/>
        <v/>
      </c>
      <c r="C33" s="1" t="str">
        <f>IF(ISERROR(D33),"",IF(D33="","",MAX($C$12:C32)+1))</f>
        <v/>
      </c>
      <c r="D33" t="e">
        <f t="shared" si="15"/>
        <v>#N/A</v>
      </c>
      <c r="E33" s="15"/>
      <c r="F33" s="80" t="str">
        <f t="shared" ca="1" si="16"/>
        <v>N/A</v>
      </c>
      <c r="G33" s="80" t="str">
        <f t="shared" si="17"/>
        <v>N/A</v>
      </c>
      <c r="H33" s="80" t="str">
        <f ca="1">IFERROR(VLOOKUP($A33,LASTYR,'2017'!$Q$3,FALSE),"N/A")</f>
        <v>N/A</v>
      </c>
      <c r="I33" s="80" t="str">
        <f t="shared" ca="1" si="20"/>
        <v>N/A</v>
      </c>
      <c r="J33" s="80" t="str">
        <f t="shared" ref="J33:S42" ca="1" si="21">IFERROR(INDEX(DIV_MP_WP,$B33,J$12),"N/A")</f>
        <v>N/A</v>
      </c>
      <c r="K33" s="80" t="str">
        <f t="shared" ca="1" si="21"/>
        <v>N/A</v>
      </c>
      <c r="L33" s="80" t="str">
        <f t="shared" ca="1" si="21"/>
        <v>N/A</v>
      </c>
      <c r="M33" s="80" t="str">
        <f t="shared" ca="1" si="21"/>
        <v>N/A</v>
      </c>
      <c r="N33" s="80" t="str">
        <f t="shared" ca="1" si="21"/>
        <v>N/A</v>
      </c>
      <c r="O33" s="80" t="str">
        <f t="shared" ca="1" si="21"/>
        <v>N/A</v>
      </c>
      <c r="P33" s="80" t="str">
        <f t="shared" ca="1" si="21"/>
        <v>N/A</v>
      </c>
      <c r="Q33" s="80" t="str">
        <f t="shared" ca="1" si="21"/>
        <v>N/A</v>
      </c>
      <c r="R33" s="80" t="str">
        <f t="shared" ca="1" si="21"/>
        <v>N/A</v>
      </c>
      <c r="S33" s="80" t="str">
        <f t="shared" ca="1" si="21"/>
        <v>N/A</v>
      </c>
    </row>
    <row r="34" spans="1:19" hidden="1" x14ac:dyDescent="0.2">
      <c r="A34" s="45"/>
      <c r="B34" s="117" t="str">
        <f t="shared" ca="1" si="14"/>
        <v/>
      </c>
      <c r="C34" s="1" t="str">
        <f>IF(ISERROR(D34),"",IF(D34="","",MAX($C$12:C33)+1))</f>
        <v/>
      </c>
      <c r="D34" t="e">
        <f t="shared" si="15"/>
        <v>#N/A</v>
      </c>
      <c r="E34" s="15"/>
      <c r="F34" s="80" t="str">
        <f t="shared" ca="1" si="16"/>
        <v>N/A</v>
      </c>
      <c r="G34" s="80" t="str">
        <f t="shared" si="17"/>
        <v>N/A</v>
      </c>
      <c r="H34" s="80" t="str">
        <f ca="1">IFERROR(VLOOKUP($A34,LASTYR,'2017'!$Q$3,FALSE),"N/A")</f>
        <v>N/A</v>
      </c>
      <c r="I34" s="80" t="str">
        <f t="shared" ca="1" si="20"/>
        <v>N/A</v>
      </c>
      <c r="J34" s="80" t="str">
        <f t="shared" ca="1" si="21"/>
        <v>N/A</v>
      </c>
      <c r="K34" s="80" t="str">
        <f t="shared" ca="1" si="21"/>
        <v>N/A</v>
      </c>
      <c r="L34" s="80" t="str">
        <f t="shared" ca="1" si="21"/>
        <v>N/A</v>
      </c>
      <c r="M34" s="80" t="str">
        <f t="shared" ca="1" si="21"/>
        <v>N/A</v>
      </c>
      <c r="N34" s="80" t="str">
        <f t="shared" ca="1" si="21"/>
        <v>N/A</v>
      </c>
      <c r="O34" s="80" t="str">
        <f t="shared" ca="1" si="21"/>
        <v>N/A</v>
      </c>
      <c r="P34" s="80" t="str">
        <f t="shared" ca="1" si="21"/>
        <v>N/A</v>
      </c>
      <c r="Q34" s="80" t="str">
        <f t="shared" ca="1" si="21"/>
        <v>N/A</v>
      </c>
      <c r="R34" s="80" t="str">
        <f t="shared" ca="1" si="21"/>
        <v>N/A</v>
      </c>
      <c r="S34" s="80" t="str">
        <f t="shared" ca="1" si="21"/>
        <v>N/A</v>
      </c>
    </row>
    <row r="35" spans="1:19" hidden="1" x14ac:dyDescent="0.2">
      <c r="A35" s="45"/>
      <c r="B35" s="117" t="str">
        <f t="shared" ca="1" si="14"/>
        <v/>
      </c>
      <c r="C35" s="1" t="str">
        <f>IF(ISERROR(D35),"",IF(D35="","",MAX($C$12:C34)+1))</f>
        <v/>
      </c>
      <c r="D35" t="e">
        <f t="shared" si="15"/>
        <v>#N/A</v>
      </c>
      <c r="E35" s="15"/>
      <c r="F35" s="80" t="str">
        <f t="shared" ca="1" si="16"/>
        <v>N/A</v>
      </c>
      <c r="G35" s="80" t="str">
        <f t="shared" si="17"/>
        <v>N/A</v>
      </c>
      <c r="H35" s="80" t="str">
        <f ca="1">IFERROR(VLOOKUP($A35,LASTYR,'2017'!$Q$3,FALSE),"N/A")</f>
        <v>N/A</v>
      </c>
      <c r="I35" s="80" t="str">
        <f t="shared" ca="1" si="20"/>
        <v>N/A</v>
      </c>
      <c r="J35" s="80" t="str">
        <f t="shared" ca="1" si="21"/>
        <v>N/A</v>
      </c>
      <c r="K35" s="80" t="str">
        <f t="shared" ca="1" si="21"/>
        <v>N/A</v>
      </c>
      <c r="L35" s="80" t="str">
        <f t="shared" ca="1" si="21"/>
        <v>N/A</v>
      </c>
      <c r="M35" s="80" t="str">
        <f t="shared" ca="1" si="21"/>
        <v>N/A</v>
      </c>
      <c r="N35" s="80" t="str">
        <f t="shared" ca="1" si="21"/>
        <v>N/A</v>
      </c>
      <c r="O35" s="80" t="str">
        <f t="shared" ca="1" si="21"/>
        <v>N/A</v>
      </c>
      <c r="P35" s="80" t="str">
        <f t="shared" ca="1" si="21"/>
        <v>N/A</v>
      </c>
      <c r="Q35" s="80" t="str">
        <f t="shared" ca="1" si="21"/>
        <v>N/A</v>
      </c>
      <c r="R35" s="80" t="str">
        <f t="shared" ca="1" si="21"/>
        <v>N/A</v>
      </c>
      <c r="S35" s="80" t="str">
        <f t="shared" ca="1" si="21"/>
        <v>N/A</v>
      </c>
    </row>
    <row r="36" spans="1:19" hidden="1" x14ac:dyDescent="0.2">
      <c r="A36" s="45"/>
      <c r="B36" s="117" t="str">
        <f t="shared" ca="1" si="14"/>
        <v/>
      </c>
      <c r="C36" s="1" t="str">
        <f>IF(ISERROR(D36),"",IF(D36="","",MAX($C$12:C35)+1))</f>
        <v/>
      </c>
      <c r="D36" t="e">
        <f t="shared" si="15"/>
        <v>#N/A</v>
      </c>
      <c r="E36" s="15"/>
      <c r="F36" s="80" t="str">
        <f t="shared" ca="1" si="16"/>
        <v>N/A</v>
      </c>
      <c r="G36" s="80" t="str">
        <f t="shared" si="17"/>
        <v>N/A</v>
      </c>
      <c r="H36" s="80" t="str">
        <f ca="1">IFERROR(VLOOKUP($A36,LASTYR,'2017'!$Q$3,FALSE),"N/A")</f>
        <v>N/A</v>
      </c>
      <c r="I36" s="80" t="str">
        <f t="shared" ca="1" si="20"/>
        <v>N/A</v>
      </c>
      <c r="J36" s="80" t="str">
        <f t="shared" ca="1" si="21"/>
        <v>N/A</v>
      </c>
      <c r="K36" s="80" t="str">
        <f t="shared" ca="1" si="21"/>
        <v>N/A</v>
      </c>
      <c r="L36" s="80" t="str">
        <f t="shared" ca="1" si="21"/>
        <v>N/A</v>
      </c>
      <c r="M36" s="80" t="str">
        <f t="shared" ca="1" si="21"/>
        <v>N/A</v>
      </c>
      <c r="N36" s="80" t="str">
        <f t="shared" ca="1" si="21"/>
        <v>N/A</v>
      </c>
      <c r="O36" s="80" t="str">
        <f t="shared" ca="1" si="21"/>
        <v>N/A</v>
      </c>
      <c r="P36" s="80" t="str">
        <f t="shared" ca="1" si="21"/>
        <v>N/A</v>
      </c>
      <c r="Q36" s="80" t="str">
        <f t="shared" ca="1" si="21"/>
        <v>N/A</v>
      </c>
      <c r="R36" s="80" t="str">
        <f t="shared" ca="1" si="21"/>
        <v>N/A</v>
      </c>
      <c r="S36" s="80" t="str">
        <f t="shared" ca="1" si="21"/>
        <v>N/A</v>
      </c>
    </row>
    <row r="37" spans="1:19" hidden="1" x14ac:dyDescent="0.2">
      <c r="A37" s="45"/>
      <c r="B37" s="117" t="str">
        <f t="shared" ca="1" si="14"/>
        <v/>
      </c>
      <c r="C37" s="1" t="str">
        <f>IF(ISERROR(D37),"",IF(D37="","",MAX($C$12:C36)+1))</f>
        <v/>
      </c>
      <c r="D37" t="e">
        <f t="shared" si="15"/>
        <v>#N/A</v>
      </c>
      <c r="E37" s="15"/>
      <c r="F37" s="80" t="str">
        <f t="shared" ca="1" si="16"/>
        <v>N/A</v>
      </c>
      <c r="G37" s="80" t="str">
        <f t="shared" si="17"/>
        <v>N/A</v>
      </c>
      <c r="H37" s="80" t="str">
        <f ca="1">IFERROR(VLOOKUP($A37,LASTYR,'2017'!$Q$3,FALSE),"N/A")</f>
        <v>N/A</v>
      </c>
      <c r="I37" s="80" t="str">
        <f t="shared" ca="1" si="20"/>
        <v>N/A</v>
      </c>
      <c r="J37" s="80" t="str">
        <f t="shared" ca="1" si="21"/>
        <v>N/A</v>
      </c>
      <c r="K37" s="80" t="str">
        <f t="shared" ca="1" si="21"/>
        <v>N/A</v>
      </c>
      <c r="L37" s="80" t="str">
        <f t="shared" ca="1" si="21"/>
        <v>N/A</v>
      </c>
      <c r="M37" s="80" t="str">
        <f t="shared" ca="1" si="21"/>
        <v>N/A</v>
      </c>
      <c r="N37" s="80" t="str">
        <f t="shared" ca="1" si="21"/>
        <v>N/A</v>
      </c>
      <c r="O37" s="80" t="str">
        <f t="shared" ca="1" si="21"/>
        <v>N/A</v>
      </c>
      <c r="P37" s="80" t="str">
        <f t="shared" ca="1" si="21"/>
        <v>N/A</v>
      </c>
      <c r="Q37" s="80" t="str">
        <f t="shared" ca="1" si="21"/>
        <v>N/A</v>
      </c>
      <c r="R37" s="80" t="str">
        <f t="shared" ca="1" si="21"/>
        <v>N/A</v>
      </c>
      <c r="S37" s="80" t="str">
        <f t="shared" ca="1" si="21"/>
        <v>N/A</v>
      </c>
    </row>
    <row r="38" spans="1:19" hidden="1" x14ac:dyDescent="0.2">
      <c r="A38" s="45"/>
      <c r="B38" s="117" t="str">
        <f t="shared" ca="1" si="14"/>
        <v/>
      </c>
      <c r="C38" s="1" t="str">
        <f>IF(ISERROR(D38),"",IF(D38="","",MAX($C$12:C37)+1))</f>
        <v/>
      </c>
      <c r="D38" t="e">
        <f t="shared" si="15"/>
        <v>#N/A</v>
      </c>
      <c r="E38" s="15"/>
      <c r="F38" s="80" t="str">
        <f t="shared" ca="1" si="16"/>
        <v>N/A</v>
      </c>
      <c r="G38" s="80" t="str">
        <f t="shared" si="17"/>
        <v>N/A</v>
      </c>
      <c r="H38" s="80" t="str">
        <f ca="1">IFERROR(VLOOKUP($A38,LASTYR,'2017'!$Q$3,FALSE),"N/A")</f>
        <v>N/A</v>
      </c>
      <c r="I38" s="80" t="str">
        <f t="shared" ca="1" si="20"/>
        <v>N/A</v>
      </c>
      <c r="J38" s="80" t="str">
        <f t="shared" ca="1" si="21"/>
        <v>N/A</v>
      </c>
      <c r="K38" s="80" t="str">
        <f t="shared" ca="1" si="21"/>
        <v>N/A</v>
      </c>
      <c r="L38" s="80" t="str">
        <f t="shared" ca="1" si="21"/>
        <v>N/A</v>
      </c>
      <c r="M38" s="80" t="str">
        <f t="shared" ca="1" si="21"/>
        <v>N/A</v>
      </c>
      <c r="N38" s="80" t="str">
        <f t="shared" ca="1" si="21"/>
        <v>N/A</v>
      </c>
      <c r="O38" s="80" t="str">
        <f t="shared" ca="1" si="21"/>
        <v>N/A</v>
      </c>
      <c r="P38" s="80" t="str">
        <f t="shared" ca="1" si="21"/>
        <v>N/A</v>
      </c>
      <c r="Q38" s="80" t="str">
        <f t="shared" ca="1" si="21"/>
        <v>N/A</v>
      </c>
      <c r="R38" s="80" t="str">
        <f t="shared" ca="1" si="21"/>
        <v>N/A</v>
      </c>
      <c r="S38" s="80" t="str">
        <f t="shared" ca="1" si="21"/>
        <v>N/A</v>
      </c>
    </row>
    <row r="39" spans="1:19" hidden="1" x14ac:dyDescent="0.2">
      <c r="A39" s="45"/>
      <c r="B39" s="117" t="str">
        <f t="shared" ca="1" si="14"/>
        <v/>
      </c>
      <c r="C39" s="1" t="str">
        <f>IF(ISERROR(D39),"",IF(D39="","",MAX($C$12:C38)+1))</f>
        <v/>
      </c>
      <c r="D39" t="e">
        <f t="shared" si="15"/>
        <v>#N/A</v>
      </c>
      <c r="E39" s="15"/>
      <c r="F39" s="80" t="str">
        <f t="shared" ca="1" si="16"/>
        <v>N/A</v>
      </c>
      <c r="G39" s="80" t="str">
        <f t="shared" si="17"/>
        <v>N/A</v>
      </c>
      <c r="H39" s="80" t="str">
        <f ca="1">IFERROR(VLOOKUP($A39,LASTYR,'2017'!$Q$3,FALSE),"N/A")</f>
        <v>N/A</v>
      </c>
      <c r="I39" s="80" t="str">
        <f t="shared" ca="1" si="20"/>
        <v>N/A</v>
      </c>
      <c r="J39" s="80" t="str">
        <f t="shared" ca="1" si="21"/>
        <v>N/A</v>
      </c>
      <c r="K39" s="80" t="str">
        <f t="shared" ca="1" si="21"/>
        <v>N/A</v>
      </c>
      <c r="L39" s="80" t="str">
        <f t="shared" ca="1" si="21"/>
        <v>N/A</v>
      </c>
      <c r="M39" s="80" t="str">
        <f t="shared" ca="1" si="21"/>
        <v>N/A</v>
      </c>
      <c r="N39" s="80" t="str">
        <f t="shared" ca="1" si="21"/>
        <v>N/A</v>
      </c>
      <c r="O39" s="80" t="str">
        <f t="shared" ca="1" si="21"/>
        <v>N/A</v>
      </c>
      <c r="P39" s="80" t="str">
        <f t="shared" ca="1" si="21"/>
        <v>N/A</v>
      </c>
      <c r="Q39" s="80" t="str">
        <f t="shared" ca="1" si="21"/>
        <v>N/A</v>
      </c>
      <c r="R39" s="80" t="str">
        <f t="shared" ca="1" si="21"/>
        <v>N/A</v>
      </c>
      <c r="S39" s="80" t="str">
        <f t="shared" ca="1" si="21"/>
        <v>N/A</v>
      </c>
    </row>
    <row r="40" spans="1:19" hidden="1" x14ac:dyDescent="0.2">
      <c r="A40" s="45"/>
      <c r="B40" s="117" t="str">
        <f t="shared" ca="1" si="14"/>
        <v/>
      </c>
      <c r="C40" s="1" t="str">
        <f>IF(ISERROR(D40),"",IF(D40="","",MAX($C$12:C39)+1))</f>
        <v/>
      </c>
      <c r="D40" t="e">
        <f t="shared" si="15"/>
        <v>#N/A</v>
      </c>
      <c r="E40" s="15"/>
      <c r="F40" s="80" t="str">
        <f t="shared" ca="1" si="16"/>
        <v>N/A</v>
      </c>
      <c r="G40" s="80" t="str">
        <f t="shared" si="17"/>
        <v>N/A</v>
      </c>
      <c r="H40" s="80" t="str">
        <f ca="1">IFERROR(VLOOKUP($A40,LASTYR,'2017'!$Q$3,FALSE),"N/A")</f>
        <v>N/A</v>
      </c>
      <c r="I40" s="80" t="str">
        <f t="shared" ca="1" si="20"/>
        <v>N/A</v>
      </c>
      <c r="J40" s="80" t="str">
        <f t="shared" ca="1" si="21"/>
        <v>N/A</v>
      </c>
      <c r="K40" s="80" t="str">
        <f t="shared" ca="1" si="21"/>
        <v>N/A</v>
      </c>
      <c r="L40" s="80" t="str">
        <f t="shared" ca="1" si="21"/>
        <v>N/A</v>
      </c>
      <c r="M40" s="80" t="str">
        <f t="shared" ca="1" si="21"/>
        <v>N/A</v>
      </c>
      <c r="N40" s="80" t="str">
        <f t="shared" ca="1" si="21"/>
        <v>N/A</v>
      </c>
      <c r="O40" s="80" t="str">
        <f t="shared" ca="1" si="21"/>
        <v>N/A</v>
      </c>
      <c r="P40" s="80" t="str">
        <f t="shared" ca="1" si="21"/>
        <v>N/A</v>
      </c>
      <c r="Q40" s="80" t="str">
        <f t="shared" ca="1" si="21"/>
        <v>N/A</v>
      </c>
      <c r="R40" s="80" t="str">
        <f t="shared" ca="1" si="21"/>
        <v>N/A</v>
      </c>
      <c r="S40" s="80" t="str">
        <f t="shared" ca="1" si="21"/>
        <v>N/A</v>
      </c>
    </row>
    <row r="41" spans="1:19" hidden="1" x14ac:dyDescent="0.2">
      <c r="A41" s="45"/>
      <c r="B41" s="117" t="str">
        <f t="shared" ca="1" si="14"/>
        <v/>
      </c>
      <c r="C41" s="1" t="str">
        <f>IF(ISERROR(D41),"",IF(D41="","",MAX($C$12:C40)+1))</f>
        <v/>
      </c>
      <c r="D41" t="e">
        <f t="shared" si="15"/>
        <v>#N/A</v>
      </c>
      <c r="E41" s="15"/>
      <c r="F41" s="80" t="str">
        <f t="shared" ca="1" si="16"/>
        <v>N/A</v>
      </c>
      <c r="G41" s="80" t="str">
        <f t="shared" si="17"/>
        <v>N/A</v>
      </c>
      <c r="H41" s="80" t="str">
        <f ca="1">IFERROR(VLOOKUP($A41,LASTYR,'2017'!$Q$3,FALSE),"N/A")</f>
        <v>N/A</v>
      </c>
      <c r="I41" s="80" t="str">
        <f t="shared" ca="1" si="20"/>
        <v>N/A</v>
      </c>
      <c r="J41" s="80" t="str">
        <f t="shared" ca="1" si="21"/>
        <v>N/A</v>
      </c>
      <c r="K41" s="80" t="str">
        <f t="shared" ca="1" si="21"/>
        <v>N/A</v>
      </c>
      <c r="L41" s="80" t="str">
        <f t="shared" ca="1" si="21"/>
        <v>N/A</v>
      </c>
      <c r="M41" s="80" t="str">
        <f t="shared" ca="1" si="21"/>
        <v>N/A</v>
      </c>
      <c r="N41" s="80" t="str">
        <f t="shared" ca="1" si="21"/>
        <v>N/A</v>
      </c>
      <c r="O41" s="80" t="str">
        <f t="shared" ca="1" si="21"/>
        <v>N/A</v>
      </c>
      <c r="P41" s="80" t="str">
        <f t="shared" ca="1" si="21"/>
        <v>N/A</v>
      </c>
      <c r="Q41" s="80" t="str">
        <f t="shared" ca="1" si="21"/>
        <v>N/A</v>
      </c>
      <c r="R41" s="80" t="str">
        <f t="shared" ca="1" si="21"/>
        <v>N/A</v>
      </c>
      <c r="S41" s="80" t="str">
        <f t="shared" ca="1" si="21"/>
        <v>N/A</v>
      </c>
    </row>
    <row r="42" spans="1:19" hidden="1" x14ac:dyDescent="0.2">
      <c r="A42" s="45"/>
      <c r="B42" s="117" t="str">
        <f t="shared" ca="1" si="14"/>
        <v/>
      </c>
      <c r="C42" s="1" t="str">
        <f>IF(ISERROR(D42),"",IF(D42="","",MAX($C$12:C41)+1))</f>
        <v/>
      </c>
      <c r="D42" t="e">
        <f t="shared" si="15"/>
        <v>#N/A</v>
      </c>
      <c r="E42" s="15"/>
      <c r="F42" s="80" t="str">
        <f t="shared" ca="1" si="16"/>
        <v>N/A</v>
      </c>
      <c r="G42" s="80" t="str">
        <f t="shared" si="17"/>
        <v>N/A</v>
      </c>
      <c r="H42" s="80" t="str">
        <f ca="1">IFERROR(VLOOKUP($A42,LASTYR,'2017'!$Q$3,FALSE),"N/A")</f>
        <v>N/A</v>
      </c>
      <c r="I42" s="80" t="str">
        <f t="shared" ca="1" si="20"/>
        <v>N/A</v>
      </c>
      <c r="J42" s="80" t="str">
        <f t="shared" ca="1" si="21"/>
        <v>N/A</v>
      </c>
      <c r="K42" s="80" t="str">
        <f t="shared" ca="1" si="21"/>
        <v>N/A</v>
      </c>
      <c r="L42" s="80" t="str">
        <f t="shared" ca="1" si="21"/>
        <v>N/A</v>
      </c>
      <c r="M42" s="80" t="str">
        <f t="shared" ca="1" si="21"/>
        <v>N/A</v>
      </c>
      <c r="N42" s="80" t="str">
        <f t="shared" ca="1" si="21"/>
        <v>N/A</v>
      </c>
      <c r="O42" s="80" t="str">
        <f t="shared" ca="1" si="21"/>
        <v>N/A</v>
      </c>
      <c r="P42" s="80" t="str">
        <f t="shared" ca="1" si="21"/>
        <v>N/A</v>
      </c>
      <c r="Q42" s="80" t="str">
        <f t="shared" ca="1" si="21"/>
        <v>N/A</v>
      </c>
      <c r="R42" s="80" t="str">
        <f t="shared" ca="1" si="21"/>
        <v>N/A</v>
      </c>
      <c r="S42" s="80" t="str">
        <f t="shared" ca="1" si="21"/>
        <v>N/A</v>
      </c>
    </row>
    <row r="43" spans="1:19" hidden="1" x14ac:dyDescent="0.2">
      <c r="A43" s="45"/>
      <c r="B43" s="117" t="str">
        <f t="shared" ca="1" si="14"/>
        <v/>
      </c>
      <c r="C43" s="1" t="str">
        <f>IF(ISERROR(D43),"",IF(D43="","",MAX($C$12:C42)+1))</f>
        <v/>
      </c>
      <c r="D43" t="e">
        <f t="shared" si="15"/>
        <v>#N/A</v>
      </c>
      <c r="E43" s="15"/>
      <c r="F43" s="80" t="str">
        <f t="shared" ca="1" si="16"/>
        <v>N/A</v>
      </c>
      <c r="G43" s="80" t="str">
        <f t="shared" si="17"/>
        <v>N/A</v>
      </c>
      <c r="H43" s="80" t="str">
        <f ca="1">IFERROR(VLOOKUP($A43,LASTYR,'2017'!$Q$3,FALSE),"N/A")</f>
        <v>N/A</v>
      </c>
      <c r="I43" s="80" t="str">
        <f t="shared" ca="1" si="20"/>
        <v>N/A</v>
      </c>
      <c r="J43" s="80" t="str">
        <f t="shared" ref="J43:S57" ca="1" si="22">IFERROR(INDEX(DIV_MP_WP,$B43,J$12),"N/A")</f>
        <v>N/A</v>
      </c>
      <c r="K43" s="80" t="str">
        <f t="shared" ca="1" si="22"/>
        <v>N/A</v>
      </c>
      <c r="L43" s="80" t="str">
        <f t="shared" ca="1" si="22"/>
        <v>N/A</v>
      </c>
      <c r="M43" s="80" t="str">
        <f t="shared" ca="1" si="22"/>
        <v>N/A</v>
      </c>
      <c r="N43" s="80" t="str">
        <f t="shared" ca="1" si="22"/>
        <v>N/A</v>
      </c>
      <c r="O43" s="80" t="str">
        <f t="shared" ca="1" si="22"/>
        <v>N/A</v>
      </c>
      <c r="P43" s="80" t="str">
        <f t="shared" ca="1" si="22"/>
        <v>N/A</v>
      </c>
      <c r="Q43" s="80" t="str">
        <f t="shared" ca="1" si="22"/>
        <v>N/A</v>
      </c>
      <c r="R43" s="80" t="str">
        <f t="shared" ca="1" si="22"/>
        <v>N/A</v>
      </c>
      <c r="S43" s="80" t="str">
        <f t="shared" ca="1" si="22"/>
        <v>N/A</v>
      </c>
    </row>
    <row r="44" spans="1:19" hidden="1" x14ac:dyDescent="0.2">
      <c r="A44" s="45"/>
      <c r="B44" s="117" t="str">
        <f t="shared" ca="1" si="14"/>
        <v/>
      </c>
      <c r="C44" s="1" t="str">
        <f>IF(ISERROR(D44),"",IF(D44="","",MAX($C$12:C43)+1))</f>
        <v/>
      </c>
      <c r="D44" t="e">
        <f t="shared" si="15"/>
        <v>#N/A</v>
      </c>
      <c r="E44" s="15"/>
      <c r="F44" s="80" t="str">
        <f t="shared" ca="1" si="16"/>
        <v>N/A</v>
      </c>
      <c r="G44" s="80" t="str">
        <f t="shared" si="17"/>
        <v>N/A</v>
      </c>
      <c r="H44" s="80" t="str">
        <f ca="1">IFERROR(VLOOKUP($A44,LASTYR,'2017'!$Q$3,FALSE),"N/A")</f>
        <v>N/A</v>
      </c>
      <c r="I44" s="80" t="str">
        <f t="shared" ca="1" si="20"/>
        <v>N/A</v>
      </c>
      <c r="J44" s="80" t="str">
        <f t="shared" ca="1" si="22"/>
        <v>N/A</v>
      </c>
      <c r="K44" s="80" t="str">
        <f t="shared" ca="1" si="22"/>
        <v>N/A</v>
      </c>
      <c r="L44" s="80" t="str">
        <f t="shared" ca="1" si="22"/>
        <v>N/A</v>
      </c>
      <c r="M44" s="80" t="str">
        <f t="shared" ca="1" si="22"/>
        <v>N/A</v>
      </c>
      <c r="N44" s="80" t="str">
        <f t="shared" ca="1" si="22"/>
        <v>N/A</v>
      </c>
      <c r="O44" s="80" t="str">
        <f t="shared" ca="1" si="22"/>
        <v>N/A</v>
      </c>
      <c r="P44" s="80" t="str">
        <f t="shared" ca="1" si="22"/>
        <v>N/A</v>
      </c>
      <c r="Q44" s="80" t="str">
        <f t="shared" ca="1" si="22"/>
        <v>N/A</v>
      </c>
      <c r="R44" s="80" t="str">
        <f t="shared" ca="1" si="22"/>
        <v>N/A</v>
      </c>
      <c r="S44" s="80" t="str">
        <f t="shared" ca="1" si="22"/>
        <v>N/A</v>
      </c>
    </row>
    <row r="45" spans="1:19" hidden="1" x14ac:dyDescent="0.2">
      <c r="A45" s="45"/>
      <c r="B45" s="117" t="str">
        <f t="shared" ca="1" si="14"/>
        <v/>
      </c>
      <c r="C45" s="1" t="str">
        <f>IF(ISERROR(D45),"",IF(D45="","",MAX($C$12:C44)+1))</f>
        <v/>
      </c>
      <c r="D45" t="e">
        <f t="shared" si="15"/>
        <v>#N/A</v>
      </c>
      <c r="E45" s="15"/>
      <c r="F45" s="80" t="str">
        <f t="shared" ca="1" si="16"/>
        <v>N/A</v>
      </c>
      <c r="G45" s="80" t="str">
        <f t="shared" si="17"/>
        <v>N/A</v>
      </c>
      <c r="H45" s="80" t="str">
        <f ca="1">IFERROR(VLOOKUP($A45,LASTYR,'2017'!$Q$3,FALSE),"N/A")</f>
        <v>N/A</v>
      </c>
      <c r="I45" s="80" t="str">
        <f t="shared" ca="1" si="20"/>
        <v>N/A</v>
      </c>
      <c r="J45" s="80" t="str">
        <f t="shared" ca="1" si="22"/>
        <v>N/A</v>
      </c>
      <c r="K45" s="80" t="str">
        <f t="shared" ca="1" si="22"/>
        <v>N/A</v>
      </c>
      <c r="L45" s="80" t="str">
        <f t="shared" ca="1" si="22"/>
        <v>N/A</v>
      </c>
      <c r="M45" s="80" t="str">
        <f t="shared" ca="1" si="22"/>
        <v>N/A</v>
      </c>
      <c r="N45" s="80" t="str">
        <f t="shared" ca="1" si="22"/>
        <v>N/A</v>
      </c>
      <c r="O45" s="80" t="str">
        <f t="shared" ca="1" si="22"/>
        <v>N/A</v>
      </c>
      <c r="P45" s="80" t="str">
        <f t="shared" ca="1" si="22"/>
        <v>N/A</v>
      </c>
      <c r="Q45" s="80" t="str">
        <f t="shared" ca="1" si="22"/>
        <v>N/A</v>
      </c>
      <c r="R45" s="80" t="str">
        <f t="shared" ca="1" si="22"/>
        <v>N/A</v>
      </c>
      <c r="S45" s="80" t="str">
        <f t="shared" ca="1" si="22"/>
        <v>N/A</v>
      </c>
    </row>
    <row r="46" spans="1:19" hidden="1" x14ac:dyDescent="0.2">
      <c r="A46" s="45"/>
      <c r="B46" s="117" t="str">
        <f t="shared" ca="1" si="14"/>
        <v/>
      </c>
      <c r="C46" s="1" t="str">
        <f>IF(ISERROR(D46),"",IF(D46="","",MAX($C$12:C45)+1))</f>
        <v/>
      </c>
      <c r="D46" t="e">
        <f t="shared" si="15"/>
        <v>#N/A</v>
      </c>
      <c r="E46" s="15"/>
      <c r="F46" s="80" t="str">
        <f t="shared" ca="1" si="16"/>
        <v>N/A</v>
      </c>
      <c r="G46" s="80" t="str">
        <f t="shared" si="17"/>
        <v>N/A</v>
      </c>
      <c r="H46" s="80" t="str">
        <f ca="1">IFERROR(VLOOKUP($A46,LASTYR,'2017'!$Q$3,FALSE),"N/A")</f>
        <v>N/A</v>
      </c>
      <c r="I46" s="80" t="str">
        <f t="shared" ca="1" si="20"/>
        <v>N/A</v>
      </c>
      <c r="J46" s="80" t="str">
        <f t="shared" ca="1" si="22"/>
        <v>N/A</v>
      </c>
      <c r="K46" s="80" t="str">
        <f t="shared" ca="1" si="22"/>
        <v>N/A</v>
      </c>
      <c r="L46" s="80" t="str">
        <f t="shared" ca="1" si="22"/>
        <v>N/A</v>
      </c>
      <c r="M46" s="80" t="str">
        <f t="shared" ca="1" si="22"/>
        <v>N/A</v>
      </c>
      <c r="N46" s="80" t="str">
        <f t="shared" ca="1" si="22"/>
        <v>N/A</v>
      </c>
      <c r="O46" s="80" t="str">
        <f t="shared" ca="1" si="22"/>
        <v>N/A</v>
      </c>
      <c r="P46" s="80" t="str">
        <f t="shared" ca="1" si="22"/>
        <v>N/A</v>
      </c>
      <c r="Q46" s="80" t="str">
        <f t="shared" ca="1" si="22"/>
        <v>N/A</v>
      </c>
      <c r="R46" s="80" t="str">
        <f t="shared" ca="1" si="22"/>
        <v>N/A</v>
      </c>
      <c r="S46" s="80" t="str">
        <f t="shared" ca="1" si="22"/>
        <v>N/A</v>
      </c>
    </row>
    <row r="47" spans="1:19" hidden="1" x14ac:dyDescent="0.2">
      <c r="A47" s="45"/>
      <c r="B47" s="117" t="str">
        <f t="shared" ca="1" si="14"/>
        <v/>
      </c>
      <c r="C47" s="1" t="str">
        <f>IF(ISERROR(D47),"",IF(D47="","",MAX($C$12:C46)+1))</f>
        <v/>
      </c>
      <c r="D47" t="e">
        <f t="shared" si="15"/>
        <v>#N/A</v>
      </c>
      <c r="E47" s="15"/>
      <c r="F47" s="80" t="str">
        <f t="shared" ca="1" si="16"/>
        <v>N/A</v>
      </c>
      <c r="G47" s="80" t="str">
        <f t="shared" si="17"/>
        <v>N/A</v>
      </c>
      <c r="H47" s="80" t="str">
        <f ca="1">IFERROR(VLOOKUP($A47,LASTYR,'2017'!$Q$3,FALSE),"N/A")</f>
        <v>N/A</v>
      </c>
      <c r="I47" s="80" t="str">
        <f t="shared" ca="1" si="20"/>
        <v>N/A</v>
      </c>
      <c r="J47" s="80" t="str">
        <f t="shared" ca="1" si="22"/>
        <v>N/A</v>
      </c>
      <c r="K47" s="80" t="str">
        <f t="shared" ca="1" si="22"/>
        <v>N/A</v>
      </c>
      <c r="L47" s="80" t="str">
        <f t="shared" ca="1" si="22"/>
        <v>N/A</v>
      </c>
      <c r="M47" s="80" t="str">
        <f t="shared" ca="1" si="22"/>
        <v>N/A</v>
      </c>
      <c r="N47" s="80" t="str">
        <f t="shared" ca="1" si="22"/>
        <v>N/A</v>
      </c>
      <c r="O47" s="80" t="str">
        <f t="shared" ca="1" si="22"/>
        <v>N/A</v>
      </c>
      <c r="P47" s="80" t="str">
        <f t="shared" ca="1" si="22"/>
        <v>N/A</v>
      </c>
      <c r="Q47" s="80" t="str">
        <f t="shared" ca="1" si="22"/>
        <v>N/A</v>
      </c>
      <c r="R47" s="80" t="str">
        <f t="shared" ca="1" si="22"/>
        <v>N/A</v>
      </c>
      <c r="S47" s="80" t="str">
        <f t="shared" ca="1" si="22"/>
        <v>N/A</v>
      </c>
    </row>
    <row r="48" spans="1:19" hidden="1" x14ac:dyDescent="0.2">
      <c r="A48" s="45"/>
      <c r="B48" s="117" t="str">
        <f t="shared" ca="1" si="14"/>
        <v/>
      </c>
      <c r="C48" s="1" t="str">
        <f>IF(ISERROR(D48),"",IF(D48="","",MAX($C$12:C47)+1))</f>
        <v/>
      </c>
      <c r="D48" t="e">
        <f t="shared" si="15"/>
        <v>#N/A</v>
      </c>
      <c r="E48" s="15"/>
      <c r="F48" s="80" t="str">
        <f t="shared" ca="1" si="16"/>
        <v>N/A</v>
      </c>
      <c r="G48" s="80" t="str">
        <f t="shared" si="17"/>
        <v>N/A</v>
      </c>
      <c r="H48" s="80" t="str">
        <f ca="1">IFERROR(VLOOKUP($A48,LASTYR,'2017'!$Q$3,FALSE),"N/A")</f>
        <v>N/A</v>
      </c>
      <c r="I48" s="80" t="str">
        <f t="shared" ca="1" si="20"/>
        <v>N/A</v>
      </c>
      <c r="J48" s="80" t="str">
        <f t="shared" ca="1" si="22"/>
        <v>N/A</v>
      </c>
      <c r="K48" s="80" t="str">
        <f t="shared" ca="1" si="22"/>
        <v>N/A</v>
      </c>
      <c r="L48" s="80" t="str">
        <f t="shared" ca="1" si="22"/>
        <v>N/A</v>
      </c>
      <c r="M48" s="80" t="str">
        <f t="shared" ca="1" si="22"/>
        <v>N/A</v>
      </c>
      <c r="N48" s="80" t="str">
        <f t="shared" ca="1" si="22"/>
        <v>N/A</v>
      </c>
      <c r="O48" s="80" t="str">
        <f t="shared" ca="1" si="22"/>
        <v>N/A</v>
      </c>
      <c r="P48" s="80" t="str">
        <f t="shared" ca="1" si="22"/>
        <v>N/A</v>
      </c>
      <c r="Q48" s="80" t="str">
        <f t="shared" ca="1" si="22"/>
        <v>N/A</v>
      </c>
      <c r="R48" s="80" t="str">
        <f t="shared" ca="1" si="22"/>
        <v>N/A</v>
      </c>
      <c r="S48" s="80" t="str">
        <f t="shared" ca="1" si="22"/>
        <v>N/A</v>
      </c>
    </row>
    <row r="49" spans="1:19" hidden="1" x14ac:dyDescent="0.2">
      <c r="A49" s="45"/>
      <c r="B49" s="117" t="str">
        <f t="shared" ca="1" si="14"/>
        <v/>
      </c>
      <c r="C49" s="1" t="str">
        <f>IF(ISERROR(D49),"",IF(D49="","",MAX($C$12:C48)+1))</f>
        <v/>
      </c>
      <c r="D49" t="e">
        <f t="shared" si="15"/>
        <v>#N/A</v>
      </c>
      <c r="E49" s="15"/>
      <c r="F49" s="80" t="str">
        <f t="shared" ca="1" si="16"/>
        <v>N/A</v>
      </c>
      <c r="G49" s="80" t="str">
        <f t="shared" si="17"/>
        <v>N/A</v>
      </c>
      <c r="H49" s="80" t="str">
        <f ca="1">IFERROR(VLOOKUP($A49,LASTYR,'2017'!$Q$3,FALSE),"N/A")</f>
        <v>N/A</v>
      </c>
      <c r="I49" s="80" t="str">
        <f t="shared" ca="1" si="20"/>
        <v>N/A</v>
      </c>
      <c r="J49" s="80" t="str">
        <f t="shared" ca="1" si="22"/>
        <v>N/A</v>
      </c>
      <c r="K49" s="80" t="str">
        <f t="shared" ca="1" si="22"/>
        <v>N/A</v>
      </c>
      <c r="L49" s="80" t="str">
        <f t="shared" ca="1" si="22"/>
        <v>N/A</v>
      </c>
      <c r="M49" s="80" t="str">
        <f t="shared" ca="1" si="22"/>
        <v>N/A</v>
      </c>
      <c r="N49" s="80" t="str">
        <f t="shared" ca="1" si="22"/>
        <v>N/A</v>
      </c>
      <c r="O49" s="80" t="str">
        <f t="shared" ca="1" si="22"/>
        <v>N/A</v>
      </c>
      <c r="P49" s="80" t="str">
        <f t="shared" ca="1" si="22"/>
        <v>N/A</v>
      </c>
      <c r="Q49" s="80" t="str">
        <f t="shared" ca="1" si="22"/>
        <v>N/A</v>
      </c>
      <c r="R49" s="80" t="str">
        <f t="shared" ca="1" si="22"/>
        <v>N/A</v>
      </c>
      <c r="S49" s="80" t="str">
        <f t="shared" ca="1" si="22"/>
        <v>N/A</v>
      </c>
    </row>
    <row r="50" spans="1:19" hidden="1" x14ac:dyDescent="0.2">
      <c r="A50" s="45"/>
      <c r="B50" s="117" t="str">
        <f t="shared" ca="1" si="14"/>
        <v/>
      </c>
      <c r="C50" s="1" t="str">
        <f>IF(ISERROR(D50),"",IF(D50="","",MAX($C$12:C49)+1))</f>
        <v/>
      </c>
      <c r="D50" t="e">
        <f t="shared" si="15"/>
        <v>#N/A</v>
      </c>
      <c r="E50" s="15"/>
      <c r="F50" s="80" t="str">
        <f t="shared" ca="1" si="16"/>
        <v>N/A</v>
      </c>
      <c r="G50" s="80" t="str">
        <f t="shared" si="17"/>
        <v>N/A</v>
      </c>
      <c r="H50" s="80" t="str">
        <f ca="1">IFERROR(VLOOKUP($A50,LASTYR,'2017'!$Q$3,FALSE),"N/A")</f>
        <v>N/A</v>
      </c>
      <c r="I50" s="80" t="str">
        <f t="shared" ca="1" si="20"/>
        <v>N/A</v>
      </c>
      <c r="J50" s="80" t="str">
        <f t="shared" ca="1" si="22"/>
        <v>N/A</v>
      </c>
      <c r="K50" s="80" t="str">
        <f t="shared" ca="1" si="22"/>
        <v>N/A</v>
      </c>
      <c r="L50" s="80" t="str">
        <f t="shared" ca="1" si="22"/>
        <v>N/A</v>
      </c>
      <c r="M50" s="80" t="str">
        <f t="shared" ca="1" si="22"/>
        <v>N/A</v>
      </c>
      <c r="N50" s="80" t="str">
        <f t="shared" ca="1" si="22"/>
        <v>N/A</v>
      </c>
      <c r="O50" s="80" t="str">
        <f t="shared" ca="1" si="22"/>
        <v>N/A</v>
      </c>
      <c r="P50" s="80" t="str">
        <f t="shared" ca="1" si="22"/>
        <v>N/A</v>
      </c>
      <c r="Q50" s="80" t="str">
        <f t="shared" ca="1" si="22"/>
        <v>N/A</v>
      </c>
      <c r="R50" s="80" t="str">
        <f t="shared" ca="1" si="22"/>
        <v>N/A</v>
      </c>
      <c r="S50" s="80" t="str">
        <f t="shared" ca="1" si="22"/>
        <v>N/A</v>
      </c>
    </row>
    <row r="51" spans="1:19" hidden="1" x14ac:dyDescent="0.2">
      <c r="A51" s="45"/>
      <c r="B51" s="117" t="str">
        <f t="shared" ca="1" si="14"/>
        <v/>
      </c>
      <c r="C51" s="1" t="str">
        <f>IF(ISERROR(D51),"",IF(D51="","",MAX($C$12:C50)+1))</f>
        <v/>
      </c>
      <c r="D51" t="e">
        <f t="shared" si="15"/>
        <v>#N/A</v>
      </c>
      <c r="E51" s="15"/>
      <c r="F51" s="80" t="str">
        <f t="shared" ca="1" si="16"/>
        <v>N/A</v>
      </c>
      <c r="G51" s="80" t="str">
        <f t="shared" si="17"/>
        <v>N/A</v>
      </c>
      <c r="H51" s="80" t="str">
        <f ca="1">IFERROR(VLOOKUP($A51,LASTYR,'2017'!$Q$3,FALSE),"N/A")</f>
        <v>N/A</v>
      </c>
      <c r="I51" s="80" t="str">
        <f t="shared" ca="1" si="20"/>
        <v>N/A</v>
      </c>
      <c r="J51" s="80" t="str">
        <f t="shared" ca="1" si="22"/>
        <v>N/A</v>
      </c>
      <c r="K51" s="80" t="str">
        <f t="shared" ca="1" si="22"/>
        <v>N/A</v>
      </c>
      <c r="L51" s="80" t="str">
        <f t="shared" ca="1" si="22"/>
        <v>N/A</v>
      </c>
      <c r="M51" s="80" t="str">
        <f t="shared" ca="1" si="22"/>
        <v>N/A</v>
      </c>
      <c r="N51" s="80" t="str">
        <f t="shared" ca="1" si="22"/>
        <v>N/A</v>
      </c>
      <c r="O51" s="80" t="str">
        <f t="shared" ca="1" si="22"/>
        <v>N/A</v>
      </c>
      <c r="P51" s="80" t="str">
        <f t="shared" ca="1" si="22"/>
        <v>N/A</v>
      </c>
      <c r="Q51" s="80" t="str">
        <f t="shared" ca="1" si="22"/>
        <v>N/A</v>
      </c>
      <c r="R51" s="80" t="str">
        <f t="shared" ca="1" si="22"/>
        <v>N/A</v>
      </c>
      <c r="S51" s="80" t="str">
        <f t="shared" ca="1" si="22"/>
        <v>N/A</v>
      </c>
    </row>
    <row r="52" spans="1:19" hidden="1" x14ac:dyDescent="0.2">
      <c r="A52" s="45"/>
      <c r="B52" s="117" t="str">
        <f t="shared" ca="1" si="14"/>
        <v/>
      </c>
      <c r="C52" s="1" t="str">
        <f>IF(ISERROR(D52),"",IF(D52="","",MAX($C$12:C51)+1))</f>
        <v/>
      </c>
      <c r="D52" t="e">
        <f t="shared" si="15"/>
        <v>#N/A</v>
      </c>
      <c r="E52" s="15"/>
      <c r="F52" s="80" t="str">
        <f t="shared" ca="1" si="16"/>
        <v>N/A</v>
      </c>
      <c r="G52" s="80" t="str">
        <f t="shared" si="17"/>
        <v>N/A</v>
      </c>
      <c r="H52" s="80" t="str">
        <f ca="1">IFERROR(VLOOKUP($A52,LASTYR,'2017'!$Q$3,FALSE),"N/A")</f>
        <v>N/A</v>
      </c>
      <c r="I52" s="80" t="str">
        <f t="shared" ca="1" si="20"/>
        <v>N/A</v>
      </c>
      <c r="J52" s="80" t="str">
        <f t="shared" ca="1" si="22"/>
        <v>N/A</v>
      </c>
      <c r="K52" s="80" t="str">
        <f t="shared" ca="1" si="22"/>
        <v>N/A</v>
      </c>
      <c r="L52" s="80" t="str">
        <f t="shared" ca="1" si="22"/>
        <v>N/A</v>
      </c>
      <c r="M52" s="80" t="str">
        <f t="shared" ca="1" si="22"/>
        <v>N/A</v>
      </c>
      <c r="N52" s="80" t="str">
        <f t="shared" ca="1" si="22"/>
        <v>N/A</v>
      </c>
      <c r="O52" s="80" t="str">
        <f t="shared" ca="1" si="22"/>
        <v>N/A</v>
      </c>
      <c r="P52" s="80" t="str">
        <f t="shared" ca="1" si="22"/>
        <v>N/A</v>
      </c>
      <c r="Q52" s="80" t="str">
        <f t="shared" ca="1" si="22"/>
        <v>N/A</v>
      </c>
      <c r="R52" s="80" t="str">
        <f t="shared" ca="1" si="22"/>
        <v>N/A</v>
      </c>
      <c r="S52" s="80" t="str">
        <f t="shared" ca="1" si="22"/>
        <v>N/A</v>
      </c>
    </row>
    <row r="53" spans="1:19" hidden="1" x14ac:dyDescent="0.2">
      <c r="A53" s="45"/>
      <c r="B53" s="117" t="str">
        <f t="shared" ca="1" si="14"/>
        <v/>
      </c>
      <c r="C53" s="1" t="str">
        <f>IF(ISERROR(D53),"",IF(D53="","",MAX($C$12:C52)+1))</f>
        <v/>
      </c>
      <c r="D53" t="e">
        <f t="shared" si="15"/>
        <v>#N/A</v>
      </c>
      <c r="E53" s="15"/>
      <c r="F53" s="80" t="str">
        <f t="shared" ca="1" si="16"/>
        <v>N/A</v>
      </c>
      <c r="G53" s="80" t="str">
        <f t="shared" si="17"/>
        <v>N/A</v>
      </c>
      <c r="H53" s="80" t="str">
        <f ca="1">IFERROR(VLOOKUP($A53,LASTYR,'2017'!$Q$3,FALSE),"N/A")</f>
        <v>N/A</v>
      </c>
      <c r="I53" s="80" t="str">
        <f t="shared" ca="1" si="20"/>
        <v>N/A</v>
      </c>
      <c r="J53" s="80" t="str">
        <f t="shared" ca="1" si="22"/>
        <v>N/A</v>
      </c>
      <c r="K53" s="80" t="str">
        <f t="shared" ca="1" si="22"/>
        <v>N/A</v>
      </c>
      <c r="L53" s="80" t="str">
        <f t="shared" ca="1" si="22"/>
        <v>N/A</v>
      </c>
      <c r="M53" s="80" t="str">
        <f t="shared" ca="1" si="22"/>
        <v>N/A</v>
      </c>
      <c r="N53" s="80" t="str">
        <f t="shared" ca="1" si="22"/>
        <v>N/A</v>
      </c>
      <c r="O53" s="80" t="str">
        <f t="shared" ca="1" si="22"/>
        <v>N/A</v>
      </c>
      <c r="P53" s="80" t="str">
        <f t="shared" ca="1" si="22"/>
        <v>N/A</v>
      </c>
      <c r="Q53" s="80" t="str">
        <f t="shared" ca="1" si="22"/>
        <v>N/A</v>
      </c>
      <c r="R53" s="80" t="str">
        <f t="shared" ca="1" si="22"/>
        <v>N/A</v>
      </c>
      <c r="S53" s="80" t="str">
        <f t="shared" ca="1" si="22"/>
        <v>N/A</v>
      </c>
    </row>
    <row r="54" spans="1:19" hidden="1" x14ac:dyDescent="0.2">
      <c r="A54" s="45"/>
      <c r="B54" s="117" t="str">
        <f t="shared" ca="1" si="14"/>
        <v/>
      </c>
      <c r="C54" s="1" t="str">
        <f>IF(ISERROR(D54),"",IF(D54="","",MAX($C$12:C53)+1))</f>
        <v/>
      </c>
      <c r="D54" t="e">
        <f t="shared" si="15"/>
        <v>#N/A</v>
      </c>
      <c r="E54" s="15"/>
      <c r="F54" s="80" t="str">
        <f t="shared" ca="1" si="16"/>
        <v>N/A</v>
      </c>
      <c r="G54" s="80" t="str">
        <f t="shared" si="17"/>
        <v>N/A</v>
      </c>
      <c r="H54" s="80" t="str">
        <f ca="1">IFERROR(VLOOKUP($A54,LASTYR,'2017'!$Q$3,FALSE),"N/A")</f>
        <v>N/A</v>
      </c>
      <c r="I54" s="80" t="str">
        <f t="shared" ca="1" si="20"/>
        <v>N/A</v>
      </c>
      <c r="J54" s="80" t="str">
        <f t="shared" ca="1" si="22"/>
        <v>N/A</v>
      </c>
      <c r="K54" s="80" t="str">
        <f t="shared" ca="1" si="22"/>
        <v>N/A</v>
      </c>
      <c r="L54" s="80" t="str">
        <f t="shared" ca="1" si="22"/>
        <v>N/A</v>
      </c>
      <c r="M54" s="80" t="str">
        <f t="shared" ca="1" si="22"/>
        <v>N/A</v>
      </c>
      <c r="N54" s="80" t="str">
        <f t="shared" ca="1" si="22"/>
        <v>N/A</v>
      </c>
      <c r="O54" s="80" t="str">
        <f t="shared" ca="1" si="22"/>
        <v>N/A</v>
      </c>
      <c r="P54" s="80" t="str">
        <f t="shared" ca="1" si="22"/>
        <v>N/A</v>
      </c>
      <c r="Q54" s="80" t="str">
        <f t="shared" ca="1" si="22"/>
        <v>N/A</v>
      </c>
      <c r="R54" s="80" t="str">
        <f t="shared" ca="1" si="22"/>
        <v>N/A</v>
      </c>
      <c r="S54" s="80" t="str">
        <f t="shared" ca="1" si="22"/>
        <v>N/A</v>
      </c>
    </row>
    <row r="55" spans="1:19" hidden="1" x14ac:dyDescent="0.2">
      <c r="A55" s="51"/>
      <c r="B55" s="117" t="str">
        <f t="shared" ca="1" si="14"/>
        <v/>
      </c>
      <c r="C55" s="1" t="str">
        <f>IF(ISERROR(D55),"",IF(D55="","",MAX($C$12:C54)+1))</f>
        <v/>
      </c>
      <c r="D55" t="e">
        <f t="shared" si="15"/>
        <v>#N/A</v>
      </c>
      <c r="F55" s="80" t="str">
        <f t="shared" ca="1" si="16"/>
        <v>N/A</v>
      </c>
      <c r="G55" s="80" t="str">
        <f t="shared" si="17"/>
        <v>N/A</v>
      </c>
      <c r="H55" s="80" t="str">
        <f ca="1">IFERROR(VLOOKUP($A55,LASTYR,'2017'!$Q$3,FALSE),"N/A")</f>
        <v>N/A</v>
      </c>
      <c r="I55" s="80" t="str">
        <f t="shared" ca="1" si="20"/>
        <v>N/A</v>
      </c>
      <c r="J55" s="80" t="str">
        <f t="shared" ca="1" si="22"/>
        <v>N/A</v>
      </c>
      <c r="K55" s="80" t="str">
        <f t="shared" ca="1" si="22"/>
        <v>N/A</v>
      </c>
      <c r="L55" s="80" t="str">
        <f t="shared" ca="1" si="22"/>
        <v>N/A</v>
      </c>
      <c r="M55" s="80" t="str">
        <f t="shared" ca="1" si="22"/>
        <v>N/A</v>
      </c>
      <c r="N55" s="80" t="str">
        <f t="shared" ca="1" si="22"/>
        <v>N/A</v>
      </c>
      <c r="O55" s="80" t="str">
        <f t="shared" ca="1" si="22"/>
        <v>N/A</v>
      </c>
      <c r="P55" s="80" t="str">
        <f t="shared" ca="1" si="22"/>
        <v>N/A</v>
      </c>
      <c r="Q55" s="80" t="str">
        <f t="shared" ca="1" si="22"/>
        <v>N/A</v>
      </c>
      <c r="R55" s="80" t="str">
        <f t="shared" ca="1" si="22"/>
        <v>N/A</v>
      </c>
      <c r="S55" s="80" t="str">
        <f t="shared" ca="1" si="22"/>
        <v>N/A</v>
      </c>
    </row>
    <row r="56" spans="1:19" hidden="1" x14ac:dyDescent="0.2">
      <c r="A56" s="51"/>
      <c r="B56" s="117" t="str">
        <f t="shared" ca="1" si="14"/>
        <v/>
      </c>
      <c r="C56" s="1" t="str">
        <f>IF(ISERROR(D56),"",IF(D56="","",MAX($C$12:C55)+1))</f>
        <v/>
      </c>
      <c r="D56" t="e">
        <f t="shared" si="15"/>
        <v>#N/A</v>
      </c>
      <c r="F56" s="80" t="str">
        <f t="shared" ca="1" si="16"/>
        <v>N/A</v>
      </c>
      <c r="G56" s="80" t="str">
        <f t="shared" si="17"/>
        <v>N/A</v>
      </c>
      <c r="H56" s="80" t="str">
        <f ca="1">IFERROR(VLOOKUP($A56,LASTYR,'2017'!$Q$3,FALSE),"N/A")</f>
        <v>N/A</v>
      </c>
      <c r="I56" s="80" t="str">
        <f t="shared" ca="1" si="20"/>
        <v>N/A</v>
      </c>
      <c r="J56" s="80" t="str">
        <f t="shared" ca="1" si="22"/>
        <v>N/A</v>
      </c>
      <c r="K56" s="80" t="str">
        <f t="shared" ca="1" si="22"/>
        <v>N/A</v>
      </c>
      <c r="L56" s="80" t="str">
        <f t="shared" ca="1" si="22"/>
        <v>N/A</v>
      </c>
      <c r="M56" s="80" t="str">
        <f t="shared" ca="1" si="22"/>
        <v>N/A</v>
      </c>
      <c r="N56" s="80" t="str">
        <f t="shared" ca="1" si="22"/>
        <v>N/A</v>
      </c>
      <c r="O56" s="80" t="str">
        <f t="shared" ca="1" si="22"/>
        <v>N/A</v>
      </c>
      <c r="P56" s="80" t="str">
        <f t="shared" ca="1" si="22"/>
        <v>N/A</v>
      </c>
      <c r="Q56" s="80" t="str">
        <f t="shared" ca="1" si="22"/>
        <v>N/A</v>
      </c>
      <c r="R56" s="80" t="str">
        <f t="shared" ca="1" si="22"/>
        <v>N/A</v>
      </c>
      <c r="S56" s="80" t="str">
        <f t="shared" ca="1" si="22"/>
        <v>N/A</v>
      </c>
    </row>
    <row r="57" spans="1:19" hidden="1" x14ac:dyDescent="0.2">
      <c r="A57" s="51"/>
      <c r="B57" s="117" t="str">
        <f t="shared" ca="1" si="14"/>
        <v/>
      </c>
      <c r="C57" s="1" t="str">
        <f>IF(ISERROR(D57),"",IF(D57="","",MAX($C$12:C56)+1))</f>
        <v/>
      </c>
      <c r="D57" t="e">
        <f t="shared" si="15"/>
        <v>#N/A</v>
      </c>
      <c r="F57" s="80" t="str">
        <f t="shared" ca="1" si="16"/>
        <v>N/A</v>
      </c>
      <c r="G57" s="80" t="str">
        <f t="shared" si="17"/>
        <v>N/A</v>
      </c>
      <c r="H57" s="80" t="str">
        <f ca="1">IFERROR(VLOOKUP($A57,LASTYR,'2017'!$Q$3,FALSE),"N/A")</f>
        <v>N/A</v>
      </c>
      <c r="I57" s="80" t="str">
        <f t="shared" ca="1" si="20"/>
        <v>N/A</v>
      </c>
      <c r="J57" s="80" t="str">
        <f t="shared" ca="1" si="22"/>
        <v>N/A</v>
      </c>
      <c r="K57" s="80" t="str">
        <f t="shared" ca="1" si="22"/>
        <v>N/A</v>
      </c>
      <c r="L57" s="80" t="str">
        <f t="shared" ca="1" si="22"/>
        <v>N/A</v>
      </c>
      <c r="M57" s="80" t="str">
        <f t="shared" ca="1" si="22"/>
        <v>N/A</v>
      </c>
      <c r="N57" s="80" t="str">
        <f t="shared" ca="1" si="22"/>
        <v>N/A</v>
      </c>
      <c r="O57" s="80" t="str">
        <f t="shared" ca="1" si="22"/>
        <v>N/A</v>
      </c>
      <c r="P57" s="80" t="str">
        <f t="shared" ca="1" si="22"/>
        <v>N/A</v>
      </c>
      <c r="Q57" s="80" t="str">
        <f t="shared" ca="1" si="22"/>
        <v>N/A</v>
      </c>
      <c r="R57" s="80" t="str">
        <f t="shared" ca="1" si="22"/>
        <v>N/A</v>
      </c>
      <c r="S57" s="80" t="str">
        <f t="shared" ca="1" si="22"/>
        <v>N/A</v>
      </c>
    </row>
    <row r="58" spans="1:19" x14ac:dyDescent="0.2">
      <c r="A58" s="31"/>
      <c r="B58" s="31"/>
      <c r="C58" s="1" t="str">
        <f>IF(ISERROR(D58),"",IF(D58="","",MAX($C$12:C57)+1))</f>
        <v/>
      </c>
      <c r="F58" s="80"/>
      <c r="G58" s="80"/>
      <c r="H58" s="80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</row>
    <row r="59" spans="1:19" ht="15" x14ac:dyDescent="0.25">
      <c r="A59" s="31"/>
      <c r="B59" s="31"/>
      <c r="C59" s="1">
        <f ca="1">IF(ISERROR(D59),"",IF(D59="","",MAX($C$12:C58)+1))</f>
        <v>12</v>
      </c>
      <c r="D59" s="111" t="s">
        <v>98</v>
      </c>
      <c r="E59" s="111"/>
      <c r="F59" s="115">
        <f ca="1">AVERAGE(G59:S59)</f>
        <v>3.4176368316199052E-2</v>
      </c>
      <c r="G59" s="115">
        <f t="shared" ref="G59:S59" si="23">AVERAGE(G13:G58)</f>
        <v>2.6842793742200572E-2</v>
      </c>
      <c r="H59" s="115">
        <f t="shared" ref="H59" ca="1" si="24">AVERAGE(H13:H58)</f>
        <v>2.5587890791713551E-2</v>
      </c>
      <c r="I59" s="115">
        <f t="shared" ca="1" si="23"/>
        <v>2.7417139418435713E-2</v>
      </c>
      <c r="J59" s="115">
        <f t="shared" ca="1" si="23"/>
        <v>3.1550639408428428E-2</v>
      </c>
      <c r="K59" s="115">
        <f t="shared" ca="1" si="23"/>
        <v>3.1723094191662436E-2</v>
      </c>
      <c r="L59" s="115">
        <f t="shared" ca="1" si="23"/>
        <v>3.437456128923632E-2</v>
      </c>
      <c r="M59" s="115">
        <f t="shared" ca="1" si="23"/>
        <v>3.6066386611707892E-2</v>
      </c>
      <c r="N59" s="115">
        <f t="shared" ca="1" si="23"/>
        <v>3.6516233047539218E-2</v>
      </c>
      <c r="O59" s="115">
        <f t="shared" ca="1" si="23"/>
        <v>4.0294955003973051E-2</v>
      </c>
      <c r="P59" s="115">
        <f t="shared" ca="1" si="23"/>
        <v>4.3467237180520833E-2</v>
      </c>
      <c r="Q59" s="115">
        <f t="shared" ca="1" si="23"/>
        <v>3.8480261045568287E-2</v>
      </c>
      <c r="R59" s="115">
        <f t="shared" ca="1" si="23"/>
        <v>3.4876329602697771E-2</v>
      </c>
      <c r="S59" s="115">
        <f t="shared" ca="1" si="23"/>
        <v>3.7095266776903557E-2</v>
      </c>
    </row>
    <row r="60" spans="1:19" x14ac:dyDescent="0.2">
      <c r="A60" s="31"/>
      <c r="B60" s="31"/>
      <c r="C60" s="1">
        <f ca="1">IF(ISERROR(D60),"",IF(D60="","",MAX($C$12:C59)+1))</f>
        <v>13</v>
      </c>
      <c r="D60" t="s">
        <v>257</v>
      </c>
      <c r="F60" s="80">
        <f ca="1">AVERAGE(G60:S60)</f>
        <v>3.3500959580138941E-2</v>
      </c>
      <c r="G60" s="80">
        <f t="shared" ref="G60:S60" si="25">MEDIAN(G13:G58)</f>
        <v>2.6797431681152614E-2</v>
      </c>
      <c r="H60" s="80">
        <f t="shared" ca="1" si="25"/>
        <v>2.5575123760809285E-2</v>
      </c>
      <c r="I60" s="80">
        <f t="shared" ca="1" si="25"/>
        <v>2.7606435750334297E-2</v>
      </c>
      <c r="J60" s="80">
        <f t="shared" ca="1" si="25"/>
        <v>3.1449731155523991E-2</v>
      </c>
      <c r="K60" s="80">
        <f t="shared" ca="1" si="25"/>
        <v>3.1070896227405369E-2</v>
      </c>
      <c r="L60" s="80">
        <f t="shared" ca="1" si="25"/>
        <v>3.41631472583264E-2</v>
      </c>
      <c r="M60" s="80">
        <f t="shared" ca="1" si="25"/>
        <v>3.7529343763670703E-2</v>
      </c>
      <c r="N60" s="80">
        <f t="shared" ca="1" si="25"/>
        <v>3.6047336732246339E-2</v>
      </c>
      <c r="O60" s="80">
        <f t="shared" ca="1" si="25"/>
        <v>3.8017213756857876E-2</v>
      </c>
      <c r="P60" s="80">
        <f t="shared" ca="1" si="25"/>
        <v>3.9638207068007053E-2</v>
      </c>
      <c r="Q60" s="80">
        <f t="shared" ca="1" si="25"/>
        <v>3.6462386893202553E-2</v>
      </c>
      <c r="R60" s="80">
        <f t="shared" ca="1" si="25"/>
        <v>3.3695836435642043E-2</v>
      </c>
      <c r="S60" s="80">
        <f t="shared" ca="1" si="25"/>
        <v>3.7459384058627664E-2</v>
      </c>
    </row>
    <row r="61" spans="1:19" x14ac:dyDescent="0.2">
      <c r="A61" s="31"/>
      <c r="B61" s="31"/>
      <c r="C61" s="1" t="str">
        <f>IF(ISERROR(D61),"",IF(D61="","",MAX($C$12:C60)+1))</f>
        <v/>
      </c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</row>
    <row r="62" spans="1:19" ht="16.5" x14ac:dyDescent="0.2">
      <c r="A62" s="31"/>
      <c r="B62" s="31"/>
      <c r="C62" s="1">
        <f ca="1">IF(ISERROR(D62),"",IF(D62="","",MAX($C$12:C61)+1))</f>
        <v>14</v>
      </c>
      <c r="D62" t="s">
        <v>491</v>
      </c>
      <c r="F62" s="80">
        <f t="shared" ref="F62:F63" si="26">AVERAGE(G62:S62)</f>
        <v>3.4773193473193471E-2</v>
      </c>
      <c r="G62" s="80">
        <f>VLOOKUP(2018,'Implied Inflation'!$B$13:$F$27,3,0)</f>
        <v>3.0218181818181821E-2</v>
      </c>
      <c r="H62" s="80">
        <f>VLOOKUP(H10,'Implied Inflation'!$B$13:$F$27,3,0)</f>
        <v>2.6525000000000003E-2</v>
      </c>
      <c r="I62" s="80">
        <f>VLOOKUP(I10,'Implied Inflation'!$B$13:$F$27,3,0)</f>
        <v>2.2250000000000002E-2</v>
      </c>
      <c r="J62" s="80">
        <f>VLOOKUP(J10,'Implied Inflation'!$B$13:$F$27,3,0)</f>
        <v>2.5466666666666669E-2</v>
      </c>
      <c r="K62" s="80">
        <f>VLOOKUP(K10,'Implied Inflation'!$B$13:$F$27,3,0)</f>
        <v>3.0741666666666667E-2</v>
      </c>
      <c r="L62" s="80">
        <f>VLOOKUP(L10,'Implied Inflation'!$B$13:$F$27,3,0)</f>
        <v>3.1191666666666666E-2</v>
      </c>
      <c r="M62" s="80">
        <f>VLOOKUP(M10,'Implied Inflation'!$B$13:$F$27,3,0)</f>
        <v>2.5441666666666661E-2</v>
      </c>
      <c r="N62" s="80">
        <f>VLOOKUP(N10,'Implied Inflation'!$B$13:$F$27,3,0)</f>
        <v>3.6208333333333328E-2</v>
      </c>
      <c r="O62" s="80">
        <f>VLOOKUP(O10,'Implied Inflation'!$B$13:$F$27,3,0)</f>
        <v>4.0300000000000002E-2</v>
      </c>
      <c r="P62" s="80">
        <f>VLOOKUP(P10,'Implied Inflation'!$B$13:$F$27,3,0)</f>
        <v>4.1075000000000007E-2</v>
      </c>
      <c r="Q62" s="80">
        <f>VLOOKUP(Q10,'Implied Inflation'!$B$13:$F$27,3,0)</f>
        <v>4.3624999999999997E-2</v>
      </c>
      <c r="R62" s="80">
        <f>VLOOKUP(R10,'Implied Inflation'!$B$13:$F$27,3,0)</f>
        <v>4.9083333333333333E-2</v>
      </c>
      <c r="S62" s="80">
        <f>VLOOKUP(S10,'Implied Inflation'!$B$13:$F$27,3,0)</f>
        <v>4.9924999999999997E-2</v>
      </c>
    </row>
    <row r="63" spans="1:19" ht="16.5" x14ac:dyDescent="0.2">
      <c r="A63" s="31"/>
      <c r="B63" s="31"/>
      <c r="C63" s="1">
        <f ca="1">IF(ISERROR(D63),"",IF(D63="","",MAX($C$12:C62)+1))</f>
        <v>15</v>
      </c>
      <c r="D63" t="s">
        <v>492</v>
      </c>
      <c r="F63" s="80">
        <f t="shared" si="26"/>
        <v>1.3015967365967367E-2</v>
      </c>
      <c r="G63" s="80">
        <f>VLOOKUP(2018,'Implied Inflation'!$B$13:$F$27,4,0)</f>
        <v>9.1909090909090899E-3</v>
      </c>
      <c r="H63" s="80">
        <f>VLOOKUP(H10,'Implied Inflation'!$B$13:$F$27,4,0)</f>
        <v>7.4583333333333324E-3</v>
      </c>
      <c r="I63" s="80">
        <f>VLOOKUP(I10,'Implied Inflation'!$B$13:$F$27,4,0)</f>
        <v>6.5750000000000001E-3</v>
      </c>
      <c r="J63" s="80">
        <f>VLOOKUP(J10,'Implied Inflation'!$B$13:$F$27,4,0)</f>
        <v>7.8333333333333328E-3</v>
      </c>
      <c r="K63" s="80">
        <f>VLOOKUP(K10,'Implied Inflation'!$B$13:$F$27,4,0)</f>
        <v>8.6583333333333339E-3</v>
      </c>
      <c r="L63" s="80">
        <f>VLOOKUP(L10,'Implied Inflation'!$B$13:$F$27,4,0)</f>
        <v>7.5166666666666663E-3</v>
      </c>
      <c r="M63" s="80">
        <f>VLOOKUP(M10,'Implied Inflation'!$B$13:$F$27,4,0)</f>
        <v>2.1333333333333339E-3</v>
      </c>
      <c r="N63" s="80">
        <f>VLOOKUP(N10,'Implied Inflation'!$B$13:$F$27,4,0)</f>
        <v>1.1916666666666666E-2</v>
      </c>
      <c r="O63" s="80">
        <f>VLOOKUP(O10,'Implied Inflation'!$B$13:$F$27,4,0)</f>
        <v>1.7316666666666668E-2</v>
      </c>
      <c r="P63" s="80">
        <f>VLOOKUP(P10,'Implied Inflation'!$B$13:$F$27,4,0)</f>
        <v>2.2133333333333324E-2</v>
      </c>
      <c r="Q63" s="80">
        <f>VLOOKUP(Q10,'Implied Inflation'!$B$13:$F$27,4,0)</f>
        <v>2.1850000000000001E-2</v>
      </c>
      <c r="R63" s="80">
        <f>VLOOKUP(R10,'Implied Inflation'!$B$13:$F$27,4,0)</f>
        <v>2.3550000000000001E-2</v>
      </c>
      <c r="S63" s="80">
        <f>VLOOKUP(S10,'Implied Inflation'!$B$13:$F$27,4,0)</f>
        <v>2.3074999999999998E-2</v>
      </c>
    </row>
    <row r="64" spans="1:19" ht="16.5" x14ac:dyDescent="0.2">
      <c r="A64" s="31"/>
      <c r="B64" s="31"/>
      <c r="C64" s="1">
        <f ca="1">IF(ISERROR(D64),"",IF(D64="","",MAX($C$12:C63)+1))</f>
        <v>16</v>
      </c>
      <c r="D64" t="s">
        <v>493</v>
      </c>
      <c r="F64" s="80">
        <f>AVERAGE(G64:S64)</f>
        <v>2.1469992737658792E-2</v>
      </c>
      <c r="G64" s="80">
        <f>(1+G62)/(1+G63)-1</f>
        <v>2.0835773031501637E-2</v>
      </c>
      <c r="H64" s="80">
        <f>(1+H62)/(1+H63)-1</f>
        <v>1.8925513875677202E-2</v>
      </c>
      <c r="I64" s="80">
        <f t="shared" ref="I64:S64" si="27">(1+I62)/(1+I63)-1</f>
        <v>1.557261008866706E-2</v>
      </c>
      <c r="J64" s="80">
        <f t="shared" si="27"/>
        <v>1.749627914668439E-2</v>
      </c>
      <c r="K64" s="80">
        <f t="shared" si="27"/>
        <v>2.1893769776683447E-2</v>
      </c>
      <c r="L64" s="80">
        <f t="shared" si="27"/>
        <v>2.3498370581132022E-2</v>
      </c>
      <c r="M64" s="80">
        <f t="shared" si="27"/>
        <v>2.3258714741883901E-2</v>
      </c>
      <c r="N64" s="80">
        <f t="shared" si="27"/>
        <v>2.400559993411866E-2</v>
      </c>
      <c r="O64" s="80">
        <f t="shared" si="27"/>
        <v>2.2592113239076728E-2</v>
      </c>
      <c r="P64" s="80">
        <f t="shared" si="27"/>
        <v>1.8531502739368655E-2</v>
      </c>
      <c r="Q64" s="80">
        <f t="shared" si="27"/>
        <v>2.1309389832167236E-2</v>
      </c>
      <c r="R64" s="80">
        <f t="shared" si="27"/>
        <v>2.4945858368749407E-2</v>
      </c>
      <c r="S64" s="80">
        <f t="shared" si="27"/>
        <v>2.6244410233853932E-2</v>
      </c>
    </row>
    <row r="65" spans="1:20" x14ac:dyDescent="0.2">
      <c r="A65" s="31"/>
      <c r="B65" s="31"/>
      <c r="C65" s="1" t="str">
        <f>IF(ISERROR(D65),"",IF(D65="","",MAX($C$12:C64)+1))</f>
        <v/>
      </c>
      <c r="F65" s="80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</row>
    <row r="66" spans="1:20" ht="17.25" x14ac:dyDescent="0.25">
      <c r="A66" s="31"/>
      <c r="B66" s="31"/>
      <c r="C66" s="1">
        <f ca="1">IF(ISERROR(D66),"",IF(D66="","",MAX($C$12:C65)+1))</f>
        <v>17</v>
      </c>
      <c r="D66" s="111" t="s">
        <v>494</v>
      </c>
      <c r="F66" s="115">
        <f t="shared" ref="F66:S66" ca="1" si="28">(1+F59)/(1+F64)-1</f>
        <v>1.2439303815950487E-2</v>
      </c>
      <c r="G66" s="115">
        <f t="shared" si="28"/>
        <v>5.8844143880856237E-3</v>
      </c>
      <c r="H66" s="115">
        <f t="shared" ca="1" si="28"/>
        <v>6.5386299835545891E-3</v>
      </c>
      <c r="I66" s="115">
        <f t="shared" ca="1" si="28"/>
        <v>1.1662907420016522E-2</v>
      </c>
      <c r="J66" s="115">
        <f t="shared" ca="1" si="28"/>
        <v>1.3812689588929672E-2</v>
      </c>
      <c r="K66" s="115">
        <f t="shared" ca="1" si="28"/>
        <v>9.6187340657991616E-3</v>
      </c>
      <c r="L66" s="115">
        <f t="shared" ca="1" si="28"/>
        <v>1.0626485611236358E-2</v>
      </c>
      <c r="M66" s="115">
        <f t="shared" ca="1" si="28"/>
        <v>1.2516552935544434E-2</v>
      </c>
      <c r="N66" s="115">
        <f t="shared" ca="1" si="28"/>
        <v>1.2217348336987177E-2</v>
      </c>
      <c r="O66" s="115">
        <f t="shared" ca="1" si="28"/>
        <v>1.7311733129666163E-2</v>
      </c>
      <c r="P66" s="115">
        <f t="shared" ca="1" si="28"/>
        <v>2.4482045350670889E-2</v>
      </c>
      <c r="Q66" s="115">
        <f t="shared" ca="1" si="28"/>
        <v>1.6812604862296299E-2</v>
      </c>
      <c r="R66" s="115">
        <f t="shared" ca="1" si="28"/>
        <v>9.6887763903481527E-3</v>
      </c>
      <c r="S66" s="115">
        <f t="shared" ca="1" si="28"/>
        <v>1.0573364819182807E-2</v>
      </c>
    </row>
    <row r="67" spans="1:20" ht="15" x14ac:dyDescent="0.25">
      <c r="A67" s="31"/>
      <c r="B67" s="31"/>
      <c r="C67" s="1"/>
      <c r="D67" s="111"/>
      <c r="F67" s="115"/>
      <c r="G67" s="115"/>
      <c r="H67" s="115"/>
      <c r="I67" s="115"/>
      <c r="J67" s="115"/>
      <c r="K67" s="115"/>
      <c r="L67" s="115"/>
      <c r="M67" s="115"/>
      <c r="N67" s="115"/>
      <c r="O67" s="115"/>
      <c r="P67" s="115"/>
      <c r="Q67" s="115"/>
      <c r="R67" s="115"/>
      <c r="S67" s="115"/>
    </row>
    <row r="68" spans="1:20" ht="15" x14ac:dyDescent="0.25">
      <c r="A68" s="31"/>
      <c r="B68" s="31"/>
      <c r="C68" s="1"/>
      <c r="D68" s="239" t="s">
        <v>510</v>
      </c>
      <c r="E68" s="239"/>
      <c r="H68" s="80"/>
    </row>
    <row r="69" spans="1:20" s="102" customFormat="1" ht="17.25" x14ac:dyDescent="0.25">
      <c r="C69" s="1">
        <f ca="1">IF(ISERROR(D69),"",IF(D69="","",MAX($C$12:C68)+1))</f>
        <v>18</v>
      </c>
      <c r="D69" s="111" t="s">
        <v>511</v>
      </c>
      <c r="E69" s="111"/>
      <c r="F69" s="113">
        <f>AVERAGE(G69:S69)</f>
        <v>4.9536525629956814E-2</v>
      </c>
      <c r="G69" s="113">
        <f>VLOOKUP(2018,'Annual Yields (WP)'!$B$6:$C$46,2,FALSE)</f>
        <v>4.254454527705958E-2</v>
      </c>
      <c r="H69" s="113">
        <f>VLOOKUP(H10,'Annual Yields (WP)'!$B$6:$C$43,2,FALSE)</f>
        <v>3.9988761663160968E-2</v>
      </c>
      <c r="I69" s="113">
        <f>VLOOKUP(I10,'Annual Yields (WP)'!$B$6:$C$43,2,FALSE)</f>
        <v>3.930199127182251E-2</v>
      </c>
      <c r="J69" s="113">
        <f>VLOOKUP(J10,'Annual Yields (WP)'!$B$6:$C$43,2,FALSE)</f>
        <v>4.1153967589428117E-2</v>
      </c>
      <c r="K69" s="113">
        <f>VLOOKUP(K10,'Annual Yields (WP)'!$B$6:$C$43,2,FALSE)</f>
        <v>4.2774094021446961E-2</v>
      </c>
      <c r="L69" s="113">
        <f>VLOOKUP(L10,'Annual Yields (WP)'!$B$6:$C$43,2,FALSE)</f>
        <v>4.4759707479483019E-2</v>
      </c>
      <c r="M69" s="113">
        <f>VLOOKUP(M10,'Annual Yields (WP)'!$B$6:$C$43,2,FALSE)</f>
        <v>4.1308564221010043E-2</v>
      </c>
      <c r="N69" s="113">
        <f>VLOOKUP(N10,'Annual Yields (WP)'!$B$6:$C$43,2,FALSE)</f>
        <v>5.0407157265811221E-2</v>
      </c>
      <c r="O69" s="113">
        <f>VLOOKUP(O10,'Annual Yields (WP)'!$B$6:$C$43,2,FALSE)</f>
        <v>5.4644377733549555E-2</v>
      </c>
      <c r="P69" s="113">
        <f>VLOOKUP(P10,'Annual Yields (WP)'!$B$6:$C$43,2,FALSE)</f>
        <v>6.0391666666666656E-2</v>
      </c>
      <c r="Q69" s="113">
        <f>VLOOKUP(Q10,'Annual Yields (WP)'!$B$6:$C$43,2,FALSE)</f>
        <v>6.5283333333333332E-2</v>
      </c>
      <c r="R69" s="113">
        <f>VLOOKUP(R10,'Annual Yields (WP)'!$B$6:$C$43,2,FALSE)</f>
        <v>6.0733333333333334E-2</v>
      </c>
      <c r="S69" s="113">
        <f>VLOOKUP(S10,'Annual Yields (WP)'!$B$6:$C$43,2,FALSE)</f>
        <v>6.0683333333333332E-2</v>
      </c>
    </row>
    <row r="70" spans="1:20" s="102" customFormat="1" ht="15" x14ac:dyDescent="0.25">
      <c r="C70" s="1">
        <f ca="1">IF(ISERROR(D70),"",IF(D70="","",MAX($C$12:C69)+1))</f>
        <v>19</v>
      </c>
      <c r="D70" s="111" t="s">
        <v>512</v>
      </c>
      <c r="E70" s="111"/>
      <c r="F70" s="113">
        <f>AVERAGE(G70:S70)</f>
        <v>2.747355867298076E-2</v>
      </c>
      <c r="G70" s="113">
        <f>(1+G69)/(1+G64)-1</f>
        <v>2.1265685254241218E-2</v>
      </c>
      <c r="H70" s="113">
        <f t="shared" ref="H70" si="29">(1+H69)/(1+H64)-1</f>
        <v>2.0672019201252168E-2</v>
      </c>
      <c r="I70" s="113">
        <f t="shared" ref="I70:S70" si="30">(1+I69)/(1+I64)-1</f>
        <v>2.3365519065233098E-2</v>
      </c>
      <c r="J70" s="113">
        <f t="shared" si="30"/>
        <v>2.3250884477517886E-2</v>
      </c>
      <c r="K70" s="113">
        <f t="shared" si="30"/>
        <v>2.0432969514362131E-2</v>
      </c>
      <c r="L70" s="113">
        <f t="shared" si="30"/>
        <v>2.0773200534045744E-2</v>
      </c>
      <c r="M70" s="113">
        <f t="shared" si="30"/>
        <v>1.763957562157592E-2</v>
      </c>
      <c r="N70" s="113">
        <f t="shared" si="30"/>
        <v>2.5782629834632864E-2</v>
      </c>
      <c r="O70" s="113">
        <f t="shared" si="30"/>
        <v>3.1344134263804113E-2</v>
      </c>
      <c r="P70" s="113">
        <f t="shared" si="30"/>
        <v>4.1098546107522393E-2</v>
      </c>
      <c r="Q70" s="113">
        <f t="shared" si="30"/>
        <v>4.3056437098255129E-2</v>
      </c>
      <c r="R70" s="113">
        <f t="shared" si="30"/>
        <v>3.4916454047183798E-2</v>
      </c>
      <c r="S70" s="113">
        <f t="shared" si="30"/>
        <v>3.3558207729123435E-2</v>
      </c>
    </row>
    <row r="71" spans="1:20" s="102" customFormat="1" ht="15" x14ac:dyDescent="0.2">
      <c r="C71" s="1"/>
      <c r="D71" s="220"/>
      <c r="E71" s="220"/>
      <c r="F71" s="113"/>
      <c r="G71" s="113"/>
      <c r="H71" s="113"/>
      <c r="I71" s="113"/>
      <c r="J71" s="113"/>
      <c r="K71" s="113"/>
      <c r="L71" s="113"/>
      <c r="M71" s="113"/>
      <c r="N71" s="113"/>
      <c r="O71" s="113"/>
      <c r="P71" s="113"/>
      <c r="Q71" s="113"/>
      <c r="R71" s="113"/>
      <c r="S71" s="113"/>
    </row>
    <row r="72" spans="1:20" s="102" customFormat="1" ht="15" x14ac:dyDescent="0.25">
      <c r="C72" s="1"/>
      <c r="D72" s="239" t="s">
        <v>509</v>
      </c>
      <c r="E72" s="239"/>
      <c r="F72" s="8"/>
      <c r="G72" s="8"/>
      <c r="H72" s="8"/>
      <c r="I72" s="8"/>
      <c r="J72" s="8"/>
      <c r="K72" s="8"/>
      <c r="L72" s="8"/>
      <c r="M72" s="8"/>
      <c r="N72" s="8"/>
      <c r="O72" s="8"/>
      <c r="P72" s="108"/>
      <c r="Q72" s="108"/>
      <c r="R72" s="108"/>
      <c r="S72" s="108"/>
    </row>
    <row r="73" spans="1:20" s="102" customFormat="1" ht="17.25" x14ac:dyDescent="0.25">
      <c r="C73" s="1">
        <f ca="1">IF(ISERROR(D73),"",IF(D73="","",MAX($C$12:C72)+1))</f>
        <v>20</v>
      </c>
      <c r="D73" s="111" t="s">
        <v>499</v>
      </c>
      <c r="E73"/>
      <c r="F73" s="110">
        <f t="shared" ref="F73:S73" ca="1" si="31">F69-F59</f>
        <v>1.5360157313757762E-2</v>
      </c>
      <c r="G73" s="110">
        <f t="shared" si="31"/>
        <v>1.5701751534859008E-2</v>
      </c>
      <c r="H73" s="110">
        <f t="shared" ca="1" si="31"/>
        <v>1.4400870871447417E-2</v>
      </c>
      <c r="I73" s="110">
        <f t="shared" ca="1" si="31"/>
        <v>1.1884851853386797E-2</v>
      </c>
      <c r="J73" s="110">
        <f t="shared" ca="1" si="31"/>
        <v>9.6033281809996887E-3</v>
      </c>
      <c r="K73" s="110">
        <f t="shared" ca="1" si="31"/>
        <v>1.1050999829784525E-2</v>
      </c>
      <c r="L73" s="110">
        <f t="shared" ca="1" si="31"/>
        <v>1.0385146190246698E-2</v>
      </c>
      <c r="M73" s="110">
        <f t="shared" ca="1" si="31"/>
        <v>5.242177609302151E-3</v>
      </c>
      <c r="N73" s="110">
        <f t="shared" ca="1" si="31"/>
        <v>1.3890924218272004E-2</v>
      </c>
      <c r="O73" s="110">
        <f t="shared" ca="1" si="31"/>
        <v>1.4349422729576504E-2</v>
      </c>
      <c r="P73" s="110">
        <f t="shared" ca="1" si="31"/>
        <v>1.6924429486145823E-2</v>
      </c>
      <c r="Q73" s="110">
        <f t="shared" ca="1" si="31"/>
        <v>2.6803072287765045E-2</v>
      </c>
      <c r="R73" s="110">
        <f t="shared" ca="1" si="31"/>
        <v>2.5857003730635562E-2</v>
      </c>
      <c r="S73" s="110">
        <f t="shared" ca="1" si="31"/>
        <v>2.3588066556429775E-2</v>
      </c>
    </row>
    <row r="74" spans="1:20" s="102" customFormat="1" ht="17.25" x14ac:dyDescent="0.25">
      <c r="C74" s="1">
        <f ca="1">IF(ISERROR(D74),"",IF(D74="","",MAX($C$12:C73)+1))</f>
        <v>21</v>
      </c>
      <c r="D74" s="111" t="s">
        <v>500</v>
      </c>
      <c r="E74" s="10"/>
      <c r="F74" s="110">
        <f ca="1">F70-F66</f>
        <v>1.5034254857030274E-2</v>
      </c>
      <c r="G74" s="110">
        <f>G70-G66</f>
        <v>1.5381270866155594E-2</v>
      </c>
      <c r="H74" s="110">
        <f t="shared" ref="H74" ca="1" si="32">H70-H66</f>
        <v>1.4133389217697578E-2</v>
      </c>
      <c r="I74" s="110">
        <f t="shared" ref="I74:S74" ca="1" si="33">I70-I66</f>
        <v>1.1702611645216576E-2</v>
      </c>
      <c r="J74" s="110">
        <f t="shared" ca="1" si="33"/>
        <v>9.4381948885882139E-3</v>
      </c>
      <c r="K74" s="110">
        <f t="shared" ca="1" si="33"/>
        <v>1.081423544856297E-2</v>
      </c>
      <c r="L74" s="110">
        <f t="shared" ca="1" si="33"/>
        <v>1.0146714922809386E-2</v>
      </c>
      <c r="M74" s="110">
        <f t="shared" ca="1" si="33"/>
        <v>5.1230226860314865E-3</v>
      </c>
      <c r="N74" s="110">
        <f t="shared" ca="1" si="33"/>
        <v>1.3565281497645687E-2</v>
      </c>
      <c r="O74" s="110">
        <f t="shared" ca="1" si="33"/>
        <v>1.4032401134137951E-2</v>
      </c>
      <c r="P74" s="110">
        <f t="shared" ca="1" si="33"/>
        <v>1.6616500756851504E-2</v>
      </c>
      <c r="Q74" s="110">
        <f t="shared" ca="1" si="33"/>
        <v>2.6243832235958831E-2</v>
      </c>
      <c r="R74" s="110">
        <f t="shared" ca="1" si="33"/>
        <v>2.5227677656835645E-2</v>
      </c>
      <c r="S74" s="110">
        <f t="shared" ca="1" si="33"/>
        <v>2.2984842909940628E-2</v>
      </c>
    </row>
    <row r="75" spans="1:20" s="102" customFormat="1" ht="15" x14ac:dyDescent="0.25">
      <c r="C75" s="1" t="str">
        <f>IF(ISERROR(D75),"",IF(D75="","",MAX($C$12:C74)+1))</f>
        <v/>
      </c>
      <c r="D75" s="111"/>
      <c r="E75" s="10"/>
      <c r="F75" s="110"/>
      <c r="G75" s="110"/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</row>
    <row r="76" spans="1:20" s="102" customFormat="1" ht="15" x14ac:dyDescent="0.25">
      <c r="C76" s="1"/>
      <c r="D76" s="239" t="s">
        <v>508</v>
      </c>
      <c r="E76" s="239"/>
      <c r="F76" s="110"/>
      <c r="G76" s="110"/>
      <c r="H76" s="110"/>
      <c r="I76" s="110"/>
      <c r="J76" s="110"/>
      <c r="K76" s="110"/>
      <c r="L76" s="110"/>
      <c r="M76" s="110"/>
      <c r="N76" s="110"/>
      <c r="O76" s="110"/>
      <c r="P76" s="110"/>
      <c r="Q76" s="110"/>
      <c r="R76" s="110"/>
      <c r="S76" s="110"/>
    </row>
    <row r="77" spans="1:20" s="102" customFormat="1" ht="17.25" x14ac:dyDescent="0.25">
      <c r="B77" s="105"/>
      <c r="C77" s="1">
        <f ca="1">IF(ISERROR(D77),"",IF(D77="","",MAX($C$12:C76)+1))</f>
        <v>22</v>
      </c>
      <c r="D77" s="111" t="s">
        <v>501</v>
      </c>
      <c r="E77"/>
      <c r="F77" s="110">
        <f ca="1">F62-F59</f>
        <v>5.9682515699441968E-4</v>
      </c>
      <c r="G77" s="110">
        <f>G62-G59</f>
        <v>3.3753880759812491E-3</v>
      </c>
      <c r="H77" s="110">
        <f ca="1">H62-H59</f>
        <v>9.3710920828645253E-4</v>
      </c>
      <c r="I77" s="110">
        <f t="shared" ref="I77:S77" ca="1" si="34">I62-I59</f>
        <v>-5.1671394184357108E-3</v>
      </c>
      <c r="J77" s="110">
        <f t="shared" ca="1" si="34"/>
        <v>-6.0839727417617596E-3</v>
      </c>
      <c r="K77" s="110">
        <f t="shared" ca="1" si="34"/>
        <v>-9.8142752499576907E-4</v>
      </c>
      <c r="L77" s="110">
        <f t="shared" ca="1" si="34"/>
        <v>-3.1828946225696542E-3</v>
      </c>
      <c r="M77" s="110">
        <f t="shared" ca="1" si="34"/>
        <v>-1.0624719945041231E-2</v>
      </c>
      <c r="N77" s="110">
        <f t="shared" ca="1" si="34"/>
        <v>-3.0789971420588924E-4</v>
      </c>
      <c r="O77" s="110">
        <f t="shared" ca="1" si="34"/>
        <v>5.0449960269510763E-6</v>
      </c>
      <c r="P77" s="110">
        <f t="shared" ca="1" si="34"/>
        <v>-2.3922371805208259E-3</v>
      </c>
      <c r="Q77" s="110">
        <f t="shared" ca="1" si="34"/>
        <v>5.1447389544317101E-3</v>
      </c>
      <c r="R77" s="110">
        <f t="shared" ca="1" si="34"/>
        <v>1.4207003730635562E-2</v>
      </c>
      <c r="S77" s="110">
        <f t="shared" ca="1" si="34"/>
        <v>1.282973322309644E-2</v>
      </c>
      <c r="T77" s="221"/>
    </row>
    <row r="78" spans="1:20" s="102" customFormat="1" ht="17.25" x14ac:dyDescent="0.25">
      <c r="B78" s="105"/>
      <c r="C78" s="1">
        <f ca="1">IF(ISERROR(D78),"",IF(D78="","",MAX($C$12:C77)+1))</f>
        <v>23</v>
      </c>
      <c r="D78" s="111" t="s">
        <v>502</v>
      </c>
      <c r="E78" s="10"/>
      <c r="F78" s="110">
        <f ca="1">F63-F66</f>
        <v>5.7666355001688083E-4</v>
      </c>
      <c r="G78" s="110">
        <f>G63-G66</f>
        <v>3.3064947028234662E-3</v>
      </c>
      <c r="H78" s="110">
        <f t="shared" ref="H78:S78" ca="1" si="35">H63-H66</f>
        <v>9.1970334977874331E-4</v>
      </c>
      <c r="I78" s="110">
        <f t="shared" ca="1" si="35"/>
        <v>-5.0879074200165216E-3</v>
      </c>
      <c r="J78" s="110">
        <f t="shared" ca="1" si="35"/>
        <v>-5.9793562555963391E-3</v>
      </c>
      <c r="K78" s="110">
        <f t="shared" ca="1" si="35"/>
        <v>-9.6040073246582772E-4</v>
      </c>
      <c r="L78" s="110">
        <f t="shared" ca="1" si="35"/>
        <v>-3.1098189445696919E-3</v>
      </c>
      <c r="M78" s="110">
        <f t="shared" ca="1" si="35"/>
        <v>-1.03832196022111E-2</v>
      </c>
      <c r="N78" s="110">
        <f t="shared" ca="1" si="35"/>
        <v>-3.0068167032051146E-4</v>
      </c>
      <c r="O78" s="110">
        <f t="shared" ca="1" si="35"/>
        <v>4.9335370005051948E-6</v>
      </c>
      <c r="P78" s="110">
        <f t="shared" ca="1" si="35"/>
        <v>-2.3487120173375647E-3</v>
      </c>
      <c r="Q78" s="110">
        <f t="shared" ca="1" si="35"/>
        <v>5.0373951377037027E-3</v>
      </c>
      <c r="R78" s="110">
        <f t="shared" ca="1" si="35"/>
        <v>1.3861223609651849E-2</v>
      </c>
      <c r="S78" s="110">
        <f t="shared" ca="1" si="35"/>
        <v>1.2501635180817192E-2</v>
      </c>
    </row>
    <row r="79" spans="1:20" s="102" customFormat="1" x14ac:dyDescent="0.2">
      <c r="B79" s="105"/>
      <c r="C79" s="106"/>
      <c r="E79" s="20"/>
      <c r="F79" s="104"/>
      <c r="G79" s="104"/>
      <c r="H79" s="104"/>
      <c r="I79" s="104"/>
      <c r="J79" s="104"/>
      <c r="K79" s="104"/>
      <c r="L79" s="104"/>
      <c r="M79" s="104"/>
      <c r="N79" s="104"/>
      <c r="O79" s="104"/>
      <c r="P79" s="104"/>
      <c r="Q79" s="104"/>
      <c r="R79" s="104"/>
      <c r="S79" s="104"/>
    </row>
    <row r="80" spans="1:20" s="102" customFormat="1" x14ac:dyDescent="0.2">
      <c r="B80" s="105"/>
      <c r="C80" s="106"/>
      <c r="E80" s="20"/>
      <c r="F80" s="104"/>
      <c r="G80" s="104"/>
      <c r="H80" s="104"/>
      <c r="I80" s="104"/>
      <c r="J80" s="104"/>
      <c r="K80" s="104"/>
      <c r="L80" s="104"/>
      <c r="M80" s="104"/>
      <c r="N80" s="104"/>
      <c r="O80" s="104"/>
      <c r="P80" s="104"/>
      <c r="Q80" s="104"/>
      <c r="R80" s="104"/>
      <c r="S80" s="104"/>
    </row>
    <row r="81" spans="2:19" s="102" customFormat="1" x14ac:dyDescent="0.2">
      <c r="B81" s="105"/>
      <c r="C81" s="106"/>
      <c r="E81" s="20"/>
      <c r="F81" s="104"/>
      <c r="G81" s="104"/>
      <c r="H81" s="104"/>
      <c r="I81" s="104"/>
      <c r="J81" s="104"/>
      <c r="K81" s="104"/>
      <c r="L81" s="104"/>
      <c r="M81" s="104"/>
      <c r="N81" s="104"/>
      <c r="O81" s="104"/>
      <c r="P81" s="104"/>
      <c r="Q81" s="104"/>
      <c r="R81" s="104"/>
      <c r="S81" s="104"/>
    </row>
    <row r="82" spans="2:19" s="102" customFormat="1" x14ac:dyDescent="0.2">
      <c r="B82" s="105"/>
      <c r="C82" s="106"/>
      <c r="E82" s="20"/>
      <c r="F82" s="104"/>
      <c r="G82" s="104"/>
      <c r="H82" s="104"/>
      <c r="I82" s="104"/>
      <c r="J82" s="104"/>
      <c r="K82" s="104"/>
      <c r="L82" s="104"/>
      <c r="M82" s="104"/>
      <c r="N82" s="104"/>
      <c r="O82" s="104"/>
      <c r="P82" s="104"/>
      <c r="Q82" s="104"/>
      <c r="R82" s="104"/>
      <c r="S82" s="104"/>
    </row>
    <row r="83" spans="2:19" s="102" customFormat="1" x14ac:dyDescent="0.2">
      <c r="B83" s="105"/>
      <c r="C83" s="106"/>
      <c r="E83" s="20"/>
      <c r="F83" s="104"/>
      <c r="G83" s="104"/>
      <c r="H83" s="104"/>
      <c r="I83" s="104"/>
      <c r="J83" s="104"/>
      <c r="K83" s="104"/>
      <c r="L83" s="104"/>
      <c r="M83" s="104"/>
      <c r="N83" s="104"/>
      <c r="O83" s="104"/>
      <c r="P83" s="104"/>
      <c r="Q83" s="104"/>
      <c r="R83" s="104"/>
      <c r="S83" s="104"/>
    </row>
    <row r="84" spans="2:19" s="102" customFormat="1" x14ac:dyDescent="0.2">
      <c r="B84" s="105"/>
      <c r="C84" s="106"/>
      <c r="E84" s="20"/>
      <c r="F84" s="104"/>
      <c r="G84" s="104"/>
      <c r="H84" s="104"/>
      <c r="I84" s="104"/>
      <c r="J84" s="104"/>
      <c r="K84" s="104"/>
      <c r="L84" s="104"/>
      <c r="M84" s="104"/>
      <c r="N84" s="104"/>
      <c r="O84" s="104"/>
      <c r="P84" s="104"/>
      <c r="Q84" s="104"/>
      <c r="R84" s="104"/>
      <c r="S84" s="104"/>
    </row>
    <row r="85" spans="2:19" s="102" customFormat="1" x14ac:dyDescent="0.2">
      <c r="B85" s="105"/>
      <c r="C85" s="106"/>
      <c r="E85" s="20"/>
      <c r="F85" s="104"/>
      <c r="G85" s="104"/>
      <c r="H85" s="104"/>
      <c r="I85" s="104"/>
      <c r="J85" s="104"/>
      <c r="K85" s="104"/>
      <c r="L85" s="104"/>
      <c r="M85" s="104"/>
      <c r="N85" s="104"/>
      <c r="O85" s="104"/>
      <c r="P85" s="104"/>
      <c r="Q85" s="104"/>
      <c r="R85" s="104"/>
      <c r="S85" s="104"/>
    </row>
    <row r="86" spans="2:19" s="102" customFormat="1" x14ac:dyDescent="0.2">
      <c r="B86" s="105"/>
      <c r="C86" s="106"/>
      <c r="E86" s="20"/>
      <c r="F86" s="104"/>
      <c r="G86" s="104"/>
      <c r="H86" s="104"/>
      <c r="I86" s="104"/>
      <c r="J86" s="104"/>
      <c r="K86" s="104"/>
      <c r="L86" s="104"/>
      <c r="M86" s="104"/>
      <c r="N86" s="104"/>
      <c r="O86" s="104"/>
      <c r="P86" s="104"/>
      <c r="Q86" s="104"/>
      <c r="R86" s="104"/>
      <c r="S86" s="104"/>
    </row>
    <row r="87" spans="2:19" s="102" customFormat="1" x14ac:dyDescent="0.2">
      <c r="B87" s="105"/>
      <c r="C87" s="106"/>
      <c r="E87" s="20"/>
      <c r="F87" s="104"/>
      <c r="G87" s="104"/>
      <c r="H87" s="104"/>
      <c r="I87" s="104"/>
      <c r="J87" s="104"/>
      <c r="K87" s="104"/>
      <c r="L87" s="104"/>
      <c r="M87" s="104"/>
      <c r="N87" s="104"/>
      <c r="O87" s="104"/>
      <c r="P87" s="104"/>
      <c r="Q87" s="104"/>
      <c r="R87" s="104"/>
      <c r="S87" s="104"/>
    </row>
    <row r="88" spans="2:19" s="102" customFormat="1" hidden="1" x14ac:dyDescent="0.2">
      <c r="B88" s="105"/>
      <c r="C88" s="106"/>
      <c r="E88" s="20"/>
      <c r="F88" s="104"/>
      <c r="G88" s="104"/>
      <c r="H88" s="104"/>
      <c r="I88" s="104"/>
      <c r="J88" s="104"/>
      <c r="K88" s="104"/>
      <c r="L88" s="104"/>
      <c r="M88" s="104"/>
      <c r="N88" s="104"/>
      <c r="O88" s="104"/>
      <c r="P88" s="104"/>
      <c r="Q88" s="104"/>
      <c r="R88" s="104"/>
      <c r="S88" s="104"/>
    </row>
    <row r="89" spans="2:19" s="102" customFormat="1" hidden="1" x14ac:dyDescent="0.2">
      <c r="B89" s="105"/>
      <c r="C89" s="106"/>
      <c r="E89" s="20"/>
      <c r="F89" s="104"/>
      <c r="G89" s="104"/>
      <c r="H89" s="104"/>
      <c r="I89" s="104"/>
      <c r="J89" s="104"/>
      <c r="K89" s="104"/>
      <c r="L89" s="104"/>
      <c r="M89" s="104"/>
      <c r="N89" s="104"/>
      <c r="O89" s="104"/>
      <c r="P89" s="104"/>
      <c r="Q89" s="104"/>
      <c r="R89" s="104"/>
      <c r="S89" s="104"/>
    </row>
    <row r="90" spans="2:19" s="102" customFormat="1" hidden="1" x14ac:dyDescent="0.2">
      <c r="B90" s="105"/>
      <c r="C90" s="106"/>
      <c r="E90" s="20"/>
      <c r="F90" s="104"/>
      <c r="G90" s="104"/>
      <c r="H90" s="104"/>
      <c r="I90" s="104"/>
      <c r="J90" s="104"/>
      <c r="K90" s="104"/>
      <c r="L90" s="104"/>
      <c r="M90" s="104"/>
      <c r="N90" s="104"/>
      <c r="O90" s="104"/>
      <c r="P90" s="104"/>
      <c r="Q90" s="104"/>
      <c r="R90" s="104"/>
      <c r="S90" s="104"/>
    </row>
    <row r="91" spans="2:19" s="102" customFormat="1" hidden="1" x14ac:dyDescent="0.2">
      <c r="B91" s="105"/>
      <c r="C91" s="106"/>
      <c r="E91" s="20"/>
      <c r="F91" s="104"/>
      <c r="G91" s="104"/>
      <c r="H91" s="104"/>
      <c r="I91" s="104"/>
      <c r="J91" s="104"/>
      <c r="K91" s="104"/>
      <c r="L91" s="104"/>
      <c r="M91" s="104"/>
      <c r="N91" s="104"/>
      <c r="O91" s="104"/>
      <c r="P91" s="104"/>
      <c r="Q91" s="104"/>
      <c r="R91" s="104"/>
      <c r="S91" s="104"/>
    </row>
    <row r="92" spans="2:19" s="102" customFormat="1" hidden="1" x14ac:dyDescent="0.2">
      <c r="B92" s="105"/>
      <c r="C92" s="106"/>
      <c r="E92" s="20"/>
      <c r="F92" s="104"/>
      <c r="G92" s="104"/>
      <c r="H92" s="104"/>
      <c r="I92" s="104"/>
      <c r="J92" s="104"/>
      <c r="K92" s="104"/>
      <c r="L92" s="104"/>
      <c r="M92" s="104"/>
      <c r="N92" s="104"/>
      <c r="O92" s="104"/>
      <c r="P92" s="104"/>
      <c r="Q92" s="104"/>
      <c r="R92" s="104"/>
      <c r="S92" s="104"/>
    </row>
    <row r="93" spans="2:19" s="102" customFormat="1" hidden="1" x14ac:dyDescent="0.2">
      <c r="B93" s="105"/>
      <c r="C93" s="106"/>
      <c r="E93" s="20"/>
      <c r="F93" s="104"/>
      <c r="G93" s="104"/>
      <c r="H93" s="104"/>
      <c r="I93" s="104"/>
      <c r="J93" s="104"/>
      <c r="K93" s="104"/>
      <c r="L93" s="104"/>
      <c r="M93" s="104"/>
      <c r="N93" s="104"/>
      <c r="O93" s="104"/>
      <c r="P93" s="104"/>
      <c r="Q93" s="104"/>
      <c r="R93" s="104"/>
      <c r="S93" s="104"/>
    </row>
    <row r="94" spans="2:19" s="102" customFormat="1" hidden="1" x14ac:dyDescent="0.2">
      <c r="B94" s="105"/>
      <c r="C94" s="106"/>
      <c r="E94" s="20"/>
      <c r="F94" s="104"/>
      <c r="G94" s="104"/>
      <c r="H94" s="104"/>
      <c r="I94" s="104"/>
      <c r="J94" s="104"/>
      <c r="K94" s="104"/>
      <c r="L94" s="104"/>
      <c r="M94" s="104"/>
      <c r="N94" s="104"/>
      <c r="O94" s="104"/>
      <c r="P94" s="104"/>
      <c r="Q94" s="104"/>
      <c r="R94" s="104"/>
      <c r="S94" s="104"/>
    </row>
    <row r="95" spans="2:19" s="102" customFormat="1" hidden="1" x14ac:dyDescent="0.2">
      <c r="B95" s="105"/>
      <c r="C95" s="106"/>
      <c r="E95" s="20"/>
      <c r="F95" s="104"/>
      <c r="G95" s="104"/>
      <c r="H95" s="104"/>
      <c r="I95" s="104"/>
      <c r="J95" s="104"/>
      <c r="K95" s="104"/>
      <c r="L95" s="104"/>
      <c r="M95" s="104"/>
      <c r="N95" s="104"/>
      <c r="O95" s="104"/>
      <c r="P95" s="104"/>
      <c r="Q95" s="104"/>
      <c r="R95" s="104"/>
      <c r="S95" s="104"/>
    </row>
    <row r="96" spans="2:19" s="102" customFormat="1" hidden="1" x14ac:dyDescent="0.2">
      <c r="B96" s="105"/>
      <c r="C96" s="106"/>
      <c r="E96" s="20"/>
      <c r="F96" s="104"/>
      <c r="G96" s="104"/>
      <c r="H96" s="104"/>
      <c r="I96" s="104"/>
      <c r="J96" s="104"/>
      <c r="K96" s="104"/>
      <c r="L96" s="104"/>
      <c r="M96" s="104"/>
      <c r="N96" s="104"/>
      <c r="O96" s="104"/>
      <c r="P96" s="104"/>
      <c r="Q96" s="104"/>
      <c r="R96" s="104"/>
      <c r="S96" s="104"/>
    </row>
    <row r="97" spans="2:19" s="102" customFormat="1" hidden="1" x14ac:dyDescent="0.2">
      <c r="B97" s="105"/>
      <c r="C97" s="106"/>
      <c r="E97" s="20"/>
      <c r="F97" s="104"/>
      <c r="G97" s="104"/>
      <c r="H97" s="104"/>
      <c r="I97" s="104"/>
      <c r="J97" s="104"/>
      <c r="K97" s="104"/>
      <c r="L97" s="104"/>
      <c r="M97" s="104"/>
      <c r="N97" s="104"/>
      <c r="O97" s="104"/>
      <c r="P97" s="104"/>
      <c r="Q97" s="104"/>
      <c r="R97" s="104"/>
      <c r="S97" s="104"/>
    </row>
    <row r="98" spans="2:19" s="102" customFormat="1" hidden="1" x14ac:dyDescent="0.2">
      <c r="B98" s="105"/>
      <c r="C98" s="106"/>
      <c r="E98" s="20"/>
      <c r="F98" s="104"/>
      <c r="G98" s="104"/>
      <c r="H98" s="104"/>
      <c r="I98" s="104"/>
      <c r="J98" s="104"/>
      <c r="K98" s="104"/>
      <c r="L98" s="104"/>
      <c r="M98" s="104"/>
      <c r="N98" s="104"/>
      <c r="O98" s="104"/>
      <c r="P98" s="104"/>
      <c r="Q98" s="104"/>
      <c r="R98" s="104"/>
      <c r="S98" s="104"/>
    </row>
    <row r="99" spans="2:19" s="102" customFormat="1" hidden="1" x14ac:dyDescent="0.2">
      <c r="B99" s="105"/>
      <c r="C99" s="106"/>
      <c r="E99" s="20"/>
      <c r="F99" s="104"/>
      <c r="G99" s="104"/>
      <c r="H99" s="104"/>
      <c r="I99" s="104"/>
      <c r="J99" s="104"/>
      <c r="K99" s="104"/>
      <c r="L99" s="104"/>
      <c r="M99" s="104"/>
      <c r="N99" s="104"/>
      <c r="O99" s="104"/>
      <c r="P99" s="104"/>
      <c r="Q99" s="104"/>
      <c r="R99" s="104"/>
      <c r="S99" s="104"/>
    </row>
    <row r="100" spans="2:19" s="102" customFormat="1" hidden="1" x14ac:dyDescent="0.2">
      <c r="B100" s="105"/>
      <c r="C100" s="106"/>
      <c r="E100" s="20"/>
      <c r="F100" s="104"/>
      <c r="G100" s="104"/>
      <c r="H100" s="104"/>
      <c r="I100" s="104"/>
      <c r="J100" s="104"/>
      <c r="K100" s="104"/>
      <c r="L100" s="104"/>
      <c r="M100" s="104"/>
      <c r="N100" s="104"/>
      <c r="O100" s="104"/>
      <c r="P100" s="104"/>
      <c r="Q100" s="104"/>
      <c r="R100" s="104"/>
      <c r="S100" s="104"/>
    </row>
    <row r="101" spans="2:19" s="102" customFormat="1" hidden="1" x14ac:dyDescent="0.2">
      <c r="B101" s="105"/>
      <c r="C101" s="106"/>
      <c r="E101" s="20"/>
      <c r="F101" s="104"/>
      <c r="G101" s="104"/>
      <c r="H101" s="104"/>
      <c r="I101" s="104"/>
      <c r="J101" s="104"/>
      <c r="K101" s="104"/>
      <c r="L101" s="104"/>
      <c r="M101" s="104"/>
      <c r="N101" s="104"/>
      <c r="O101" s="104"/>
      <c r="P101" s="104"/>
      <c r="Q101" s="104"/>
      <c r="R101" s="104"/>
      <c r="S101" s="104"/>
    </row>
    <row r="102" spans="2:19" s="102" customFormat="1" hidden="1" x14ac:dyDescent="0.2">
      <c r="B102" s="105"/>
      <c r="C102" s="106"/>
      <c r="E102" s="20"/>
      <c r="F102" s="104"/>
      <c r="G102" s="104"/>
      <c r="H102" s="104"/>
      <c r="I102" s="104"/>
      <c r="J102" s="104"/>
      <c r="K102" s="104"/>
      <c r="L102" s="104"/>
      <c r="M102" s="104"/>
      <c r="N102" s="104"/>
      <c r="O102" s="104"/>
      <c r="P102" s="104"/>
      <c r="Q102" s="104"/>
      <c r="R102" s="104"/>
      <c r="S102" s="104"/>
    </row>
    <row r="103" spans="2:19" s="102" customFormat="1" hidden="1" x14ac:dyDescent="0.2">
      <c r="B103" s="105"/>
      <c r="C103" s="106"/>
      <c r="E103" s="20"/>
      <c r="F103" s="104"/>
      <c r="G103" s="104"/>
      <c r="H103" s="104"/>
      <c r="I103" s="104"/>
      <c r="J103" s="104"/>
      <c r="K103" s="104"/>
      <c r="L103" s="104"/>
      <c r="M103" s="104"/>
      <c r="N103" s="104"/>
      <c r="O103" s="104"/>
      <c r="P103" s="104"/>
      <c r="Q103" s="104"/>
      <c r="R103" s="104"/>
      <c r="S103" s="104"/>
    </row>
    <row r="104" spans="2:19" s="102" customFormat="1" hidden="1" x14ac:dyDescent="0.2">
      <c r="B104" s="105"/>
      <c r="C104" s="106"/>
      <c r="E104" s="20"/>
      <c r="F104" s="104"/>
      <c r="G104" s="104"/>
      <c r="H104" s="104"/>
      <c r="I104" s="104"/>
      <c r="J104" s="104"/>
      <c r="K104" s="104"/>
      <c r="L104" s="104"/>
      <c r="M104" s="104"/>
      <c r="N104" s="104"/>
      <c r="O104" s="104"/>
      <c r="P104" s="104"/>
      <c r="Q104" s="104"/>
      <c r="R104" s="104"/>
      <c r="S104" s="104"/>
    </row>
    <row r="105" spans="2:19" s="102" customFormat="1" hidden="1" x14ac:dyDescent="0.2">
      <c r="B105" s="105"/>
      <c r="C105" s="106"/>
      <c r="E105" s="20"/>
      <c r="F105" s="104"/>
      <c r="G105" s="104"/>
      <c r="H105" s="104"/>
      <c r="I105" s="104"/>
      <c r="J105" s="104"/>
      <c r="K105" s="104"/>
      <c r="L105" s="104"/>
      <c r="M105" s="104"/>
      <c r="N105" s="104"/>
      <c r="O105" s="104"/>
      <c r="P105" s="104"/>
      <c r="Q105" s="104"/>
      <c r="R105" s="104"/>
      <c r="S105" s="104"/>
    </row>
    <row r="106" spans="2:19" s="102" customFormat="1" hidden="1" x14ac:dyDescent="0.2">
      <c r="B106" s="105"/>
      <c r="C106" s="106"/>
      <c r="E106" s="20"/>
      <c r="F106" s="104"/>
      <c r="G106" s="104"/>
      <c r="H106" s="104"/>
      <c r="I106" s="104"/>
      <c r="J106" s="104"/>
      <c r="K106" s="104"/>
      <c r="L106" s="104"/>
      <c r="M106" s="104"/>
      <c r="N106" s="104"/>
      <c r="O106" s="104"/>
      <c r="P106" s="104"/>
      <c r="Q106" s="104"/>
      <c r="R106" s="104"/>
      <c r="S106" s="104"/>
    </row>
    <row r="107" spans="2:19" s="102" customFormat="1" hidden="1" x14ac:dyDescent="0.2">
      <c r="B107" s="105"/>
      <c r="C107" s="106"/>
      <c r="E107" s="20"/>
      <c r="F107" s="104"/>
      <c r="G107" s="104"/>
      <c r="H107" s="104"/>
      <c r="I107" s="104"/>
      <c r="J107" s="104"/>
      <c r="K107" s="104"/>
      <c r="L107" s="104"/>
      <c r="M107" s="104"/>
      <c r="N107" s="104"/>
      <c r="O107" s="104"/>
      <c r="P107" s="104"/>
      <c r="Q107" s="104"/>
      <c r="R107" s="104"/>
      <c r="S107" s="104"/>
    </row>
    <row r="108" spans="2:19" s="102" customFormat="1" hidden="1" x14ac:dyDescent="0.2">
      <c r="B108" s="105"/>
      <c r="C108" s="106"/>
      <c r="E108" s="20"/>
      <c r="F108" s="104"/>
      <c r="G108" s="104"/>
      <c r="H108" s="104"/>
      <c r="I108" s="104"/>
      <c r="J108" s="104"/>
      <c r="K108" s="104"/>
      <c r="L108" s="104"/>
      <c r="M108" s="104"/>
      <c r="N108" s="104"/>
      <c r="O108" s="104"/>
      <c r="P108" s="104"/>
      <c r="Q108" s="104"/>
      <c r="R108" s="104"/>
      <c r="S108" s="104"/>
    </row>
    <row r="109" spans="2:19" s="102" customFormat="1" hidden="1" x14ac:dyDescent="0.2">
      <c r="B109" s="105"/>
      <c r="C109" s="106"/>
      <c r="E109" s="20"/>
      <c r="F109" s="104"/>
      <c r="G109" s="104"/>
      <c r="H109" s="104"/>
      <c r="I109" s="104"/>
      <c r="J109" s="104"/>
      <c r="K109" s="104"/>
      <c r="L109" s="104"/>
      <c r="M109" s="104"/>
      <c r="N109" s="104"/>
      <c r="O109" s="104"/>
      <c r="P109" s="104"/>
      <c r="Q109" s="104"/>
      <c r="R109" s="104"/>
      <c r="S109" s="104"/>
    </row>
    <row r="110" spans="2:19" s="102" customFormat="1" hidden="1" x14ac:dyDescent="0.2">
      <c r="B110" s="105"/>
      <c r="C110" s="106"/>
      <c r="E110" s="20"/>
      <c r="F110" s="104"/>
      <c r="G110" s="104"/>
      <c r="H110" s="104"/>
      <c r="I110" s="104"/>
      <c r="J110" s="104"/>
      <c r="K110" s="104"/>
      <c r="L110" s="104"/>
      <c r="M110" s="104"/>
      <c r="N110" s="104"/>
      <c r="O110" s="104"/>
      <c r="P110" s="104"/>
      <c r="Q110" s="104"/>
      <c r="R110" s="104"/>
      <c r="S110" s="104"/>
    </row>
    <row r="111" spans="2:19" s="102" customFormat="1" hidden="1" x14ac:dyDescent="0.2">
      <c r="B111" s="105"/>
      <c r="C111" s="106"/>
      <c r="E111" s="20"/>
      <c r="F111" s="104"/>
      <c r="G111" s="104"/>
      <c r="H111" s="104"/>
      <c r="I111" s="104"/>
      <c r="J111" s="104"/>
      <c r="K111" s="104"/>
      <c r="L111" s="104"/>
      <c r="M111" s="104"/>
      <c r="N111" s="104"/>
      <c r="O111" s="104"/>
      <c r="P111" s="104"/>
      <c r="Q111" s="104"/>
      <c r="R111" s="104"/>
      <c r="S111" s="104"/>
    </row>
    <row r="112" spans="2:19" s="102" customFormat="1" hidden="1" x14ac:dyDescent="0.2">
      <c r="B112" s="105"/>
      <c r="C112" s="106"/>
      <c r="E112" s="20"/>
      <c r="F112" s="104"/>
      <c r="G112" s="104"/>
      <c r="H112" s="104"/>
      <c r="I112" s="104"/>
      <c r="J112" s="104"/>
      <c r="K112" s="104"/>
      <c r="L112" s="104"/>
      <c r="M112" s="104"/>
      <c r="N112" s="104"/>
      <c r="O112" s="104"/>
      <c r="P112" s="104"/>
      <c r="Q112" s="104"/>
      <c r="R112" s="104"/>
      <c r="S112" s="104"/>
    </row>
    <row r="113" spans="2:19" s="102" customFormat="1" hidden="1" x14ac:dyDescent="0.2">
      <c r="B113" s="105"/>
      <c r="C113" s="106"/>
      <c r="E113" s="20"/>
      <c r="F113" s="104"/>
      <c r="G113" s="104"/>
      <c r="H113" s="104"/>
      <c r="I113" s="104"/>
      <c r="J113" s="104"/>
      <c r="K113" s="104"/>
      <c r="L113" s="104"/>
      <c r="M113" s="104"/>
      <c r="N113" s="104"/>
      <c r="O113" s="104"/>
      <c r="P113" s="104"/>
      <c r="Q113" s="104"/>
      <c r="R113" s="104"/>
      <c r="S113" s="104"/>
    </row>
    <row r="114" spans="2:19" s="102" customFormat="1" hidden="1" x14ac:dyDescent="0.2">
      <c r="B114" s="105"/>
      <c r="C114" s="106"/>
      <c r="E114" s="20"/>
      <c r="F114" s="104"/>
      <c r="G114" s="104"/>
      <c r="H114" s="104"/>
      <c r="I114" s="104"/>
      <c r="J114" s="104"/>
      <c r="K114" s="104"/>
      <c r="L114" s="104"/>
      <c r="M114" s="104"/>
      <c r="N114" s="104"/>
      <c r="O114" s="104"/>
      <c r="P114" s="104"/>
      <c r="Q114" s="104"/>
      <c r="R114" s="104"/>
      <c r="S114" s="104"/>
    </row>
    <row r="115" spans="2:19" s="102" customFormat="1" hidden="1" x14ac:dyDescent="0.2">
      <c r="B115" s="105"/>
      <c r="C115" s="106"/>
      <c r="E115" s="20"/>
      <c r="F115" s="104"/>
      <c r="G115" s="104"/>
      <c r="H115" s="104"/>
      <c r="I115" s="104"/>
      <c r="J115" s="104"/>
      <c r="K115" s="104"/>
      <c r="L115" s="104"/>
      <c r="M115" s="104"/>
      <c r="N115" s="104"/>
      <c r="O115" s="104"/>
      <c r="P115" s="104"/>
      <c r="Q115" s="104"/>
      <c r="R115" s="104"/>
      <c r="S115" s="104"/>
    </row>
    <row r="116" spans="2:19" s="102" customFormat="1" hidden="1" x14ac:dyDescent="0.2">
      <c r="B116" s="105"/>
      <c r="C116" s="106"/>
      <c r="E116" s="20"/>
      <c r="F116" s="104"/>
      <c r="G116" s="104"/>
      <c r="H116" s="104"/>
      <c r="I116" s="104"/>
      <c r="J116" s="104"/>
      <c r="K116" s="104"/>
      <c r="L116" s="104"/>
      <c r="M116" s="104"/>
      <c r="N116" s="104"/>
      <c r="O116" s="104"/>
      <c r="P116" s="104"/>
      <c r="Q116" s="104"/>
      <c r="R116" s="104"/>
      <c r="S116" s="104"/>
    </row>
    <row r="117" spans="2:19" s="102" customFormat="1" hidden="1" x14ac:dyDescent="0.2">
      <c r="B117" s="105"/>
      <c r="C117" s="106"/>
      <c r="E117" s="20"/>
      <c r="F117" s="104"/>
      <c r="G117" s="104"/>
      <c r="H117" s="104"/>
      <c r="I117" s="104"/>
      <c r="J117" s="104"/>
      <c r="K117" s="104"/>
      <c r="L117" s="104"/>
      <c r="M117" s="104"/>
      <c r="N117" s="104"/>
      <c r="O117" s="104"/>
      <c r="P117" s="104"/>
      <c r="Q117" s="104"/>
      <c r="R117" s="104"/>
      <c r="S117" s="104"/>
    </row>
    <row r="118" spans="2:19" s="102" customFormat="1" hidden="1" x14ac:dyDescent="0.2">
      <c r="B118" s="105"/>
      <c r="C118" s="106"/>
      <c r="E118" s="20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</row>
    <row r="119" spans="2:19" s="102" customFormat="1" hidden="1" x14ac:dyDescent="0.2">
      <c r="B119" s="105"/>
      <c r="C119" s="106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</row>
    <row r="120" spans="2:19" s="102" customFormat="1" hidden="1" x14ac:dyDescent="0.2">
      <c r="B120" s="105"/>
      <c r="C120" s="106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</row>
    <row r="121" spans="2:19" s="102" customFormat="1" hidden="1" x14ac:dyDescent="0.2">
      <c r="B121" s="105"/>
      <c r="C121" s="106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</row>
    <row r="122" spans="2:19" s="102" customFormat="1" x14ac:dyDescent="0.2">
      <c r="C122" s="106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</row>
    <row r="123" spans="2:19" s="102" customFormat="1" x14ac:dyDescent="0.2">
      <c r="C123" s="106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</row>
    <row r="124" spans="2:19" s="102" customFormat="1" x14ac:dyDescent="0.2">
      <c r="C124" s="106"/>
      <c r="F124" s="104"/>
      <c r="G124" s="104"/>
      <c r="H124" s="104"/>
      <c r="I124" s="104"/>
      <c r="J124" s="104"/>
      <c r="K124" s="104"/>
      <c r="L124" s="104"/>
      <c r="M124" s="104"/>
      <c r="N124" s="104"/>
      <c r="O124" s="104"/>
      <c r="P124" s="104"/>
      <c r="Q124" s="104"/>
      <c r="R124" s="104"/>
      <c r="S124" s="104"/>
    </row>
    <row r="125" spans="2:19" s="102" customFormat="1" x14ac:dyDescent="0.2">
      <c r="C125" s="106"/>
    </row>
    <row r="126" spans="2:19" s="102" customFormat="1" x14ac:dyDescent="0.2">
      <c r="C126" s="106"/>
    </row>
    <row r="127" spans="2:19" s="102" customFormat="1" ht="15" x14ac:dyDescent="0.25">
      <c r="C127" s="107"/>
      <c r="D127" s="107"/>
      <c r="E127" s="109"/>
      <c r="F127" s="241"/>
      <c r="G127" s="241"/>
      <c r="H127" s="241"/>
      <c r="I127" s="241"/>
      <c r="J127" s="241"/>
      <c r="K127" s="241"/>
      <c r="L127" s="241"/>
      <c r="M127" s="241"/>
      <c r="N127" s="241"/>
      <c r="O127" s="241"/>
      <c r="P127" s="241"/>
      <c r="Q127" s="241"/>
      <c r="R127" s="241"/>
      <c r="S127" s="241"/>
    </row>
    <row r="128" spans="2:19" s="102" customFormat="1" ht="15" x14ac:dyDescent="0.25">
      <c r="C128" s="107"/>
      <c r="D128" s="108"/>
      <c r="E128" s="10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108"/>
      <c r="Q128" s="108"/>
      <c r="R128" s="108"/>
      <c r="S128" s="108"/>
    </row>
    <row r="129" spans="2:19" s="102" customFormat="1" ht="15" x14ac:dyDescent="0.25">
      <c r="C129" s="10"/>
      <c r="D129" s="242"/>
      <c r="E129" s="242"/>
      <c r="F129" s="10"/>
      <c r="G129" s="10"/>
      <c r="H129" s="10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</row>
    <row r="130" spans="2:19" s="102" customFormat="1" ht="15" x14ac:dyDescent="0.25">
      <c r="C130" s="10"/>
      <c r="D130" s="10"/>
      <c r="E130" s="10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</row>
    <row r="131" spans="2:19" s="102" customFormat="1" x14ac:dyDescent="0.2">
      <c r="C131" s="107"/>
      <c r="E131" s="20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</row>
    <row r="132" spans="2:19" s="102" customFormat="1" x14ac:dyDescent="0.2">
      <c r="B132" s="105"/>
      <c r="C132" s="106"/>
      <c r="E132" s="20"/>
      <c r="F132" s="104"/>
      <c r="G132" s="104"/>
      <c r="H132" s="104"/>
      <c r="I132" s="104"/>
      <c r="J132" s="104"/>
      <c r="K132" s="104"/>
      <c r="L132" s="104"/>
      <c r="M132" s="104"/>
      <c r="N132" s="104"/>
      <c r="O132" s="104"/>
      <c r="P132" s="104"/>
      <c r="Q132" s="104"/>
      <c r="R132" s="104"/>
      <c r="S132" s="104"/>
    </row>
    <row r="133" spans="2:19" s="102" customFormat="1" x14ac:dyDescent="0.2">
      <c r="B133" s="105"/>
      <c r="C133" s="106"/>
      <c r="E133" s="20"/>
      <c r="F133" s="104"/>
      <c r="G133" s="104"/>
      <c r="H133" s="104"/>
      <c r="I133" s="104"/>
      <c r="J133" s="104"/>
      <c r="K133" s="104"/>
      <c r="L133" s="104"/>
      <c r="M133" s="104"/>
      <c r="N133" s="104"/>
      <c r="O133" s="104"/>
      <c r="P133" s="104"/>
      <c r="Q133" s="104"/>
      <c r="R133" s="104"/>
      <c r="S133" s="104"/>
    </row>
    <row r="134" spans="2:19" s="102" customFormat="1" x14ac:dyDescent="0.2">
      <c r="B134" s="105"/>
      <c r="C134" s="106"/>
      <c r="E134" s="20"/>
      <c r="F134" s="104"/>
      <c r="G134" s="104"/>
      <c r="H134" s="104"/>
      <c r="I134" s="104"/>
      <c r="J134" s="104"/>
      <c r="K134" s="104"/>
      <c r="L134" s="104"/>
      <c r="M134" s="104"/>
      <c r="N134" s="104"/>
      <c r="O134" s="104"/>
      <c r="P134" s="104"/>
      <c r="Q134" s="104"/>
      <c r="R134" s="104"/>
      <c r="S134" s="104"/>
    </row>
    <row r="135" spans="2:19" s="102" customFormat="1" x14ac:dyDescent="0.2">
      <c r="B135" s="105"/>
      <c r="C135" s="106"/>
      <c r="E135" s="20"/>
      <c r="F135" s="104"/>
      <c r="G135" s="104"/>
      <c r="H135" s="104"/>
      <c r="I135" s="104"/>
      <c r="J135" s="104"/>
      <c r="K135" s="104"/>
      <c r="L135" s="104"/>
      <c r="M135" s="104"/>
      <c r="N135" s="104"/>
      <c r="O135" s="104"/>
      <c r="P135" s="104"/>
      <c r="Q135" s="104"/>
      <c r="R135" s="104"/>
      <c r="S135" s="104"/>
    </row>
    <row r="136" spans="2:19" s="102" customFormat="1" x14ac:dyDescent="0.2">
      <c r="B136" s="105"/>
      <c r="C136" s="106"/>
      <c r="E136" s="20"/>
      <c r="F136" s="104"/>
      <c r="G136" s="104"/>
      <c r="H136" s="104"/>
      <c r="I136" s="104"/>
      <c r="J136" s="104"/>
      <c r="K136" s="104"/>
      <c r="L136" s="104"/>
      <c r="M136" s="104"/>
      <c r="N136" s="104"/>
      <c r="O136" s="104"/>
      <c r="P136" s="104"/>
      <c r="Q136" s="104"/>
      <c r="R136" s="104"/>
      <c r="S136" s="104"/>
    </row>
    <row r="137" spans="2:19" s="102" customFormat="1" x14ac:dyDescent="0.2">
      <c r="B137" s="105"/>
      <c r="C137" s="106"/>
      <c r="E137" s="20"/>
      <c r="F137" s="104"/>
      <c r="G137" s="104"/>
      <c r="H137" s="104"/>
      <c r="I137" s="104"/>
      <c r="J137" s="104"/>
      <c r="K137" s="104"/>
      <c r="L137" s="104"/>
      <c r="M137" s="104"/>
      <c r="N137" s="104"/>
      <c r="O137" s="104"/>
      <c r="P137" s="104"/>
      <c r="Q137" s="104"/>
      <c r="R137" s="104"/>
      <c r="S137" s="104"/>
    </row>
    <row r="138" spans="2:19" s="102" customFormat="1" x14ac:dyDescent="0.2">
      <c r="B138" s="105"/>
      <c r="C138" s="106"/>
      <c r="E138" s="20"/>
      <c r="F138" s="104"/>
      <c r="G138" s="104"/>
      <c r="H138" s="104"/>
      <c r="I138" s="104"/>
      <c r="J138" s="104"/>
      <c r="K138" s="104"/>
      <c r="L138" s="104"/>
      <c r="M138" s="104"/>
      <c r="N138" s="104"/>
      <c r="O138" s="104"/>
      <c r="P138" s="104"/>
      <c r="Q138" s="104"/>
      <c r="R138" s="104"/>
      <c r="S138" s="104"/>
    </row>
    <row r="139" spans="2:19" s="102" customFormat="1" x14ac:dyDescent="0.2">
      <c r="B139" s="105"/>
      <c r="C139" s="106"/>
      <c r="E139" s="20"/>
      <c r="F139" s="104"/>
      <c r="G139" s="104"/>
      <c r="H139" s="104"/>
      <c r="I139" s="104"/>
      <c r="J139" s="104"/>
      <c r="K139" s="104"/>
      <c r="L139" s="104"/>
      <c r="M139" s="104"/>
      <c r="N139" s="104"/>
      <c r="O139" s="104"/>
      <c r="P139" s="104"/>
      <c r="Q139" s="104"/>
      <c r="R139" s="104"/>
      <c r="S139" s="104"/>
    </row>
    <row r="140" spans="2:19" s="102" customFormat="1" x14ac:dyDescent="0.2">
      <c r="B140" s="105"/>
      <c r="C140" s="106"/>
      <c r="E140" s="20"/>
      <c r="F140" s="104"/>
      <c r="G140" s="104"/>
      <c r="H140" s="104"/>
      <c r="I140" s="104"/>
      <c r="J140" s="104"/>
      <c r="K140" s="104"/>
      <c r="L140" s="104"/>
      <c r="M140" s="104"/>
      <c r="N140" s="104"/>
      <c r="O140" s="104"/>
      <c r="P140" s="104"/>
      <c r="Q140" s="104"/>
      <c r="R140" s="104"/>
      <c r="S140" s="104"/>
    </row>
    <row r="141" spans="2:19" s="102" customFormat="1" x14ac:dyDescent="0.2">
      <c r="B141" s="105"/>
      <c r="C141" s="106"/>
      <c r="E141" s="20"/>
      <c r="F141" s="104"/>
      <c r="G141" s="104"/>
      <c r="H141" s="104"/>
      <c r="I141" s="104"/>
      <c r="J141" s="104"/>
      <c r="K141" s="104"/>
      <c r="L141" s="104"/>
      <c r="M141" s="104"/>
      <c r="N141" s="104"/>
      <c r="O141" s="104"/>
      <c r="P141" s="104"/>
      <c r="Q141" s="104"/>
      <c r="R141" s="104"/>
      <c r="S141" s="104"/>
    </row>
    <row r="142" spans="2:19" s="102" customFormat="1" x14ac:dyDescent="0.2">
      <c r="B142" s="105"/>
      <c r="C142" s="106"/>
      <c r="E142" s="20"/>
      <c r="F142" s="104"/>
      <c r="G142" s="104"/>
      <c r="H142" s="104"/>
      <c r="I142" s="104"/>
      <c r="J142" s="104"/>
      <c r="K142" s="104"/>
      <c r="L142" s="104"/>
      <c r="M142" s="104"/>
      <c r="N142" s="104"/>
      <c r="O142" s="104"/>
      <c r="P142" s="104"/>
      <c r="Q142" s="104"/>
      <c r="R142" s="104"/>
      <c r="S142" s="104"/>
    </row>
    <row r="143" spans="2:19" s="102" customFormat="1" x14ac:dyDescent="0.2">
      <c r="B143" s="105"/>
      <c r="C143" s="106"/>
      <c r="E143" s="20"/>
      <c r="F143" s="104"/>
      <c r="G143" s="104"/>
      <c r="H143" s="104"/>
      <c r="I143" s="104"/>
      <c r="J143" s="104"/>
      <c r="K143" s="104"/>
      <c r="L143" s="104"/>
      <c r="M143" s="104"/>
      <c r="N143" s="104"/>
      <c r="O143" s="104"/>
      <c r="P143" s="104"/>
      <c r="Q143" s="104"/>
      <c r="R143" s="104"/>
      <c r="S143" s="104"/>
    </row>
    <row r="144" spans="2:19" s="102" customFormat="1" x14ac:dyDescent="0.2">
      <c r="B144" s="105"/>
      <c r="C144" s="106"/>
      <c r="E144" s="20"/>
      <c r="F144" s="104"/>
      <c r="G144" s="104"/>
      <c r="H144" s="104"/>
      <c r="I144" s="104"/>
      <c r="J144" s="104"/>
      <c r="K144" s="104"/>
      <c r="L144" s="104"/>
      <c r="M144" s="104"/>
      <c r="N144" s="104"/>
      <c r="O144" s="104"/>
      <c r="P144" s="104"/>
      <c r="Q144" s="104"/>
      <c r="R144" s="104"/>
      <c r="S144" s="104"/>
    </row>
    <row r="145" spans="1:19" s="102" customFormat="1" x14ac:dyDescent="0.2">
      <c r="B145" s="105"/>
      <c r="C145" s="106"/>
      <c r="E145" s="20"/>
      <c r="F145" s="104"/>
      <c r="G145" s="104"/>
      <c r="H145" s="104"/>
      <c r="I145" s="104"/>
      <c r="J145" s="104"/>
      <c r="K145" s="104"/>
      <c r="L145" s="104"/>
      <c r="M145" s="104"/>
      <c r="N145" s="104"/>
      <c r="O145" s="104"/>
      <c r="P145" s="104"/>
      <c r="Q145" s="104"/>
      <c r="R145" s="104"/>
      <c r="S145" s="104"/>
    </row>
    <row r="146" spans="1:19" s="102" customFormat="1" x14ac:dyDescent="0.2">
      <c r="B146" s="105"/>
      <c r="C146" s="106"/>
      <c r="E146" s="20"/>
      <c r="F146" s="104"/>
      <c r="G146" s="104"/>
      <c r="H146" s="104"/>
      <c r="I146" s="104"/>
      <c r="J146" s="104"/>
      <c r="K146" s="104"/>
      <c r="L146" s="104"/>
      <c r="M146" s="104"/>
      <c r="N146" s="104"/>
      <c r="O146" s="104"/>
      <c r="P146" s="104"/>
      <c r="Q146" s="104"/>
      <c r="R146" s="104"/>
      <c r="S146" s="104"/>
    </row>
    <row r="147" spans="1:19" s="102" customFormat="1" x14ac:dyDescent="0.2">
      <c r="B147" s="105"/>
      <c r="C147" s="106"/>
      <c r="E147" s="20"/>
      <c r="F147" s="104"/>
      <c r="G147" s="104"/>
      <c r="H147" s="104"/>
      <c r="I147" s="104"/>
      <c r="J147" s="104"/>
      <c r="K147" s="104"/>
      <c r="L147" s="104"/>
      <c r="M147" s="104"/>
      <c r="N147" s="104"/>
      <c r="O147" s="104"/>
      <c r="P147" s="104"/>
      <c r="Q147" s="104"/>
      <c r="R147" s="104"/>
      <c r="S147" s="104"/>
    </row>
    <row r="148" spans="1:19" s="102" customFormat="1" x14ac:dyDescent="0.2">
      <c r="B148" s="105"/>
      <c r="C148" s="106"/>
      <c r="E148" s="20"/>
      <c r="F148" s="104"/>
      <c r="G148" s="104"/>
      <c r="H148" s="104"/>
      <c r="I148" s="104"/>
      <c r="J148" s="104"/>
      <c r="K148" s="104"/>
      <c r="L148" s="104"/>
      <c r="M148" s="104"/>
      <c r="N148" s="104"/>
      <c r="O148" s="104"/>
      <c r="P148" s="104"/>
      <c r="Q148" s="104"/>
      <c r="R148" s="104"/>
      <c r="S148" s="104"/>
    </row>
    <row r="149" spans="1:19" s="102" customFormat="1" x14ac:dyDescent="0.2">
      <c r="B149" s="105"/>
      <c r="C149" s="106"/>
      <c r="E149" s="20"/>
      <c r="F149" s="104"/>
      <c r="G149" s="104"/>
      <c r="H149" s="104"/>
      <c r="I149" s="104"/>
      <c r="J149" s="104"/>
      <c r="K149" s="104"/>
      <c r="L149" s="104"/>
      <c r="M149" s="104"/>
      <c r="N149" s="104"/>
      <c r="O149" s="104"/>
      <c r="P149" s="104"/>
      <c r="Q149" s="104"/>
      <c r="R149" s="104"/>
      <c r="S149" s="104"/>
    </row>
    <row r="150" spans="1:19" s="102" customFormat="1" x14ac:dyDescent="0.2">
      <c r="B150" s="105"/>
      <c r="C150" s="106"/>
      <c r="E150" s="20"/>
      <c r="F150" s="104"/>
      <c r="G150" s="104"/>
      <c r="H150" s="104"/>
      <c r="I150" s="104"/>
      <c r="J150" s="104"/>
      <c r="K150" s="104"/>
      <c r="L150" s="104"/>
      <c r="M150" s="104"/>
      <c r="N150" s="104"/>
      <c r="O150" s="104"/>
      <c r="P150" s="104"/>
      <c r="Q150" s="104"/>
      <c r="R150" s="104"/>
      <c r="S150" s="104"/>
    </row>
    <row r="151" spans="1:19" s="102" customFormat="1" x14ac:dyDescent="0.2">
      <c r="B151" s="105"/>
      <c r="C151" s="106"/>
      <c r="D151" s="18"/>
      <c r="E151" s="91"/>
      <c r="F151"/>
      <c r="G151"/>
      <c r="H151"/>
      <c r="I151"/>
      <c r="J151" s="104"/>
      <c r="K151" s="104"/>
      <c r="L151" s="104"/>
      <c r="M151" s="104"/>
      <c r="N151" s="104"/>
      <c r="O151" s="104"/>
      <c r="P151" s="104"/>
      <c r="Q151" s="104"/>
      <c r="R151" s="104"/>
      <c r="S151" s="104"/>
    </row>
    <row r="152" spans="1:19" s="102" customFormat="1" x14ac:dyDescent="0.2">
      <c r="B152" s="105"/>
      <c r="C152" s="1"/>
      <c r="D152" s="20" t="s">
        <v>107</v>
      </c>
      <c r="E152"/>
      <c r="F152"/>
      <c r="G152"/>
      <c r="H152"/>
      <c r="I152"/>
      <c r="J152" s="104"/>
      <c r="K152" s="104"/>
      <c r="L152" s="104"/>
      <c r="M152" s="104"/>
      <c r="N152" s="104"/>
      <c r="O152" s="104"/>
      <c r="P152" s="104"/>
      <c r="Q152" s="104"/>
      <c r="R152" s="104"/>
      <c r="S152" s="104"/>
    </row>
    <row r="153" spans="1:19" s="102" customFormat="1" ht="16.5" x14ac:dyDescent="0.2">
      <c r="B153" s="105"/>
      <c r="C153"/>
      <c r="D153" s="79">
        <v>1</v>
      </c>
      <c r="E153" s="21" t="str">
        <f>"The Value Line Investment Survey Investment Analyzer Software, downloaded on "&amp;TEXT('2017'!$A$1,"mmmm d, yyyy.")</f>
        <v>The Value Line Investment Survey Investment Analyzer Software, downloaded on June 21, 2018.</v>
      </c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</row>
    <row r="154" spans="1:19" ht="16.5" x14ac:dyDescent="0.2">
      <c r="A154" s="31"/>
      <c r="B154" s="31"/>
      <c r="D154" s="79">
        <v>2</v>
      </c>
      <c r="E154" s="21" t="str">
        <f>"The Value Line Investment Survey, "&amp;'2018 Data (WP)'!$D$2</f>
        <v>The Value Line Investment Survey, November 30, 2018.</v>
      </c>
    </row>
    <row r="155" spans="1:19" ht="16.5" x14ac:dyDescent="0.2">
      <c r="A155" s="31"/>
      <c r="B155" s="31"/>
      <c r="D155" s="79">
        <v>3</v>
      </c>
      <c r="E155" s="22" t="s">
        <v>416</v>
      </c>
    </row>
    <row r="156" spans="1:19" ht="16.5" x14ac:dyDescent="0.2">
      <c r="A156" s="31"/>
      <c r="B156" s="31"/>
      <c r="D156" s="79">
        <v>4</v>
      </c>
      <c r="E156" t="str">
        <f>"www.moodys.com, Bond Yields and Key Indicators, through "&amp;'Annual Yields (WP)'!$E$1&amp;"."</f>
        <v>www.moodys.com, Bond Yields and Key Indicators, through December 14, 2018.</v>
      </c>
    </row>
    <row r="157" spans="1:19" x14ac:dyDescent="0.2">
      <c r="A157" s="31"/>
      <c r="B157" s="31"/>
      <c r="D157" s="20" t="s">
        <v>329</v>
      </c>
    </row>
    <row r="158" spans="1:19" ht="16.5" x14ac:dyDescent="0.2">
      <c r="A158" s="31"/>
      <c r="B158" s="31"/>
      <c r="D158" s="79" t="s">
        <v>355</v>
      </c>
      <c r="E158" s="21" t="str">
        <f>"Based on the average of the high and low price for 2017 and the projected 2017 Dividends Declared per share, "</f>
        <v xml:space="preserve">Based on the average of the high and low price for 2017 and the projected 2017 Dividends Declared per share, </v>
      </c>
    </row>
    <row r="159" spans="1:19" x14ac:dyDescent="0.2">
      <c r="A159" s="31"/>
      <c r="B159" s="31"/>
      <c r="E159" t="str">
        <f>"published in The Value Line Investment Survey, "&amp;'2018 Data (WP)'!$D$2</f>
        <v>published in The Value Line Investment Survey, November 30, 2018.</v>
      </c>
    </row>
    <row r="160" spans="1:19" ht="16.5" x14ac:dyDescent="0.2">
      <c r="D160" s="79" t="s">
        <v>356</v>
      </c>
      <c r="E160" t="s">
        <v>495</v>
      </c>
    </row>
    <row r="161" spans="4:5" ht="16.5" x14ac:dyDescent="0.2">
      <c r="D161" s="79" t="s">
        <v>357</v>
      </c>
      <c r="E161" t="s">
        <v>498</v>
      </c>
    </row>
    <row r="162" spans="4:5" ht="16.5" x14ac:dyDescent="0.2">
      <c r="D162" s="79" t="s">
        <v>496</v>
      </c>
      <c r="E162" t="s">
        <v>513</v>
      </c>
    </row>
    <row r="163" spans="4:5" ht="16.5" x14ac:dyDescent="0.2">
      <c r="D163" s="79" t="s">
        <v>497</v>
      </c>
      <c r="E163" t="s">
        <v>507</v>
      </c>
    </row>
    <row r="164" spans="4:5" ht="16.5" x14ac:dyDescent="0.2">
      <c r="D164" s="79" t="s">
        <v>503</v>
      </c>
      <c r="E164" t="s">
        <v>505</v>
      </c>
    </row>
    <row r="165" spans="4:5" ht="16.5" x14ac:dyDescent="0.2">
      <c r="D165" s="79" t="s">
        <v>504</v>
      </c>
      <c r="E165" t="s">
        <v>506</v>
      </c>
    </row>
  </sheetData>
  <mergeCells count="10">
    <mergeCell ref="C1:S1"/>
    <mergeCell ref="C4:S4"/>
    <mergeCell ref="C5:S5"/>
    <mergeCell ref="F127:S127"/>
    <mergeCell ref="D129:E129"/>
    <mergeCell ref="D10:E10"/>
    <mergeCell ref="F8:S8"/>
    <mergeCell ref="D72:E72"/>
    <mergeCell ref="D76:E76"/>
    <mergeCell ref="D68:E68"/>
  </mergeCells>
  <printOptions horizontalCentered="1"/>
  <pageMargins left="0.7" right="0.7" top="1" bottom="0.75" header="0.55000000000000004" footer="0.51"/>
  <pageSetup scale="43" orientation="portrait" useFirstPageNumber="1" r:id="rId1"/>
  <headerFooter>
    <oddHeader>&amp;R&amp;17Exhibit MPG-2
Page 2 of 5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pageSetUpPr fitToPage="1"/>
  </sheetPr>
  <dimension ref="A1:AY70"/>
  <sheetViews>
    <sheetView zoomScale="70" zoomScaleNormal="70" workbookViewId="0">
      <selection activeCell="O78" sqref="O78"/>
    </sheetView>
  </sheetViews>
  <sheetFormatPr defaultRowHeight="14.25" x14ac:dyDescent="0.2"/>
  <cols>
    <col min="1" max="2" width="8" customWidth="1"/>
    <col min="3" max="3" width="5.875" bestFit="1" customWidth="1"/>
    <col min="4" max="4" width="1.75" customWidth="1"/>
    <col min="5" max="5" width="34.625" customWidth="1"/>
    <col min="6" max="6" width="9.75" bestFit="1" customWidth="1"/>
    <col min="7" max="19" width="9" customWidth="1"/>
    <col min="20" max="20" width="9" hidden="1" customWidth="1"/>
    <col min="21" max="23" width="8.75" hidden="1" customWidth="1"/>
    <col min="24" max="26" width="0" hidden="1" customWidth="1"/>
    <col min="27" max="27" width="9.875" hidden="1" customWidth="1"/>
    <col min="28" max="51" width="0" hidden="1" customWidth="1"/>
  </cols>
  <sheetData>
    <row r="1" spans="1:51" ht="27.75" x14ac:dyDescent="0.4">
      <c r="C1" s="236" t="str">
        <f>GasU</f>
        <v>Enter Utility Name</v>
      </c>
      <c r="D1" s="236"/>
      <c r="E1" s="236"/>
      <c r="F1" s="236"/>
      <c r="G1" s="236"/>
      <c r="H1" s="236"/>
      <c r="I1" s="236"/>
      <c r="J1" s="236"/>
      <c r="K1" s="236"/>
      <c r="L1" s="236"/>
      <c r="M1" s="236"/>
      <c r="N1" s="236"/>
      <c r="O1" s="236"/>
      <c r="P1" s="236"/>
      <c r="Q1" s="236"/>
      <c r="R1" s="236"/>
      <c r="S1" s="236"/>
      <c r="T1" s="236"/>
      <c r="U1" s="236"/>
      <c r="V1" s="129"/>
      <c r="W1" s="129"/>
    </row>
    <row r="2" spans="1:51" x14ac:dyDescent="0.2">
      <c r="C2" s="4"/>
      <c r="D2" s="5"/>
      <c r="E2" s="6"/>
      <c r="F2" s="6"/>
      <c r="G2" s="6"/>
      <c r="H2" s="6"/>
      <c r="I2" s="6"/>
      <c r="J2" s="6"/>
      <c r="K2" s="6"/>
      <c r="L2" s="6"/>
      <c r="M2" s="6"/>
      <c r="N2" s="6"/>
      <c r="O2" s="7"/>
      <c r="P2" s="7"/>
      <c r="Q2" s="7"/>
      <c r="R2" s="7"/>
      <c r="S2" s="7"/>
      <c r="T2" s="7"/>
      <c r="U2" s="7"/>
      <c r="V2" s="7"/>
    </row>
    <row r="3" spans="1:51" x14ac:dyDescent="0.2">
      <c r="C3" s="4"/>
      <c r="D3" s="5"/>
      <c r="E3" s="6"/>
      <c r="F3" s="6"/>
      <c r="G3" s="6"/>
      <c r="H3" s="6"/>
      <c r="I3" s="6"/>
      <c r="J3" s="6"/>
      <c r="K3" s="6"/>
      <c r="L3" s="6"/>
      <c r="M3" s="6"/>
      <c r="N3" s="6"/>
      <c r="O3" s="7"/>
      <c r="P3" s="7"/>
      <c r="Q3" s="7"/>
      <c r="R3" s="7"/>
      <c r="S3" s="7"/>
      <c r="T3" s="7"/>
      <c r="U3" s="7"/>
      <c r="V3" s="7"/>
    </row>
    <row r="4" spans="1:51" ht="20.25" x14ac:dyDescent="0.3">
      <c r="C4" s="237" t="s">
        <v>273</v>
      </c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130"/>
      <c r="W4" s="130"/>
    </row>
    <row r="5" spans="1:51" ht="18" x14ac:dyDescent="0.25">
      <c r="C5" s="238" t="s">
        <v>274</v>
      </c>
      <c r="D5" s="238"/>
      <c r="E5" s="238"/>
      <c r="F5" s="238"/>
      <c r="G5" s="238"/>
      <c r="H5" s="238"/>
      <c r="I5" s="238"/>
      <c r="J5" s="238"/>
      <c r="K5" s="238"/>
      <c r="L5" s="238"/>
      <c r="M5" s="238"/>
      <c r="N5" s="238"/>
      <c r="O5" s="238"/>
      <c r="P5" s="238"/>
      <c r="Q5" s="238"/>
      <c r="R5" s="238"/>
      <c r="S5" s="238"/>
      <c r="T5" s="238"/>
      <c r="U5" s="238"/>
      <c r="V5" s="131"/>
      <c r="W5" s="131"/>
    </row>
    <row r="6" spans="1:51" x14ac:dyDescent="0.2">
      <c r="C6" s="6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51" x14ac:dyDescent="0.2">
      <c r="C7" s="6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51" ht="17.25" x14ac:dyDescent="0.25">
      <c r="C8" s="6"/>
      <c r="D8" s="7"/>
      <c r="E8" s="7"/>
      <c r="F8" s="239" t="s">
        <v>381</v>
      </c>
      <c r="G8" s="239"/>
      <c r="H8" s="239"/>
      <c r="I8" s="239"/>
      <c r="J8" s="239"/>
      <c r="K8" s="239"/>
      <c r="L8" s="239"/>
      <c r="M8" s="239"/>
      <c r="N8" s="239"/>
      <c r="O8" s="239"/>
      <c r="P8" s="239"/>
      <c r="Q8" s="239"/>
      <c r="R8" s="239"/>
      <c r="S8" s="239"/>
      <c r="T8" s="239"/>
      <c r="U8" s="239"/>
      <c r="V8" s="132"/>
      <c r="W8" s="132"/>
    </row>
    <row r="9" spans="1:51" ht="15" x14ac:dyDescent="0.25">
      <c r="A9" s="42" t="s">
        <v>99</v>
      </c>
      <c r="B9" s="42" t="s">
        <v>241</v>
      </c>
      <c r="C9" s="6"/>
      <c r="D9" s="7"/>
      <c r="E9" s="7"/>
      <c r="F9" s="8" t="s">
        <v>429</v>
      </c>
      <c r="G9" s="116">
        <v>2017</v>
      </c>
      <c r="H9" s="116"/>
      <c r="I9" s="8"/>
      <c r="J9" s="8"/>
      <c r="K9" s="8"/>
      <c r="L9" s="8"/>
      <c r="M9" s="8"/>
      <c r="N9" s="7"/>
      <c r="O9" s="7"/>
      <c r="P9" s="7"/>
      <c r="Q9" s="7"/>
      <c r="R9" s="7"/>
      <c r="S9" s="7"/>
      <c r="T9" s="210">
        <v>2018</v>
      </c>
      <c r="U9" s="210">
        <v>2017</v>
      </c>
      <c r="V9" s="210">
        <v>2017</v>
      </c>
      <c r="W9" s="210"/>
      <c r="X9" s="210"/>
      <c r="Y9" s="210" t="s">
        <v>473</v>
      </c>
      <c r="Z9" s="210" t="s">
        <v>476</v>
      </c>
      <c r="AA9" s="7"/>
      <c r="AB9" s="210" t="s">
        <v>478</v>
      </c>
      <c r="AC9" s="210" t="s">
        <v>479</v>
      </c>
      <c r="AD9" s="210" t="s">
        <v>481</v>
      </c>
      <c r="AE9" s="210"/>
      <c r="AF9" s="210"/>
      <c r="AG9" s="210"/>
      <c r="AH9" s="210"/>
      <c r="AI9" s="210"/>
    </row>
    <row r="10" spans="1:51" ht="17.25" x14ac:dyDescent="0.25">
      <c r="A10" s="42" t="s">
        <v>100</v>
      </c>
      <c r="B10" s="42" t="s">
        <v>242</v>
      </c>
      <c r="C10" s="9" t="s">
        <v>96</v>
      </c>
      <c r="D10" s="234" t="s">
        <v>97</v>
      </c>
      <c r="E10" s="234"/>
      <c r="F10" s="10" t="s">
        <v>98</v>
      </c>
      <c r="G10" s="41" t="s">
        <v>422</v>
      </c>
      <c r="H10" s="41">
        <v>2017</v>
      </c>
      <c r="I10" s="41">
        <v>2016</v>
      </c>
      <c r="J10" s="41">
        <v>2015</v>
      </c>
      <c r="K10" s="41">
        <v>2014</v>
      </c>
      <c r="L10" s="41">
        <v>2013</v>
      </c>
      <c r="M10" s="41">
        <v>2012</v>
      </c>
      <c r="N10" s="41">
        <v>2011</v>
      </c>
      <c r="O10" s="41">
        <v>2010</v>
      </c>
      <c r="P10" s="41">
        <v>2009</v>
      </c>
      <c r="Q10" s="41">
        <v>2008</v>
      </c>
      <c r="R10" s="41">
        <v>2007</v>
      </c>
      <c r="S10" s="41">
        <v>2006</v>
      </c>
      <c r="T10" s="41" t="s">
        <v>471</v>
      </c>
      <c r="U10" s="41" t="s">
        <v>471</v>
      </c>
      <c r="V10" s="41" t="s">
        <v>482</v>
      </c>
      <c r="W10" s="41" t="s">
        <v>482</v>
      </c>
      <c r="X10" s="41"/>
      <c r="Y10" s="41" t="s">
        <v>474</v>
      </c>
      <c r="Z10" s="41" t="s">
        <v>477</v>
      </c>
      <c r="AA10" s="212" t="s">
        <v>475</v>
      </c>
      <c r="AB10" s="41" t="s">
        <v>474</v>
      </c>
      <c r="AC10" s="41" t="s">
        <v>480</v>
      </c>
      <c r="AD10" s="41" t="s">
        <v>474</v>
      </c>
      <c r="AE10" s="41"/>
      <c r="AF10" s="41"/>
      <c r="AG10" s="41"/>
      <c r="AH10" s="41"/>
      <c r="AI10" s="41"/>
    </row>
    <row r="11" spans="1:51" ht="15" x14ac:dyDescent="0.25">
      <c r="A11" s="42"/>
      <c r="B11" s="42"/>
      <c r="C11" s="9"/>
      <c r="D11" s="128"/>
      <c r="E11" s="128"/>
      <c r="F11" s="12">
        <v>-1</v>
      </c>
      <c r="G11" s="12">
        <f t="shared" ref="G11" si="0">+F11-1</f>
        <v>-2</v>
      </c>
      <c r="H11" s="12">
        <f t="shared" ref="H11" si="1">+G11-1</f>
        <v>-3</v>
      </c>
      <c r="I11" s="12">
        <f t="shared" ref="I11" si="2">+H11-1</f>
        <v>-4</v>
      </c>
      <c r="J11" s="12">
        <f t="shared" ref="J11" si="3">+I11-1</f>
        <v>-5</v>
      </c>
      <c r="K11" s="12">
        <f t="shared" ref="K11" si="4">+J11-1</f>
        <v>-6</v>
      </c>
      <c r="L11" s="12">
        <f t="shared" ref="L11" si="5">+K11-1</f>
        <v>-7</v>
      </c>
      <c r="M11" s="12">
        <f t="shared" ref="M11" si="6">+L11-1</f>
        <v>-8</v>
      </c>
      <c r="N11" s="12">
        <f t="shared" ref="N11" si="7">+M11-1</f>
        <v>-9</v>
      </c>
      <c r="O11" s="12">
        <f t="shared" ref="O11" si="8">+N11-1</f>
        <v>-10</v>
      </c>
      <c r="P11" s="12">
        <f t="shared" ref="P11" si="9">+O11-1</f>
        <v>-11</v>
      </c>
      <c r="Q11" s="12">
        <f t="shared" ref="Q11" si="10">+P11-1</f>
        <v>-12</v>
      </c>
      <c r="R11" s="12">
        <f t="shared" ref="R11" si="11">+Q11-1</f>
        <v>-13</v>
      </c>
      <c r="S11" s="12">
        <f t="shared" ref="S11:T11" si="12">+R11-1</f>
        <v>-14</v>
      </c>
      <c r="T11" s="12">
        <f t="shared" si="12"/>
        <v>-15</v>
      </c>
      <c r="U11" s="12"/>
      <c r="V11" s="12"/>
      <c r="W11" s="12"/>
      <c r="X11" s="12"/>
      <c r="Y11" s="12"/>
      <c r="Z11" s="12"/>
      <c r="AA11" s="12"/>
    </row>
    <row r="12" spans="1:51" ht="15" x14ac:dyDescent="0.25">
      <c r="A12" s="43"/>
      <c r="B12" s="44"/>
      <c r="C12" s="9"/>
      <c r="D12" s="14" t="s">
        <v>101</v>
      </c>
      <c r="E12" s="11"/>
      <c r="F12" s="36"/>
      <c r="G12" s="36"/>
      <c r="H12" s="36"/>
      <c r="I12" s="134">
        <f t="shared" ref="I12:S12" ca="1" si="13">MATCH(I10,OFFSET(Dividends,-2,0,1,),0)</f>
        <v>2</v>
      </c>
      <c r="J12" s="134">
        <f t="shared" ca="1" si="13"/>
        <v>3</v>
      </c>
      <c r="K12" s="134">
        <f t="shared" ca="1" si="13"/>
        <v>4</v>
      </c>
      <c r="L12" s="134">
        <f t="shared" ca="1" si="13"/>
        <v>5</v>
      </c>
      <c r="M12" s="134">
        <f t="shared" ca="1" si="13"/>
        <v>6</v>
      </c>
      <c r="N12" s="134">
        <f t="shared" ca="1" si="13"/>
        <v>7</v>
      </c>
      <c r="O12" s="134">
        <f t="shared" ca="1" si="13"/>
        <v>8</v>
      </c>
      <c r="P12" s="134">
        <f t="shared" ca="1" si="13"/>
        <v>9</v>
      </c>
      <c r="Q12" s="134">
        <f t="shared" ca="1" si="13"/>
        <v>10</v>
      </c>
      <c r="R12" s="134">
        <f t="shared" ca="1" si="13"/>
        <v>11</v>
      </c>
      <c r="S12" s="134">
        <f t="shared" ca="1" si="13"/>
        <v>12</v>
      </c>
      <c r="T12" s="16"/>
      <c r="U12" s="16"/>
      <c r="V12" s="16"/>
      <c r="W12" s="16"/>
      <c r="X12" s="16"/>
      <c r="Y12" s="16"/>
      <c r="Z12" s="16"/>
      <c r="AA12" s="16"/>
      <c r="AJ12">
        <v>2018</v>
      </c>
      <c r="AK12">
        <v>2017</v>
      </c>
      <c r="AL12">
        <v>2016</v>
      </c>
      <c r="AM12">
        <v>2015</v>
      </c>
      <c r="AN12">
        <v>2014</v>
      </c>
      <c r="AO12">
        <v>2013</v>
      </c>
      <c r="AP12">
        <v>2012</v>
      </c>
      <c r="AQ12">
        <v>2011</v>
      </c>
      <c r="AR12">
        <v>2010</v>
      </c>
      <c r="AS12">
        <v>2009</v>
      </c>
      <c r="AT12">
        <v>2008</v>
      </c>
      <c r="AU12">
        <v>2007</v>
      </c>
      <c r="AV12">
        <v>2006</v>
      </c>
    </row>
    <row r="13" spans="1:51" x14ac:dyDescent="0.2">
      <c r="A13" s="45" t="s">
        <v>175</v>
      </c>
      <c r="B13" s="117">
        <f t="shared" ref="B13:B57" ca="1" si="14">IFERROR(MATCH(A13,OFFSET(Dividends,0,0,,1),0),"")</f>
        <v>12</v>
      </c>
      <c r="C13" s="1">
        <f ca="1">IF(ISERROR(D13),"",IF(D13="","",MAX($C$12:C12)+1))</f>
        <v>1</v>
      </c>
      <c r="D13" t="str">
        <f t="shared" ref="D13:D57" ca="1" si="15">VLOOKUP(A13,LUCurYr,2,FALSE)</f>
        <v>Atmos Energy</v>
      </c>
      <c r="E13" s="15"/>
      <c r="F13" s="133">
        <f t="shared" ref="F13:F57" ca="1" si="16">IFERROR(AVERAGE(G13:S13),"N/A")</f>
        <v>1.4692307692307696</v>
      </c>
      <c r="G13" s="133">
        <f t="shared" ref="G13:G57" si="17">IFERROR(IF(VLOOKUP(A13,LUCurYr,9,FALSE)=0,"",VLOOKUP(A13,LUCurYr,9,FALSE)),"N/A")</f>
        <v>1.94</v>
      </c>
      <c r="H13" s="133">
        <f ca="1">IFERROR(IF(VLOOKUP($A13,LASTYR,'2017'!$I$3,FALSE)=0,"N/A",VLOOKUP($A13,LASTYR,'2017'!$I$3,FALSE)),"N/A")</f>
        <v>1.8</v>
      </c>
      <c r="I13" s="133">
        <f t="shared" ref="I13:S28" ca="1" si="18">IFERROR(IF(INDEX(Dividends,$B13,I$12)=0,"N/A",INDEX(Dividends,$B13,I$12)),"N/A")</f>
        <v>1.68</v>
      </c>
      <c r="J13" s="133">
        <f t="shared" ca="1" si="18"/>
        <v>1.56</v>
      </c>
      <c r="K13" s="133">
        <f t="shared" ca="1" si="18"/>
        <v>1.48</v>
      </c>
      <c r="L13" s="133">
        <f t="shared" ca="1" si="18"/>
        <v>1.4</v>
      </c>
      <c r="M13" s="133">
        <f t="shared" ca="1" si="18"/>
        <v>1.38</v>
      </c>
      <c r="N13" s="133">
        <f t="shared" ca="1" si="18"/>
        <v>1.36</v>
      </c>
      <c r="O13" s="133">
        <f t="shared" ca="1" si="18"/>
        <v>1.34</v>
      </c>
      <c r="P13" s="133">
        <f t="shared" ca="1" si="18"/>
        <v>1.32</v>
      </c>
      <c r="Q13" s="133">
        <f t="shared" ca="1" si="18"/>
        <v>1.3</v>
      </c>
      <c r="R13" s="133">
        <f t="shared" ca="1" si="18"/>
        <v>1.28</v>
      </c>
      <c r="S13" s="133">
        <f t="shared" ca="1" si="18"/>
        <v>1.26</v>
      </c>
      <c r="T13" s="80">
        <f ca="1">IFERROR(IF(G13&gt;0,((G13/VLOOKUP(A13,$A$13:$S$53,AX13,0))^(1/(AD13)))-1,"N/A"),"N/A")</f>
        <v>3.6885021154575259E-2</v>
      </c>
      <c r="U13" s="80">
        <f ca="1">IFERROR(IF(H13&gt;0,((H13/VLOOKUP(A13,$A$13:$S$53,AX13,0))^(1/(Y13)))-1,"N/A"),"N/A")</f>
        <v>3.2956413242881455E-2</v>
      </c>
      <c r="V13" s="133">
        <f ca="1">+S13*(1+U13)^11</f>
        <v>1.8000000000000012</v>
      </c>
      <c r="W13" s="80" t="b">
        <f ca="1">ROUND(V13,10)=ROUND(H13,10)</f>
        <v>1</v>
      </c>
      <c r="X13" s="80"/>
      <c r="Y13" s="211">
        <f ca="1">AW13-2</f>
        <v>11</v>
      </c>
      <c r="Z13" s="208">
        <f t="shared" ref="Z13:Z53" si="19">IFERROR(IF(VLOOKUP(A13,LUCurYr,16,FALSE)=0,"",VLOOKUP(A13,LUCurYr,16,FALSE)),"N/A")</f>
        <v>43434</v>
      </c>
      <c r="AA13" s="217">
        <v>43100</v>
      </c>
      <c r="AB13" s="213">
        <f t="shared" ref="AB13:AB57" si="20">Z13-AA13</f>
        <v>334</v>
      </c>
      <c r="AC13" s="214">
        <f>AB13/365</f>
        <v>0.91506849315068495</v>
      </c>
      <c r="AD13" s="214">
        <f t="shared" ref="AD13:AD57" ca="1" si="21">Y13+AC13</f>
        <v>11.915068493150685</v>
      </c>
      <c r="AE13" s="215">
        <f t="shared" ref="AE13:AE58" ca="1" si="22">(G13/S13)^(1/AD13)-1</f>
        <v>3.6885021154575259E-2</v>
      </c>
      <c r="AF13" s="215"/>
      <c r="AG13" s="215"/>
      <c r="AH13" s="215"/>
      <c r="AI13" s="215"/>
      <c r="AJ13" t="b">
        <f t="shared" ref="AJ13:AJ53" si="23">ISNUMBER(G13)</f>
        <v>1</v>
      </c>
      <c r="AK13" t="b">
        <f t="shared" ref="AK13:AK53" ca="1" si="24">ISNUMBER(H13)</f>
        <v>1</v>
      </c>
      <c r="AL13" t="b">
        <f t="shared" ref="AL13:AL53" ca="1" si="25">ISNUMBER(I13)</f>
        <v>1</v>
      </c>
      <c r="AM13" t="b">
        <f t="shared" ref="AM13:AM53" ca="1" si="26">ISNUMBER(J13)</f>
        <v>1</v>
      </c>
      <c r="AN13" t="b">
        <f t="shared" ref="AN13:AN53" ca="1" si="27">ISNUMBER(K13)</f>
        <v>1</v>
      </c>
      <c r="AO13" t="b">
        <f t="shared" ref="AO13:AO53" ca="1" si="28">ISNUMBER(L13)</f>
        <v>1</v>
      </c>
      <c r="AP13" t="b">
        <f t="shared" ref="AP13:AP53" ca="1" si="29">ISNUMBER(M13)</f>
        <v>1</v>
      </c>
      <c r="AQ13" t="b">
        <f t="shared" ref="AQ13:AQ53" ca="1" si="30">ISNUMBER(N13)</f>
        <v>1</v>
      </c>
      <c r="AR13" t="b">
        <f t="shared" ref="AR13:AR53" ca="1" si="31">ISNUMBER(O13)</f>
        <v>1</v>
      </c>
      <c r="AS13" t="b">
        <f t="shared" ref="AS13:AS53" ca="1" si="32">ISNUMBER(P13)</f>
        <v>1</v>
      </c>
      <c r="AT13" t="b">
        <f t="shared" ref="AT13:AT53" ca="1" si="33">ISNUMBER(Q13)</f>
        <v>1</v>
      </c>
      <c r="AU13" t="b">
        <f t="shared" ref="AU13:AU53" ca="1" si="34">ISNUMBER(R13)</f>
        <v>1</v>
      </c>
      <c r="AV13" t="b">
        <f t="shared" ref="AV13:AV53" ca="1" si="35">ISNUMBER(S13)</f>
        <v>1</v>
      </c>
      <c r="AW13">
        <f ca="1">IF(AJ13=FALSE,COUNTIF(AJ13:AV13,TRUE)+1,COUNTIF(AJ13:AV13,TRUE))</f>
        <v>13</v>
      </c>
      <c r="AX13">
        <f ca="1">AW13+6</f>
        <v>19</v>
      </c>
      <c r="AY13">
        <f>2018.33-2006</f>
        <v>12.329999999999927</v>
      </c>
    </row>
    <row r="14" spans="1:51" x14ac:dyDescent="0.2">
      <c r="A14" s="45" t="s">
        <v>178</v>
      </c>
      <c r="B14" s="117">
        <f t="shared" ca="1" si="14"/>
        <v>18</v>
      </c>
      <c r="C14" s="1">
        <f ca="1">IF(ISERROR(D14),"",IF(D14="","",MAX($C$12:C13)+1))</f>
        <v>2</v>
      </c>
      <c r="D14" t="str">
        <f t="shared" ca="1" si="15"/>
        <v>Chesapeake Utilities</v>
      </c>
      <c r="E14" s="15"/>
      <c r="F14" s="133">
        <f t="shared" ca="1" si="16"/>
        <v>0.9979230769230768</v>
      </c>
      <c r="G14" s="133">
        <f t="shared" si="17"/>
        <v>1.39</v>
      </c>
      <c r="H14" s="133">
        <f ca="1">IFERROR(IF(VLOOKUP($A14,LASTYR,'2017'!$I$3,FALSE)=0,"N/A",VLOOKUP($A14,LASTYR,'2017'!$I$3,FALSE)),"N/A")</f>
        <v>1.26</v>
      </c>
      <c r="I14" s="133">
        <f t="shared" ca="1" si="18"/>
        <v>1.19</v>
      </c>
      <c r="J14" s="133">
        <f t="shared" ca="1" si="18"/>
        <v>1.1200000000000001</v>
      </c>
      <c r="K14" s="133">
        <f t="shared" ca="1" si="18"/>
        <v>1.0669999999999999</v>
      </c>
      <c r="L14" s="133">
        <f t="shared" ca="1" si="18"/>
        <v>1.0129999999999999</v>
      </c>
      <c r="M14" s="133">
        <f t="shared" ca="1" si="18"/>
        <v>0.96</v>
      </c>
      <c r="N14" s="133">
        <f t="shared" ca="1" si="18"/>
        <v>0.91</v>
      </c>
      <c r="O14" s="133">
        <f t="shared" ca="1" si="18"/>
        <v>0.87</v>
      </c>
      <c r="P14" s="133">
        <f t="shared" ca="1" si="18"/>
        <v>0.83299999999999996</v>
      </c>
      <c r="Q14" s="133">
        <f t="shared" ca="1" si="18"/>
        <v>0.80700000000000005</v>
      </c>
      <c r="R14" s="133">
        <f t="shared" ca="1" si="18"/>
        <v>0.78300000000000003</v>
      </c>
      <c r="S14" s="133">
        <f t="shared" ca="1" si="18"/>
        <v>0.77</v>
      </c>
      <c r="T14" s="80">
        <f t="shared" ref="T14:T57" ca="1" si="36">IFERROR(IF(G14&gt;0,((G14/VLOOKUP(A14,$A$13:$S$53,AX14,0))^(1/(AD14)))-1,"N/A"),"N/A")</f>
        <v>5.0822548222714925E-2</v>
      </c>
      <c r="U14" s="80">
        <f t="shared" ref="U14:U57" ca="1" si="37">IFERROR(IF(H14&gt;0,((H14/VLOOKUP(A14,$A$13:$S$53,AX14,0))^(1/(Y14)))-1,"N/A"),"N/A")</f>
        <v>4.5787917714882775E-2</v>
      </c>
      <c r="V14" s="133">
        <f t="shared" ref="V14:V57" ca="1" si="38">+S14*(1+U14)^11</f>
        <v>1.26</v>
      </c>
      <c r="W14" s="80" t="b">
        <f t="shared" ref="W14:W57" ca="1" si="39">ROUND(V14,10)=ROUND(H14,10)</f>
        <v>1</v>
      </c>
      <c r="X14" s="80"/>
      <c r="Y14" s="211">
        <f ca="1">AW14-2</f>
        <v>11</v>
      </c>
      <c r="Z14" s="208">
        <f t="shared" si="19"/>
        <v>43434</v>
      </c>
      <c r="AA14" s="217">
        <v>43100</v>
      </c>
      <c r="AB14" s="213">
        <f t="shared" si="20"/>
        <v>334</v>
      </c>
      <c r="AC14" s="214">
        <f t="shared" ref="AC14:AC57" si="40">AB14/365</f>
        <v>0.91506849315068495</v>
      </c>
      <c r="AD14" s="214">
        <f t="shared" ca="1" si="21"/>
        <v>11.915068493150685</v>
      </c>
      <c r="AE14" s="215">
        <f t="shared" ca="1" si="22"/>
        <v>5.0822548222714925E-2</v>
      </c>
      <c r="AJ14" t="b">
        <f t="shared" si="23"/>
        <v>1</v>
      </c>
      <c r="AK14" t="b">
        <f t="shared" ca="1" si="24"/>
        <v>1</v>
      </c>
      <c r="AL14" t="b">
        <f t="shared" ca="1" si="25"/>
        <v>1</v>
      </c>
      <c r="AM14" t="b">
        <f t="shared" ca="1" si="26"/>
        <v>1</v>
      </c>
      <c r="AN14" t="b">
        <f t="shared" ca="1" si="27"/>
        <v>1</v>
      </c>
      <c r="AO14" t="b">
        <f t="shared" ca="1" si="28"/>
        <v>1</v>
      </c>
      <c r="AP14" t="b">
        <f t="shared" ca="1" si="29"/>
        <v>1</v>
      </c>
      <c r="AQ14" t="b">
        <f t="shared" ca="1" si="30"/>
        <v>1</v>
      </c>
      <c r="AR14" t="b">
        <f t="shared" ca="1" si="31"/>
        <v>1</v>
      </c>
      <c r="AS14" t="b">
        <f t="shared" ca="1" si="32"/>
        <v>1</v>
      </c>
      <c r="AT14" t="b">
        <f t="shared" ca="1" si="33"/>
        <v>1</v>
      </c>
      <c r="AU14" t="b">
        <f t="shared" ca="1" si="34"/>
        <v>1</v>
      </c>
      <c r="AV14" t="b">
        <f t="shared" ca="1" si="35"/>
        <v>1</v>
      </c>
      <c r="AW14">
        <f t="shared" ref="AW14:AW53" ca="1" si="41">IF(AJ14=FALSE,COUNTIF(AJ14:AV14,TRUE)+1,COUNTIF(AJ14:AV14,TRUE))</f>
        <v>13</v>
      </c>
      <c r="AX14">
        <f t="shared" ref="AX14:AX53" ca="1" si="42">AW14+6</f>
        <v>19</v>
      </c>
    </row>
    <row r="15" spans="1:51" x14ac:dyDescent="0.2">
      <c r="A15" s="45" t="s">
        <v>190</v>
      </c>
      <c r="B15" s="117">
        <f t="shared" ca="1" si="14"/>
        <v>40</v>
      </c>
      <c r="C15" s="1">
        <f ca="1">IF(ISERROR(D15),"",IF(D15="","",MAX($C$12:C14)+1))</f>
        <v>3</v>
      </c>
      <c r="D15" t="str">
        <f t="shared" ca="1" si="15"/>
        <v>New Jersey Resources</v>
      </c>
      <c r="E15" s="15"/>
      <c r="F15" s="133">
        <f t="shared" ca="1" si="16"/>
        <v>0.77284615384615374</v>
      </c>
      <c r="G15" s="133">
        <f t="shared" si="17"/>
        <v>1.1000000000000001</v>
      </c>
      <c r="H15" s="133">
        <f ca="1">IFERROR(IF(VLOOKUP($A15,LASTYR,'2017'!$I$3,FALSE)=0,"N/A",VLOOKUP($A15,LASTYR,'2017'!$I$3,FALSE)),"N/A")</f>
        <v>1.04</v>
      </c>
      <c r="I15" s="133">
        <f t="shared" ca="1" si="18"/>
        <v>0.98</v>
      </c>
      <c r="J15" s="133">
        <f t="shared" ca="1" si="18"/>
        <v>0.93</v>
      </c>
      <c r="K15" s="133">
        <f t="shared" ca="1" si="18"/>
        <v>0.85499999999999998</v>
      </c>
      <c r="L15" s="133">
        <f t="shared" ca="1" si="18"/>
        <v>0.81</v>
      </c>
      <c r="M15" s="133">
        <f t="shared" ca="1" si="18"/>
        <v>0.77</v>
      </c>
      <c r="N15" s="133">
        <f t="shared" ca="1" si="18"/>
        <v>0.72</v>
      </c>
      <c r="O15" s="133">
        <f t="shared" ca="1" si="18"/>
        <v>0.68</v>
      </c>
      <c r="P15" s="133">
        <f t="shared" ca="1" si="18"/>
        <v>0.62</v>
      </c>
      <c r="Q15" s="133">
        <f t="shared" ca="1" si="18"/>
        <v>0.55500000000000005</v>
      </c>
      <c r="R15" s="133">
        <f t="shared" ca="1" si="18"/>
        <v>0.50700000000000001</v>
      </c>
      <c r="S15" s="133">
        <f t="shared" ca="1" si="18"/>
        <v>0.48</v>
      </c>
      <c r="T15" s="80">
        <f t="shared" ca="1" si="36"/>
        <v>7.2078416888512242E-2</v>
      </c>
      <c r="U15" s="80">
        <f t="shared" ca="1" si="37"/>
        <v>7.2819242829629927E-2</v>
      </c>
      <c r="V15" s="133">
        <f t="shared" ca="1" si="38"/>
        <v>1.0400000000000007</v>
      </c>
      <c r="W15" s="80" t="b">
        <f t="shared" ca="1" si="39"/>
        <v>1</v>
      </c>
      <c r="X15" s="80"/>
      <c r="Y15" s="211">
        <f ca="1">AW15-2</f>
        <v>11</v>
      </c>
      <c r="Z15" s="208">
        <f t="shared" si="19"/>
        <v>43434</v>
      </c>
      <c r="AA15" s="217">
        <v>43100</v>
      </c>
      <c r="AB15" s="213">
        <f t="shared" si="20"/>
        <v>334</v>
      </c>
      <c r="AC15" s="214">
        <f t="shared" si="40"/>
        <v>0.91506849315068495</v>
      </c>
      <c r="AD15" s="214">
        <f t="shared" ca="1" si="21"/>
        <v>11.915068493150685</v>
      </c>
      <c r="AE15" s="215">
        <f t="shared" ca="1" si="22"/>
        <v>7.2078416888512242E-2</v>
      </c>
      <c r="AH15" s="215"/>
      <c r="AJ15" t="b">
        <f t="shared" si="23"/>
        <v>1</v>
      </c>
      <c r="AK15" t="b">
        <f t="shared" ca="1" si="24"/>
        <v>1</v>
      </c>
      <c r="AL15" t="b">
        <f t="shared" ca="1" si="25"/>
        <v>1</v>
      </c>
      <c r="AM15" t="b">
        <f t="shared" ca="1" si="26"/>
        <v>1</v>
      </c>
      <c r="AN15" t="b">
        <f t="shared" ca="1" si="27"/>
        <v>1</v>
      </c>
      <c r="AO15" t="b">
        <f t="shared" ca="1" si="28"/>
        <v>1</v>
      </c>
      <c r="AP15" t="b">
        <f t="shared" ca="1" si="29"/>
        <v>1</v>
      </c>
      <c r="AQ15" t="b">
        <f t="shared" ca="1" si="30"/>
        <v>1</v>
      </c>
      <c r="AR15" t="b">
        <f t="shared" ca="1" si="31"/>
        <v>1</v>
      </c>
      <c r="AS15" t="b">
        <f t="shared" ca="1" si="32"/>
        <v>1</v>
      </c>
      <c r="AT15" t="b">
        <f t="shared" ca="1" si="33"/>
        <v>1</v>
      </c>
      <c r="AU15" t="b">
        <f t="shared" ca="1" si="34"/>
        <v>1</v>
      </c>
      <c r="AV15" t="b">
        <f t="shared" ca="1" si="35"/>
        <v>1</v>
      </c>
      <c r="AW15">
        <f t="shared" ca="1" si="41"/>
        <v>13</v>
      </c>
      <c r="AX15">
        <f t="shared" ca="1" si="42"/>
        <v>19</v>
      </c>
    </row>
    <row r="16" spans="1:51" x14ac:dyDescent="0.2">
      <c r="A16" s="45" t="s">
        <v>26</v>
      </c>
      <c r="B16" s="117">
        <f t="shared" ca="1" si="14"/>
        <v>42</v>
      </c>
      <c r="C16" s="1">
        <f ca="1">IF(ISERROR(D16),"",IF(D16="","",MAX($C$12:C15)+1))</f>
        <v>4</v>
      </c>
      <c r="D16" t="str">
        <f t="shared" ca="1" si="15"/>
        <v>NiSource Inc.</v>
      </c>
      <c r="E16" s="15"/>
      <c r="F16" s="133">
        <f t="shared" ca="1" si="16"/>
        <v>0.87769230769230766</v>
      </c>
      <c r="G16" s="133">
        <f t="shared" si="17"/>
        <v>0.78</v>
      </c>
      <c r="H16" s="133">
        <f ca="1">IFERROR(IF(VLOOKUP($A16,LASTYR,'2017'!$I$3,FALSE)=0,"N/A",VLOOKUP($A16,LASTYR,'2017'!$I$3,FALSE)),"N/A")</f>
        <v>0.7</v>
      </c>
      <c r="I16" s="133">
        <f t="shared" ca="1" si="18"/>
        <v>0.64</v>
      </c>
      <c r="J16" s="133">
        <f t="shared" ca="1" si="18"/>
        <v>0.83</v>
      </c>
      <c r="K16" s="133">
        <f t="shared" ca="1" si="18"/>
        <v>1.02</v>
      </c>
      <c r="L16" s="133">
        <f t="shared" ca="1" si="18"/>
        <v>0.98</v>
      </c>
      <c r="M16" s="133">
        <f t="shared" ca="1" si="18"/>
        <v>0.94</v>
      </c>
      <c r="N16" s="133">
        <f t="shared" ca="1" si="18"/>
        <v>0.92</v>
      </c>
      <c r="O16" s="133">
        <f t="shared" ca="1" si="18"/>
        <v>0.92</v>
      </c>
      <c r="P16" s="133">
        <f t="shared" ca="1" si="18"/>
        <v>0.92</v>
      </c>
      <c r="Q16" s="133">
        <f t="shared" ca="1" si="18"/>
        <v>0.92</v>
      </c>
      <c r="R16" s="133">
        <f t="shared" ca="1" si="18"/>
        <v>0.92</v>
      </c>
      <c r="S16" s="133">
        <f t="shared" ca="1" si="18"/>
        <v>0.92</v>
      </c>
      <c r="T16" s="80">
        <f t="shared" ca="1" si="36"/>
        <v>-1.3759169567898244E-2</v>
      </c>
      <c r="U16" s="80">
        <f t="shared" ca="1" si="37"/>
        <v>-2.4538755569409099E-2</v>
      </c>
      <c r="V16" s="133">
        <f t="shared" ca="1" si="38"/>
        <v>0.70000000000000007</v>
      </c>
      <c r="W16" s="80" t="b">
        <f t="shared" ca="1" si="39"/>
        <v>1</v>
      </c>
      <c r="X16" s="80"/>
      <c r="Y16" s="211">
        <f ca="1">AW16-2</f>
        <v>11</v>
      </c>
      <c r="Z16" s="208">
        <f t="shared" si="19"/>
        <v>43434</v>
      </c>
      <c r="AA16" s="217">
        <v>43100</v>
      </c>
      <c r="AB16" s="213">
        <f t="shared" si="20"/>
        <v>334</v>
      </c>
      <c r="AC16" s="214">
        <f t="shared" si="40"/>
        <v>0.91506849315068495</v>
      </c>
      <c r="AD16" s="214">
        <f t="shared" ca="1" si="21"/>
        <v>11.915068493150685</v>
      </c>
      <c r="AE16" s="215">
        <f t="shared" ca="1" si="22"/>
        <v>-1.3759169567898244E-2</v>
      </c>
      <c r="AJ16" t="b">
        <f t="shared" si="23"/>
        <v>1</v>
      </c>
      <c r="AK16" t="b">
        <f t="shared" ca="1" si="24"/>
        <v>1</v>
      </c>
      <c r="AL16" t="b">
        <f t="shared" ca="1" si="25"/>
        <v>1</v>
      </c>
      <c r="AM16" t="b">
        <f t="shared" ca="1" si="26"/>
        <v>1</v>
      </c>
      <c r="AN16" t="b">
        <f t="shared" ca="1" si="27"/>
        <v>1</v>
      </c>
      <c r="AO16" t="b">
        <f t="shared" ca="1" si="28"/>
        <v>1</v>
      </c>
      <c r="AP16" t="b">
        <f t="shared" ca="1" si="29"/>
        <v>1</v>
      </c>
      <c r="AQ16" t="b">
        <f t="shared" ca="1" si="30"/>
        <v>1</v>
      </c>
      <c r="AR16" t="b">
        <f t="shared" ca="1" si="31"/>
        <v>1</v>
      </c>
      <c r="AS16" t="b">
        <f t="shared" ca="1" si="32"/>
        <v>1</v>
      </c>
      <c r="AT16" t="b">
        <f t="shared" ca="1" si="33"/>
        <v>1</v>
      </c>
      <c r="AU16" t="b">
        <f t="shared" ca="1" si="34"/>
        <v>1</v>
      </c>
      <c r="AV16" t="b">
        <f t="shared" ca="1" si="35"/>
        <v>1</v>
      </c>
      <c r="AW16">
        <f t="shared" ca="1" si="41"/>
        <v>13</v>
      </c>
      <c r="AX16">
        <f t="shared" ca="1" si="42"/>
        <v>19</v>
      </c>
    </row>
    <row r="17" spans="1:50" x14ac:dyDescent="0.2">
      <c r="A17" s="45" t="s">
        <v>192</v>
      </c>
      <c r="B17" s="117">
        <f t="shared" ca="1" si="14"/>
        <v>43</v>
      </c>
      <c r="C17" s="1">
        <f ca="1">IF(ISERROR(D17),"",IF(D17="","",MAX($C$12:C16)+1))</f>
        <v>5</v>
      </c>
      <c r="D17" t="str">
        <f t="shared" ca="1" si="15"/>
        <v>Northwest Nat. Gas</v>
      </c>
      <c r="E17" s="15"/>
      <c r="F17" s="133">
        <f t="shared" ca="1" si="16"/>
        <v>1.7192307692307693</v>
      </c>
      <c r="G17" s="133">
        <f t="shared" si="17"/>
        <v>1.89</v>
      </c>
      <c r="H17" s="133">
        <f ca="1">IFERROR(IF(VLOOKUP($A17,LASTYR,'2017'!$I$3,FALSE)=0,"N/A",VLOOKUP($A17,LASTYR,'2017'!$I$3,FALSE)),"N/A")</f>
        <v>1.88</v>
      </c>
      <c r="I17" s="133">
        <f t="shared" ca="1" si="18"/>
        <v>1.87</v>
      </c>
      <c r="J17" s="133">
        <f t="shared" ca="1" si="18"/>
        <v>1.86</v>
      </c>
      <c r="K17" s="133">
        <f t="shared" ca="1" si="18"/>
        <v>1.85</v>
      </c>
      <c r="L17" s="133">
        <f t="shared" ca="1" si="18"/>
        <v>1.83</v>
      </c>
      <c r="M17" s="133">
        <f t="shared" ca="1" si="18"/>
        <v>1.79</v>
      </c>
      <c r="N17" s="133">
        <f t="shared" ca="1" si="18"/>
        <v>1.75</v>
      </c>
      <c r="O17" s="133">
        <f t="shared" ca="1" si="18"/>
        <v>1.68</v>
      </c>
      <c r="P17" s="133">
        <f t="shared" ca="1" si="18"/>
        <v>1.6</v>
      </c>
      <c r="Q17" s="133">
        <f t="shared" ca="1" si="18"/>
        <v>1.52</v>
      </c>
      <c r="R17" s="133">
        <f t="shared" ca="1" si="18"/>
        <v>1.44</v>
      </c>
      <c r="S17" s="133">
        <f t="shared" ca="1" si="18"/>
        <v>1.39</v>
      </c>
      <c r="T17" s="80">
        <f t="shared" ca="1" si="36"/>
        <v>2.612401555289412E-2</v>
      </c>
      <c r="U17" s="80">
        <f t="shared" ca="1" si="37"/>
        <v>2.7831906991780953E-2</v>
      </c>
      <c r="V17" s="133">
        <f t="shared" ca="1" si="38"/>
        <v>1.8800000000000006</v>
      </c>
      <c r="W17" s="80" t="b">
        <f t="shared" ca="1" si="39"/>
        <v>1</v>
      </c>
      <c r="X17" s="80"/>
      <c r="Y17" s="211">
        <v>11</v>
      </c>
      <c r="Z17" s="208">
        <f t="shared" si="19"/>
        <v>43434</v>
      </c>
      <c r="AA17" s="217">
        <v>43100</v>
      </c>
      <c r="AB17" s="213">
        <f t="shared" si="20"/>
        <v>334</v>
      </c>
      <c r="AC17" s="214">
        <f t="shared" si="40"/>
        <v>0.91506849315068495</v>
      </c>
      <c r="AD17" s="214">
        <f t="shared" si="21"/>
        <v>11.915068493150685</v>
      </c>
      <c r="AE17" s="215">
        <f t="shared" ca="1" si="22"/>
        <v>2.612401555289412E-2</v>
      </c>
      <c r="AJ17" t="b">
        <f t="shared" si="23"/>
        <v>1</v>
      </c>
      <c r="AK17" t="b">
        <f t="shared" ca="1" si="24"/>
        <v>1</v>
      </c>
      <c r="AL17" t="b">
        <f t="shared" ca="1" si="25"/>
        <v>1</v>
      </c>
      <c r="AM17" t="b">
        <f t="shared" ca="1" si="26"/>
        <v>1</v>
      </c>
      <c r="AN17" t="b">
        <f t="shared" ca="1" si="27"/>
        <v>1</v>
      </c>
      <c r="AO17" t="b">
        <f t="shared" ca="1" si="28"/>
        <v>1</v>
      </c>
      <c r="AP17" t="b">
        <f t="shared" ca="1" si="29"/>
        <v>1</v>
      </c>
      <c r="AQ17" t="b">
        <f t="shared" ca="1" si="30"/>
        <v>1</v>
      </c>
      <c r="AR17" t="b">
        <f t="shared" ca="1" si="31"/>
        <v>1</v>
      </c>
      <c r="AS17" t="b">
        <f t="shared" ca="1" si="32"/>
        <v>1</v>
      </c>
      <c r="AT17" t="b">
        <f t="shared" ca="1" si="33"/>
        <v>1</v>
      </c>
      <c r="AU17" t="b">
        <f t="shared" ca="1" si="34"/>
        <v>1</v>
      </c>
      <c r="AV17" t="b">
        <f t="shared" ca="1" si="35"/>
        <v>1</v>
      </c>
      <c r="AW17">
        <f t="shared" ca="1" si="41"/>
        <v>13</v>
      </c>
      <c r="AX17">
        <f t="shared" ca="1" si="42"/>
        <v>19</v>
      </c>
    </row>
    <row r="18" spans="1:50" x14ac:dyDescent="0.2">
      <c r="A18" s="45" t="s">
        <v>346</v>
      </c>
      <c r="B18" s="117">
        <f t="shared" ca="1" si="14"/>
        <v>46</v>
      </c>
      <c r="C18" s="1">
        <f ca="1">IF(ISERROR(D18),"",IF(D18="","",MAX($C$12:C17)+1))</f>
        <v>6</v>
      </c>
      <c r="D18" t="str">
        <f t="shared" ca="1" si="15"/>
        <v>ONE Gas Inc.</v>
      </c>
      <c r="E18" s="15"/>
      <c r="F18" s="133">
        <f t="shared" ca="1" si="16"/>
        <v>1.3919999999999999</v>
      </c>
      <c r="G18" s="133">
        <f t="shared" si="17"/>
        <v>1.84</v>
      </c>
      <c r="H18" s="133">
        <f ca="1">IFERROR(IF(VLOOKUP($A18,LASTYR,'2017'!$I$3,FALSE)=0,"N/A",VLOOKUP($A18,LASTYR,'2017'!$I$3,FALSE)),"N/A")</f>
        <v>1.68</v>
      </c>
      <c r="I18" s="133">
        <f t="shared" ca="1" si="18"/>
        <v>1.4</v>
      </c>
      <c r="J18" s="133">
        <f t="shared" ca="1" si="18"/>
        <v>1.2</v>
      </c>
      <c r="K18" s="133">
        <f t="shared" ca="1" si="18"/>
        <v>0.84</v>
      </c>
      <c r="L18" s="133" t="str">
        <f t="shared" ca="1" si="18"/>
        <v>N/A</v>
      </c>
      <c r="M18" s="133" t="str">
        <f t="shared" ca="1" si="18"/>
        <v>N/A</v>
      </c>
      <c r="N18" s="133" t="str">
        <f t="shared" ca="1" si="18"/>
        <v>N/A</v>
      </c>
      <c r="O18" s="133" t="str">
        <f t="shared" ca="1" si="18"/>
        <v>N/A</v>
      </c>
      <c r="P18" s="133" t="str">
        <f t="shared" ca="1" si="18"/>
        <v>N/A</v>
      </c>
      <c r="Q18" s="133" t="str">
        <f t="shared" ca="1" si="18"/>
        <v>N/A</v>
      </c>
      <c r="R18" s="133" t="str">
        <f t="shared" ca="1" si="18"/>
        <v>N/A</v>
      </c>
      <c r="S18" s="133" t="str">
        <f t="shared" ca="1" si="18"/>
        <v>N/A</v>
      </c>
      <c r="T18" s="80">
        <f t="shared" ca="1" si="36"/>
        <v>0.22174762016003835</v>
      </c>
      <c r="U18" s="80">
        <f t="shared" ca="1" si="37"/>
        <v>0.25992104989487319</v>
      </c>
      <c r="V18" s="133">
        <f ca="1">+K18*(1+U18)^3</f>
        <v>1.68</v>
      </c>
      <c r="W18" s="80" t="b">
        <f t="shared" ca="1" si="39"/>
        <v>1</v>
      </c>
      <c r="X18" s="80"/>
      <c r="Y18" s="211">
        <f t="shared" ref="Y18:Y32" ca="1" si="43">AW18-2</f>
        <v>3</v>
      </c>
      <c r="Z18" s="208">
        <f t="shared" si="19"/>
        <v>43434</v>
      </c>
      <c r="AA18" s="217">
        <v>43100</v>
      </c>
      <c r="AB18" s="213">
        <f t="shared" si="20"/>
        <v>334</v>
      </c>
      <c r="AC18" s="214">
        <f t="shared" si="40"/>
        <v>0.91506849315068495</v>
      </c>
      <c r="AD18" s="214">
        <f t="shared" ca="1" si="21"/>
        <v>3.9150684931506849</v>
      </c>
      <c r="AE18" s="215" t="e">
        <f t="shared" ca="1" si="22"/>
        <v>#VALUE!</v>
      </c>
      <c r="AJ18" t="b">
        <f t="shared" si="23"/>
        <v>1</v>
      </c>
      <c r="AK18" t="b">
        <f t="shared" ca="1" si="24"/>
        <v>1</v>
      </c>
      <c r="AL18" t="b">
        <f t="shared" ca="1" si="25"/>
        <v>1</v>
      </c>
      <c r="AM18" t="b">
        <f t="shared" ca="1" si="26"/>
        <v>1</v>
      </c>
      <c r="AN18" t="b">
        <f t="shared" ca="1" si="27"/>
        <v>1</v>
      </c>
      <c r="AO18" t="b">
        <f t="shared" ca="1" si="28"/>
        <v>0</v>
      </c>
      <c r="AP18" t="b">
        <f t="shared" ca="1" si="29"/>
        <v>0</v>
      </c>
      <c r="AQ18" t="b">
        <f t="shared" ca="1" si="30"/>
        <v>0</v>
      </c>
      <c r="AR18" t="b">
        <f t="shared" ca="1" si="31"/>
        <v>0</v>
      </c>
      <c r="AS18" t="b">
        <f t="shared" ca="1" si="32"/>
        <v>0</v>
      </c>
      <c r="AT18" t="b">
        <f t="shared" ca="1" si="33"/>
        <v>0</v>
      </c>
      <c r="AU18" t="b">
        <f t="shared" ca="1" si="34"/>
        <v>0</v>
      </c>
      <c r="AV18" t="b">
        <f t="shared" ca="1" si="35"/>
        <v>0</v>
      </c>
      <c r="AW18">
        <f t="shared" ca="1" si="41"/>
        <v>5</v>
      </c>
      <c r="AX18">
        <f t="shared" ca="1" si="42"/>
        <v>11</v>
      </c>
    </row>
    <row r="19" spans="1:50" x14ac:dyDescent="0.2">
      <c r="A19" s="45" t="s">
        <v>198</v>
      </c>
      <c r="B19" s="117">
        <f t="shared" ca="1" si="14"/>
        <v>58</v>
      </c>
      <c r="C19" s="1">
        <f ca="1">IF(ISERROR(D19),"",IF(D19="","",MAX($C$12:C18)+1))</f>
        <v>7</v>
      </c>
      <c r="D19" t="str">
        <f t="shared" ca="1" si="15"/>
        <v>South Jersey Inds.</v>
      </c>
      <c r="E19" s="15"/>
      <c r="F19" s="133">
        <f t="shared" ca="1" si="16"/>
        <v>0.81346153846153857</v>
      </c>
      <c r="G19" s="133">
        <f t="shared" si="17"/>
        <v>1.1499999999999999</v>
      </c>
      <c r="H19" s="133">
        <f ca="1">IFERROR(IF(VLOOKUP($A19,LASTYR,'2017'!$I$3,FALSE)=0,"N/A",VLOOKUP($A19,LASTYR,'2017'!$I$3,FALSE)),"N/A")</f>
        <v>1.1000000000000001</v>
      </c>
      <c r="I19" s="133">
        <f t="shared" ca="1" si="18"/>
        <v>1.06</v>
      </c>
      <c r="J19" s="133">
        <f t="shared" ca="1" si="18"/>
        <v>1.02</v>
      </c>
      <c r="K19" s="133">
        <f t="shared" ca="1" si="18"/>
        <v>0.96</v>
      </c>
      <c r="L19" s="133">
        <f t="shared" ca="1" si="18"/>
        <v>0.9</v>
      </c>
      <c r="M19" s="133">
        <f t="shared" ca="1" si="18"/>
        <v>0.82499999999999996</v>
      </c>
      <c r="N19" s="133">
        <f t="shared" ca="1" si="18"/>
        <v>0.75</v>
      </c>
      <c r="O19" s="133">
        <f t="shared" ca="1" si="18"/>
        <v>0.68</v>
      </c>
      <c r="P19" s="133">
        <f t="shared" ca="1" si="18"/>
        <v>0.61</v>
      </c>
      <c r="Q19" s="133">
        <f t="shared" ca="1" si="18"/>
        <v>0.55500000000000005</v>
      </c>
      <c r="R19" s="133">
        <f t="shared" ca="1" si="18"/>
        <v>0.505</v>
      </c>
      <c r="S19" s="133">
        <f t="shared" ca="1" si="18"/>
        <v>0.46</v>
      </c>
      <c r="T19" s="80">
        <f t="shared" ca="1" si="36"/>
        <v>7.9936068383856362E-2</v>
      </c>
      <c r="U19" s="80">
        <f t="shared" ca="1" si="37"/>
        <v>8.2483662193245655E-2</v>
      </c>
      <c r="V19" s="133">
        <f t="shared" ca="1" si="38"/>
        <v>1.1000000000000001</v>
      </c>
      <c r="W19" s="80" t="b">
        <f t="shared" ca="1" si="39"/>
        <v>1</v>
      </c>
      <c r="X19" s="80"/>
      <c r="Y19" s="211">
        <f t="shared" ca="1" si="43"/>
        <v>11</v>
      </c>
      <c r="Z19" s="208">
        <f t="shared" si="19"/>
        <v>43434</v>
      </c>
      <c r="AA19" s="217">
        <v>43100</v>
      </c>
      <c r="AB19" s="213">
        <f t="shared" si="20"/>
        <v>334</v>
      </c>
      <c r="AC19" s="214">
        <f t="shared" si="40"/>
        <v>0.91506849315068495</v>
      </c>
      <c r="AD19" s="214">
        <f t="shared" ca="1" si="21"/>
        <v>11.915068493150685</v>
      </c>
      <c r="AE19" s="215">
        <f t="shared" ca="1" si="22"/>
        <v>7.9936068383856362E-2</v>
      </c>
      <c r="AJ19" t="b">
        <f t="shared" si="23"/>
        <v>1</v>
      </c>
      <c r="AK19" t="b">
        <f t="shared" ca="1" si="24"/>
        <v>1</v>
      </c>
      <c r="AL19" t="b">
        <f t="shared" ca="1" si="25"/>
        <v>1</v>
      </c>
      <c r="AM19" t="b">
        <f t="shared" ca="1" si="26"/>
        <v>1</v>
      </c>
      <c r="AN19" t="b">
        <f t="shared" ca="1" si="27"/>
        <v>1</v>
      </c>
      <c r="AO19" t="b">
        <f t="shared" ca="1" si="28"/>
        <v>1</v>
      </c>
      <c r="AP19" t="b">
        <f t="shared" ca="1" si="29"/>
        <v>1</v>
      </c>
      <c r="AQ19" t="b">
        <f t="shared" ca="1" si="30"/>
        <v>1</v>
      </c>
      <c r="AR19" t="b">
        <f t="shared" ca="1" si="31"/>
        <v>1</v>
      </c>
      <c r="AS19" t="b">
        <f t="shared" ca="1" si="32"/>
        <v>1</v>
      </c>
      <c r="AT19" t="b">
        <f t="shared" ca="1" si="33"/>
        <v>1</v>
      </c>
      <c r="AU19" t="b">
        <f t="shared" ca="1" si="34"/>
        <v>1</v>
      </c>
      <c r="AV19" t="b">
        <f t="shared" ca="1" si="35"/>
        <v>1</v>
      </c>
      <c r="AW19">
        <f t="shared" ca="1" si="41"/>
        <v>13</v>
      </c>
      <c r="AX19">
        <f t="shared" ca="1" si="42"/>
        <v>19</v>
      </c>
    </row>
    <row r="20" spans="1:50" x14ac:dyDescent="0.2">
      <c r="A20" s="45" t="s">
        <v>200</v>
      </c>
      <c r="B20" s="117">
        <f t="shared" ca="1" si="14"/>
        <v>60</v>
      </c>
      <c r="C20" s="1">
        <f ca="1">IF(ISERROR(D20),"",IF(D20="","",MAX($C$12:C19)+1))</f>
        <v>8</v>
      </c>
      <c r="D20" t="str">
        <f t="shared" ca="1" si="15"/>
        <v>Southwest Gas</v>
      </c>
      <c r="E20" s="15"/>
      <c r="F20" s="133">
        <f t="shared" ca="1" si="16"/>
        <v>1.31</v>
      </c>
      <c r="G20" s="133">
        <f t="shared" si="17"/>
        <v>2.08</v>
      </c>
      <c r="H20" s="133">
        <f ca="1">IFERROR(IF(VLOOKUP($A20,LASTYR,'2017'!$I$3,FALSE)=0,"N/A",VLOOKUP($A20,LASTYR,'2017'!$I$3,FALSE)),"N/A")</f>
        <v>1.98</v>
      </c>
      <c r="I20" s="133">
        <f t="shared" ca="1" si="18"/>
        <v>1.8</v>
      </c>
      <c r="J20" s="133">
        <f t="shared" ca="1" si="18"/>
        <v>1.62</v>
      </c>
      <c r="K20" s="133">
        <f t="shared" ca="1" si="18"/>
        <v>1.46</v>
      </c>
      <c r="L20" s="133">
        <f t="shared" ca="1" si="18"/>
        <v>1.32</v>
      </c>
      <c r="M20" s="133">
        <f t="shared" ca="1" si="18"/>
        <v>1.18</v>
      </c>
      <c r="N20" s="133">
        <f t="shared" ca="1" si="18"/>
        <v>1.06</v>
      </c>
      <c r="O20" s="133">
        <f t="shared" ca="1" si="18"/>
        <v>1</v>
      </c>
      <c r="P20" s="133">
        <f t="shared" ca="1" si="18"/>
        <v>0.95</v>
      </c>
      <c r="Q20" s="133">
        <f t="shared" ca="1" si="18"/>
        <v>0.9</v>
      </c>
      <c r="R20" s="133">
        <f t="shared" ca="1" si="18"/>
        <v>0.86</v>
      </c>
      <c r="S20" s="133">
        <f t="shared" ca="1" si="18"/>
        <v>0.82</v>
      </c>
      <c r="T20" s="80">
        <f t="shared" ca="1" si="36"/>
        <v>8.1253642747231902E-2</v>
      </c>
      <c r="U20" s="80">
        <f t="shared" ca="1" si="37"/>
        <v>8.3439505105947998E-2</v>
      </c>
      <c r="V20" s="133">
        <f t="shared" ca="1" si="38"/>
        <v>1.979999999999998</v>
      </c>
      <c r="W20" s="80" t="b">
        <f t="shared" ca="1" si="39"/>
        <v>1</v>
      </c>
      <c r="X20" s="80"/>
      <c r="Y20" s="211">
        <f t="shared" ca="1" si="43"/>
        <v>11</v>
      </c>
      <c r="Z20" s="208">
        <f t="shared" si="19"/>
        <v>43434</v>
      </c>
      <c r="AA20" s="217">
        <v>43100</v>
      </c>
      <c r="AB20" s="213">
        <f t="shared" si="20"/>
        <v>334</v>
      </c>
      <c r="AC20" s="214">
        <f t="shared" si="40"/>
        <v>0.91506849315068495</v>
      </c>
      <c r="AD20" s="214">
        <f t="shared" ca="1" si="21"/>
        <v>11.915068493150685</v>
      </c>
      <c r="AE20" s="215">
        <f t="shared" ca="1" si="22"/>
        <v>8.1253642747231902E-2</v>
      </c>
      <c r="AJ20" t="b">
        <f t="shared" si="23"/>
        <v>1</v>
      </c>
      <c r="AK20" t="b">
        <f t="shared" ca="1" si="24"/>
        <v>1</v>
      </c>
      <c r="AL20" t="b">
        <f t="shared" ca="1" si="25"/>
        <v>1</v>
      </c>
      <c r="AM20" t="b">
        <f t="shared" ca="1" si="26"/>
        <v>1</v>
      </c>
      <c r="AN20" t="b">
        <f t="shared" ca="1" si="27"/>
        <v>1</v>
      </c>
      <c r="AO20" t="b">
        <f t="shared" ca="1" si="28"/>
        <v>1</v>
      </c>
      <c r="AP20" t="b">
        <f t="shared" ca="1" si="29"/>
        <v>1</v>
      </c>
      <c r="AQ20" t="b">
        <f t="shared" ca="1" si="30"/>
        <v>1</v>
      </c>
      <c r="AR20" t="b">
        <f t="shared" ca="1" si="31"/>
        <v>1</v>
      </c>
      <c r="AS20" t="b">
        <f t="shared" ca="1" si="32"/>
        <v>1</v>
      </c>
      <c r="AT20" t="b">
        <f t="shared" ca="1" si="33"/>
        <v>1</v>
      </c>
      <c r="AU20" t="b">
        <f t="shared" ca="1" si="34"/>
        <v>1</v>
      </c>
      <c r="AV20" t="b">
        <f t="shared" ca="1" si="35"/>
        <v>1</v>
      </c>
      <c r="AW20">
        <f t="shared" ca="1" si="41"/>
        <v>13</v>
      </c>
      <c r="AX20">
        <f t="shared" ca="1" si="42"/>
        <v>19</v>
      </c>
    </row>
    <row r="21" spans="1:50" x14ac:dyDescent="0.2">
      <c r="A21" s="45" t="s">
        <v>244</v>
      </c>
      <c r="B21" s="117">
        <f t="shared" ca="1" si="14"/>
        <v>61</v>
      </c>
      <c r="C21" s="1">
        <f ca="1">IF(ISERROR(D21),"",IF(D21="","",MAX($C$12:C20)+1))</f>
        <v>9</v>
      </c>
      <c r="D21" t="str">
        <f t="shared" ca="1" si="15"/>
        <v>Spire Inc.</v>
      </c>
      <c r="E21" s="15"/>
      <c r="F21" s="133">
        <f t="shared" ca="1" si="16"/>
        <v>1.7169230769230768</v>
      </c>
      <c r="G21" s="133">
        <f t="shared" si="17"/>
        <v>2.25</v>
      </c>
      <c r="H21" s="133">
        <f ca="1">IFERROR(IF(VLOOKUP($A21,LASTYR,'2017'!$I$3,FALSE)=0,"N/A",VLOOKUP($A21,LASTYR,'2017'!$I$3,FALSE)),"N/A")</f>
        <v>2.1</v>
      </c>
      <c r="I21" s="133">
        <f t="shared" ca="1" si="18"/>
        <v>1.96</v>
      </c>
      <c r="J21" s="133">
        <f t="shared" ca="1" si="18"/>
        <v>1.84</v>
      </c>
      <c r="K21" s="133">
        <f t="shared" ca="1" si="18"/>
        <v>1.76</v>
      </c>
      <c r="L21" s="133">
        <f t="shared" ca="1" si="18"/>
        <v>1.7</v>
      </c>
      <c r="M21" s="133">
        <f t="shared" ca="1" si="18"/>
        <v>1.66</v>
      </c>
      <c r="N21" s="133">
        <f t="shared" ca="1" si="18"/>
        <v>1.61</v>
      </c>
      <c r="O21" s="133">
        <f t="shared" ca="1" si="18"/>
        <v>1.57</v>
      </c>
      <c r="P21" s="133">
        <f t="shared" ca="1" si="18"/>
        <v>1.53</v>
      </c>
      <c r="Q21" s="133">
        <f t="shared" ca="1" si="18"/>
        <v>1.49</v>
      </c>
      <c r="R21" s="133">
        <f t="shared" ca="1" si="18"/>
        <v>1.45</v>
      </c>
      <c r="S21" s="133">
        <f t="shared" ca="1" si="18"/>
        <v>1.4</v>
      </c>
      <c r="T21" s="80">
        <f t="shared" ca="1" si="36"/>
        <v>4.0623440938272193E-2</v>
      </c>
      <c r="U21" s="80">
        <f t="shared" ca="1" si="37"/>
        <v>3.7548235793918971E-2</v>
      </c>
      <c r="V21" s="133">
        <f t="shared" ca="1" si="38"/>
        <v>2.100000000000001</v>
      </c>
      <c r="W21" s="80" t="b">
        <f t="shared" ca="1" si="39"/>
        <v>1</v>
      </c>
      <c r="X21" s="80"/>
      <c r="Y21" s="211">
        <f t="shared" ca="1" si="43"/>
        <v>11</v>
      </c>
      <c r="Z21" s="208">
        <f t="shared" si="19"/>
        <v>43434</v>
      </c>
      <c r="AA21" s="217">
        <v>43100</v>
      </c>
      <c r="AB21" s="213">
        <f t="shared" si="20"/>
        <v>334</v>
      </c>
      <c r="AC21" s="214">
        <f t="shared" si="40"/>
        <v>0.91506849315068495</v>
      </c>
      <c r="AD21" s="214">
        <f t="shared" ca="1" si="21"/>
        <v>11.915068493150685</v>
      </c>
      <c r="AE21" s="215">
        <f t="shared" ca="1" si="22"/>
        <v>4.0623440938272193E-2</v>
      </c>
      <c r="AJ21" t="b">
        <f t="shared" si="23"/>
        <v>1</v>
      </c>
      <c r="AK21" t="b">
        <f t="shared" ca="1" si="24"/>
        <v>1</v>
      </c>
      <c r="AL21" t="b">
        <f t="shared" ca="1" si="25"/>
        <v>1</v>
      </c>
      <c r="AM21" t="b">
        <f t="shared" ca="1" si="26"/>
        <v>1</v>
      </c>
      <c r="AN21" t="b">
        <f t="shared" ca="1" si="27"/>
        <v>1</v>
      </c>
      <c r="AO21" t="b">
        <f t="shared" ca="1" si="28"/>
        <v>1</v>
      </c>
      <c r="AP21" t="b">
        <f t="shared" ca="1" si="29"/>
        <v>1</v>
      </c>
      <c r="AQ21" t="b">
        <f t="shared" ca="1" si="30"/>
        <v>1</v>
      </c>
      <c r="AR21" t="b">
        <f t="shared" ca="1" si="31"/>
        <v>1</v>
      </c>
      <c r="AS21" t="b">
        <f t="shared" ca="1" si="32"/>
        <v>1</v>
      </c>
      <c r="AT21" t="b">
        <f t="shared" ca="1" si="33"/>
        <v>1</v>
      </c>
      <c r="AU21" t="b">
        <f t="shared" ca="1" si="34"/>
        <v>1</v>
      </c>
      <c r="AV21" t="b">
        <f t="shared" ca="1" si="35"/>
        <v>1</v>
      </c>
      <c r="AW21">
        <f t="shared" ca="1" si="41"/>
        <v>13</v>
      </c>
      <c r="AX21">
        <f t="shared" ca="1" si="42"/>
        <v>19</v>
      </c>
    </row>
    <row r="22" spans="1:50" x14ac:dyDescent="0.2">
      <c r="A22" s="45" t="s">
        <v>204</v>
      </c>
      <c r="B22" s="117">
        <f t="shared" ca="1" si="14"/>
        <v>63</v>
      </c>
      <c r="C22" s="1">
        <f ca="1">IF(ISERROR(D22),"",IF(D22="","",MAX($C$12:C21)+1))</f>
        <v>10</v>
      </c>
      <c r="D22" t="str">
        <f t="shared" ca="1" si="15"/>
        <v>UGI Corp.</v>
      </c>
      <c r="E22" s="15"/>
      <c r="F22" s="133">
        <f t="shared" ca="1" si="16"/>
        <v>0.7138461538461538</v>
      </c>
      <c r="G22" s="133">
        <f t="shared" si="17"/>
        <v>1.02</v>
      </c>
      <c r="H22" s="133">
        <f ca="1">IFERROR(IF(VLOOKUP($A22,LASTYR,'2017'!$I$3,FALSE)=0,"N/A",VLOOKUP($A22,LASTYR,'2017'!$I$3,FALSE)),"N/A")</f>
        <v>0.96</v>
      </c>
      <c r="I22" s="133">
        <f t="shared" ca="1" si="18"/>
        <v>0.93</v>
      </c>
      <c r="J22" s="133">
        <f t="shared" ca="1" si="18"/>
        <v>0.89</v>
      </c>
      <c r="K22" s="133">
        <f t="shared" ca="1" si="18"/>
        <v>0.79100000000000004</v>
      </c>
      <c r="L22" s="133">
        <f t="shared" ca="1" si="18"/>
        <v>0.74</v>
      </c>
      <c r="M22" s="133">
        <f t="shared" ca="1" si="18"/>
        <v>0.70699999999999996</v>
      </c>
      <c r="N22" s="133">
        <f t="shared" ca="1" si="18"/>
        <v>0.68</v>
      </c>
      <c r="O22" s="133">
        <f t="shared" ca="1" si="18"/>
        <v>0.6</v>
      </c>
      <c r="P22" s="133">
        <f t="shared" ca="1" si="18"/>
        <v>0.52300000000000002</v>
      </c>
      <c r="Q22" s="133">
        <f t="shared" ca="1" si="18"/>
        <v>0.503</v>
      </c>
      <c r="R22" s="133">
        <f t="shared" ca="1" si="18"/>
        <v>0.48099999999999998</v>
      </c>
      <c r="S22" s="133">
        <f t="shared" ca="1" si="18"/>
        <v>0.45500000000000002</v>
      </c>
      <c r="T22" s="80">
        <f t="shared" ca="1" si="36"/>
        <v>7.009906155432466E-2</v>
      </c>
      <c r="U22" s="80">
        <f t="shared" ca="1" si="37"/>
        <v>7.0232578324189276E-2</v>
      </c>
      <c r="V22" s="133">
        <f t="shared" ca="1" si="38"/>
        <v>0.96000000000000008</v>
      </c>
      <c r="W22" s="80" t="b">
        <f t="shared" ca="1" si="39"/>
        <v>1</v>
      </c>
      <c r="X22" s="80"/>
      <c r="Y22" s="211">
        <f t="shared" ca="1" si="43"/>
        <v>11</v>
      </c>
      <c r="Z22" s="208">
        <f t="shared" si="19"/>
        <v>43434</v>
      </c>
      <c r="AA22" s="217">
        <v>43100</v>
      </c>
      <c r="AB22" s="213">
        <f t="shared" si="20"/>
        <v>334</v>
      </c>
      <c r="AC22" s="214">
        <f t="shared" si="40"/>
        <v>0.91506849315068495</v>
      </c>
      <c r="AD22" s="214">
        <f t="shared" ca="1" si="21"/>
        <v>11.915068493150685</v>
      </c>
      <c r="AE22" s="215">
        <f t="shared" ca="1" si="22"/>
        <v>7.009906155432466E-2</v>
      </c>
      <c r="AJ22" t="b">
        <f t="shared" si="23"/>
        <v>1</v>
      </c>
      <c r="AK22" t="b">
        <f t="shared" ca="1" si="24"/>
        <v>1</v>
      </c>
      <c r="AL22" t="b">
        <f t="shared" ca="1" si="25"/>
        <v>1</v>
      </c>
      <c r="AM22" t="b">
        <f t="shared" ca="1" si="26"/>
        <v>1</v>
      </c>
      <c r="AN22" t="b">
        <f t="shared" ca="1" si="27"/>
        <v>1</v>
      </c>
      <c r="AO22" t="b">
        <f t="shared" ca="1" si="28"/>
        <v>1</v>
      </c>
      <c r="AP22" t="b">
        <f t="shared" ca="1" si="29"/>
        <v>1</v>
      </c>
      <c r="AQ22" t="b">
        <f t="shared" ca="1" si="30"/>
        <v>1</v>
      </c>
      <c r="AR22" t="b">
        <f t="shared" ca="1" si="31"/>
        <v>1</v>
      </c>
      <c r="AS22" t="b">
        <f t="shared" ca="1" si="32"/>
        <v>1</v>
      </c>
      <c r="AT22" t="b">
        <f t="shared" ca="1" si="33"/>
        <v>1</v>
      </c>
      <c r="AU22" t="b">
        <f t="shared" ca="1" si="34"/>
        <v>1</v>
      </c>
      <c r="AV22" t="b">
        <f t="shared" ca="1" si="35"/>
        <v>1</v>
      </c>
      <c r="AW22">
        <f t="shared" ca="1" si="41"/>
        <v>13</v>
      </c>
      <c r="AX22">
        <f t="shared" ca="1" si="42"/>
        <v>19</v>
      </c>
    </row>
    <row r="23" spans="1:50" x14ac:dyDescent="0.2">
      <c r="A23" s="45" t="s">
        <v>206</v>
      </c>
      <c r="B23" s="117">
        <f t="shared" ca="1" si="14"/>
        <v>68</v>
      </c>
      <c r="C23" s="1">
        <f ca="1">IF(ISERROR(D23),"",IF(D23="","",MAX($C$12:C22)+1))</f>
        <v>11</v>
      </c>
      <c r="D23" t="str">
        <f t="shared" ca="1" si="15"/>
        <v>WGL Holdings Inc.</v>
      </c>
      <c r="E23" s="15"/>
      <c r="F23" s="133">
        <f t="shared" ca="1" si="16"/>
        <v>1.6156666666666666</v>
      </c>
      <c r="G23" s="133" t="str">
        <f t="shared" si="17"/>
        <v>N/A</v>
      </c>
      <c r="H23" s="133">
        <f ca="1">IFERROR(IF(VLOOKUP($A23,LASTYR,'2017'!$I$3,FALSE)=0,"N/A",VLOOKUP($A23,LASTYR,'2017'!$I$3,FALSE)),"N/A")</f>
        <v>2.02</v>
      </c>
      <c r="I23" s="133">
        <f t="shared" ca="1" si="18"/>
        <v>1.93</v>
      </c>
      <c r="J23" s="133">
        <f t="shared" ref="J23:S32" ca="1" si="44">IFERROR(IF(INDEX(Dividends,$B23,J$12)=0,"N/A",INDEX(Dividends,$B23,J$12)),"N/A")</f>
        <v>1.83</v>
      </c>
      <c r="K23" s="133">
        <f t="shared" ca="1" si="44"/>
        <v>1.72</v>
      </c>
      <c r="L23" s="133">
        <f t="shared" ca="1" si="44"/>
        <v>1.66</v>
      </c>
      <c r="M23" s="133">
        <f t="shared" ca="1" si="44"/>
        <v>1.59</v>
      </c>
      <c r="N23" s="133">
        <f t="shared" ca="1" si="44"/>
        <v>1.55</v>
      </c>
      <c r="O23" s="133">
        <f t="shared" ca="1" si="44"/>
        <v>1.5</v>
      </c>
      <c r="P23" s="133">
        <f t="shared" ca="1" si="44"/>
        <v>1.47</v>
      </c>
      <c r="Q23" s="133">
        <f t="shared" ca="1" si="44"/>
        <v>1.4079999999999999</v>
      </c>
      <c r="R23" s="133">
        <f t="shared" ca="1" si="44"/>
        <v>1.365</v>
      </c>
      <c r="S23" s="133">
        <f t="shared" ca="1" si="44"/>
        <v>1.345</v>
      </c>
      <c r="T23" s="80" t="str">
        <f t="shared" ca="1" si="36"/>
        <v>N/A</v>
      </c>
      <c r="U23" s="80">
        <f t="shared" ca="1" si="37"/>
        <v>3.7665050516650922E-2</v>
      </c>
      <c r="V23" s="133">
        <f t="shared" ca="1" si="38"/>
        <v>2.0200000000000018</v>
      </c>
      <c r="W23" s="80" t="b">
        <f t="shared" ca="1" si="39"/>
        <v>1</v>
      </c>
      <c r="X23" s="80"/>
      <c r="Y23" s="211">
        <f t="shared" ca="1" si="43"/>
        <v>11</v>
      </c>
      <c r="Z23" s="208">
        <f t="shared" si="19"/>
        <v>43252</v>
      </c>
      <c r="AA23" s="217">
        <v>43100</v>
      </c>
      <c r="AB23" s="213">
        <f t="shared" si="20"/>
        <v>152</v>
      </c>
      <c r="AC23" s="214">
        <f t="shared" si="40"/>
        <v>0.41643835616438357</v>
      </c>
      <c r="AD23" s="214">
        <f t="shared" ca="1" si="21"/>
        <v>11.416438356164383</v>
      </c>
      <c r="AE23" s="215" t="e">
        <f t="shared" ca="1" si="22"/>
        <v>#VALUE!</v>
      </c>
      <c r="AJ23" t="b">
        <f t="shared" si="23"/>
        <v>0</v>
      </c>
      <c r="AK23" t="b">
        <f t="shared" ca="1" si="24"/>
        <v>1</v>
      </c>
      <c r="AL23" t="b">
        <f t="shared" ca="1" si="25"/>
        <v>1</v>
      </c>
      <c r="AM23" t="b">
        <f t="shared" ca="1" si="26"/>
        <v>1</v>
      </c>
      <c r="AN23" t="b">
        <f t="shared" ca="1" si="27"/>
        <v>1</v>
      </c>
      <c r="AO23" t="b">
        <f t="shared" ca="1" si="28"/>
        <v>1</v>
      </c>
      <c r="AP23" t="b">
        <f t="shared" ca="1" si="29"/>
        <v>1</v>
      </c>
      <c r="AQ23" t="b">
        <f t="shared" ca="1" si="30"/>
        <v>1</v>
      </c>
      <c r="AR23" t="b">
        <f t="shared" ca="1" si="31"/>
        <v>1</v>
      </c>
      <c r="AS23" t="b">
        <f t="shared" ca="1" si="32"/>
        <v>1</v>
      </c>
      <c r="AT23" t="b">
        <f t="shared" ca="1" si="33"/>
        <v>1</v>
      </c>
      <c r="AU23" t="b">
        <f t="shared" ca="1" si="34"/>
        <v>1</v>
      </c>
      <c r="AV23" t="b">
        <f t="shared" ca="1" si="35"/>
        <v>1</v>
      </c>
      <c r="AW23">
        <f t="shared" ca="1" si="41"/>
        <v>13</v>
      </c>
      <c r="AX23">
        <f t="shared" ca="1" si="42"/>
        <v>19</v>
      </c>
    </row>
    <row r="24" spans="1:50" hidden="1" x14ac:dyDescent="0.2">
      <c r="A24" s="45"/>
      <c r="B24" s="117" t="str">
        <f t="shared" ca="1" si="14"/>
        <v/>
      </c>
      <c r="C24" s="1" t="str">
        <f>IF(ISERROR(D24),"",IF(D24="","",MAX($C$12:C23)+1))</f>
        <v/>
      </c>
      <c r="D24" t="e">
        <f t="shared" si="15"/>
        <v>#N/A</v>
      </c>
      <c r="E24" s="15"/>
      <c r="F24" s="133" t="str">
        <f t="shared" ca="1" si="16"/>
        <v>N/A</v>
      </c>
      <c r="G24" s="133" t="str">
        <f t="shared" si="17"/>
        <v>N/A</v>
      </c>
      <c r="H24" s="133" t="str">
        <f ca="1">IFERROR(IF(VLOOKUP($A24,LASTYR,'2017'!$I$3,FALSE)=0,"N/A",VLOOKUP($A24,LASTYR,'2017'!$I$3,FALSE)),"N/A")</f>
        <v>N/A</v>
      </c>
      <c r="I24" s="133" t="str">
        <f t="shared" ca="1" si="18"/>
        <v>N/A</v>
      </c>
      <c r="J24" s="133" t="str">
        <f t="shared" ca="1" si="44"/>
        <v>N/A</v>
      </c>
      <c r="K24" s="133" t="str">
        <f t="shared" ca="1" si="44"/>
        <v>N/A</v>
      </c>
      <c r="L24" s="133" t="str">
        <f t="shared" ca="1" si="44"/>
        <v>N/A</v>
      </c>
      <c r="M24" s="133" t="str">
        <f t="shared" ca="1" si="44"/>
        <v>N/A</v>
      </c>
      <c r="N24" s="133" t="str">
        <f t="shared" ca="1" si="44"/>
        <v>N/A</v>
      </c>
      <c r="O24" s="133" t="str">
        <f t="shared" ca="1" si="44"/>
        <v>N/A</v>
      </c>
      <c r="P24" s="133" t="str">
        <f t="shared" ca="1" si="44"/>
        <v>N/A</v>
      </c>
      <c r="Q24" s="133" t="str">
        <f t="shared" ca="1" si="44"/>
        <v>N/A</v>
      </c>
      <c r="R24" s="133" t="str">
        <f t="shared" ca="1" si="44"/>
        <v>N/A</v>
      </c>
      <c r="S24" s="133" t="str">
        <f t="shared" ca="1" si="44"/>
        <v>N/A</v>
      </c>
      <c r="T24" s="80" t="str">
        <f t="shared" ca="1" si="36"/>
        <v>N/A</v>
      </c>
      <c r="U24" s="80" t="str">
        <f t="shared" ca="1" si="37"/>
        <v>N/A</v>
      </c>
      <c r="V24" s="133" t="e">
        <f t="shared" ca="1" si="38"/>
        <v>#VALUE!</v>
      </c>
      <c r="W24" s="80" t="e">
        <f t="shared" ca="1" si="39"/>
        <v>#VALUE!</v>
      </c>
      <c r="X24" s="80"/>
      <c r="Y24" s="211">
        <f t="shared" ca="1" si="43"/>
        <v>-1</v>
      </c>
      <c r="Z24" s="208" t="str">
        <f t="shared" si="19"/>
        <v>N/A</v>
      </c>
      <c r="AA24" s="217">
        <v>43100</v>
      </c>
      <c r="AB24" s="213" t="e">
        <f t="shared" si="20"/>
        <v>#VALUE!</v>
      </c>
      <c r="AC24" s="214" t="e">
        <f t="shared" si="40"/>
        <v>#VALUE!</v>
      </c>
      <c r="AD24" s="214" t="e">
        <f t="shared" ca="1" si="21"/>
        <v>#VALUE!</v>
      </c>
      <c r="AE24" s="215" t="e">
        <f t="shared" ca="1" si="22"/>
        <v>#VALUE!</v>
      </c>
      <c r="AJ24" t="b">
        <f t="shared" si="23"/>
        <v>0</v>
      </c>
      <c r="AK24" t="b">
        <f t="shared" ca="1" si="24"/>
        <v>0</v>
      </c>
      <c r="AL24" t="b">
        <f t="shared" ca="1" si="25"/>
        <v>0</v>
      </c>
      <c r="AM24" t="b">
        <f t="shared" ca="1" si="26"/>
        <v>0</v>
      </c>
      <c r="AN24" t="b">
        <f t="shared" ca="1" si="27"/>
        <v>0</v>
      </c>
      <c r="AO24" t="b">
        <f t="shared" ca="1" si="28"/>
        <v>0</v>
      </c>
      <c r="AP24" t="b">
        <f t="shared" ca="1" si="29"/>
        <v>0</v>
      </c>
      <c r="AQ24" t="b">
        <f t="shared" ca="1" si="30"/>
        <v>0</v>
      </c>
      <c r="AR24" t="b">
        <f t="shared" ca="1" si="31"/>
        <v>0</v>
      </c>
      <c r="AS24" t="b">
        <f t="shared" ca="1" si="32"/>
        <v>0</v>
      </c>
      <c r="AT24" t="b">
        <f t="shared" ca="1" si="33"/>
        <v>0</v>
      </c>
      <c r="AU24" t="b">
        <f t="shared" ca="1" si="34"/>
        <v>0</v>
      </c>
      <c r="AV24" t="b">
        <f t="shared" ca="1" si="35"/>
        <v>0</v>
      </c>
      <c r="AW24">
        <f t="shared" ca="1" si="41"/>
        <v>1</v>
      </c>
      <c r="AX24">
        <f t="shared" ca="1" si="42"/>
        <v>7</v>
      </c>
    </row>
    <row r="25" spans="1:50" hidden="1" x14ac:dyDescent="0.2">
      <c r="A25" s="45"/>
      <c r="B25" s="117" t="str">
        <f t="shared" ca="1" si="14"/>
        <v/>
      </c>
      <c r="C25" s="1" t="str">
        <f>IF(ISERROR(D25),"",IF(D25="","",MAX($C$12:C24)+1))</f>
        <v/>
      </c>
      <c r="D25" t="e">
        <f t="shared" si="15"/>
        <v>#N/A</v>
      </c>
      <c r="E25" s="15"/>
      <c r="F25" s="133" t="str">
        <f t="shared" ca="1" si="16"/>
        <v>N/A</v>
      </c>
      <c r="G25" s="133" t="str">
        <f t="shared" si="17"/>
        <v>N/A</v>
      </c>
      <c r="H25" s="133" t="str">
        <f ca="1">IFERROR(IF(VLOOKUP($A25,LASTYR,'2017'!$I$3,FALSE)=0,"N/A",VLOOKUP($A25,LASTYR,'2017'!$I$3,FALSE)),"N/A")</f>
        <v>N/A</v>
      </c>
      <c r="I25" s="133" t="str">
        <f t="shared" ca="1" si="18"/>
        <v>N/A</v>
      </c>
      <c r="J25" s="133" t="str">
        <f t="shared" ca="1" si="44"/>
        <v>N/A</v>
      </c>
      <c r="K25" s="133" t="str">
        <f t="shared" ca="1" si="44"/>
        <v>N/A</v>
      </c>
      <c r="L25" s="133" t="str">
        <f t="shared" ca="1" si="44"/>
        <v>N/A</v>
      </c>
      <c r="M25" s="133" t="str">
        <f t="shared" ca="1" si="44"/>
        <v>N/A</v>
      </c>
      <c r="N25" s="133" t="str">
        <f t="shared" ca="1" si="44"/>
        <v>N/A</v>
      </c>
      <c r="O25" s="133" t="str">
        <f t="shared" ca="1" si="44"/>
        <v>N/A</v>
      </c>
      <c r="P25" s="133" t="str">
        <f t="shared" ca="1" si="44"/>
        <v>N/A</v>
      </c>
      <c r="Q25" s="133" t="str">
        <f t="shared" ca="1" si="44"/>
        <v>N/A</v>
      </c>
      <c r="R25" s="133" t="str">
        <f t="shared" ca="1" si="44"/>
        <v>N/A</v>
      </c>
      <c r="S25" s="133" t="str">
        <f t="shared" ca="1" si="44"/>
        <v>N/A</v>
      </c>
      <c r="T25" s="80" t="str">
        <f t="shared" ca="1" si="36"/>
        <v>N/A</v>
      </c>
      <c r="U25" s="80" t="str">
        <f t="shared" ca="1" si="37"/>
        <v>N/A</v>
      </c>
      <c r="V25" s="133" t="e">
        <f t="shared" ca="1" si="38"/>
        <v>#VALUE!</v>
      </c>
      <c r="W25" s="80" t="e">
        <f t="shared" ca="1" si="39"/>
        <v>#VALUE!</v>
      </c>
      <c r="X25" s="80"/>
      <c r="Y25" s="211">
        <f t="shared" ca="1" si="43"/>
        <v>-1</v>
      </c>
      <c r="Z25" s="208" t="str">
        <f t="shared" si="19"/>
        <v>N/A</v>
      </c>
      <c r="AA25" s="217">
        <v>43100</v>
      </c>
      <c r="AB25" s="213" t="e">
        <f t="shared" si="20"/>
        <v>#VALUE!</v>
      </c>
      <c r="AC25" s="214" t="e">
        <f t="shared" si="40"/>
        <v>#VALUE!</v>
      </c>
      <c r="AD25" s="214" t="e">
        <f t="shared" ca="1" si="21"/>
        <v>#VALUE!</v>
      </c>
      <c r="AE25" s="215" t="e">
        <f t="shared" ca="1" si="22"/>
        <v>#VALUE!</v>
      </c>
      <c r="AJ25" t="b">
        <f t="shared" si="23"/>
        <v>0</v>
      </c>
      <c r="AK25" t="b">
        <f t="shared" ca="1" si="24"/>
        <v>0</v>
      </c>
      <c r="AL25" t="b">
        <f t="shared" ca="1" si="25"/>
        <v>0</v>
      </c>
      <c r="AM25" t="b">
        <f t="shared" ca="1" si="26"/>
        <v>0</v>
      </c>
      <c r="AN25" t="b">
        <f t="shared" ca="1" si="27"/>
        <v>0</v>
      </c>
      <c r="AO25" t="b">
        <f t="shared" ca="1" si="28"/>
        <v>0</v>
      </c>
      <c r="AP25" t="b">
        <f t="shared" ca="1" si="29"/>
        <v>0</v>
      </c>
      <c r="AQ25" t="b">
        <f t="shared" ca="1" si="30"/>
        <v>0</v>
      </c>
      <c r="AR25" t="b">
        <f t="shared" ca="1" si="31"/>
        <v>0</v>
      </c>
      <c r="AS25" t="b">
        <f t="shared" ca="1" si="32"/>
        <v>0</v>
      </c>
      <c r="AT25" t="b">
        <f t="shared" ca="1" si="33"/>
        <v>0</v>
      </c>
      <c r="AU25" t="b">
        <f t="shared" ca="1" si="34"/>
        <v>0</v>
      </c>
      <c r="AV25" t="b">
        <f t="shared" ca="1" si="35"/>
        <v>0</v>
      </c>
      <c r="AW25">
        <f t="shared" ca="1" si="41"/>
        <v>1</v>
      </c>
      <c r="AX25">
        <f t="shared" ca="1" si="42"/>
        <v>7</v>
      </c>
    </row>
    <row r="26" spans="1:50" hidden="1" x14ac:dyDescent="0.2">
      <c r="A26" s="45"/>
      <c r="B26" s="117" t="str">
        <f t="shared" ca="1" si="14"/>
        <v/>
      </c>
      <c r="C26" s="1" t="str">
        <f>IF(ISERROR(D26),"",IF(D26="","",MAX($C$12:C25)+1))</f>
        <v/>
      </c>
      <c r="D26" t="e">
        <f t="shared" si="15"/>
        <v>#N/A</v>
      </c>
      <c r="E26" s="15"/>
      <c r="F26" s="133" t="str">
        <f t="shared" ca="1" si="16"/>
        <v>N/A</v>
      </c>
      <c r="G26" s="133" t="str">
        <f t="shared" si="17"/>
        <v>N/A</v>
      </c>
      <c r="H26" s="133" t="str">
        <f ca="1">IFERROR(IF(VLOOKUP($A26,LASTYR,'2017'!$I$3,FALSE)=0,"N/A",VLOOKUP($A26,LASTYR,'2017'!$I$3,FALSE)),"N/A")</f>
        <v>N/A</v>
      </c>
      <c r="I26" s="133" t="str">
        <f t="shared" ca="1" si="18"/>
        <v>N/A</v>
      </c>
      <c r="J26" s="133" t="str">
        <f t="shared" ca="1" si="44"/>
        <v>N/A</v>
      </c>
      <c r="K26" s="133" t="str">
        <f t="shared" ca="1" si="44"/>
        <v>N/A</v>
      </c>
      <c r="L26" s="133" t="str">
        <f t="shared" ca="1" si="44"/>
        <v>N/A</v>
      </c>
      <c r="M26" s="133" t="str">
        <f t="shared" ca="1" si="44"/>
        <v>N/A</v>
      </c>
      <c r="N26" s="133" t="str">
        <f t="shared" ca="1" si="44"/>
        <v>N/A</v>
      </c>
      <c r="O26" s="133" t="str">
        <f t="shared" ca="1" si="44"/>
        <v>N/A</v>
      </c>
      <c r="P26" s="133" t="str">
        <f t="shared" ca="1" si="44"/>
        <v>N/A</v>
      </c>
      <c r="Q26" s="133" t="str">
        <f t="shared" ca="1" si="44"/>
        <v>N/A</v>
      </c>
      <c r="R26" s="133" t="str">
        <f t="shared" ca="1" si="44"/>
        <v>N/A</v>
      </c>
      <c r="S26" s="133" t="str">
        <f t="shared" ca="1" si="44"/>
        <v>N/A</v>
      </c>
      <c r="T26" s="80" t="str">
        <f t="shared" ca="1" si="36"/>
        <v>N/A</v>
      </c>
      <c r="U26" s="80" t="str">
        <f t="shared" ca="1" si="37"/>
        <v>N/A</v>
      </c>
      <c r="V26" s="133" t="e">
        <f t="shared" ca="1" si="38"/>
        <v>#VALUE!</v>
      </c>
      <c r="W26" s="80" t="e">
        <f t="shared" ca="1" si="39"/>
        <v>#VALUE!</v>
      </c>
      <c r="X26" s="80"/>
      <c r="Y26" s="211">
        <f t="shared" ca="1" si="43"/>
        <v>-1</v>
      </c>
      <c r="Z26" s="208" t="str">
        <f t="shared" si="19"/>
        <v>N/A</v>
      </c>
      <c r="AA26" s="217">
        <v>43100</v>
      </c>
      <c r="AB26" s="213" t="e">
        <f t="shared" si="20"/>
        <v>#VALUE!</v>
      </c>
      <c r="AC26" s="214" t="e">
        <f t="shared" si="40"/>
        <v>#VALUE!</v>
      </c>
      <c r="AD26" s="214" t="e">
        <f t="shared" ca="1" si="21"/>
        <v>#VALUE!</v>
      </c>
      <c r="AE26" s="215" t="e">
        <f t="shared" ca="1" si="22"/>
        <v>#VALUE!</v>
      </c>
      <c r="AJ26" t="b">
        <f t="shared" si="23"/>
        <v>0</v>
      </c>
      <c r="AK26" t="b">
        <f t="shared" ca="1" si="24"/>
        <v>0</v>
      </c>
      <c r="AL26" t="b">
        <f t="shared" ca="1" si="25"/>
        <v>0</v>
      </c>
      <c r="AM26" t="b">
        <f t="shared" ca="1" si="26"/>
        <v>0</v>
      </c>
      <c r="AN26" t="b">
        <f t="shared" ca="1" si="27"/>
        <v>0</v>
      </c>
      <c r="AO26" t="b">
        <f t="shared" ca="1" si="28"/>
        <v>0</v>
      </c>
      <c r="AP26" t="b">
        <f t="shared" ca="1" si="29"/>
        <v>0</v>
      </c>
      <c r="AQ26" t="b">
        <f t="shared" ca="1" si="30"/>
        <v>0</v>
      </c>
      <c r="AR26" t="b">
        <f t="shared" ca="1" si="31"/>
        <v>0</v>
      </c>
      <c r="AS26" t="b">
        <f t="shared" ca="1" si="32"/>
        <v>0</v>
      </c>
      <c r="AT26" t="b">
        <f t="shared" ca="1" si="33"/>
        <v>0</v>
      </c>
      <c r="AU26" t="b">
        <f t="shared" ca="1" si="34"/>
        <v>0</v>
      </c>
      <c r="AV26" t="b">
        <f t="shared" ca="1" si="35"/>
        <v>0</v>
      </c>
      <c r="AW26">
        <f t="shared" ca="1" si="41"/>
        <v>1</v>
      </c>
      <c r="AX26">
        <f t="shared" ca="1" si="42"/>
        <v>7</v>
      </c>
    </row>
    <row r="27" spans="1:50" hidden="1" x14ac:dyDescent="0.2">
      <c r="A27" s="45"/>
      <c r="B27" s="117" t="str">
        <f t="shared" ca="1" si="14"/>
        <v/>
      </c>
      <c r="C27" s="1" t="str">
        <f>IF(ISERROR(D27),"",IF(D27="","",MAX($C$12:C26)+1))</f>
        <v/>
      </c>
      <c r="D27" t="e">
        <f t="shared" si="15"/>
        <v>#N/A</v>
      </c>
      <c r="E27" s="15"/>
      <c r="F27" s="133" t="str">
        <f t="shared" ca="1" si="16"/>
        <v>N/A</v>
      </c>
      <c r="G27" s="133" t="str">
        <f t="shared" si="17"/>
        <v>N/A</v>
      </c>
      <c r="H27" s="133" t="str">
        <f ca="1">IFERROR(IF(VLOOKUP($A27,LASTYR,'2017'!$I$3,FALSE)=0,"N/A",VLOOKUP($A27,LASTYR,'2017'!$I$3,FALSE)),"N/A")</f>
        <v>N/A</v>
      </c>
      <c r="I27" s="133" t="str">
        <f t="shared" ca="1" si="18"/>
        <v>N/A</v>
      </c>
      <c r="J27" s="133" t="str">
        <f t="shared" ca="1" si="44"/>
        <v>N/A</v>
      </c>
      <c r="K27" s="133" t="str">
        <f t="shared" ca="1" si="44"/>
        <v>N/A</v>
      </c>
      <c r="L27" s="133" t="str">
        <f t="shared" ca="1" si="44"/>
        <v>N/A</v>
      </c>
      <c r="M27" s="133" t="str">
        <f t="shared" ca="1" si="44"/>
        <v>N/A</v>
      </c>
      <c r="N27" s="133" t="str">
        <f t="shared" ca="1" si="44"/>
        <v>N/A</v>
      </c>
      <c r="O27" s="133" t="str">
        <f t="shared" ca="1" si="44"/>
        <v>N/A</v>
      </c>
      <c r="P27" s="133" t="str">
        <f t="shared" ca="1" si="44"/>
        <v>N/A</v>
      </c>
      <c r="Q27" s="133" t="str">
        <f t="shared" ca="1" si="44"/>
        <v>N/A</v>
      </c>
      <c r="R27" s="133" t="str">
        <f t="shared" ca="1" si="44"/>
        <v>N/A</v>
      </c>
      <c r="S27" s="133" t="str">
        <f t="shared" ca="1" si="44"/>
        <v>N/A</v>
      </c>
      <c r="T27" s="80" t="str">
        <f t="shared" ca="1" si="36"/>
        <v>N/A</v>
      </c>
      <c r="U27" s="80" t="str">
        <f t="shared" ca="1" si="37"/>
        <v>N/A</v>
      </c>
      <c r="V27" s="133" t="e">
        <f t="shared" ca="1" si="38"/>
        <v>#VALUE!</v>
      </c>
      <c r="W27" s="80" t="e">
        <f t="shared" ca="1" si="39"/>
        <v>#VALUE!</v>
      </c>
      <c r="X27" s="80"/>
      <c r="Y27" s="211">
        <f t="shared" ca="1" si="43"/>
        <v>-1</v>
      </c>
      <c r="Z27" s="208" t="str">
        <f t="shared" si="19"/>
        <v>N/A</v>
      </c>
      <c r="AA27" s="217">
        <v>43100</v>
      </c>
      <c r="AB27" s="213" t="e">
        <f t="shared" si="20"/>
        <v>#VALUE!</v>
      </c>
      <c r="AC27" s="214" t="e">
        <f t="shared" si="40"/>
        <v>#VALUE!</v>
      </c>
      <c r="AD27" s="214" t="e">
        <f t="shared" ca="1" si="21"/>
        <v>#VALUE!</v>
      </c>
      <c r="AE27" s="215" t="e">
        <f t="shared" ca="1" si="22"/>
        <v>#VALUE!</v>
      </c>
      <c r="AJ27" t="b">
        <f t="shared" si="23"/>
        <v>0</v>
      </c>
      <c r="AK27" t="b">
        <f t="shared" ca="1" si="24"/>
        <v>0</v>
      </c>
      <c r="AL27" t="b">
        <f t="shared" ca="1" si="25"/>
        <v>0</v>
      </c>
      <c r="AM27" t="b">
        <f t="shared" ca="1" si="26"/>
        <v>0</v>
      </c>
      <c r="AN27" t="b">
        <f t="shared" ca="1" si="27"/>
        <v>0</v>
      </c>
      <c r="AO27" t="b">
        <f t="shared" ca="1" si="28"/>
        <v>0</v>
      </c>
      <c r="AP27" t="b">
        <f t="shared" ca="1" si="29"/>
        <v>0</v>
      </c>
      <c r="AQ27" t="b">
        <f t="shared" ca="1" si="30"/>
        <v>0</v>
      </c>
      <c r="AR27" t="b">
        <f t="shared" ca="1" si="31"/>
        <v>0</v>
      </c>
      <c r="AS27" t="b">
        <f t="shared" ca="1" si="32"/>
        <v>0</v>
      </c>
      <c r="AT27" t="b">
        <f t="shared" ca="1" si="33"/>
        <v>0</v>
      </c>
      <c r="AU27" t="b">
        <f t="shared" ca="1" si="34"/>
        <v>0</v>
      </c>
      <c r="AV27" t="b">
        <f t="shared" ca="1" si="35"/>
        <v>0</v>
      </c>
      <c r="AW27">
        <f t="shared" ca="1" si="41"/>
        <v>1</v>
      </c>
      <c r="AX27">
        <f t="shared" ca="1" si="42"/>
        <v>7</v>
      </c>
    </row>
    <row r="28" spans="1:50" hidden="1" x14ac:dyDescent="0.2">
      <c r="A28" s="45"/>
      <c r="B28" s="117" t="str">
        <f t="shared" ca="1" si="14"/>
        <v/>
      </c>
      <c r="C28" s="1" t="str">
        <f>IF(ISERROR(D28),"",IF(D28="","",MAX($C$12:C27)+1))</f>
        <v/>
      </c>
      <c r="D28" t="e">
        <f t="shared" si="15"/>
        <v>#N/A</v>
      </c>
      <c r="E28" s="15"/>
      <c r="F28" s="133" t="str">
        <f t="shared" ca="1" si="16"/>
        <v>N/A</v>
      </c>
      <c r="G28" s="133" t="str">
        <f t="shared" si="17"/>
        <v>N/A</v>
      </c>
      <c r="H28" s="133" t="str">
        <f ca="1">IFERROR(IF(VLOOKUP($A28,LASTYR,'2017'!$I$3,FALSE)=0,"N/A",VLOOKUP($A28,LASTYR,'2017'!$I$3,FALSE)),"N/A")</f>
        <v>N/A</v>
      </c>
      <c r="I28" s="133" t="str">
        <f t="shared" ca="1" si="18"/>
        <v>N/A</v>
      </c>
      <c r="J28" s="133" t="str">
        <f t="shared" ca="1" si="44"/>
        <v>N/A</v>
      </c>
      <c r="K28" s="133" t="str">
        <f t="shared" ca="1" si="44"/>
        <v>N/A</v>
      </c>
      <c r="L28" s="133" t="str">
        <f t="shared" ca="1" si="44"/>
        <v>N/A</v>
      </c>
      <c r="M28" s="133" t="str">
        <f t="shared" ca="1" si="44"/>
        <v>N/A</v>
      </c>
      <c r="N28" s="133" t="str">
        <f t="shared" ca="1" si="44"/>
        <v>N/A</v>
      </c>
      <c r="O28" s="133" t="str">
        <f t="shared" ca="1" si="44"/>
        <v>N/A</v>
      </c>
      <c r="P28" s="133" t="str">
        <f t="shared" ca="1" si="44"/>
        <v>N/A</v>
      </c>
      <c r="Q28" s="133" t="str">
        <f t="shared" ca="1" si="44"/>
        <v>N/A</v>
      </c>
      <c r="R28" s="133" t="str">
        <f t="shared" ca="1" si="44"/>
        <v>N/A</v>
      </c>
      <c r="S28" s="133" t="str">
        <f t="shared" ca="1" si="44"/>
        <v>N/A</v>
      </c>
      <c r="T28" s="80" t="str">
        <f t="shared" ca="1" si="36"/>
        <v>N/A</v>
      </c>
      <c r="U28" s="80" t="str">
        <f t="shared" ca="1" si="37"/>
        <v>N/A</v>
      </c>
      <c r="V28" s="133" t="e">
        <f t="shared" ca="1" si="38"/>
        <v>#VALUE!</v>
      </c>
      <c r="W28" s="80" t="e">
        <f t="shared" ca="1" si="39"/>
        <v>#VALUE!</v>
      </c>
      <c r="X28" s="80"/>
      <c r="Y28" s="211">
        <f t="shared" ca="1" si="43"/>
        <v>-1</v>
      </c>
      <c r="Z28" s="208" t="str">
        <f t="shared" si="19"/>
        <v>N/A</v>
      </c>
      <c r="AA28" s="217">
        <v>43100</v>
      </c>
      <c r="AB28" s="213" t="e">
        <f t="shared" si="20"/>
        <v>#VALUE!</v>
      </c>
      <c r="AC28" s="214" t="e">
        <f t="shared" si="40"/>
        <v>#VALUE!</v>
      </c>
      <c r="AD28" s="214" t="e">
        <f t="shared" ca="1" si="21"/>
        <v>#VALUE!</v>
      </c>
      <c r="AE28" s="215" t="e">
        <f t="shared" ca="1" si="22"/>
        <v>#VALUE!</v>
      </c>
      <c r="AJ28" t="b">
        <f t="shared" si="23"/>
        <v>0</v>
      </c>
      <c r="AK28" t="b">
        <f t="shared" ca="1" si="24"/>
        <v>0</v>
      </c>
      <c r="AL28" t="b">
        <f t="shared" ca="1" si="25"/>
        <v>0</v>
      </c>
      <c r="AM28" t="b">
        <f t="shared" ca="1" si="26"/>
        <v>0</v>
      </c>
      <c r="AN28" t="b">
        <f t="shared" ca="1" si="27"/>
        <v>0</v>
      </c>
      <c r="AO28" t="b">
        <f t="shared" ca="1" si="28"/>
        <v>0</v>
      </c>
      <c r="AP28" t="b">
        <f t="shared" ca="1" si="29"/>
        <v>0</v>
      </c>
      <c r="AQ28" t="b">
        <f t="shared" ca="1" si="30"/>
        <v>0</v>
      </c>
      <c r="AR28" t="b">
        <f t="shared" ca="1" si="31"/>
        <v>0</v>
      </c>
      <c r="AS28" t="b">
        <f t="shared" ca="1" si="32"/>
        <v>0</v>
      </c>
      <c r="AT28" t="b">
        <f t="shared" ca="1" si="33"/>
        <v>0</v>
      </c>
      <c r="AU28" t="b">
        <f t="shared" ca="1" si="34"/>
        <v>0</v>
      </c>
      <c r="AV28" t="b">
        <f t="shared" ca="1" si="35"/>
        <v>0</v>
      </c>
      <c r="AW28">
        <f t="shared" ca="1" si="41"/>
        <v>1</v>
      </c>
      <c r="AX28">
        <f t="shared" ca="1" si="42"/>
        <v>7</v>
      </c>
    </row>
    <row r="29" spans="1:50" hidden="1" x14ac:dyDescent="0.2">
      <c r="A29" s="45"/>
      <c r="B29" s="117" t="str">
        <f t="shared" ca="1" si="14"/>
        <v/>
      </c>
      <c r="C29" s="1" t="str">
        <f>IF(ISERROR(D29),"",IF(D29="","",MAX($C$12:C28)+1))</f>
        <v/>
      </c>
      <c r="D29" t="e">
        <f t="shared" si="15"/>
        <v>#N/A</v>
      </c>
      <c r="E29" s="15"/>
      <c r="F29" s="133" t="str">
        <f t="shared" ca="1" si="16"/>
        <v>N/A</v>
      </c>
      <c r="G29" s="133" t="str">
        <f t="shared" si="17"/>
        <v>N/A</v>
      </c>
      <c r="H29" s="133" t="str">
        <f ca="1">IFERROR(IF(VLOOKUP($A29,LASTYR,'2017'!$I$3,FALSE)=0,"N/A",VLOOKUP($A29,LASTYR,'2017'!$I$3,FALSE)),"N/A")</f>
        <v>N/A</v>
      </c>
      <c r="I29" s="133" t="str">
        <f t="shared" ref="I29:I57" ca="1" si="45">IFERROR(IF(INDEX(Dividends,$B29,I$12)=0,"N/A",INDEX(Dividends,$B29,I$12)),"N/A")</f>
        <v>N/A</v>
      </c>
      <c r="J29" s="133" t="str">
        <f t="shared" ca="1" si="44"/>
        <v>N/A</v>
      </c>
      <c r="K29" s="133" t="str">
        <f t="shared" ca="1" si="44"/>
        <v>N/A</v>
      </c>
      <c r="L29" s="133" t="str">
        <f t="shared" ca="1" si="44"/>
        <v>N/A</v>
      </c>
      <c r="M29" s="133" t="str">
        <f t="shared" ca="1" si="44"/>
        <v>N/A</v>
      </c>
      <c r="N29" s="133" t="str">
        <f t="shared" ca="1" si="44"/>
        <v>N/A</v>
      </c>
      <c r="O29" s="133" t="str">
        <f t="shared" ca="1" si="44"/>
        <v>N/A</v>
      </c>
      <c r="P29" s="133" t="str">
        <f t="shared" ca="1" si="44"/>
        <v>N/A</v>
      </c>
      <c r="Q29" s="133" t="str">
        <f t="shared" ca="1" si="44"/>
        <v>N/A</v>
      </c>
      <c r="R29" s="133" t="str">
        <f t="shared" ca="1" si="44"/>
        <v>N/A</v>
      </c>
      <c r="S29" s="133" t="str">
        <f t="shared" ca="1" si="44"/>
        <v>N/A</v>
      </c>
      <c r="T29" s="80" t="str">
        <f t="shared" ca="1" si="36"/>
        <v>N/A</v>
      </c>
      <c r="U29" s="80" t="str">
        <f t="shared" ca="1" si="37"/>
        <v>N/A</v>
      </c>
      <c r="V29" s="133" t="e">
        <f t="shared" ca="1" si="38"/>
        <v>#VALUE!</v>
      </c>
      <c r="W29" s="80" t="e">
        <f t="shared" ca="1" si="39"/>
        <v>#VALUE!</v>
      </c>
      <c r="X29" s="80"/>
      <c r="Y29" s="211">
        <f t="shared" ca="1" si="43"/>
        <v>-1</v>
      </c>
      <c r="Z29" s="208" t="str">
        <f t="shared" si="19"/>
        <v>N/A</v>
      </c>
      <c r="AA29" s="217">
        <v>43100</v>
      </c>
      <c r="AB29" s="213" t="e">
        <f t="shared" si="20"/>
        <v>#VALUE!</v>
      </c>
      <c r="AC29" s="214" t="e">
        <f t="shared" si="40"/>
        <v>#VALUE!</v>
      </c>
      <c r="AD29" s="214" t="e">
        <f t="shared" ca="1" si="21"/>
        <v>#VALUE!</v>
      </c>
      <c r="AE29" s="215" t="e">
        <f t="shared" ca="1" si="22"/>
        <v>#VALUE!</v>
      </c>
      <c r="AJ29" t="b">
        <f t="shared" si="23"/>
        <v>0</v>
      </c>
      <c r="AK29" t="b">
        <f t="shared" ca="1" si="24"/>
        <v>0</v>
      </c>
      <c r="AL29" t="b">
        <f t="shared" ca="1" si="25"/>
        <v>0</v>
      </c>
      <c r="AM29" t="b">
        <f t="shared" ca="1" si="26"/>
        <v>0</v>
      </c>
      <c r="AN29" t="b">
        <f t="shared" ca="1" si="27"/>
        <v>0</v>
      </c>
      <c r="AO29" t="b">
        <f t="shared" ca="1" si="28"/>
        <v>0</v>
      </c>
      <c r="AP29" t="b">
        <f t="shared" ca="1" si="29"/>
        <v>0</v>
      </c>
      <c r="AQ29" t="b">
        <f t="shared" ca="1" si="30"/>
        <v>0</v>
      </c>
      <c r="AR29" t="b">
        <f t="shared" ca="1" si="31"/>
        <v>0</v>
      </c>
      <c r="AS29" t="b">
        <f t="shared" ca="1" si="32"/>
        <v>0</v>
      </c>
      <c r="AT29" t="b">
        <f t="shared" ca="1" si="33"/>
        <v>0</v>
      </c>
      <c r="AU29" t="b">
        <f t="shared" ca="1" si="34"/>
        <v>0</v>
      </c>
      <c r="AV29" t="b">
        <f t="shared" ca="1" si="35"/>
        <v>0</v>
      </c>
      <c r="AW29">
        <f t="shared" ca="1" si="41"/>
        <v>1</v>
      </c>
      <c r="AX29">
        <f t="shared" ca="1" si="42"/>
        <v>7</v>
      </c>
    </row>
    <row r="30" spans="1:50" hidden="1" x14ac:dyDescent="0.2">
      <c r="A30" s="45"/>
      <c r="B30" s="117" t="str">
        <f t="shared" ca="1" si="14"/>
        <v/>
      </c>
      <c r="C30" s="1" t="str">
        <f>IF(ISERROR(D30),"",IF(D30="","",MAX($C$12:C29)+1))</f>
        <v/>
      </c>
      <c r="D30" t="e">
        <f t="shared" si="15"/>
        <v>#N/A</v>
      </c>
      <c r="E30" s="15"/>
      <c r="F30" s="133" t="str">
        <f t="shared" ca="1" si="16"/>
        <v>N/A</v>
      </c>
      <c r="G30" s="133" t="str">
        <f t="shared" si="17"/>
        <v>N/A</v>
      </c>
      <c r="H30" s="133" t="str">
        <f ca="1">IFERROR(IF(VLOOKUP($A30,LASTYR,'2017'!$I$3,FALSE)=0,"N/A",VLOOKUP($A30,LASTYR,'2017'!$I$3,FALSE)),"N/A")</f>
        <v>N/A</v>
      </c>
      <c r="I30" s="133" t="str">
        <f t="shared" ca="1" si="45"/>
        <v>N/A</v>
      </c>
      <c r="J30" s="133" t="str">
        <f t="shared" ca="1" si="44"/>
        <v>N/A</v>
      </c>
      <c r="K30" s="133" t="str">
        <f t="shared" ca="1" si="44"/>
        <v>N/A</v>
      </c>
      <c r="L30" s="133" t="str">
        <f t="shared" ca="1" si="44"/>
        <v>N/A</v>
      </c>
      <c r="M30" s="133" t="str">
        <f t="shared" ca="1" si="44"/>
        <v>N/A</v>
      </c>
      <c r="N30" s="133" t="str">
        <f t="shared" ca="1" si="44"/>
        <v>N/A</v>
      </c>
      <c r="O30" s="133" t="str">
        <f t="shared" ca="1" si="44"/>
        <v>N/A</v>
      </c>
      <c r="P30" s="133" t="str">
        <f t="shared" ca="1" si="44"/>
        <v>N/A</v>
      </c>
      <c r="Q30" s="133" t="str">
        <f t="shared" ca="1" si="44"/>
        <v>N/A</v>
      </c>
      <c r="R30" s="133" t="str">
        <f t="shared" ca="1" si="44"/>
        <v>N/A</v>
      </c>
      <c r="S30" s="133" t="str">
        <f t="shared" ca="1" si="44"/>
        <v>N/A</v>
      </c>
      <c r="T30" s="80" t="str">
        <f t="shared" ca="1" si="36"/>
        <v>N/A</v>
      </c>
      <c r="U30" s="80" t="str">
        <f t="shared" ca="1" si="37"/>
        <v>N/A</v>
      </c>
      <c r="V30" s="133" t="e">
        <f t="shared" ca="1" si="38"/>
        <v>#VALUE!</v>
      </c>
      <c r="W30" s="80" t="e">
        <f t="shared" ca="1" si="39"/>
        <v>#VALUE!</v>
      </c>
      <c r="X30" s="80"/>
      <c r="Y30" s="211">
        <f t="shared" ca="1" si="43"/>
        <v>-1</v>
      </c>
      <c r="Z30" s="208" t="str">
        <f t="shared" si="19"/>
        <v>N/A</v>
      </c>
      <c r="AA30" s="217">
        <v>43100</v>
      </c>
      <c r="AB30" s="213" t="e">
        <f t="shared" si="20"/>
        <v>#VALUE!</v>
      </c>
      <c r="AC30" s="214" t="e">
        <f t="shared" si="40"/>
        <v>#VALUE!</v>
      </c>
      <c r="AD30" s="214" t="e">
        <f t="shared" ca="1" si="21"/>
        <v>#VALUE!</v>
      </c>
      <c r="AE30" s="215" t="e">
        <f t="shared" ca="1" si="22"/>
        <v>#VALUE!</v>
      </c>
      <c r="AJ30" t="b">
        <f t="shared" si="23"/>
        <v>0</v>
      </c>
      <c r="AK30" t="b">
        <f t="shared" ca="1" si="24"/>
        <v>0</v>
      </c>
      <c r="AL30" t="b">
        <f t="shared" ca="1" si="25"/>
        <v>0</v>
      </c>
      <c r="AM30" t="b">
        <f t="shared" ca="1" si="26"/>
        <v>0</v>
      </c>
      <c r="AN30" t="b">
        <f t="shared" ca="1" si="27"/>
        <v>0</v>
      </c>
      <c r="AO30" t="b">
        <f t="shared" ca="1" si="28"/>
        <v>0</v>
      </c>
      <c r="AP30" t="b">
        <f t="shared" ca="1" si="29"/>
        <v>0</v>
      </c>
      <c r="AQ30" t="b">
        <f t="shared" ca="1" si="30"/>
        <v>0</v>
      </c>
      <c r="AR30" t="b">
        <f t="shared" ca="1" si="31"/>
        <v>0</v>
      </c>
      <c r="AS30" t="b">
        <f t="shared" ca="1" si="32"/>
        <v>0</v>
      </c>
      <c r="AT30" t="b">
        <f t="shared" ca="1" si="33"/>
        <v>0</v>
      </c>
      <c r="AU30" t="b">
        <f t="shared" ca="1" si="34"/>
        <v>0</v>
      </c>
      <c r="AV30" t="b">
        <f t="shared" ca="1" si="35"/>
        <v>0</v>
      </c>
      <c r="AW30">
        <f t="shared" ca="1" si="41"/>
        <v>1</v>
      </c>
      <c r="AX30">
        <f t="shared" ca="1" si="42"/>
        <v>7</v>
      </c>
    </row>
    <row r="31" spans="1:50" hidden="1" x14ac:dyDescent="0.2">
      <c r="A31" s="45"/>
      <c r="B31" s="117" t="str">
        <f t="shared" ca="1" si="14"/>
        <v/>
      </c>
      <c r="C31" s="1" t="str">
        <f>IF(ISERROR(D31),"",IF(D31="","",MAX($C$12:C30)+1))</f>
        <v/>
      </c>
      <c r="D31" t="e">
        <f t="shared" si="15"/>
        <v>#N/A</v>
      </c>
      <c r="E31" s="15"/>
      <c r="F31" s="133" t="str">
        <f t="shared" ca="1" si="16"/>
        <v>N/A</v>
      </c>
      <c r="G31" s="133" t="str">
        <f t="shared" si="17"/>
        <v>N/A</v>
      </c>
      <c r="H31" s="133" t="str">
        <f ca="1">IFERROR(IF(VLOOKUP($A31,LASTYR,'2017'!$I$3,FALSE)=0,"N/A",VLOOKUP($A31,LASTYR,'2017'!$I$3,FALSE)),"N/A")</f>
        <v>N/A</v>
      </c>
      <c r="I31" s="133" t="str">
        <f t="shared" ca="1" si="45"/>
        <v>N/A</v>
      </c>
      <c r="J31" s="133" t="str">
        <f t="shared" ca="1" si="44"/>
        <v>N/A</v>
      </c>
      <c r="K31" s="133" t="str">
        <f t="shared" ca="1" si="44"/>
        <v>N/A</v>
      </c>
      <c r="L31" s="133" t="str">
        <f t="shared" ca="1" si="44"/>
        <v>N/A</v>
      </c>
      <c r="M31" s="133" t="str">
        <f t="shared" ca="1" si="44"/>
        <v>N/A</v>
      </c>
      <c r="N31" s="133" t="str">
        <f t="shared" ca="1" si="44"/>
        <v>N/A</v>
      </c>
      <c r="O31" s="133" t="str">
        <f t="shared" ca="1" si="44"/>
        <v>N/A</v>
      </c>
      <c r="P31" s="133" t="str">
        <f t="shared" ca="1" si="44"/>
        <v>N/A</v>
      </c>
      <c r="Q31" s="133" t="str">
        <f t="shared" ca="1" si="44"/>
        <v>N/A</v>
      </c>
      <c r="R31" s="133" t="str">
        <f t="shared" ca="1" si="44"/>
        <v>N/A</v>
      </c>
      <c r="S31" s="133" t="str">
        <f t="shared" ca="1" si="44"/>
        <v>N/A</v>
      </c>
      <c r="T31" s="80" t="str">
        <f t="shared" ca="1" si="36"/>
        <v>N/A</v>
      </c>
      <c r="U31" s="80" t="str">
        <f t="shared" ca="1" si="37"/>
        <v>N/A</v>
      </c>
      <c r="V31" s="133" t="e">
        <f t="shared" ca="1" si="38"/>
        <v>#VALUE!</v>
      </c>
      <c r="W31" s="80" t="e">
        <f t="shared" ca="1" si="39"/>
        <v>#VALUE!</v>
      </c>
      <c r="X31" s="80"/>
      <c r="Y31" s="211">
        <f t="shared" ca="1" si="43"/>
        <v>-1</v>
      </c>
      <c r="Z31" s="208" t="str">
        <f t="shared" si="19"/>
        <v>N/A</v>
      </c>
      <c r="AA31" s="217">
        <v>43100</v>
      </c>
      <c r="AB31" s="213" t="e">
        <f t="shared" si="20"/>
        <v>#VALUE!</v>
      </c>
      <c r="AC31" s="214" t="e">
        <f t="shared" si="40"/>
        <v>#VALUE!</v>
      </c>
      <c r="AD31" s="214" t="e">
        <f t="shared" ca="1" si="21"/>
        <v>#VALUE!</v>
      </c>
      <c r="AE31" s="215" t="e">
        <f t="shared" ca="1" si="22"/>
        <v>#VALUE!</v>
      </c>
      <c r="AJ31" t="b">
        <f t="shared" si="23"/>
        <v>0</v>
      </c>
      <c r="AK31" t="b">
        <f t="shared" ca="1" si="24"/>
        <v>0</v>
      </c>
      <c r="AL31" t="b">
        <f t="shared" ca="1" si="25"/>
        <v>0</v>
      </c>
      <c r="AM31" t="b">
        <f t="shared" ca="1" si="26"/>
        <v>0</v>
      </c>
      <c r="AN31" t="b">
        <f t="shared" ca="1" si="27"/>
        <v>0</v>
      </c>
      <c r="AO31" t="b">
        <f t="shared" ca="1" si="28"/>
        <v>0</v>
      </c>
      <c r="AP31" t="b">
        <f t="shared" ca="1" si="29"/>
        <v>0</v>
      </c>
      <c r="AQ31" t="b">
        <f t="shared" ca="1" si="30"/>
        <v>0</v>
      </c>
      <c r="AR31" t="b">
        <f t="shared" ca="1" si="31"/>
        <v>0</v>
      </c>
      <c r="AS31" t="b">
        <f t="shared" ca="1" si="32"/>
        <v>0</v>
      </c>
      <c r="AT31" t="b">
        <f t="shared" ca="1" si="33"/>
        <v>0</v>
      </c>
      <c r="AU31" t="b">
        <f t="shared" ca="1" si="34"/>
        <v>0</v>
      </c>
      <c r="AV31" t="b">
        <f t="shared" ca="1" si="35"/>
        <v>0</v>
      </c>
      <c r="AW31">
        <f t="shared" ca="1" si="41"/>
        <v>1</v>
      </c>
      <c r="AX31">
        <f t="shared" ca="1" si="42"/>
        <v>7</v>
      </c>
    </row>
    <row r="32" spans="1:50" hidden="1" x14ac:dyDescent="0.2">
      <c r="A32" s="45"/>
      <c r="B32" s="117" t="str">
        <f t="shared" ca="1" si="14"/>
        <v/>
      </c>
      <c r="C32" s="1" t="str">
        <f>IF(ISERROR(D32),"",IF(D32="","",MAX($C$12:C31)+1))</f>
        <v/>
      </c>
      <c r="D32" t="e">
        <f t="shared" si="15"/>
        <v>#N/A</v>
      </c>
      <c r="E32" s="15"/>
      <c r="F32" s="133" t="str">
        <f t="shared" ca="1" si="16"/>
        <v>N/A</v>
      </c>
      <c r="G32" s="133" t="str">
        <f t="shared" si="17"/>
        <v>N/A</v>
      </c>
      <c r="H32" s="133" t="str">
        <f ca="1">IFERROR(IF(VLOOKUP($A32,LASTYR,'2017'!$I$3,FALSE)=0,"N/A",VLOOKUP($A32,LASTYR,'2017'!$I$3,FALSE)),"N/A")</f>
        <v>N/A</v>
      </c>
      <c r="I32" s="133" t="str">
        <f t="shared" ca="1" si="45"/>
        <v>N/A</v>
      </c>
      <c r="J32" s="133" t="str">
        <f t="shared" ca="1" si="44"/>
        <v>N/A</v>
      </c>
      <c r="K32" s="133" t="str">
        <f t="shared" ca="1" si="44"/>
        <v>N/A</v>
      </c>
      <c r="L32" s="133" t="str">
        <f t="shared" ca="1" si="44"/>
        <v>N/A</v>
      </c>
      <c r="M32" s="133" t="str">
        <f t="shared" ca="1" si="44"/>
        <v>N/A</v>
      </c>
      <c r="N32" s="133" t="str">
        <f t="shared" ca="1" si="44"/>
        <v>N/A</v>
      </c>
      <c r="O32" s="133" t="str">
        <f t="shared" ca="1" si="44"/>
        <v>N/A</v>
      </c>
      <c r="P32" s="133" t="str">
        <f t="shared" ca="1" si="44"/>
        <v>N/A</v>
      </c>
      <c r="Q32" s="133" t="str">
        <f t="shared" ca="1" si="44"/>
        <v>N/A</v>
      </c>
      <c r="R32" s="133" t="str">
        <f t="shared" ca="1" si="44"/>
        <v>N/A</v>
      </c>
      <c r="S32" s="133" t="str">
        <f t="shared" ca="1" si="44"/>
        <v>N/A</v>
      </c>
      <c r="T32" s="80" t="str">
        <f t="shared" ca="1" si="36"/>
        <v>N/A</v>
      </c>
      <c r="U32" s="80" t="str">
        <f t="shared" ca="1" si="37"/>
        <v>N/A</v>
      </c>
      <c r="V32" s="133" t="e">
        <f t="shared" ca="1" si="38"/>
        <v>#VALUE!</v>
      </c>
      <c r="W32" s="80" t="e">
        <f t="shared" ca="1" si="39"/>
        <v>#VALUE!</v>
      </c>
      <c r="X32" s="80"/>
      <c r="Y32" s="211">
        <f t="shared" ca="1" si="43"/>
        <v>-1</v>
      </c>
      <c r="Z32" s="208" t="str">
        <f t="shared" si="19"/>
        <v>N/A</v>
      </c>
      <c r="AA32" s="217">
        <v>43100</v>
      </c>
      <c r="AB32" s="213" t="e">
        <f t="shared" si="20"/>
        <v>#VALUE!</v>
      </c>
      <c r="AC32" s="214" t="e">
        <f t="shared" si="40"/>
        <v>#VALUE!</v>
      </c>
      <c r="AD32" s="214" t="e">
        <f t="shared" ca="1" si="21"/>
        <v>#VALUE!</v>
      </c>
      <c r="AE32" s="215" t="e">
        <f t="shared" ca="1" si="22"/>
        <v>#VALUE!</v>
      </c>
      <c r="AJ32" t="b">
        <f t="shared" si="23"/>
        <v>0</v>
      </c>
      <c r="AK32" t="b">
        <f t="shared" ca="1" si="24"/>
        <v>0</v>
      </c>
      <c r="AL32" t="b">
        <f t="shared" ca="1" si="25"/>
        <v>0</v>
      </c>
      <c r="AM32" t="b">
        <f t="shared" ca="1" si="26"/>
        <v>0</v>
      </c>
      <c r="AN32" t="b">
        <f t="shared" ca="1" si="27"/>
        <v>0</v>
      </c>
      <c r="AO32" t="b">
        <f t="shared" ca="1" si="28"/>
        <v>0</v>
      </c>
      <c r="AP32" t="b">
        <f t="shared" ca="1" si="29"/>
        <v>0</v>
      </c>
      <c r="AQ32" t="b">
        <f t="shared" ca="1" si="30"/>
        <v>0</v>
      </c>
      <c r="AR32" t="b">
        <f t="shared" ca="1" si="31"/>
        <v>0</v>
      </c>
      <c r="AS32" t="b">
        <f t="shared" ca="1" si="32"/>
        <v>0</v>
      </c>
      <c r="AT32" t="b">
        <f t="shared" ca="1" si="33"/>
        <v>0</v>
      </c>
      <c r="AU32" t="b">
        <f t="shared" ca="1" si="34"/>
        <v>0</v>
      </c>
      <c r="AV32" t="b">
        <f t="shared" ca="1" si="35"/>
        <v>0</v>
      </c>
      <c r="AW32">
        <f t="shared" ca="1" si="41"/>
        <v>1</v>
      </c>
      <c r="AX32">
        <f t="shared" ca="1" si="42"/>
        <v>7</v>
      </c>
    </row>
    <row r="33" spans="1:50" hidden="1" x14ac:dyDescent="0.2">
      <c r="A33" s="45"/>
      <c r="B33" s="117" t="str">
        <f t="shared" ca="1" si="14"/>
        <v/>
      </c>
      <c r="C33" s="1" t="str">
        <f>IF(ISERROR(D33),"",IF(D33="","",MAX($C$12:C32)+1))</f>
        <v/>
      </c>
      <c r="D33" t="e">
        <f t="shared" si="15"/>
        <v>#N/A</v>
      </c>
      <c r="E33" s="15"/>
      <c r="F33" s="133" t="str">
        <f t="shared" ca="1" si="16"/>
        <v>N/A</v>
      </c>
      <c r="G33" s="133" t="str">
        <f t="shared" si="17"/>
        <v>N/A</v>
      </c>
      <c r="H33" s="133" t="str">
        <f ca="1">IFERROR(IF(VLOOKUP($A33,LASTYR,'2017'!$I$3,FALSE)=0,"N/A",VLOOKUP($A33,LASTYR,'2017'!$I$3,FALSE)),"N/A")</f>
        <v>N/A</v>
      </c>
      <c r="I33" s="133" t="str">
        <f t="shared" ca="1" si="45"/>
        <v>N/A</v>
      </c>
      <c r="J33" s="133" t="str">
        <f t="shared" ref="J33:S42" ca="1" si="46">IFERROR(IF(INDEX(Dividends,$B33,J$12)=0,"N/A",INDEX(Dividends,$B33,J$12)),"N/A")</f>
        <v>N/A</v>
      </c>
      <c r="K33" s="133" t="str">
        <f t="shared" ca="1" si="46"/>
        <v>N/A</v>
      </c>
      <c r="L33" s="133" t="str">
        <f t="shared" ca="1" si="46"/>
        <v>N/A</v>
      </c>
      <c r="M33" s="133" t="str">
        <f t="shared" ca="1" si="46"/>
        <v>N/A</v>
      </c>
      <c r="N33" s="133" t="str">
        <f t="shared" ca="1" si="46"/>
        <v>N/A</v>
      </c>
      <c r="O33" s="133" t="str">
        <f t="shared" ca="1" si="46"/>
        <v>N/A</v>
      </c>
      <c r="P33" s="133" t="str">
        <f t="shared" ca="1" si="46"/>
        <v>N/A</v>
      </c>
      <c r="Q33" s="133" t="str">
        <f t="shared" ca="1" si="46"/>
        <v>N/A</v>
      </c>
      <c r="R33" s="133" t="str">
        <f t="shared" ca="1" si="46"/>
        <v>N/A</v>
      </c>
      <c r="S33" s="133" t="str">
        <f t="shared" ca="1" si="46"/>
        <v>N/A</v>
      </c>
      <c r="T33" s="80" t="str">
        <f t="shared" si="36"/>
        <v>N/A</v>
      </c>
      <c r="U33" s="80" t="str">
        <f t="shared" ca="1" si="37"/>
        <v>N/A</v>
      </c>
      <c r="V33" s="133" t="e">
        <f ca="1">(H33/S33)^(1/10)-1</f>
        <v>#VALUE!</v>
      </c>
      <c r="W33" s="80" t="e">
        <f t="shared" ca="1" si="39"/>
        <v>#VALUE!</v>
      </c>
      <c r="X33" s="80"/>
      <c r="Y33" s="211">
        <v>10</v>
      </c>
      <c r="Z33" s="208" t="str">
        <f t="shared" si="19"/>
        <v>N/A</v>
      </c>
      <c r="AA33" s="217">
        <v>43100</v>
      </c>
      <c r="AB33" s="213" t="e">
        <f t="shared" si="20"/>
        <v>#VALUE!</v>
      </c>
      <c r="AC33" s="214" t="e">
        <f t="shared" si="40"/>
        <v>#VALUE!</v>
      </c>
      <c r="AD33" s="214" t="e">
        <f t="shared" si="21"/>
        <v>#VALUE!</v>
      </c>
      <c r="AE33" s="215" t="e">
        <f t="shared" ca="1" si="22"/>
        <v>#VALUE!</v>
      </c>
      <c r="AJ33" t="b">
        <f t="shared" si="23"/>
        <v>0</v>
      </c>
      <c r="AK33" t="b">
        <f t="shared" ca="1" si="24"/>
        <v>0</v>
      </c>
      <c r="AL33" t="b">
        <f t="shared" ca="1" si="25"/>
        <v>0</v>
      </c>
      <c r="AM33" t="b">
        <f t="shared" ca="1" si="26"/>
        <v>0</v>
      </c>
      <c r="AN33" t="b">
        <f t="shared" ca="1" si="27"/>
        <v>0</v>
      </c>
      <c r="AO33" t="b">
        <f t="shared" ca="1" si="28"/>
        <v>0</v>
      </c>
      <c r="AP33" t="b">
        <f t="shared" ca="1" si="29"/>
        <v>0</v>
      </c>
      <c r="AQ33" t="b">
        <f t="shared" ca="1" si="30"/>
        <v>0</v>
      </c>
      <c r="AR33" t="b">
        <f t="shared" ca="1" si="31"/>
        <v>0</v>
      </c>
      <c r="AS33" t="b">
        <f t="shared" ca="1" si="32"/>
        <v>0</v>
      </c>
      <c r="AT33" t="b">
        <f t="shared" ca="1" si="33"/>
        <v>0</v>
      </c>
      <c r="AU33" t="b">
        <f t="shared" ca="1" si="34"/>
        <v>0</v>
      </c>
      <c r="AV33" t="b">
        <f t="shared" ca="1" si="35"/>
        <v>0</v>
      </c>
      <c r="AW33">
        <f t="shared" ca="1" si="41"/>
        <v>1</v>
      </c>
      <c r="AX33">
        <f t="shared" ca="1" si="42"/>
        <v>7</v>
      </c>
    </row>
    <row r="34" spans="1:50" hidden="1" x14ac:dyDescent="0.2">
      <c r="A34" s="45"/>
      <c r="B34" s="117" t="str">
        <f t="shared" ca="1" si="14"/>
        <v/>
      </c>
      <c r="C34" s="1" t="str">
        <f>IF(ISERROR(D34),"",IF(D34="","",MAX($C$12:C33)+1))</f>
        <v/>
      </c>
      <c r="D34" t="e">
        <f t="shared" si="15"/>
        <v>#N/A</v>
      </c>
      <c r="E34" s="15"/>
      <c r="F34" s="133" t="str">
        <f t="shared" ca="1" si="16"/>
        <v>N/A</v>
      </c>
      <c r="G34" s="133" t="str">
        <f t="shared" si="17"/>
        <v>N/A</v>
      </c>
      <c r="H34" s="133" t="str">
        <f ca="1">IFERROR(IF(VLOOKUP($A34,LASTYR,'2017'!$I$3,FALSE)=0,"N/A",VLOOKUP($A34,LASTYR,'2017'!$I$3,FALSE)),"N/A")</f>
        <v>N/A</v>
      </c>
      <c r="I34" s="133" t="str">
        <f t="shared" ca="1" si="45"/>
        <v>N/A</v>
      </c>
      <c r="J34" s="133" t="str">
        <f t="shared" ca="1" si="46"/>
        <v>N/A</v>
      </c>
      <c r="K34" s="133" t="str">
        <f t="shared" ca="1" si="46"/>
        <v>N/A</v>
      </c>
      <c r="L34" s="133" t="str">
        <f t="shared" ca="1" si="46"/>
        <v>N/A</v>
      </c>
      <c r="M34" s="133" t="str">
        <f t="shared" ca="1" si="46"/>
        <v>N/A</v>
      </c>
      <c r="N34" s="133" t="str">
        <f t="shared" ca="1" si="46"/>
        <v>N/A</v>
      </c>
      <c r="O34" s="133" t="str">
        <f t="shared" ca="1" si="46"/>
        <v>N/A</v>
      </c>
      <c r="P34" s="133" t="str">
        <f t="shared" ca="1" si="46"/>
        <v>N/A</v>
      </c>
      <c r="Q34" s="133" t="str">
        <f t="shared" ca="1" si="46"/>
        <v>N/A</v>
      </c>
      <c r="R34" s="133" t="str">
        <f t="shared" ca="1" si="46"/>
        <v>N/A</v>
      </c>
      <c r="S34" s="133" t="str">
        <f t="shared" ca="1" si="46"/>
        <v>N/A</v>
      </c>
      <c r="T34" s="80" t="str">
        <f t="shared" ca="1" si="36"/>
        <v>N/A</v>
      </c>
      <c r="U34" s="80" t="str">
        <f t="shared" ca="1" si="37"/>
        <v>N/A</v>
      </c>
      <c r="V34" s="133" t="e">
        <f t="shared" ca="1" si="38"/>
        <v>#VALUE!</v>
      </c>
      <c r="W34" s="80" t="e">
        <f t="shared" ca="1" si="39"/>
        <v>#VALUE!</v>
      </c>
      <c r="X34" s="80"/>
      <c r="Y34" s="211">
        <f t="shared" ref="Y34:Y57" ca="1" si="47">AW34-2</f>
        <v>-1</v>
      </c>
      <c r="Z34" s="208" t="str">
        <f t="shared" si="19"/>
        <v>N/A</v>
      </c>
      <c r="AA34" s="217">
        <v>43100</v>
      </c>
      <c r="AB34" s="213" t="e">
        <f t="shared" si="20"/>
        <v>#VALUE!</v>
      </c>
      <c r="AC34" s="214" t="e">
        <f t="shared" si="40"/>
        <v>#VALUE!</v>
      </c>
      <c r="AD34" s="214" t="e">
        <f t="shared" ca="1" si="21"/>
        <v>#VALUE!</v>
      </c>
      <c r="AE34" s="215" t="e">
        <f t="shared" ca="1" si="22"/>
        <v>#VALUE!</v>
      </c>
      <c r="AJ34" t="b">
        <f t="shared" si="23"/>
        <v>0</v>
      </c>
      <c r="AK34" t="b">
        <f t="shared" ca="1" si="24"/>
        <v>0</v>
      </c>
      <c r="AL34" t="b">
        <f t="shared" ca="1" si="25"/>
        <v>0</v>
      </c>
      <c r="AM34" t="b">
        <f t="shared" ca="1" si="26"/>
        <v>0</v>
      </c>
      <c r="AN34" t="b">
        <f t="shared" ca="1" si="27"/>
        <v>0</v>
      </c>
      <c r="AO34" t="b">
        <f t="shared" ca="1" si="28"/>
        <v>0</v>
      </c>
      <c r="AP34" t="b">
        <f t="shared" ca="1" si="29"/>
        <v>0</v>
      </c>
      <c r="AQ34" t="b">
        <f t="shared" ca="1" si="30"/>
        <v>0</v>
      </c>
      <c r="AR34" t="b">
        <f t="shared" ca="1" si="31"/>
        <v>0</v>
      </c>
      <c r="AS34" t="b">
        <f t="shared" ca="1" si="32"/>
        <v>0</v>
      </c>
      <c r="AT34" t="b">
        <f t="shared" ca="1" si="33"/>
        <v>0</v>
      </c>
      <c r="AU34" t="b">
        <f t="shared" ca="1" si="34"/>
        <v>0</v>
      </c>
      <c r="AV34" t="b">
        <f t="shared" ca="1" si="35"/>
        <v>0</v>
      </c>
      <c r="AW34">
        <f t="shared" ca="1" si="41"/>
        <v>1</v>
      </c>
      <c r="AX34">
        <f t="shared" ca="1" si="42"/>
        <v>7</v>
      </c>
    </row>
    <row r="35" spans="1:50" hidden="1" x14ac:dyDescent="0.2">
      <c r="A35" s="45"/>
      <c r="B35" s="117" t="str">
        <f t="shared" ca="1" si="14"/>
        <v/>
      </c>
      <c r="C35" s="1" t="str">
        <f>IF(ISERROR(D35),"",IF(D35="","",MAX($C$12:C34)+1))</f>
        <v/>
      </c>
      <c r="D35" t="e">
        <f t="shared" si="15"/>
        <v>#N/A</v>
      </c>
      <c r="E35" s="15"/>
      <c r="F35" s="133" t="str">
        <f t="shared" ca="1" si="16"/>
        <v>N/A</v>
      </c>
      <c r="G35" s="133" t="str">
        <f t="shared" si="17"/>
        <v>N/A</v>
      </c>
      <c r="H35" s="133" t="str">
        <f ca="1">IFERROR(IF(VLOOKUP($A35,LASTYR,'2017'!$I$3,FALSE)=0,"N/A",VLOOKUP($A35,LASTYR,'2017'!$I$3,FALSE)),"N/A")</f>
        <v>N/A</v>
      </c>
      <c r="I35" s="133" t="str">
        <f t="shared" ca="1" si="45"/>
        <v>N/A</v>
      </c>
      <c r="J35" s="133" t="str">
        <f t="shared" ca="1" si="46"/>
        <v>N/A</v>
      </c>
      <c r="K35" s="133" t="str">
        <f t="shared" ca="1" si="46"/>
        <v>N/A</v>
      </c>
      <c r="L35" s="133" t="str">
        <f t="shared" ca="1" si="46"/>
        <v>N/A</v>
      </c>
      <c r="M35" s="133" t="str">
        <f t="shared" ca="1" si="46"/>
        <v>N/A</v>
      </c>
      <c r="N35" s="133" t="str">
        <f t="shared" ca="1" si="46"/>
        <v>N/A</v>
      </c>
      <c r="O35" s="133" t="str">
        <f t="shared" ca="1" si="46"/>
        <v>N/A</v>
      </c>
      <c r="P35" s="133" t="str">
        <f t="shared" ca="1" si="46"/>
        <v>N/A</v>
      </c>
      <c r="Q35" s="133" t="str">
        <f t="shared" ca="1" si="46"/>
        <v>N/A</v>
      </c>
      <c r="R35" s="133" t="str">
        <f t="shared" ca="1" si="46"/>
        <v>N/A</v>
      </c>
      <c r="S35" s="133" t="str">
        <f t="shared" ca="1" si="46"/>
        <v>N/A</v>
      </c>
      <c r="T35" s="80" t="str">
        <f t="shared" ca="1" si="36"/>
        <v>N/A</v>
      </c>
      <c r="U35" s="80" t="str">
        <f t="shared" ca="1" si="37"/>
        <v>N/A</v>
      </c>
      <c r="V35" s="133" t="e">
        <f t="shared" ca="1" si="38"/>
        <v>#VALUE!</v>
      </c>
      <c r="W35" s="80" t="e">
        <f t="shared" ca="1" si="39"/>
        <v>#VALUE!</v>
      </c>
      <c r="X35" s="80"/>
      <c r="Y35" s="211">
        <f t="shared" ca="1" si="47"/>
        <v>-1</v>
      </c>
      <c r="Z35" s="208" t="str">
        <f t="shared" si="19"/>
        <v>N/A</v>
      </c>
      <c r="AA35" s="217">
        <v>43100</v>
      </c>
      <c r="AB35" s="213" t="e">
        <f t="shared" si="20"/>
        <v>#VALUE!</v>
      </c>
      <c r="AC35" s="214" t="e">
        <f t="shared" si="40"/>
        <v>#VALUE!</v>
      </c>
      <c r="AD35" s="214" t="e">
        <f t="shared" ca="1" si="21"/>
        <v>#VALUE!</v>
      </c>
      <c r="AE35" s="215" t="e">
        <f t="shared" ca="1" si="22"/>
        <v>#VALUE!</v>
      </c>
      <c r="AJ35" t="b">
        <f t="shared" si="23"/>
        <v>0</v>
      </c>
      <c r="AK35" t="b">
        <f t="shared" ca="1" si="24"/>
        <v>0</v>
      </c>
      <c r="AL35" t="b">
        <f t="shared" ca="1" si="25"/>
        <v>0</v>
      </c>
      <c r="AM35" t="b">
        <f t="shared" ca="1" si="26"/>
        <v>0</v>
      </c>
      <c r="AN35" t="b">
        <f t="shared" ca="1" si="27"/>
        <v>0</v>
      </c>
      <c r="AO35" t="b">
        <f t="shared" ca="1" si="28"/>
        <v>0</v>
      </c>
      <c r="AP35" t="b">
        <f t="shared" ca="1" si="29"/>
        <v>0</v>
      </c>
      <c r="AQ35" t="b">
        <f t="shared" ca="1" si="30"/>
        <v>0</v>
      </c>
      <c r="AR35" t="b">
        <f t="shared" ca="1" si="31"/>
        <v>0</v>
      </c>
      <c r="AS35" t="b">
        <f t="shared" ca="1" si="32"/>
        <v>0</v>
      </c>
      <c r="AT35" t="b">
        <f t="shared" ca="1" si="33"/>
        <v>0</v>
      </c>
      <c r="AU35" t="b">
        <f t="shared" ca="1" si="34"/>
        <v>0</v>
      </c>
      <c r="AV35" t="b">
        <f t="shared" ca="1" si="35"/>
        <v>0</v>
      </c>
      <c r="AW35">
        <f t="shared" ca="1" si="41"/>
        <v>1</v>
      </c>
      <c r="AX35">
        <f t="shared" ca="1" si="42"/>
        <v>7</v>
      </c>
    </row>
    <row r="36" spans="1:50" hidden="1" x14ac:dyDescent="0.2">
      <c r="A36" s="45"/>
      <c r="B36" s="117" t="str">
        <f t="shared" ca="1" si="14"/>
        <v/>
      </c>
      <c r="C36" s="1" t="str">
        <f>IF(ISERROR(D36),"",IF(D36="","",MAX($C$12:C35)+1))</f>
        <v/>
      </c>
      <c r="D36" t="e">
        <f t="shared" si="15"/>
        <v>#N/A</v>
      </c>
      <c r="E36" s="15"/>
      <c r="F36" s="133" t="str">
        <f t="shared" ca="1" si="16"/>
        <v>N/A</v>
      </c>
      <c r="G36" s="133" t="str">
        <f t="shared" si="17"/>
        <v>N/A</v>
      </c>
      <c r="H36" s="133" t="str">
        <f ca="1">IFERROR(IF(VLOOKUP($A36,LASTYR,'2017'!$I$3,FALSE)=0,"N/A",VLOOKUP($A36,LASTYR,'2017'!$I$3,FALSE)),"N/A")</f>
        <v>N/A</v>
      </c>
      <c r="I36" s="133" t="str">
        <f t="shared" ca="1" si="45"/>
        <v>N/A</v>
      </c>
      <c r="J36" s="133" t="str">
        <f t="shared" ca="1" si="46"/>
        <v>N/A</v>
      </c>
      <c r="K36" s="133" t="str">
        <f t="shared" ca="1" si="46"/>
        <v>N/A</v>
      </c>
      <c r="L36" s="133" t="str">
        <f t="shared" ca="1" si="46"/>
        <v>N/A</v>
      </c>
      <c r="M36" s="133" t="str">
        <f t="shared" ca="1" si="46"/>
        <v>N/A</v>
      </c>
      <c r="N36" s="133" t="str">
        <f t="shared" ca="1" si="46"/>
        <v>N/A</v>
      </c>
      <c r="O36" s="133" t="str">
        <f t="shared" ca="1" si="46"/>
        <v>N/A</v>
      </c>
      <c r="P36" s="133" t="str">
        <f t="shared" ca="1" si="46"/>
        <v>N/A</v>
      </c>
      <c r="Q36" s="133" t="str">
        <f t="shared" ca="1" si="46"/>
        <v>N/A</v>
      </c>
      <c r="R36" s="133" t="str">
        <f t="shared" ca="1" si="46"/>
        <v>N/A</v>
      </c>
      <c r="S36" s="133" t="str">
        <f t="shared" ca="1" si="46"/>
        <v>N/A</v>
      </c>
      <c r="T36" s="80" t="str">
        <f t="shared" ca="1" si="36"/>
        <v>N/A</v>
      </c>
      <c r="U36" s="80" t="str">
        <f t="shared" ca="1" si="37"/>
        <v>N/A</v>
      </c>
      <c r="V36" s="133" t="e">
        <f t="shared" ca="1" si="38"/>
        <v>#VALUE!</v>
      </c>
      <c r="W36" s="80" t="e">
        <f t="shared" ca="1" si="39"/>
        <v>#VALUE!</v>
      </c>
      <c r="X36" s="80"/>
      <c r="Y36" s="211">
        <f t="shared" ca="1" si="47"/>
        <v>-1</v>
      </c>
      <c r="Z36" s="208" t="str">
        <f t="shared" si="19"/>
        <v>N/A</v>
      </c>
      <c r="AA36" s="217">
        <v>43100</v>
      </c>
      <c r="AB36" s="213" t="e">
        <f t="shared" si="20"/>
        <v>#VALUE!</v>
      </c>
      <c r="AC36" s="214" t="e">
        <f t="shared" si="40"/>
        <v>#VALUE!</v>
      </c>
      <c r="AD36" s="214" t="e">
        <f t="shared" ca="1" si="21"/>
        <v>#VALUE!</v>
      </c>
      <c r="AE36" s="215" t="e">
        <f t="shared" ca="1" si="22"/>
        <v>#VALUE!</v>
      </c>
      <c r="AJ36" t="b">
        <f t="shared" si="23"/>
        <v>0</v>
      </c>
      <c r="AK36" t="b">
        <f t="shared" ca="1" si="24"/>
        <v>0</v>
      </c>
      <c r="AL36" t="b">
        <f t="shared" ca="1" si="25"/>
        <v>0</v>
      </c>
      <c r="AM36" t="b">
        <f t="shared" ca="1" si="26"/>
        <v>0</v>
      </c>
      <c r="AN36" t="b">
        <f t="shared" ca="1" si="27"/>
        <v>0</v>
      </c>
      <c r="AO36" t="b">
        <f t="shared" ca="1" si="28"/>
        <v>0</v>
      </c>
      <c r="AP36" t="b">
        <f t="shared" ca="1" si="29"/>
        <v>0</v>
      </c>
      <c r="AQ36" t="b">
        <f t="shared" ca="1" si="30"/>
        <v>0</v>
      </c>
      <c r="AR36" t="b">
        <f t="shared" ca="1" si="31"/>
        <v>0</v>
      </c>
      <c r="AS36" t="b">
        <f t="shared" ca="1" si="32"/>
        <v>0</v>
      </c>
      <c r="AT36" t="b">
        <f t="shared" ca="1" si="33"/>
        <v>0</v>
      </c>
      <c r="AU36" t="b">
        <f t="shared" ca="1" si="34"/>
        <v>0</v>
      </c>
      <c r="AV36" t="b">
        <f t="shared" ca="1" si="35"/>
        <v>0</v>
      </c>
      <c r="AW36">
        <f t="shared" ca="1" si="41"/>
        <v>1</v>
      </c>
      <c r="AX36">
        <f t="shared" ca="1" si="42"/>
        <v>7</v>
      </c>
    </row>
    <row r="37" spans="1:50" hidden="1" x14ac:dyDescent="0.2">
      <c r="A37" s="45"/>
      <c r="B37" s="117" t="str">
        <f t="shared" ca="1" si="14"/>
        <v/>
      </c>
      <c r="C37" s="1" t="str">
        <f>IF(ISERROR(D37),"",IF(D37="","",MAX($C$12:C36)+1))</f>
        <v/>
      </c>
      <c r="D37" t="e">
        <f t="shared" si="15"/>
        <v>#N/A</v>
      </c>
      <c r="E37" s="15"/>
      <c r="F37" s="133" t="str">
        <f t="shared" ca="1" si="16"/>
        <v>N/A</v>
      </c>
      <c r="G37" s="133" t="str">
        <f t="shared" si="17"/>
        <v>N/A</v>
      </c>
      <c r="H37" s="133" t="str">
        <f ca="1">IFERROR(IF(VLOOKUP($A37,LASTYR,'2017'!$I$3,FALSE)=0,"N/A",VLOOKUP($A37,LASTYR,'2017'!$I$3,FALSE)),"N/A")</f>
        <v>N/A</v>
      </c>
      <c r="I37" s="133" t="str">
        <f t="shared" ca="1" si="45"/>
        <v>N/A</v>
      </c>
      <c r="J37" s="133" t="str">
        <f t="shared" ca="1" si="46"/>
        <v>N/A</v>
      </c>
      <c r="K37" s="133" t="str">
        <f t="shared" ca="1" si="46"/>
        <v>N/A</v>
      </c>
      <c r="L37" s="133" t="str">
        <f t="shared" ca="1" si="46"/>
        <v>N/A</v>
      </c>
      <c r="M37" s="133" t="str">
        <f t="shared" ca="1" si="46"/>
        <v>N/A</v>
      </c>
      <c r="N37" s="133" t="str">
        <f t="shared" ca="1" si="46"/>
        <v>N/A</v>
      </c>
      <c r="O37" s="133" t="str">
        <f t="shared" ca="1" si="46"/>
        <v>N/A</v>
      </c>
      <c r="P37" s="133" t="str">
        <f t="shared" ca="1" si="46"/>
        <v>N/A</v>
      </c>
      <c r="Q37" s="133" t="str">
        <f t="shared" ca="1" si="46"/>
        <v>N/A</v>
      </c>
      <c r="R37" s="133" t="str">
        <f t="shared" ca="1" si="46"/>
        <v>N/A</v>
      </c>
      <c r="S37" s="133" t="str">
        <f t="shared" ca="1" si="46"/>
        <v>N/A</v>
      </c>
      <c r="T37" s="80" t="str">
        <f t="shared" ca="1" si="36"/>
        <v>N/A</v>
      </c>
      <c r="U37" s="80" t="str">
        <f t="shared" ca="1" si="37"/>
        <v>N/A</v>
      </c>
      <c r="V37" s="133" t="e">
        <f ca="1">+S37*(1+U37)^11</f>
        <v>#VALUE!</v>
      </c>
      <c r="W37" s="80" t="e">
        <f t="shared" ca="1" si="39"/>
        <v>#VALUE!</v>
      </c>
      <c r="X37" s="80"/>
      <c r="Y37" s="211">
        <f t="shared" ca="1" si="47"/>
        <v>-1</v>
      </c>
      <c r="Z37" s="208" t="str">
        <f t="shared" si="19"/>
        <v>N/A</v>
      </c>
      <c r="AA37" s="217">
        <v>43100</v>
      </c>
      <c r="AB37" s="213" t="e">
        <f t="shared" si="20"/>
        <v>#VALUE!</v>
      </c>
      <c r="AC37" s="214" t="e">
        <f t="shared" si="40"/>
        <v>#VALUE!</v>
      </c>
      <c r="AD37" s="214" t="e">
        <f t="shared" ca="1" si="21"/>
        <v>#VALUE!</v>
      </c>
      <c r="AE37" s="215" t="e">
        <f t="shared" ca="1" si="22"/>
        <v>#VALUE!</v>
      </c>
      <c r="AJ37" t="b">
        <f t="shared" si="23"/>
        <v>0</v>
      </c>
      <c r="AK37" t="b">
        <f t="shared" ca="1" si="24"/>
        <v>0</v>
      </c>
      <c r="AL37" t="b">
        <f t="shared" ca="1" si="25"/>
        <v>0</v>
      </c>
      <c r="AM37" t="b">
        <f t="shared" ca="1" si="26"/>
        <v>0</v>
      </c>
      <c r="AN37" t="b">
        <f t="shared" ca="1" si="27"/>
        <v>0</v>
      </c>
      <c r="AO37" t="b">
        <f t="shared" ca="1" si="28"/>
        <v>0</v>
      </c>
      <c r="AP37" t="b">
        <f t="shared" ca="1" si="29"/>
        <v>0</v>
      </c>
      <c r="AQ37" t="b">
        <f t="shared" ca="1" si="30"/>
        <v>0</v>
      </c>
      <c r="AR37" t="b">
        <f t="shared" ca="1" si="31"/>
        <v>0</v>
      </c>
      <c r="AS37" t="b">
        <f t="shared" ca="1" si="32"/>
        <v>0</v>
      </c>
      <c r="AT37" t="b">
        <f t="shared" ca="1" si="33"/>
        <v>0</v>
      </c>
      <c r="AU37" t="b">
        <f t="shared" ca="1" si="34"/>
        <v>0</v>
      </c>
      <c r="AV37" t="b">
        <f t="shared" ca="1" si="35"/>
        <v>0</v>
      </c>
      <c r="AW37">
        <f t="shared" ca="1" si="41"/>
        <v>1</v>
      </c>
      <c r="AX37">
        <f t="shared" ca="1" si="42"/>
        <v>7</v>
      </c>
    </row>
    <row r="38" spans="1:50" hidden="1" x14ac:dyDescent="0.2">
      <c r="A38" s="45"/>
      <c r="B38" s="117" t="str">
        <f t="shared" ca="1" si="14"/>
        <v/>
      </c>
      <c r="C38" s="1" t="str">
        <f>IF(ISERROR(D38),"",IF(D38="","",MAX($C$12:C37)+1))</f>
        <v/>
      </c>
      <c r="D38" t="e">
        <f t="shared" si="15"/>
        <v>#N/A</v>
      </c>
      <c r="E38" s="15"/>
      <c r="F38" s="133" t="str">
        <f t="shared" ca="1" si="16"/>
        <v>N/A</v>
      </c>
      <c r="G38" s="133" t="str">
        <f t="shared" si="17"/>
        <v>N/A</v>
      </c>
      <c r="H38" s="133" t="str">
        <f ca="1">IFERROR(IF(VLOOKUP($A38,LASTYR,'2017'!$I$3,FALSE)=0,"N/A",VLOOKUP($A38,LASTYR,'2017'!$I$3,FALSE)),"N/A")</f>
        <v>N/A</v>
      </c>
      <c r="I38" s="133" t="str">
        <f t="shared" ca="1" si="45"/>
        <v>N/A</v>
      </c>
      <c r="J38" s="133" t="str">
        <f t="shared" ca="1" si="46"/>
        <v>N/A</v>
      </c>
      <c r="K38" s="133" t="str">
        <f t="shared" ca="1" si="46"/>
        <v>N/A</v>
      </c>
      <c r="L38" s="133" t="str">
        <f t="shared" ca="1" si="46"/>
        <v>N/A</v>
      </c>
      <c r="M38" s="133" t="str">
        <f t="shared" ca="1" si="46"/>
        <v>N/A</v>
      </c>
      <c r="N38" s="133" t="str">
        <f t="shared" ca="1" si="46"/>
        <v>N/A</v>
      </c>
      <c r="O38" s="133" t="str">
        <f t="shared" ca="1" si="46"/>
        <v>N/A</v>
      </c>
      <c r="P38" s="133" t="str">
        <f t="shared" ca="1" si="46"/>
        <v>N/A</v>
      </c>
      <c r="Q38" s="133" t="str">
        <f t="shared" ca="1" si="46"/>
        <v>N/A</v>
      </c>
      <c r="R38" s="133" t="str">
        <f t="shared" ca="1" si="46"/>
        <v>N/A</v>
      </c>
      <c r="S38" s="133" t="str">
        <f t="shared" ca="1" si="46"/>
        <v>N/A</v>
      </c>
      <c r="T38" s="80" t="str">
        <f t="shared" ca="1" si="36"/>
        <v>N/A</v>
      </c>
      <c r="U38" s="80" t="str">
        <f t="shared" ca="1" si="37"/>
        <v>N/A</v>
      </c>
      <c r="V38" s="133" t="e">
        <f t="shared" ca="1" si="38"/>
        <v>#VALUE!</v>
      </c>
      <c r="W38" s="80" t="e">
        <f t="shared" ca="1" si="39"/>
        <v>#VALUE!</v>
      </c>
      <c r="X38" s="80"/>
      <c r="Y38" s="211">
        <f t="shared" ca="1" si="47"/>
        <v>-1</v>
      </c>
      <c r="Z38" s="208" t="str">
        <f t="shared" si="19"/>
        <v>N/A</v>
      </c>
      <c r="AA38" s="217">
        <v>43100</v>
      </c>
      <c r="AB38" s="213" t="e">
        <f t="shared" si="20"/>
        <v>#VALUE!</v>
      </c>
      <c r="AC38" s="214" t="e">
        <f t="shared" si="40"/>
        <v>#VALUE!</v>
      </c>
      <c r="AD38" s="214" t="e">
        <f t="shared" ca="1" si="21"/>
        <v>#VALUE!</v>
      </c>
      <c r="AE38" s="215" t="e">
        <f t="shared" ca="1" si="22"/>
        <v>#VALUE!</v>
      </c>
      <c r="AJ38" t="b">
        <f t="shared" si="23"/>
        <v>0</v>
      </c>
      <c r="AK38" t="b">
        <f t="shared" ca="1" si="24"/>
        <v>0</v>
      </c>
      <c r="AL38" t="b">
        <f t="shared" ca="1" si="25"/>
        <v>0</v>
      </c>
      <c r="AM38" t="b">
        <f t="shared" ca="1" si="26"/>
        <v>0</v>
      </c>
      <c r="AN38" t="b">
        <f t="shared" ca="1" si="27"/>
        <v>0</v>
      </c>
      <c r="AO38" t="b">
        <f t="shared" ca="1" si="28"/>
        <v>0</v>
      </c>
      <c r="AP38" t="b">
        <f t="shared" ca="1" si="29"/>
        <v>0</v>
      </c>
      <c r="AQ38" t="b">
        <f t="shared" ca="1" si="30"/>
        <v>0</v>
      </c>
      <c r="AR38" t="b">
        <f t="shared" ca="1" si="31"/>
        <v>0</v>
      </c>
      <c r="AS38" t="b">
        <f t="shared" ca="1" si="32"/>
        <v>0</v>
      </c>
      <c r="AT38" t="b">
        <f t="shared" ca="1" si="33"/>
        <v>0</v>
      </c>
      <c r="AU38" t="b">
        <f t="shared" ca="1" si="34"/>
        <v>0</v>
      </c>
      <c r="AV38" t="b">
        <f t="shared" ca="1" si="35"/>
        <v>0</v>
      </c>
      <c r="AW38">
        <f t="shared" ca="1" si="41"/>
        <v>1</v>
      </c>
      <c r="AX38">
        <f t="shared" ca="1" si="42"/>
        <v>7</v>
      </c>
    </row>
    <row r="39" spans="1:50" hidden="1" x14ac:dyDescent="0.2">
      <c r="A39" s="45"/>
      <c r="B39" s="117" t="str">
        <f t="shared" ca="1" si="14"/>
        <v/>
      </c>
      <c r="C39" s="1" t="str">
        <f>IF(ISERROR(D39),"",IF(D39="","",MAX($C$12:C38)+1))</f>
        <v/>
      </c>
      <c r="D39" t="e">
        <f t="shared" si="15"/>
        <v>#N/A</v>
      </c>
      <c r="E39" s="15"/>
      <c r="F39" s="133" t="str">
        <f t="shared" ca="1" si="16"/>
        <v>N/A</v>
      </c>
      <c r="G39" s="133" t="str">
        <f t="shared" si="17"/>
        <v>N/A</v>
      </c>
      <c r="H39" s="133" t="str">
        <f ca="1">IFERROR(IF(VLOOKUP($A39,LASTYR,'2017'!$I$3,FALSE)=0,"N/A",VLOOKUP($A39,LASTYR,'2017'!$I$3,FALSE)),"N/A")</f>
        <v>N/A</v>
      </c>
      <c r="I39" s="133" t="str">
        <f t="shared" ca="1" si="45"/>
        <v>N/A</v>
      </c>
      <c r="J39" s="133" t="str">
        <f t="shared" ca="1" si="46"/>
        <v>N/A</v>
      </c>
      <c r="K39" s="133" t="str">
        <f t="shared" ca="1" si="46"/>
        <v>N/A</v>
      </c>
      <c r="L39" s="133" t="str">
        <f t="shared" ca="1" si="46"/>
        <v>N/A</v>
      </c>
      <c r="M39" s="133" t="str">
        <f t="shared" ca="1" si="46"/>
        <v>N/A</v>
      </c>
      <c r="N39" s="133" t="str">
        <f t="shared" ca="1" si="46"/>
        <v>N/A</v>
      </c>
      <c r="O39" s="133" t="str">
        <f t="shared" ca="1" si="46"/>
        <v>N/A</v>
      </c>
      <c r="P39" s="133" t="str">
        <f t="shared" ca="1" si="46"/>
        <v>N/A</v>
      </c>
      <c r="Q39" s="133" t="str">
        <f t="shared" ca="1" si="46"/>
        <v>N/A</v>
      </c>
      <c r="R39" s="133" t="str">
        <f t="shared" ca="1" si="46"/>
        <v>N/A</v>
      </c>
      <c r="S39" s="133" t="str">
        <f t="shared" ca="1" si="46"/>
        <v>N/A</v>
      </c>
      <c r="T39" s="80" t="str">
        <f t="shared" ca="1" si="36"/>
        <v>N/A</v>
      </c>
      <c r="U39" s="80" t="str">
        <f t="shared" ca="1" si="37"/>
        <v>N/A</v>
      </c>
      <c r="V39" s="133" t="e">
        <f t="shared" ca="1" si="38"/>
        <v>#VALUE!</v>
      </c>
      <c r="W39" s="80" t="e">
        <f t="shared" ca="1" si="39"/>
        <v>#VALUE!</v>
      </c>
      <c r="X39" s="80"/>
      <c r="Y39" s="211">
        <f t="shared" ca="1" si="47"/>
        <v>-1</v>
      </c>
      <c r="Z39" s="208" t="str">
        <f t="shared" si="19"/>
        <v>N/A</v>
      </c>
      <c r="AA39" s="217">
        <v>43100</v>
      </c>
      <c r="AB39" s="213" t="e">
        <f t="shared" si="20"/>
        <v>#VALUE!</v>
      </c>
      <c r="AC39" s="214" t="e">
        <f t="shared" si="40"/>
        <v>#VALUE!</v>
      </c>
      <c r="AD39" s="214" t="e">
        <f t="shared" ca="1" si="21"/>
        <v>#VALUE!</v>
      </c>
      <c r="AE39" s="215" t="e">
        <f t="shared" ca="1" si="22"/>
        <v>#VALUE!</v>
      </c>
      <c r="AJ39" t="b">
        <f t="shared" si="23"/>
        <v>0</v>
      </c>
      <c r="AK39" t="b">
        <f t="shared" ca="1" si="24"/>
        <v>0</v>
      </c>
      <c r="AL39" t="b">
        <f t="shared" ca="1" si="25"/>
        <v>0</v>
      </c>
      <c r="AM39" t="b">
        <f t="shared" ca="1" si="26"/>
        <v>0</v>
      </c>
      <c r="AN39" t="b">
        <f t="shared" ca="1" si="27"/>
        <v>0</v>
      </c>
      <c r="AO39" t="b">
        <f t="shared" ca="1" si="28"/>
        <v>0</v>
      </c>
      <c r="AP39" t="b">
        <f t="shared" ca="1" si="29"/>
        <v>0</v>
      </c>
      <c r="AQ39" t="b">
        <f t="shared" ca="1" si="30"/>
        <v>0</v>
      </c>
      <c r="AR39" t="b">
        <f t="shared" ca="1" si="31"/>
        <v>0</v>
      </c>
      <c r="AS39" t="b">
        <f t="shared" ca="1" si="32"/>
        <v>0</v>
      </c>
      <c r="AT39" t="b">
        <f t="shared" ca="1" si="33"/>
        <v>0</v>
      </c>
      <c r="AU39" t="b">
        <f t="shared" ca="1" si="34"/>
        <v>0</v>
      </c>
      <c r="AV39" t="b">
        <f t="shared" ca="1" si="35"/>
        <v>0</v>
      </c>
      <c r="AW39">
        <f t="shared" ca="1" si="41"/>
        <v>1</v>
      </c>
      <c r="AX39">
        <f t="shared" ca="1" si="42"/>
        <v>7</v>
      </c>
    </row>
    <row r="40" spans="1:50" hidden="1" x14ac:dyDescent="0.2">
      <c r="A40" s="45"/>
      <c r="B40" s="117" t="str">
        <f t="shared" ca="1" si="14"/>
        <v/>
      </c>
      <c r="C40" s="1" t="str">
        <f>IF(ISERROR(D40),"",IF(D40="","",MAX($C$12:C39)+1))</f>
        <v/>
      </c>
      <c r="D40" t="e">
        <f t="shared" si="15"/>
        <v>#N/A</v>
      </c>
      <c r="E40" s="15"/>
      <c r="F40" s="133" t="str">
        <f t="shared" ca="1" si="16"/>
        <v>N/A</v>
      </c>
      <c r="G40" s="133" t="str">
        <f t="shared" si="17"/>
        <v>N/A</v>
      </c>
      <c r="H40" s="133" t="str">
        <f ca="1">IFERROR(IF(VLOOKUP($A40,LASTYR,'2017'!$I$3,FALSE)=0,"N/A",VLOOKUP($A40,LASTYR,'2017'!$I$3,FALSE)),"N/A")</f>
        <v>N/A</v>
      </c>
      <c r="I40" s="133" t="str">
        <f t="shared" ca="1" si="45"/>
        <v>N/A</v>
      </c>
      <c r="J40" s="133" t="str">
        <f t="shared" ca="1" si="46"/>
        <v>N/A</v>
      </c>
      <c r="K40" s="133" t="str">
        <f t="shared" ca="1" si="46"/>
        <v>N/A</v>
      </c>
      <c r="L40" s="133" t="str">
        <f t="shared" ca="1" si="46"/>
        <v>N/A</v>
      </c>
      <c r="M40" s="133" t="str">
        <f t="shared" ca="1" si="46"/>
        <v>N/A</v>
      </c>
      <c r="N40" s="133" t="str">
        <f t="shared" ca="1" si="46"/>
        <v>N/A</v>
      </c>
      <c r="O40" s="133" t="str">
        <f t="shared" ca="1" si="46"/>
        <v>N/A</v>
      </c>
      <c r="P40" s="133" t="str">
        <f t="shared" ca="1" si="46"/>
        <v>N/A</v>
      </c>
      <c r="Q40" s="133" t="str">
        <f t="shared" ca="1" si="46"/>
        <v>N/A</v>
      </c>
      <c r="R40" s="133" t="str">
        <f t="shared" ca="1" si="46"/>
        <v>N/A</v>
      </c>
      <c r="S40" s="133" t="str">
        <f t="shared" ca="1" si="46"/>
        <v>N/A</v>
      </c>
      <c r="T40" s="80" t="str">
        <f t="shared" ca="1" si="36"/>
        <v>N/A</v>
      </c>
      <c r="U40" s="80" t="str">
        <f t="shared" ca="1" si="37"/>
        <v>N/A</v>
      </c>
      <c r="V40" s="133" t="e">
        <f t="shared" ca="1" si="38"/>
        <v>#VALUE!</v>
      </c>
      <c r="W40" s="80" t="e">
        <f t="shared" ca="1" si="39"/>
        <v>#VALUE!</v>
      </c>
      <c r="X40" s="80"/>
      <c r="Y40" s="211">
        <f t="shared" ca="1" si="47"/>
        <v>-1</v>
      </c>
      <c r="Z40" s="208" t="str">
        <f t="shared" si="19"/>
        <v>N/A</v>
      </c>
      <c r="AA40" s="217">
        <v>43100</v>
      </c>
      <c r="AB40" s="213" t="e">
        <f t="shared" si="20"/>
        <v>#VALUE!</v>
      </c>
      <c r="AC40" s="214" t="e">
        <f t="shared" si="40"/>
        <v>#VALUE!</v>
      </c>
      <c r="AD40" s="214" t="e">
        <f t="shared" ca="1" si="21"/>
        <v>#VALUE!</v>
      </c>
      <c r="AE40" s="215" t="e">
        <f t="shared" ca="1" si="22"/>
        <v>#VALUE!</v>
      </c>
      <c r="AJ40" t="b">
        <f t="shared" si="23"/>
        <v>0</v>
      </c>
      <c r="AK40" t="b">
        <f t="shared" ca="1" si="24"/>
        <v>0</v>
      </c>
      <c r="AL40" t="b">
        <f t="shared" ca="1" si="25"/>
        <v>0</v>
      </c>
      <c r="AM40" t="b">
        <f t="shared" ca="1" si="26"/>
        <v>0</v>
      </c>
      <c r="AN40" t="b">
        <f t="shared" ca="1" si="27"/>
        <v>0</v>
      </c>
      <c r="AO40" t="b">
        <f t="shared" ca="1" si="28"/>
        <v>0</v>
      </c>
      <c r="AP40" t="b">
        <f t="shared" ca="1" si="29"/>
        <v>0</v>
      </c>
      <c r="AQ40" t="b">
        <f t="shared" ca="1" si="30"/>
        <v>0</v>
      </c>
      <c r="AR40" t="b">
        <f t="shared" ca="1" si="31"/>
        <v>0</v>
      </c>
      <c r="AS40" t="b">
        <f t="shared" ca="1" si="32"/>
        <v>0</v>
      </c>
      <c r="AT40" t="b">
        <f t="shared" ca="1" si="33"/>
        <v>0</v>
      </c>
      <c r="AU40" t="b">
        <f t="shared" ca="1" si="34"/>
        <v>0</v>
      </c>
      <c r="AV40" t="b">
        <f t="shared" ca="1" si="35"/>
        <v>0</v>
      </c>
      <c r="AW40">
        <f t="shared" ca="1" si="41"/>
        <v>1</v>
      </c>
      <c r="AX40">
        <f t="shared" ca="1" si="42"/>
        <v>7</v>
      </c>
    </row>
    <row r="41" spans="1:50" hidden="1" x14ac:dyDescent="0.2">
      <c r="A41" s="45"/>
      <c r="B41" s="117" t="str">
        <f t="shared" ca="1" si="14"/>
        <v/>
      </c>
      <c r="C41" s="1" t="str">
        <f>IF(ISERROR(D41),"",IF(D41="","",MAX($C$12:C40)+1))</f>
        <v/>
      </c>
      <c r="D41" t="e">
        <f t="shared" si="15"/>
        <v>#N/A</v>
      </c>
      <c r="E41" s="15"/>
      <c r="F41" s="133" t="str">
        <f t="shared" ca="1" si="16"/>
        <v>N/A</v>
      </c>
      <c r="G41" s="133" t="str">
        <f t="shared" si="17"/>
        <v>N/A</v>
      </c>
      <c r="H41" s="133" t="str">
        <f ca="1">IFERROR(IF(VLOOKUP($A41,LASTYR,'2017'!$I$3,FALSE)=0,"N/A",VLOOKUP($A41,LASTYR,'2017'!$I$3,FALSE)),"N/A")</f>
        <v>N/A</v>
      </c>
      <c r="I41" s="133" t="str">
        <f t="shared" ca="1" si="45"/>
        <v>N/A</v>
      </c>
      <c r="J41" s="133" t="str">
        <f t="shared" ca="1" si="46"/>
        <v>N/A</v>
      </c>
      <c r="K41" s="133" t="str">
        <f t="shared" ca="1" si="46"/>
        <v>N/A</v>
      </c>
      <c r="L41" s="133" t="str">
        <f t="shared" ca="1" si="46"/>
        <v>N/A</v>
      </c>
      <c r="M41" s="133" t="str">
        <f t="shared" ca="1" si="46"/>
        <v>N/A</v>
      </c>
      <c r="N41" s="133" t="str">
        <f t="shared" ca="1" si="46"/>
        <v>N/A</v>
      </c>
      <c r="O41" s="133" t="str">
        <f t="shared" ca="1" si="46"/>
        <v>N/A</v>
      </c>
      <c r="P41" s="133" t="str">
        <f t="shared" ca="1" si="46"/>
        <v>N/A</v>
      </c>
      <c r="Q41" s="133" t="str">
        <f t="shared" ca="1" si="46"/>
        <v>N/A</v>
      </c>
      <c r="R41" s="133" t="str">
        <f t="shared" ca="1" si="46"/>
        <v>N/A</v>
      </c>
      <c r="S41" s="133" t="str">
        <f t="shared" ca="1" si="46"/>
        <v>N/A</v>
      </c>
      <c r="T41" s="80" t="str">
        <f t="shared" ca="1" si="36"/>
        <v>N/A</v>
      </c>
      <c r="U41" s="80" t="str">
        <f t="shared" ca="1" si="37"/>
        <v>N/A</v>
      </c>
      <c r="V41" s="133" t="e">
        <f t="shared" ca="1" si="38"/>
        <v>#VALUE!</v>
      </c>
      <c r="W41" s="80" t="e">
        <f t="shared" ca="1" si="39"/>
        <v>#VALUE!</v>
      </c>
      <c r="X41" s="80"/>
      <c r="Y41" s="211">
        <f t="shared" ca="1" si="47"/>
        <v>-1</v>
      </c>
      <c r="Z41" s="208" t="str">
        <f t="shared" si="19"/>
        <v>N/A</v>
      </c>
      <c r="AA41" s="217">
        <v>43100</v>
      </c>
      <c r="AB41" s="213" t="e">
        <f t="shared" si="20"/>
        <v>#VALUE!</v>
      </c>
      <c r="AC41" s="214" t="e">
        <f t="shared" si="40"/>
        <v>#VALUE!</v>
      </c>
      <c r="AD41" s="214" t="e">
        <f t="shared" ca="1" si="21"/>
        <v>#VALUE!</v>
      </c>
      <c r="AE41" s="215" t="e">
        <f t="shared" ca="1" si="22"/>
        <v>#VALUE!</v>
      </c>
      <c r="AJ41" t="b">
        <f t="shared" si="23"/>
        <v>0</v>
      </c>
      <c r="AK41" t="b">
        <f t="shared" ca="1" si="24"/>
        <v>0</v>
      </c>
      <c r="AL41" t="b">
        <f t="shared" ca="1" si="25"/>
        <v>0</v>
      </c>
      <c r="AM41" t="b">
        <f t="shared" ca="1" si="26"/>
        <v>0</v>
      </c>
      <c r="AN41" t="b">
        <f t="shared" ca="1" si="27"/>
        <v>0</v>
      </c>
      <c r="AO41" t="b">
        <f t="shared" ca="1" si="28"/>
        <v>0</v>
      </c>
      <c r="AP41" t="b">
        <f t="shared" ca="1" si="29"/>
        <v>0</v>
      </c>
      <c r="AQ41" t="b">
        <f t="shared" ca="1" si="30"/>
        <v>0</v>
      </c>
      <c r="AR41" t="b">
        <f t="shared" ca="1" si="31"/>
        <v>0</v>
      </c>
      <c r="AS41" t="b">
        <f t="shared" ca="1" si="32"/>
        <v>0</v>
      </c>
      <c r="AT41" t="b">
        <f t="shared" ca="1" si="33"/>
        <v>0</v>
      </c>
      <c r="AU41" t="b">
        <f t="shared" ca="1" si="34"/>
        <v>0</v>
      </c>
      <c r="AV41" t="b">
        <f t="shared" ca="1" si="35"/>
        <v>0</v>
      </c>
      <c r="AW41">
        <f t="shared" ca="1" si="41"/>
        <v>1</v>
      </c>
      <c r="AX41">
        <f t="shared" ca="1" si="42"/>
        <v>7</v>
      </c>
    </row>
    <row r="42" spans="1:50" hidden="1" x14ac:dyDescent="0.2">
      <c r="A42" s="45"/>
      <c r="B42" s="117" t="str">
        <f t="shared" ca="1" si="14"/>
        <v/>
      </c>
      <c r="C42" s="1" t="str">
        <f>IF(ISERROR(D42),"",IF(D42="","",MAX($C$12:C41)+1))</f>
        <v/>
      </c>
      <c r="D42" t="e">
        <f t="shared" si="15"/>
        <v>#N/A</v>
      </c>
      <c r="E42" s="15"/>
      <c r="F42" s="133" t="str">
        <f t="shared" ca="1" si="16"/>
        <v>N/A</v>
      </c>
      <c r="G42" s="133" t="str">
        <f t="shared" si="17"/>
        <v>N/A</v>
      </c>
      <c r="H42" s="133" t="str">
        <f ca="1">IFERROR(IF(VLOOKUP($A42,LASTYR,'2017'!$I$3,FALSE)=0,"N/A",VLOOKUP($A42,LASTYR,'2017'!$I$3,FALSE)),"N/A")</f>
        <v>N/A</v>
      </c>
      <c r="I42" s="133" t="str">
        <f t="shared" ca="1" si="45"/>
        <v>N/A</v>
      </c>
      <c r="J42" s="133" t="str">
        <f t="shared" ca="1" si="46"/>
        <v>N/A</v>
      </c>
      <c r="K42" s="133" t="str">
        <f t="shared" ca="1" si="46"/>
        <v>N/A</v>
      </c>
      <c r="L42" s="133" t="str">
        <f t="shared" ca="1" si="46"/>
        <v>N/A</v>
      </c>
      <c r="M42" s="133" t="str">
        <f t="shared" ca="1" si="46"/>
        <v>N/A</v>
      </c>
      <c r="N42" s="133" t="str">
        <f t="shared" ca="1" si="46"/>
        <v>N/A</v>
      </c>
      <c r="O42" s="133" t="str">
        <f t="shared" ca="1" si="46"/>
        <v>N/A</v>
      </c>
      <c r="P42" s="133" t="str">
        <f t="shared" ca="1" si="46"/>
        <v>N/A</v>
      </c>
      <c r="Q42" s="133" t="str">
        <f t="shared" ca="1" si="46"/>
        <v>N/A</v>
      </c>
      <c r="R42" s="133" t="str">
        <f t="shared" ca="1" si="46"/>
        <v>N/A</v>
      </c>
      <c r="S42" s="133" t="str">
        <f t="shared" ca="1" si="46"/>
        <v>N/A</v>
      </c>
      <c r="T42" s="80" t="str">
        <f t="shared" ca="1" si="36"/>
        <v>N/A</v>
      </c>
      <c r="U42" s="80" t="str">
        <f t="shared" ca="1" si="37"/>
        <v>N/A</v>
      </c>
      <c r="V42" s="133" t="e">
        <f t="shared" ca="1" si="38"/>
        <v>#VALUE!</v>
      </c>
      <c r="W42" s="80" t="e">
        <f t="shared" ca="1" si="39"/>
        <v>#VALUE!</v>
      </c>
      <c r="X42" s="80"/>
      <c r="Y42" s="211">
        <f t="shared" ca="1" si="47"/>
        <v>-1</v>
      </c>
      <c r="Z42" s="208" t="str">
        <f t="shared" si="19"/>
        <v>N/A</v>
      </c>
      <c r="AA42" s="217">
        <v>43100</v>
      </c>
      <c r="AB42" s="213" t="e">
        <f t="shared" si="20"/>
        <v>#VALUE!</v>
      </c>
      <c r="AC42" s="214" t="e">
        <f t="shared" si="40"/>
        <v>#VALUE!</v>
      </c>
      <c r="AD42" s="214" t="e">
        <f t="shared" ca="1" si="21"/>
        <v>#VALUE!</v>
      </c>
      <c r="AE42" s="215" t="e">
        <f t="shared" ca="1" si="22"/>
        <v>#VALUE!</v>
      </c>
      <c r="AJ42" t="b">
        <f t="shared" si="23"/>
        <v>0</v>
      </c>
      <c r="AK42" t="b">
        <f t="shared" ca="1" si="24"/>
        <v>0</v>
      </c>
      <c r="AL42" t="b">
        <f t="shared" ca="1" si="25"/>
        <v>0</v>
      </c>
      <c r="AM42" t="b">
        <f t="shared" ca="1" si="26"/>
        <v>0</v>
      </c>
      <c r="AN42" t="b">
        <f t="shared" ca="1" si="27"/>
        <v>0</v>
      </c>
      <c r="AO42" t="b">
        <f t="shared" ca="1" si="28"/>
        <v>0</v>
      </c>
      <c r="AP42" t="b">
        <f t="shared" ca="1" si="29"/>
        <v>0</v>
      </c>
      <c r="AQ42" t="b">
        <f t="shared" ca="1" si="30"/>
        <v>0</v>
      </c>
      <c r="AR42" t="b">
        <f t="shared" ca="1" si="31"/>
        <v>0</v>
      </c>
      <c r="AS42" t="b">
        <f t="shared" ca="1" si="32"/>
        <v>0</v>
      </c>
      <c r="AT42" t="b">
        <f t="shared" ca="1" si="33"/>
        <v>0</v>
      </c>
      <c r="AU42" t="b">
        <f t="shared" ca="1" si="34"/>
        <v>0</v>
      </c>
      <c r="AV42" t="b">
        <f t="shared" ca="1" si="35"/>
        <v>0</v>
      </c>
      <c r="AW42">
        <f t="shared" ca="1" si="41"/>
        <v>1</v>
      </c>
      <c r="AX42">
        <f t="shared" ca="1" si="42"/>
        <v>7</v>
      </c>
    </row>
    <row r="43" spans="1:50" hidden="1" x14ac:dyDescent="0.2">
      <c r="A43" s="45"/>
      <c r="B43" s="117" t="str">
        <f t="shared" ca="1" si="14"/>
        <v/>
      </c>
      <c r="C43" s="1" t="str">
        <f>IF(ISERROR(D43),"",IF(D43="","",MAX($C$12:C42)+1))</f>
        <v/>
      </c>
      <c r="D43" t="e">
        <f t="shared" si="15"/>
        <v>#N/A</v>
      </c>
      <c r="E43" s="15"/>
      <c r="F43" s="133" t="str">
        <f t="shared" ca="1" si="16"/>
        <v>N/A</v>
      </c>
      <c r="G43" s="133" t="str">
        <f t="shared" si="17"/>
        <v>N/A</v>
      </c>
      <c r="H43" s="133" t="str">
        <f ca="1">IFERROR(IF(VLOOKUP($A43,LASTYR,'2017'!$I$3,FALSE)=0,"N/A",VLOOKUP($A43,LASTYR,'2017'!$I$3,FALSE)),"N/A")</f>
        <v>N/A</v>
      </c>
      <c r="I43" s="133" t="str">
        <f t="shared" ca="1" si="45"/>
        <v>N/A</v>
      </c>
      <c r="J43" s="133" t="str">
        <f t="shared" ref="J43:S57" ca="1" si="48">IFERROR(IF(INDEX(Dividends,$B43,J$12)=0,"N/A",INDEX(Dividends,$B43,J$12)),"N/A")</f>
        <v>N/A</v>
      </c>
      <c r="K43" s="133" t="str">
        <f t="shared" ca="1" si="48"/>
        <v>N/A</v>
      </c>
      <c r="L43" s="133" t="str">
        <f t="shared" ca="1" si="48"/>
        <v>N/A</v>
      </c>
      <c r="M43" s="133" t="str">
        <f t="shared" ca="1" si="48"/>
        <v>N/A</v>
      </c>
      <c r="N43" s="133" t="str">
        <f t="shared" ca="1" si="48"/>
        <v>N/A</v>
      </c>
      <c r="O43" s="133" t="str">
        <f t="shared" ca="1" si="48"/>
        <v>N/A</v>
      </c>
      <c r="P43" s="133" t="str">
        <f t="shared" ca="1" si="48"/>
        <v>N/A</v>
      </c>
      <c r="Q43" s="133" t="str">
        <f t="shared" ca="1" si="48"/>
        <v>N/A</v>
      </c>
      <c r="R43" s="133" t="str">
        <f t="shared" ca="1" si="48"/>
        <v>N/A</v>
      </c>
      <c r="S43" s="133" t="str">
        <f t="shared" ca="1" si="48"/>
        <v>N/A</v>
      </c>
      <c r="T43" s="80" t="str">
        <f t="shared" ca="1" si="36"/>
        <v>N/A</v>
      </c>
      <c r="U43" s="80" t="str">
        <f t="shared" ca="1" si="37"/>
        <v>N/A</v>
      </c>
      <c r="V43" s="133" t="e">
        <f t="shared" ca="1" si="38"/>
        <v>#VALUE!</v>
      </c>
      <c r="W43" s="80" t="e">
        <f t="shared" ca="1" si="39"/>
        <v>#VALUE!</v>
      </c>
      <c r="X43" s="80"/>
      <c r="Y43" s="211">
        <f t="shared" ca="1" si="47"/>
        <v>-1</v>
      </c>
      <c r="Z43" s="208" t="str">
        <f t="shared" si="19"/>
        <v>N/A</v>
      </c>
      <c r="AA43" s="217">
        <v>43100</v>
      </c>
      <c r="AB43" s="213" t="e">
        <f t="shared" si="20"/>
        <v>#VALUE!</v>
      </c>
      <c r="AC43" s="214" t="e">
        <f t="shared" si="40"/>
        <v>#VALUE!</v>
      </c>
      <c r="AD43" s="214" t="e">
        <f t="shared" ca="1" si="21"/>
        <v>#VALUE!</v>
      </c>
      <c r="AE43" s="215" t="e">
        <f t="shared" ca="1" si="22"/>
        <v>#VALUE!</v>
      </c>
      <c r="AJ43" t="b">
        <f t="shared" si="23"/>
        <v>0</v>
      </c>
      <c r="AK43" t="b">
        <f t="shared" ca="1" si="24"/>
        <v>0</v>
      </c>
      <c r="AL43" t="b">
        <f t="shared" ca="1" si="25"/>
        <v>0</v>
      </c>
      <c r="AM43" t="b">
        <f t="shared" ca="1" si="26"/>
        <v>0</v>
      </c>
      <c r="AN43" t="b">
        <f t="shared" ca="1" si="27"/>
        <v>0</v>
      </c>
      <c r="AO43" t="b">
        <f t="shared" ca="1" si="28"/>
        <v>0</v>
      </c>
      <c r="AP43" t="b">
        <f t="shared" ca="1" si="29"/>
        <v>0</v>
      </c>
      <c r="AQ43" t="b">
        <f t="shared" ca="1" si="30"/>
        <v>0</v>
      </c>
      <c r="AR43" t="b">
        <f t="shared" ca="1" si="31"/>
        <v>0</v>
      </c>
      <c r="AS43" t="b">
        <f t="shared" ca="1" si="32"/>
        <v>0</v>
      </c>
      <c r="AT43" t="b">
        <f t="shared" ca="1" si="33"/>
        <v>0</v>
      </c>
      <c r="AU43" t="b">
        <f t="shared" ca="1" si="34"/>
        <v>0</v>
      </c>
      <c r="AV43" t="b">
        <f t="shared" ca="1" si="35"/>
        <v>0</v>
      </c>
      <c r="AW43">
        <f t="shared" ca="1" si="41"/>
        <v>1</v>
      </c>
      <c r="AX43">
        <f t="shared" ca="1" si="42"/>
        <v>7</v>
      </c>
    </row>
    <row r="44" spans="1:50" hidden="1" x14ac:dyDescent="0.2">
      <c r="A44" s="45"/>
      <c r="B44" s="117" t="str">
        <f t="shared" ca="1" si="14"/>
        <v/>
      </c>
      <c r="C44" s="1" t="str">
        <f>IF(ISERROR(D44),"",IF(D44="","",MAX($C$12:C43)+1))</f>
        <v/>
      </c>
      <c r="D44" t="e">
        <f t="shared" si="15"/>
        <v>#N/A</v>
      </c>
      <c r="E44" s="15"/>
      <c r="F44" s="133" t="str">
        <f t="shared" ca="1" si="16"/>
        <v>N/A</v>
      </c>
      <c r="G44" s="133" t="str">
        <f t="shared" si="17"/>
        <v>N/A</v>
      </c>
      <c r="H44" s="133" t="str">
        <f ca="1">IFERROR(IF(VLOOKUP($A44,LASTYR,'2017'!$I$3,FALSE)=0,"N/A",VLOOKUP($A44,LASTYR,'2017'!$I$3,FALSE)),"N/A")</f>
        <v>N/A</v>
      </c>
      <c r="I44" s="133" t="str">
        <f t="shared" ca="1" si="45"/>
        <v>N/A</v>
      </c>
      <c r="J44" s="133" t="str">
        <f t="shared" ca="1" si="48"/>
        <v>N/A</v>
      </c>
      <c r="K44" s="133" t="str">
        <f t="shared" ca="1" si="48"/>
        <v>N/A</v>
      </c>
      <c r="L44" s="133" t="str">
        <f t="shared" ca="1" si="48"/>
        <v>N/A</v>
      </c>
      <c r="M44" s="133" t="str">
        <f t="shared" ca="1" si="48"/>
        <v>N/A</v>
      </c>
      <c r="N44" s="133" t="str">
        <f t="shared" ca="1" si="48"/>
        <v>N/A</v>
      </c>
      <c r="O44" s="133" t="str">
        <f t="shared" ca="1" si="48"/>
        <v>N/A</v>
      </c>
      <c r="P44" s="133" t="str">
        <f t="shared" ca="1" si="48"/>
        <v>N/A</v>
      </c>
      <c r="Q44" s="133" t="str">
        <f t="shared" ca="1" si="48"/>
        <v>N/A</v>
      </c>
      <c r="R44" s="133" t="str">
        <f t="shared" ca="1" si="48"/>
        <v>N/A</v>
      </c>
      <c r="S44" s="133" t="str">
        <f t="shared" ca="1" si="48"/>
        <v>N/A</v>
      </c>
      <c r="T44" s="80" t="str">
        <f t="shared" ca="1" si="36"/>
        <v>N/A</v>
      </c>
      <c r="U44" s="80" t="str">
        <f t="shared" ca="1" si="37"/>
        <v>N/A</v>
      </c>
      <c r="V44" s="133" t="e">
        <f t="shared" ca="1" si="38"/>
        <v>#VALUE!</v>
      </c>
      <c r="W44" s="80" t="e">
        <f t="shared" ca="1" si="39"/>
        <v>#VALUE!</v>
      </c>
      <c r="X44" s="80"/>
      <c r="Y44" s="211">
        <f t="shared" ca="1" si="47"/>
        <v>-1</v>
      </c>
      <c r="Z44" s="208" t="str">
        <f t="shared" si="19"/>
        <v>N/A</v>
      </c>
      <c r="AA44" s="217">
        <v>43100</v>
      </c>
      <c r="AB44" s="213" t="e">
        <f t="shared" si="20"/>
        <v>#VALUE!</v>
      </c>
      <c r="AC44" s="214" t="e">
        <f t="shared" si="40"/>
        <v>#VALUE!</v>
      </c>
      <c r="AD44" s="214" t="e">
        <f t="shared" ca="1" si="21"/>
        <v>#VALUE!</v>
      </c>
      <c r="AE44" s="215" t="e">
        <f t="shared" ca="1" si="22"/>
        <v>#VALUE!</v>
      </c>
      <c r="AJ44" t="b">
        <f t="shared" si="23"/>
        <v>0</v>
      </c>
      <c r="AK44" t="b">
        <f t="shared" ca="1" si="24"/>
        <v>0</v>
      </c>
      <c r="AL44" t="b">
        <f t="shared" ca="1" si="25"/>
        <v>0</v>
      </c>
      <c r="AM44" t="b">
        <f t="shared" ca="1" si="26"/>
        <v>0</v>
      </c>
      <c r="AN44" t="b">
        <f t="shared" ca="1" si="27"/>
        <v>0</v>
      </c>
      <c r="AO44" t="b">
        <f t="shared" ca="1" si="28"/>
        <v>0</v>
      </c>
      <c r="AP44" t="b">
        <f t="shared" ca="1" si="29"/>
        <v>0</v>
      </c>
      <c r="AQ44" t="b">
        <f t="shared" ca="1" si="30"/>
        <v>0</v>
      </c>
      <c r="AR44" t="b">
        <f t="shared" ca="1" si="31"/>
        <v>0</v>
      </c>
      <c r="AS44" t="b">
        <f t="shared" ca="1" si="32"/>
        <v>0</v>
      </c>
      <c r="AT44" t="b">
        <f t="shared" ca="1" si="33"/>
        <v>0</v>
      </c>
      <c r="AU44" t="b">
        <f t="shared" ca="1" si="34"/>
        <v>0</v>
      </c>
      <c r="AV44" t="b">
        <f t="shared" ca="1" si="35"/>
        <v>0</v>
      </c>
      <c r="AW44">
        <f t="shared" ca="1" si="41"/>
        <v>1</v>
      </c>
      <c r="AX44">
        <f t="shared" ca="1" si="42"/>
        <v>7</v>
      </c>
    </row>
    <row r="45" spans="1:50" hidden="1" x14ac:dyDescent="0.2">
      <c r="A45" s="45"/>
      <c r="B45" s="117" t="str">
        <f t="shared" ca="1" si="14"/>
        <v/>
      </c>
      <c r="C45" s="1" t="str">
        <f>IF(ISERROR(D45),"",IF(D45="","",MAX($C$12:C44)+1))</f>
        <v/>
      </c>
      <c r="D45" t="e">
        <f t="shared" si="15"/>
        <v>#N/A</v>
      </c>
      <c r="E45" s="15"/>
      <c r="F45" s="133" t="str">
        <f t="shared" ca="1" si="16"/>
        <v>N/A</v>
      </c>
      <c r="G45" s="133" t="str">
        <f t="shared" si="17"/>
        <v>N/A</v>
      </c>
      <c r="H45" s="133" t="str">
        <f ca="1">IFERROR(IF(VLOOKUP($A45,LASTYR,'2017'!$I$3,FALSE)=0,"N/A",VLOOKUP($A45,LASTYR,'2017'!$I$3,FALSE)),"N/A")</f>
        <v>N/A</v>
      </c>
      <c r="I45" s="133" t="str">
        <f t="shared" ca="1" si="45"/>
        <v>N/A</v>
      </c>
      <c r="J45" s="133" t="str">
        <f t="shared" ca="1" si="48"/>
        <v>N/A</v>
      </c>
      <c r="K45" s="133" t="str">
        <f t="shared" ca="1" si="48"/>
        <v>N/A</v>
      </c>
      <c r="L45" s="133" t="str">
        <f t="shared" ca="1" si="48"/>
        <v>N/A</v>
      </c>
      <c r="M45" s="133" t="str">
        <f t="shared" ca="1" si="48"/>
        <v>N/A</v>
      </c>
      <c r="N45" s="133" t="str">
        <f t="shared" ca="1" si="48"/>
        <v>N/A</v>
      </c>
      <c r="O45" s="133" t="str">
        <f t="shared" ca="1" si="48"/>
        <v>N/A</v>
      </c>
      <c r="P45" s="133" t="str">
        <f t="shared" ca="1" si="48"/>
        <v>N/A</v>
      </c>
      <c r="Q45" s="133" t="str">
        <f t="shared" ca="1" si="48"/>
        <v>N/A</v>
      </c>
      <c r="R45" s="133" t="str">
        <f t="shared" ca="1" si="48"/>
        <v>N/A</v>
      </c>
      <c r="S45" s="133" t="str">
        <f t="shared" ca="1" si="48"/>
        <v>N/A</v>
      </c>
      <c r="T45" s="80" t="str">
        <f t="shared" ca="1" si="36"/>
        <v>N/A</v>
      </c>
      <c r="U45" s="80" t="str">
        <f t="shared" ca="1" si="37"/>
        <v>N/A</v>
      </c>
      <c r="V45" s="133" t="e">
        <f t="shared" ca="1" si="38"/>
        <v>#VALUE!</v>
      </c>
      <c r="W45" s="80" t="e">
        <f t="shared" ca="1" si="39"/>
        <v>#VALUE!</v>
      </c>
      <c r="X45" s="80"/>
      <c r="Y45" s="211">
        <f t="shared" ca="1" si="47"/>
        <v>-1</v>
      </c>
      <c r="Z45" s="208" t="str">
        <f t="shared" si="19"/>
        <v>N/A</v>
      </c>
      <c r="AA45" s="217">
        <v>43100</v>
      </c>
      <c r="AB45" s="213" t="e">
        <f t="shared" si="20"/>
        <v>#VALUE!</v>
      </c>
      <c r="AC45" s="214" t="e">
        <f t="shared" si="40"/>
        <v>#VALUE!</v>
      </c>
      <c r="AD45" s="214" t="e">
        <f t="shared" ca="1" si="21"/>
        <v>#VALUE!</v>
      </c>
      <c r="AE45" s="215" t="e">
        <f t="shared" ca="1" si="22"/>
        <v>#VALUE!</v>
      </c>
      <c r="AJ45" t="b">
        <f t="shared" si="23"/>
        <v>0</v>
      </c>
      <c r="AK45" t="b">
        <f t="shared" ca="1" si="24"/>
        <v>0</v>
      </c>
      <c r="AL45" t="b">
        <f t="shared" ca="1" si="25"/>
        <v>0</v>
      </c>
      <c r="AM45" t="b">
        <f t="shared" ca="1" si="26"/>
        <v>0</v>
      </c>
      <c r="AN45" t="b">
        <f t="shared" ca="1" si="27"/>
        <v>0</v>
      </c>
      <c r="AO45" t="b">
        <f t="shared" ca="1" si="28"/>
        <v>0</v>
      </c>
      <c r="AP45" t="b">
        <f t="shared" ca="1" si="29"/>
        <v>0</v>
      </c>
      <c r="AQ45" t="b">
        <f t="shared" ca="1" si="30"/>
        <v>0</v>
      </c>
      <c r="AR45" t="b">
        <f t="shared" ca="1" si="31"/>
        <v>0</v>
      </c>
      <c r="AS45" t="b">
        <f t="shared" ca="1" si="32"/>
        <v>0</v>
      </c>
      <c r="AT45" t="b">
        <f t="shared" ca="1" si="33"/>
        <v>0</v>
      </c>
      <c r="AU45" t="b">
        <f t="shared" ca="1" si="34"/>
        <v>0</v>
      </c>
      <c r="AV45" t="b">
        <f t="shared" ca="1" si="35"/>
        <v>0</v>
      </c>
      <c r="AW45">
        <f t="shared" ca="1" si="41"/>
        <v>1</v>
      </c>
      <c r="AX45">
        <f t="shared" ca="1" si="42"/>
        <v>7</v>
      </c>
    </row>
    <row r="46" spans="1:50" hidden="1" x14ac:dyDescent="0.2">
      <c r="A46" s="45"/>
      <c r="B46" s="117" t="str">
        <f t="shared" ca="1" si="14"/>
        <v/>
      </c>
      <c r="C46" s="1" t="str">
        <f>IF(ISERROR(D46),"",IF(D46="","",MAX($C$12:C45)+1))</f>
        <v/>
      </c>
      <c r="D46" t="e">
        <f t="shared" si="15"/>
        <v>#N/A</v>
      </c>
      <c r="E46" s="15"/>
      <c r="F46" s="133" t="str">
        <f t="shared" ca="1" si="16"/>
        <v>N/A</v>
      </c>
      <c r="G46" s="133" t="str">
        <f t="shared" si="17"/>
        <v>N/A</v>
      </c>
      <c r="H46" s="133" t="str">
        <f ca="1">IFERROR(IF(VLOOKUP($A46,LASTYR,'2017'!$I$3,FALSE)=0,"N/A",VLOOKUP($A46,LASTYR,'2017'!$I$3,FALSE)),"N/A")</f>
        <v>N/A</v>
      </c>
      <c r="I46" s="133" t="str">
        <f t="shared" ca="1" si="45"/>
        <v>N/A</v>
      </c>
      <c r="J46" s="133" t="str">
        <f t="shared" ca="1" si="48"/>
        <v>N/A</v>
      </c>
      <c r="K46" s="133" t="str">
        <f t="shared" ca="1" si="48"/>
        <v>N/A</v>
      </c>
      <c r="L46" s="133" t="str">
        <f t="shared" ca="1" si="48"/>
        <v>N/A</v>
      </c>
      <c r="M46" s="133" t="str">
        <f t="shared" ca="1" si="48"/>
        <v>N/A</v>
      </c>
      <c r="N46" s="133" t="str">
        <f t="shared" ca="1" si="48"/>
        <v>N/A</v>
      </c>
      <c r="O46" s="133" t="str">
        <f t="shared" ca="1" si="48"/>
        <v>N/A</v>
      </c>
      <c r="P46" s="133" t="str">
        <f t="shared" ca="1" si="48"/>
        <v>N/A</v>
      </c>
      <c r="Q46" s="133" t="str">
        <f t="shared" ca="1" si="48"/>
        <v>N/A</v>
      </c>
      <c r="R46" s="133" t="str">
        <f t="shared" ca="1" si="48"/>
        <v>N/A</v>
      </c>
      <c r="S46" s="133" t="str">
        <f t="shared" ca="1" si="48"/>
        <v>N/A</v>
      </c>
      <c r="T46" s="80" t="str">
        <f t="shared" ca="1" si="36"/>
        <v>N/A</v>
      </c>
      <c r="U46" s="80" t="str">
        <f t="shared" ca="1" si="37"/>
        <v>N/A</v>
      </c>
      <c r="V46" s="133" t="e">
        <f t="shared" ca="1" si="38"/>
        <v>#VALUE!</v>
      </c>
      <c r="W46" s="80" t="e">
        <f t="shared" ca="1" si="39"/>
        <v>#VALUE!</v>
      </c>
      <c r="X46" s="80"/>
      <c r="Y46" s="211">
        <f t="shared" ca="1" si="47"/>
        <v>-1</v>
      </c>
      <c r="Z46" s="208" t="str">
        <f t="shared" si="19"/>
        <v>N/A</v>
      </c>
      <c r="AA46" s="217">
        <v>43100</v>
      </c>
      <c r="AB46" s="213" t="e">
        <f t="shared" si="20"/>
        <v>#VALUE!</v>
      </c>
      <c r="AC46" s="214" t="e">
        <f t="shared" si="40"/>
        <v>#VALUE!</v>
      </c>
      <c r="AD46" s="214" t="e">
        <f t="shared" ca="1" si="21"/>
        <v>#VALUE!</v>
      </c>
      <c r="AE46" s="215" t="e">
        <f t="shared" ca="1" si="22"/>
        <v>#VALUE!</v>
      </c>
      <c r="AJ46" t="b">
        <f t="shared" si="23"/>
        <v>0</v>
      </c>
      <c r="AK46" t="b">
        <f t="shared" ca="1" si="24"/>
        <v>0</v>
      </c>
      <c r="AL46" t="b">
        <f t="shared" ca="1" si="25"/>
        <v>0</v>
      </c>
      <c r="AM46" t="b">
        <f t="shared" ca="1" si="26"/>
        <v>0</v>
      </c>
      <c r="AN46" t="b">
        <f t="shared" ca="1" si="27"/>
        <v>0</v>
      </c>
      <c r="AO46" t="b">
        <f t="shared" ca="1" si="28"/>
        <v>0</v>
      </c>
      <c r="AP46" t="b">
        <f t="shared" ca="1" si="29"/>
        <v>0</v>
      </c>
      <c r="AQ46" t="b">
        <f t="shared" ca="1" si="30"/>
        <v>0</v>
      </c>
      <c r="AR46" t="b">
        <f t="shared" ca="1" si="31"/>
        <v>0</v>
      </c>
      <c r="AS46" t="b">
        <f t="shared" ca="1" si="32"/>
        <v>0</v>
      </c>
      <c r="AT46" t="b">
        <f t="shared" ca="1" si="33"/>
        <v>0</v>
      </c>
      <c r="AU46" t="b">
        <f t="shared" ca="1" si="34"/>
        <v>0</v>
      </c>
      <c r="AV46" t="b">
        <f t="shared" ca="1" si="35"/>
        <v>0</v>
      </c>
      <c r="AW46">
        <f t="shared" ca="1" si="41"/>
        <v>1</v>
      </c>
      <c r="AX46">
        <f t="shared" ca="1" si="42"/>
        <v>7</v>
      </c>
    </row>
    <row r="47" spans="1:50" hidden="1" x14ac:dyDescent="0.2">
      <c r="A47" s="45"/>
      <c r="B47" s="117" t="str">
        <f t="shared" ca="1" si="14"/>
        <v/>
      </c>
      <c r="C47" s="1" t="str">
        <f>IF(ISERROR(D47),"",IF(D47="","",MAX($C$12:C46)+1))</f>
        <v/>
      </c>
      <c r="D47" t="e">
        <f t="shared" si="15"/>
        <v>#N/A</v>
      </c>
      <c r="E47" s="15"/>
      <c r="F47" s="133" t="str">
        <f t="shared" ca="1" si="16"/>
        <v>N/A</v>
      </c>
      <c r="G47" s="133" t="str">
        <f t="shared" si="17"/>
        <v>N/A</v>
      </c>
      <c r="H47" s="133" t="str">
        <f ca="1">IFERROR(IF(VLOOKUP($A47,LASTYR,'2017'!$I$3,FALSE)=0,"N/A",VLOOKUP($A47,LASTYR,'2017'!$I$3,FALSE)),"N/A")</f>
        <v>N/A</v>
      </c>
      <c r="I47" s="133" t="str">
        <f t="shared" ca="1" si="45"/>
        <v>N/A</v>
      </c>
      <c r="J47" s="133" t="str">
        <f t="shared" ca="1" si="48"/>
        <v>N/A</v>
      </c>
      <c r="K47" s="133" t="str">
        <f t="shared" ca="1" si="48"/>
        <v>N/A</v>
      </c>
      <c r="L47" s="133" t="str">
        <f t="shared" ca="1" si="48"/>
        <v>N/A</v>
      </c>
      <c r="M47" s="133" t="str">
        <f t="shared" ca="1" si="48"/>
        <v>N/A</v>
      </c>
      <c r="N47" s="133" t="str">
        <f t="shared" ca="1" si="48"/>
        <v>N/A</v>
      </c>
      <c r="O47" s="133" t="str">
        <f t="shared" ca="1" si="48"/>
        <v>N/A</v>
      </c>
      <c r="P47" s="133" t="str">
        <f t="shared" ca="1" si="48"/>
        <v>N/A</v>
      </c>
      <c r="Q47" s="133" t="str">
        <f t="shared" ca="1" si="48"/>
        <v>N/A</v>
      </c>
      <c r="R47" s="133" t="str">
        <f t="shared" ca="1" si="48"/>
        <v>N/A</v>
      </c>
      <c r="S47" s="133" t="str">
        <f t="shared" ca="1" si="48"/>
        <v>N/A</v>
      </c>
      <c r="T47" s="80" t="str">
        <f t="shared" ca="1" si="36"/>
        <v>N/A</v>
      </c>
      <c r="U47" s="80" t="str">
        <f t="shared" ca="1" si="37"/>
        <v>N/A</v>
      </c>
      <c r="V47" s="133" t="e">
        <f t="shared" ca="1" si="38"/>
        <v>#VALUE!</v>
      </c>
      <c r="W47" s="80" t="e">
        <f t="shared" ca="1" si="39"/>
        <v>#VALUE!</v>
      </c>
      <c r="X47" s="80"/>
      <c r="Y47" s="211">
        <f t="shared" ca="1" si="47"/>
        <v>-1</v>
      </c>
      <c r="Z47" s="208" t="str">
        <f t="shared" si="19"/>
        <v>N/A</v>
      </c>
      <c r="AA47" s="217">
        <v>43100</v>
      </c>
      <c r="AB47" s="213" t="e">
        <f t="shared" si="20"/>
        <v>#VALUE!</v>
      </c>
      <c r="AC47" s="214" t="e">
        <f t="shared" si="40"/>
        <v>#VALUE!</v>
      </c>
      <c r="AD47" s="214" t="e">
        <f t="shared" ca="1" si="21"/>
        <v>#VALUE!</v>
      </c>
      <c r="AE47" s="215" t="e">
        <f t="shared" ca="1" si="22"/>
        <v>#VALUE!</v>
      </c>
      <c r="AJ47" t="b">
        <f t="shared" si="23"/>
        <v>0</v>
      </c>
      <c r="AK47" t="b">
        <f t="shared" ca="1" si="24"/>
        <v>0</v>
      </c>
      <c r="AL47" t="b">
        <f t="shared" ca="1" si="25"/>
        <v>0</v>
      </c>
      <c r="AM47" t="b">
        <f t="shared" ca="1" si="26"/>
        <v>0</v>
      </c>
      <c r="AN47" t="b">
        <f t="shared" ca="1" si="27"/>
        <v>0</v>
      </c>
      <c r="AO47" t="b">
        <f t="shared" ca="1" si="28"/>
        <v>0</v>
      </c>
      <c r="AP47" t="b">
        <f t="shared" ca="1" si="29"/>
        <v>0</v>
      </c>
      <c r="AQ47" t="b">
        <f t="shared" ca="1" si="30"/>
        <v>0</v>
      </c>
      <c r="AR47" t="b">
        <f t="shared" ca="1" si="31"/>
        <v>0</v>
      </c>
      <c r="AS47" t="b">
        <f t="shared" ca="1" si="32"/>
        <v>0</v>
      </c>
      <c r="AT47" t="b">
        <f t="shared" ca="1" si="33"/>
        <v>0</v>
      </c>
      <c r="AU47" t="b">
        <f t="shared" ca="1" si="34"/>
        <v>0</v>
      </c>
      <c r="AV47" t="b">
        <f t="shared" ca="1" si="35"/>
        <v>0</v>
      </c>
      <c r="AW47">
        <f t="shared" ca="1" si="41"/>
        <v>1</v>
      </c>
      <c r="AX47">
        <f t="shared" ca="1" si="42"/>
        <v>7</v>
      </c>
    </row>
    <row r="48" spans="1:50" hidden="1" x14ac:dyDescent="0.2">
      <c r="A48" s="45"/>
      <c r="B48" s="117" t="str">
        <f t="shared" ca="1" si="14"/>
        <v/>
      </c>
      <c r="C48" s="1" t="str">
        <f>IF(ISERROR(D48),"",IF(D48="","",MAX($C$12:C47)+1))</f>
        <v/>
      </c>
      <c r="D48" t="e">
        <f t="shared" si="15"/>
        <v>#N/A</v>
      </c>
      <c r="E48" s="15"/>
      <c r="F48" s="133" t="str">
        <f t="shared" ca="1" si="16"/>
        <v>N/A</v>
      </c>
      <c r="G48" s="133" t="str">
        <f t="shared" si="17"/>
        <v>N/A</v>
      </c>
      <c r="H48" s="133" t="str">
        <f ca="1">IFERROR(IF(VLOOKUP($A48,LASTYR,'2017'!$I$3,FALSE)=0,"N/A",VLOOKUP($A48,LASTYR,'2017'!$I$3,FALSE)),"N/A")</f>
        <v>N/A</v>
      </c>
      <c r="I48" s="133" t="str">
        <f t="shared" ca="1" si="45"/>
        <v>N/A</v>
      </c>
      <c r="J48" s="133" t="str">
        <f t="shared" ca="1" si="48"/>
        <v>N/A</v>
      </c>
      <c r="K48" s="133" t="str">
        <f t="shared" ca="1" si="48"/>
        <v>N/A</v>
      </c>
      <c r="L48" s="133" t="str">
        <f t="shared" ca="1" si="48"/>
        <v>N/A</v>
      </c>
      <c r="M48" s="133" t="str">
        <f t="shared" ca="1" si="48"/>
        <v>N/A</v>
      </c>
      <c r="N48" s="133" t="str">
        <f t="shared" ca="1" si="48"/>
        <v>N/A</v>
      </c>
      <c r="O48" s="133" t="str">
        <f t="shared" ca="1" si="48"/>
        <v>N/A</v>
      </c>
      <c r="P48" s="133" t="str">
        <f t="shared" ca="1" si="48"/>
        <v>N/A</v>
      </c>
      <c r="Q48" s="133" t="str">
        <f t="shared" ca="1" si="48"/>
        <v>N/A</v>
      </c>
      <c r="R48" s="133" t="str">
        <f t="shared" ca="1" si="48"/>
        <v>N/A</v>
      </c>
      <c r="S48" s="133" t="str">
        <f t="shared" ca="1" si="48"/>
        <v>N/A</v>
      </c>
      <c r="T48" s="80" t="str">
        <f t="shared" ca="1" si="36"/>
        <v>N/A</v>
      </c>
      <c r="U48" s="80" t="str">
        <f t="shared" ca="1" si="37"/>
        <v>N/A</v>
      </c>
      <c r="V48" s="133" t="e">
        <f t="shared" ca="1" si="38"/>
        <v>#VALUE!</v>
      </c>
      <c r="W48" s="80" t="e">
        <f t="shared" ca="1" si="39"/>
        <v>#VALUE!</v>
      </c>
      <c r="X48" s="80"/>
      <c r="Y48" s="211">
        <f t="shared" ca="1" si="47"/>
        <v>-1</v>
      </c>
      <c r="Z48" s="208" t="str">
        <f t="shared" si="19"/>
        <v>N/A</v>
      </c>
      <c r="AA48" s="217">
        <v>43100</v>
      </c>
      <c r="AB48" s="213" t="e">
        <f t="shared" si="20"/>
        <v>#VALUE!</v>
      </c>
      <c r="AC48" s="214" t="e">
        <f t="shared" si="40"/>
        <v>#VALUE!</v>
      </c>
      <c r="AD48" s="214" t="e">
        <f t="shared" ca="1" si="21"/>
        <v>#VALUE!</v>
      </c>
      <c r="AE48" s="215" t="e">
        <f t="shared" ca="1" si="22"/>
        <v>#VALUE!</v>
      </c>
      <c r="AJ48" t="b">
        <f t="shared" si="23"/>
        <v>0</v>
      </c>
      <c r="AK48" t="b">
        <f t="shared" ca="1" si="24"/>
        <v>0</v>
      </c>
      <c r="AL48" t="b">
        <f t="shared" ca="1" si="25"/>
        <v>0</v>
      </c>
      <c r="AM48" t="b">
        <f t="shared" ca="1" si="26"/>
        <v>0</v>
      </c>
      <c r="AN48" t="b">
        <f t="shared" ca="1" si="27"/>
        <v>0</v>
      </c>
      <c r="AO48" t="b">
        <f t="shared" ca="1" si="28"/>
        <v>0</v>
      </c>
      <c r="AP48" t="b">
        <f t="shared" ca="1" si="29"/>
        <v>0</v>
      </c>
      <c r="AQ48" t="b">
        <f t="shared" ca="1" si="30"/>
        <v>0</v>
      </c>
      <c r="AR48" t="b">
        <f t="shared" ca="1" si="31"/>
        <v>0</v>
      </c>
      <c r="AS48" t="b">
        <f t="shared" ca="1" si="32"/>
        <v>0</v>
      </c>
      <c r="AT48" t="b">
        <f t="shared" ca="1" si="33"/>
        <v>0</v>
      </c>
      <c r="AU48" t="b">
        <f t="shared" ca="1" si="34"/>
        <v>0</v>
      </c>
      <c r="AV48" t="b">
        <f t="shared" ca="1" si="35"/>
        <v>0</v>
      </c>
      <c r="AW48">
        <f t="shared" ca="1" si="41"/>
        <v>1</v>
      </c>
      <c r="AX48">
        <f t="shared" ca="1" si="42"/>
        <v>7</v>
      </c>
    </row>
    <row r="49" spans="1:50" hidden="1" x14ac:dyDescent="0.2">
      <c r="A49" s="45"/>
      <c r="B49" s="117" t="str">
        <f t="shared" ca="1" si="14"/>
        <v/>
      </c>
      <c r="C49" s="1" t="str">
        <f>IF(ISERROR(D49),"",IF(D49="","",MAX($C$12:C48)+1))</f>
        <v/>
      </c>
      <c r="D49" t="e">
        <f t="shared" si="15"/>
        <v>#N/A</v>
      </c>
      <c r="E49" s="15"/>
      <c r="F49" s="133" t="str">
        <f t="shared" ca="1" si="16"/>
        <v>N/A</v>
      </c>
      <c r="G49" s="133" t="str">
        <f t="shared" si="17"/>
        <v>N/A</v>
      </c>
      <c r="H49" s="133" t="str">
        <f ca="1">IFERROR(IF(VLOOKUP($A49,LASTYR,'2017'!$I$3,FALSE)=0,"N/A",VLOOKUP($A49,LASTYR,'2017'!$I$3,FALSE)),"N/A")</f>
        <v>N/A</v>
      </c>
      <c r="I49" s="133" t="str">
        <f t="shared" ca="1" si="45"/>
        <v>N/A</v>
      </c>
      <c r="J49" s="133" t="str">
        <f t="shared" ca="1" si="48"/>
        <v>N/A</v>
      </c>
      <c r="K49" s="133" t="str">
        <f t="shared" ca="1" si="48"/>
        <v>N/A</v>
      </c>
      <c r="L49" s="133" t="str">
        <f t="shared" ca="1" si="48"/>
        <v>N/A</v>
      </c>
      <c r="M49" s="133" t="str">
        <f t="shared" ca="1" si="48"/>
        <v>N/A</v>
      </c>
      <c r="N49" s="133" t="str">
        <f t="shared" ca="1" si="48"/>
        <v>N/A</v>
      </c>
      <c r="O49" s="133" t="str">
        <f t="shared" ca="1" si="48"/>
        <v>N/A</v>
      </c>
      <c r="P49" s="133" t="str">
        <f t="shared" ca="1" si="48"/>
        <v>N/A</v>
      </c>
      <c r="Q49" s="133" t="str">
        <f t="shared" ca="1" si="48"/>
        <v>N/A</v>
      </c>
      <c r="R49" s="133" t="str">
        <f t="shared" ca="1" si="48"/>
        <v>N/A</v>
      </c>
      <c r="S49" s="133" t="str">
        <f t="shared" ca="1" si="48"/>
        <v>N/A</v>
      </c>
      <c r="T49" s="80" t="str">
        <f t="shared" ca="1" si="36"/>
        <v>N/A</v>
      </c>
      <c r="U49" s="80" t="str">
        <f t="shared" ca="1" si="37"/>
        <v>N/A</v>
      </c>
      <c r="V49" s="133" t="e">
        <f t="shared" ca="1" si="38"/>
        <v>#VALUE!</v>
      </c>
      <c r="W49" s="80" t="e">
        <f t="shared" ca="1" si="39"/>
        <v>#VALUE!</v>
      </c>
      <c r="X49" s="80"/>
      <c r="Y49" s="211">
        <f t="shared" ca="1" si="47"/>
        <v>-1</v>
      </c>
      <c r="Z49" s="208" t="str">
        <f t="shared" si="19"/>
        <v>N/A</v>
      </c>
      <c r="AA49" s="217">
        <v>43100</v>
      </c>
      <c r="AB49" s="213" t="e">
        <f t="shared" si="20"/>
        <v>#VALUE!</v>
      </c>
      <c r="AC49" s="214" t="e">
        <f t="shared" si="40"/>
        <v>#VALUE!</v>
      </c>
      <c r="AD49" s="214" t="e">
        <f t="shared" ca="1" si="21"/>
        <v>#VALUE!</v>
      </c>
      <c r="AE49" s="215" t="e">
        <f t="shared" ca="1" si="22"/>
        <v>#VALUE!</v>
      </c>
      <c r="AJ49" t="b">
        <f t="shared" si="23"/>
        <v>0</v>
      </c>
      <c r="AK49" t="b">
        <f t="shared" ca="1" si="24"/>
        <v>0</v>
      </c>
      <c r="AL49" t="b">
        <f t="shared" ca="1" si="25"/>
        <v>0</v>
      </c>
      <c r="AM49" t="b">
        <f t="shared" ca="1" si="26"/>
        <v>0</v>
      </c>
      <c r="AN49" t="b">
        <f t="shared" ca="1" si="27"/>
        <v>0</v>
      </c>
      <c r="AO49" t="b">
        <f t="shared" ca="1" si="28"/>
        <v>0</v>
      </c>
      <c r="AP49" t="b">
        <f t="shared" ca="1" si="29"/>
        <v>0</v>
      </c>
      <c r="AQ49" t="b">
        <f t="shared" ca="1" si="30"/>
        <v>0</v>
      </c>
      <c r="AR49" t="b">
        <f t="shared" ca="1" si="31"/>
        <v>0</v>
      </c>
      <c r="AS49" t="b">
        <f t="shared" ca="1" si="32"/>
        <v>0</v>
      </c>
      <c r="AT49" t="b">
        <f t="shared" ca="1" si="33"/>
        <v>0</v>
      </c>
      <c r="AU49" t="b">
        <f t="shared" ca="1" si="34"/>
        <v>0</v>
      </c>
      <c r="AV49" t="b">
        <f t="shared" ca="1" si="35"/>
        <v>0</v>
      </c>
      <c r="AW49">
        <f t="shared" ca="1" si="41"/>
        <v>1</v>
      </c>
      <c r="AX49">
        <f t="shared" ca="1" si="42"/>
        <v>7</v>
      </c>
    </row>
    <row r="50" spans="1:50" hidden="1" x14ac:dyDescent="0.2">
      <c r="A50" s="45"/>
      <c r="B50" s="117" t="str">
        <f t="shared" ca="1" si="14"/>
        <v/>
      </c>
      <c r="C50" s="1" t="str">
        <f>IF(ISERROR(D50),"",IF(D50="","",MAX($C$12:C49)+1))</f>
        <v/>
      </c>
      <c r="D50" t="e">
        <f t="shared" si="15"/>
        <v>#N/A</v>
      </c>
      <c r="E50" s="15"/>
      <c r="F50" s="133" t="str">
        <f t="shared" ca="1" si="16"/>
        <v>N/A</v>
      </c>
      <c r="G50" s="133" t="str">
        <f t="shared" si="17"/>
        <v>N/A</v>
      </c>
      <c r="H50" s="133" t="str">
        <f ca="1">IFERROR(IF(VLOOKUP($A50,LASTYR,'2017'!$I$3,FALSE)=0,"N/A",VLOOKUP($A50,LASTYR,'2017'!$I$3,FALSE)),"N/A")</f>
        <v>N/A</v>
      </c>
      <c r="I50" s="133" t="str">
        <f t="shared" ca="1" si="45"/>
        <v>N/A</v>
      </c>
      <c r="J50" s="133" t="str">
        <f t="shared" ca="1" si="48"/>
        <v>N/A</v>
      </c>
      <c r="K50" s="133" t="str">
        <f t="shared" ca="1" si="48"/>
        <v>N/A</v>
      </c>
      <c r="L50" s="133" t="str">
        <f t="shared" ca="1" si="48"/>
        <v>N/A</v>
      </c>
      <c r="M50" s="133" t="str">
        <f t="shared" ca="1" si="48"/>
        <v>N/A</v>
      </c>
      <c r="N50" s="133" t="str">
        <f t="shared" ca="1" si="48"/>
        <v>N/A</v>
      </c>
      <c r="O50" s="133" t="str">
        <f t="shared" ca="1" si="48"/>
        <v>N/A</v>
      </c>
      <c r="P50" s="133" t="str">
        <f t="shared" ca="1" si="48"/>
        <v>N/A</v>
      </c>
      <c r="Q50" s="133" t="str">
        <f t="shared" ca="1" si="48"/>
        <v>N/A</v>
      </c>
      <c r="R50" s="133" t="str">
        <f t="shared" ca="1" si="48"/>
        <v>N/A</v>
      </c>
      <c r="S50" s="133" t="str">
        <f t="shared" ca="1" si="48"/>
        <v>N/A</v>
      </c>
      <c r="T50" s="80" t="str">
        <f t="shared" ca="1" si="36"/>
        <v>N/A</v>
      </c>
      <c r="U50" s="80" t="str">
        <f t="shared" ca="1" si="37"/>
        <v>N/A</v>
      </c>
      <c r="V50" s="133" t="e">
        <f t="shared" ca="1" si="38"/>
        <v>#VALUE!</v>
      </c>
      <c r="W50" s="80" t="e">
        <f t="shared" ca="1" si="39"/>
        <v>#VALUE!</v>
      </c>
      <c r="X50" s="80"/>
      <c r="Y50" s="211">
        <f t="shared" ca="1" si="47"/>
        <v>-1</v>
      </c>
      <c r="Z50" s="208" t="str">
        <f t="shared" si="19"/>
        <v>N/A</v>
      </c>
      <c r="AA50" s="217">
        <v>43100</v>
      </c>
      <c r="AB50" s="213" t="e">
        <f t="shared" si="20"/>
        <v>#VALUE!</v>
      </c>
      <c r="AC50" s="214" t="e">
        <f t="shared" si="40"/>
        <v>#VALUE!</v>
      </c>
      <c r="AD50" s="214" t="e">
        <f t="shared" ca="1" si="21"/>
        <v>#VALUE!</v>
      </c>
      <c r="AE50" s="215" t="e">
        <f t="shared" ca="1" si="22"/>
        <v>#VALUE!</v>
      </c>
      <c r="AJ50" t="b">
        <f t="shared" si="23"/>
        <v>0</v>
      </c>
      <c r="AK50" t="b">
        <f t="shared" ca="1" si="24"/>
        <v>0</v>
      </c>
      <c r="AL50" t="b">
        <f t="shared" ca="1" si="25"/>
        <v>0</v>
      </c>
      <c r="AM50" t="b">
        <f t="shared" ca="1" si="26"/>
        <v>0</v>
      </c>
      <c r="AN50" t="b">
        <f t="shared" ca="1" si="27"/>
        <v>0</v>
      </c>
      <c r="AO50" t="b">
        <f t="shared" ca="1" si="28"/>
        <v>0</v>
      </c>
      <c r="AP50" t="b">
        <f t="shared" ca="1" si="29"/>
        <v>0</v>
      </c>
      <c r="AQ50" t="b">
        <f t="shared" ca="1" si="30"/>
        <v>0</v>
      </c>
      <c r="AR50" t="b">
        <f t="shared" ca="1" si="31"/>
        <v>0</v>
      </c>
      <c r="AS50" t="b">
        <f t="shared" ca="1" si="32"/>
        <v>0</v>
      </c>
      <c r="AT50" t="b">
        <f t="shared" ca="1" si="33"/>
        <v>0</v>
      </c>
      <c r="AU50" t="b">
        <f t="shared" ca="1" si="34"/>
        <v>0</v>
      </c>
      <c r="AV50" t="b">
        <f t="shared" ca="1" si="35"/>
        <v>0</v>
      </c>
      <c r="AW50">
        <f t="shared" ca="1" si="41"/>
        <v>1</v>
      </c>
      <c r="AX50">
        <f t="shared" ca="1" si="42"/>
        <v>7</v>
      </c>
    </row>
    <row r="51" spans="1:50" hidden="1" x14ac:dyDescent="0.2">
      <c r="A51" s="45"/>
      <c r="B51" s="117" t="str">
        <f t="shared" ca="1" si="14"/>
        <v/>
      </c>
      <c r="C51" s="1" t="str">
        <f>IF(ISERROR(D51),"",IF(D51="","",MAX($C$12:C50)+1))</f>
        <v/>
      </c>
      <c r="D51" t="e">
        <f t="shared" si="15"/>
        <v>#N/A</v>
      </c>
      <c r="E51" s="15"/>
      <c r="F51" s="133" t="str">
        <f t="shared" ca="1" si="16"/>
        <v>N/A</v>
      </c>
      <c r="G51" s="133" t="str">
        <f t="shared" si="17"/>
        <v>N/A</v>
      </c>
      <c r="H51" s="133" t="str">
        <f ca="1">IFERROR(IF(VLOOKUP($A51,LASTYR,'2017'!$I$3,FALSE)=0,"N/A",VLOOKUP($A51,LASTYR,'2017'!$I$3,FALSE)),"N/A")</f>
        <v>N/A</v>
      </c>
      <c r="I51" s="133" t="str">
        <f t="shared" ca="1" si="45"/>
        <v>N/A</v>
      </c>
      <c r="J51" s="133" t="str">
        <f t="shared" ca="1" si="48"/>
        <v>N/A</v>
      </c>
      <c r="K51" s="133" t="str">
        <f t="shared" ca="1" si="48"/>
        <v>N/A</v>
      </c>
      <c r="L51" s="133" t="str">
        <f t="shared" ca="1" si="48"/>
        <v>N/A</v>
      </c>
      <c r="M51" s="133" t="str">
        <f t="shared" ca="1" si="48"/>
        <v>N/A</v>
      </c>
      <c r="N51" s="133" t="str">
        <f t="shared" ca="1" si="48"/>
        <v>N/A</v>
      </c>
      <c r="O51" s="133" t="str">
        <f t="shared" ca="1" si="48"/>
        <v>N/A</v>
      </c>
      <c r="P51" s="133" t="str">
        <f t="shared" ca="1" si="48"/>
        <v>N/A</v>
      </c>
      <c r="Q51" s="133" t="str">
        <f t="shared" ca="1" si="48"/>
        <v>N/A</v>
      </c>
      <c r="R51" s="133" t="str">
        <f t="shared" ca="1" si="48"/>
        <v>N/A</v>
      </c>
      <c r="S51" s="133" t="str">
        <f t="shared" ca="1" si="48"/>
        <v>N/A</v>
      </c>
      <c r="T51" s="80" t="str">
        <f t="shared" ca="1" si="36"/>
        <v>N/A</v>
      </c>
      <c r="U51" s="80" t="str">
        <f t="shared" ca="1" si="37"/>
        <v>N/A</v>
      </c>
      <c r="V51" s="133" t="e">
        <f t="shared" ca="1" si="38"/>
        <v>#VALUE!</v>
      </c>
      <c r="W51" s="80" t="e">
        <f t="shared" ca="1" si="39"/>
        <v>#VALUE!</v>
      </c>
      <c r="X51" s="80"/>
      <c r="Y51" s="211">
        <f t="shared" ca="1" si="47"/>
        <v>-1</v>
      </c>
      <c r="Z51" s="208" t="str">
        <f t="shared" si="19"/>
        <v>N/A</v>
      </c>
      <c r="AA51" s="217">
        <v>43100</v>
      </c>
      <c r="AB51" s="213" t="e">
        <f t="shared" si="20"/>
        <v>#VALUE!</v>
      </c>
      <c r="AC51" s="214" t="e">
        <f t="shared" si="40"/>
        <v>#VALUE!</v>
      </c>
      <c r="AD51" s="214" t="e">
        <f t="shared" ca="1" si="21"/>
        <v>#VALUE!</v>
      </c>
      <c r="AE51" s="215" t="e">
        <f t="shared" ca="1" si="22"/>
        <v>#VALUE!</v>
      </c>
      <c r="AJ51" t="b">
        <f t="shared" si="23"/>
        <v>0</v>
      </c>
      <c r="AK51" t="b">
        <f t="shared" ca="1" si="24"/>
        <v>0</v>
      </c>
      <c r="AL51" t="b">
        <f t="shared" ca="1" si="25"/>
        <v>0</v>
      </c>
      <c r="AM51" t="b">
        <f t="shared" ca="1" si="26"/>
        <v>0</v>
      </c>
      <c r="AN51" t="b">
        <f t="shared" ca="1" si="27"/>
        <v>0</v>
      </c>
      <c r="AO51" t="b">
        <f t="shared" ca="1" si="28"/>
        <v>0</v>
      </c>
      <c r="AP51" t="b">
        <f t="shared" ca="1" si="29"/>
        <v>0</v>
      </c>
      <c r="AQ51" t="b">
        <f t="shared" ca="1" si="30"/>
        <v>0</v>
      </c>
      <c r="AR51" t="b">
        <f t="shared" ca="1" si="31"/>
        <v>0</v>
      </c>
      <c r="AS51" t="b">
        <f t="shared" ca="1" si="32"/>
        <v>0</v>
      </c>
      <c r="AT51" t="b">
        <f t="shared" ca="1" si="33"/>
        <v>0</v>
      </c>
      <c r="AU51" t="b">
        <f t="shared" ca="1" si="34"/>
        <v>0</v>
      </c>
      <c r="AV51" t="b">
        <f t="shared" ca="1" si="35"/>
        <v>0</v>
      </c>
      <c r="AW51">
        <f t="shared" ca="1" si="41"/>
        <v>1</v>
      </c>
      <c r="AX51">
        <f t="shared" ca="1" si="42"/>
        <v>7</v>
      </c>
    </row>
    <row r="52" spans="1:50" hidden="1" x14ac:dyDescent="0.2">
      <c r="A52" s="45"/>
      <c r="B52" s="117" t="str">
        <f t="shared" ca="1" si="14"/>
        <v/>
      </c>
      <c r="C52" s="1" t="str">
        <f>IF(ISERROR(D52),"",IF(D52="","",MAX($C$12:C51)+1))</f>
        <v/>
      </c>
      <c r="D52" t="e">
        <f t="shared" si="15"/>
        <v>#N/A</v>
      </c>
      <c r="E52" s="15"/>
      <c r="F52" s="133" t="str">
        <f t="shared" ca="1" si="16"/>
        <v>N/A</v>
      </c>
      <c r="G52" s="133" t="str">
        <f t="shared" si="17"/>
        <v>N/A</v>
      </c>
      <c r="H52" s="133" t="str">
        <f ca="1">IFERROR(IF(VLOOKUP($A52,LASTYR,'2017'!$I$3,FALSE)=0,"N/A",VLOOKUP($A52,LASTYR,'2017'!$I$3,FALSE)),"N/A")</f>
        <v>N/A</v>
      </c>
      <c r="I52" s="133" t="str">
        <f t="shared" ca="1" si="45"/>
        <v>N/A</v>
      </c>
      <c r="J52" s="133" t="str">
        <f t="shared" ca="1" si="48"/>
        <v>N/A</v>
      </c>
      <c r="K52" s="133" t="str">
        <f t="shared" ca="1" si="48"/>
        <v>N/A</v>
      </c>
      <c r="L52" s="133" t="str">
        <f t="shared" ca="1" si="48"/>
        <v>N/A</v>
      </c>
      <c r="M52" s="133" t="str">
        <f t="shared" ca="1" si="48"/>
        <v>N/A</v>
      </c>
      <c r="N52" s="133" t="str">
        <f t="shared" ca="1" si="48"/>
        <v>N/A</v>
      </c>
      <c r="O52" s="133" t="str">
        <f t="shared" ca="1" si="48"/>
        <v>N/A</v>
      </c>
      <c r="P52" s="133" t="str">
        <f t="shared" ca="1" si="48"/>
        <v>N/A</v>
      </c>
      <c r="Q52" s="133" t="str">
        <f t="shared" ca="1" si="48"/>
        <v>N/A</v>
      </c>
      <c r="R52" s="133" t="str">
        <f t="shared" ca="1" si="48"/>
        <v>N/A</v>
      </c>
      <c r="S52" s="133" t="str">
        <f t="shared" ca="1" si="48"/>
        <v>N/A</v>
      </c>
      <c r="T52" s="80" t="str">
        <f t="shared" ca="1" si="36"/>
        <v>N/A</v>
      </c>
      <c r="U52" s="80" t="str">
        <f t="shared" ca="1" si="37"/>
        <v>N/A</v>
      </c>
      <c r="V52" s="133" t="e">
        <f t="shared" ca="1" si="38"/>
        <v>#VALUE!</v>
      </c>
      <c r="W52" s="80" t="e">
        <f t="shared" ca="1" si="39"/>
        <v>#VALUE!</v>
      </c>
      <c r="X52" s="80"/>
      <c r="Y52" s="211">
        <f t="shared" ca="1" si="47"/>
        <v>-1</v>
      </c>
      <c r="Z52" s="208" t="str">
        <f t="shared" si="19"/>
        <v>N/A</v>
      </c>
      <c r="AA52" s="217">
        <v>43100</v>
      </c>
      <c r="AB52" s="213" t="e">
        <f t="shared" si="20"/>
        <v>#VALUE!</v>
      </c>
      <c r="AC52" s="214" t="e">
        <f t="shared" si="40"/>
        <v>#VALUE!</v>
      </c>
      <c r="AD52" s="214" t="e">
        <f t="shared" ca="1" si="21"/>
        <v>#VALUE!</v>
      </c>
      <c r="AE52" s="215" t="e">
        <f t="shared" ca="1" si="22"/>
        <v>#VALUE!</v>
      </c>
      <c r="AJ52" t="b">
        <f t="shared" si="23"/>
        <v>0</v>
      </c>
      <c r="AK52" t="b">
        <f t="shared" ca="1" si="24"/>
        <v>0</v>
      </c>
      <c r="AL52" t="b">
        <f t="shared" ca="1" si="25"/>
        <v>0</v>
      </c>
      <c r="AM52" t="b">
        <f t="shared" ca="1" si="26"/>
        <v>0</v>
      </c>
      <c r="AN52" t="b">
        <f t="shared" ca="1" si="27"/>
        <v>0</v>
      </c>
      <c r="AO52" t="b">
        <f t="shared" ca="1" si="28"/>
        <v>0</v>
      </c>
      <c r="AP52" t="b">
        <f t="shared" ca="1" si="29"/>
        <v>0</v>
      </c>
      <c r="AQ52" t="b">
        <f t="shared" ca="1" si="30"/>
        <v>0</v>
      </c>
      <c r="AR52" t="b">
        <f t="shared" ca="1" si="31"/>
        <v>0</v>
      </c>
      <c r="AS52" t="b">
        <f t="shared" ca="1" si="32"/>
        <v>0</v>
      </c>
      <c r="AT52" t="b">
        <f t="shared" ca="1" si="33"/>
        <v>0</v>
      </c>
      <c r="AU52" t="b">
        <f t="shared" ca="1" si="34"/>
        <v>0</v>
      </c>
      <c r="AV52" t="b">
        <f t="shared" ca="1" si="35"/>
        <v>0</v>
      </c>
      <c r="AW52">
        <f t="shared" ca="1" si="41"/>
        <v>1</v>
      </c>
      <c r="AX52">
        <f t="shared" ca="1" si="42"/>
        <v>7</v>
      </c>
    </row>
    <row r="53" spans="1:50" hidden="1" x14ac:dyDescent="0.2">
      <c r="A53" s="45"/>
      <c r="B53" s="117" t="str">
        <f t="shared" ca="1" si="14"/>
        <v/>
      </c>
      <c r="C53" s="1" t="str">
        <f>IF(ISERROR(D53),"",IF(D53="","",MAX($C$12:C52)+1))</f>
        <v/>
      </c>
      <c r="D53" t="e">
        <f t="shared" si="15"/>
        <v>#N/A</v>
      </c>
      <c r="E53" s="15"/>
      <c r="F53" s="133" t="str">
        <f t="shared" ca="1" si="16"/>
        <v>N/A</v>
      </c>
      <c r="G53" s="133" t="str">
        <f t="shared" si="17"/>
        <v>N/A</v>
      </c>
      <c r="H53" s="133" t="str">
        <f ca="1">IFERROR(IF(VLOOKUP($A53,LASTYR,'2017'!$I$3,FALSE)=0,"N/A",VLOOKUP($A53,LASTYR,'2017'!$I$3,FALSE)),"N/A")</f>
        <v>N/A</v>
      </c>
      <c r="I53" s="133" t="str">
        <f t="shared" ca="1" si="45"/>
        <v>N/A</v>
      </c>
      <c r="J53" s="133" t="str">
        <f t="shared" ca="1" si="48"/>
        <v>N/A</v>
      </c>
      <c r="K53" s="133" t="str">
        <f t="shared" ca="1" si="48"/>
        <v>N/A</v>
      </c>
      <c r="L53" s="133" t="str">
        <f t="shared" ca="1" si="48"/>
        <v>N/A</v>
      </c>
      <c r="M53" s="133" t="str">
        <f t="shared" ca="1" si="48"/>
        <v>N/A</v>
      </c>
      <c r="N53" s="133" t="str">
        <f t="shared" ca="1" si="48"/>
        <v>N/A</v>
      </c>
      <c r="O53" s="133" t="str">
        <f t="shared" ca="1" si="48"/>
        <v>N/A</v>
      </c>
      <c r="P53" s="133" t="str">
        <f t="shared" ca="1" si="48"/>
        <v>N/A</v>
      </c>
      <c r="Q53" s="133" t="str">
        <f t="shared" ca="1" si="48"/>
        <v>N/A</v>
      </c>
      <c r="R53" s="133" t="str">
        <f t="shared" ca="1" si="48"/>
        <v>N/A</v>
      </c>
      <c r="S53" s="133" t="str">
        <f t="shared" ca="1" si="48"/>
        <v>N/A</v>
      </c>
      <c r="T53" s="80" t="str">
        <f t="shared" ca="1" si="36"/>
        <v>N/A</v>
      </c>
      <c r="U53" s="80" t="str">
        <f t="shared" ca="1" si="37"/>
        <v>N/A</v>
      </c>
      <c r="V53" s="133" t="e">
        <f t="shared" ca="1" si="38"/>
        <v>#VALUE!</v>
      </c>
      <c r="W53" s="80" t="e">
        <f t="shared" ca="1" si="39"/>
        <v>#VALUE!</v>
      </c>
      <c r="X53" s="80"/>
      <c r="Y53" s="211">
        <f t="shared" ca="1" si="47"/>
        <v>-1</v>
      </c>
      <c r="Z53" s="208" t="str">
        <f t="shared" si="19"/>
        <v>N/A</v>
      </c>
      <c r="AA53" s="217">
        <v>43100</v>
      </c>
      <c r="AB53" s="213" t="e">
        <f t="shared" si="20"/>
        <v>#VALUE!</v>
      </c>
      <c r="AC53" s="214" t="e">
        <f t="shared" si="40"/>
        <v>#VALUE!</v>
      </c>
      <c r="AD53" s="214" t="e">
        <f t="shared" ca="1" si="21"/>
        <v>#VALUE!</v>
      </c>
      <c r="AE53" s="215" t="e">
        <f t="shared" ca="1" si="22"/>
        <v>#VALUE!</v>
      </c>
      <c r="AJ53" t="b">
        <f t="shared" si="23"/>
        <v>0</v>
      </c>
      <c r="AK53" t="b">
        <f t="shared" ca="1" si="24"/>
        <v>0</v>
      </c>
      <c r="AL53" t="b">
        <f t="shared" ca="1" si="25"/>
        <v>0</v>
      </c>
      <c r="AM53" t="b">
        <f t="shared" ca="1" si="26"/>
        <v>0</v>
      </c>
      <c r="AN53" t="b">
        <f t="shared" ca="1" si="27"/>
        <v>0</v>
      </c>
      <c r="AO53" t="b">
        <f t="shared" ca="1" si="28"/>
        <v>0</v>
      </c>
      <c r="AP53" t="b">
        <f t="shared" ca="1" si="29"/>
        <v>0</v>
      </c>
      <c r="AQ53" t="b">
        <f t="shared" ca="1" si="30"/>
        <v>0</v>
      </c>
      <c r="AR53" t="b">
        <f t="shared" ca="1" si="31"/>
        <v>0</v>
      </c>
      <c r="AS53" t="b">
        <f t="shared" ca="1" si="32"/>
        <v>0</v>
      </c>
      <c r="AT53" t="b">
        <f t="shared" ca="1" si="33"/>
        <v>0</v>
      </c>
      <c r="AU53" t="b">
        <f t="shared" ca="1" si="34"/>
        <v>0</v>
      </c>
      <c r="AV53" t="b">
        <f t="shared" ca="1" si="35"/>
        <v>0</v>
      </c>
      <c r="AW53">
        <f t="shared" ca="1" si="41"/>
        <v>1</v>
      </c>
      <c r="AX53">
        <f t="shared" ca="1" si="42"/>
        <v>7</v>
      </c>
    </row>
    <row r="54" spans="1:50" hidden="1" x14ac:dyDescent="0.2">
      <c r="A54" s="45"/>
      <c r="B54" s="117" t="str">
        <f t="shared" ca="1" si="14"/>
        <v/>
      </c>
      <c r="C54" s="1" t="str">
        <f>IF(ISERROR(D54),"",IF(D54="","",MAX($C$12:C53)+1))</f>
        <v/>
      </c>
      <c r="D54" t="e">
        <f t="shared" si="15"/>
        <v>#N/A</v>
      </c>
      <c r="E54" s="15"/>
      <c r="F54" s="133" t="str">
        <f t="shared" ca="1" si="16"/>
        <v>N/A</v>
      </c>
      <c r="G54" s="133" t="str">
        <f t="shared" si="17"/>
        <v>N/A</v>
      </c>
      <c r="H54" s="133" t="str">
        <f ca="1">IFERROR(IF(VLOOKUP($A54,LASTYR,'2017'!$I$3,FALSE)=0,"N/A",VLOOKUP($A54,LASTYR,'2017'!$I$3,FALSE)),"N/A")</f>
        <v>N/A</v>
      </c>
      <c r="I54" s="133" t="str">
        <f t="shared" ca="1" si="45"/>
        <v>N/A</v>
      </c>
      <c r="J54" s="133" t="str">
        <f t="shared" ca="1" si="48"/>
        <v>N/A</v>
      </c>
      <c r="K54" s="133" t="str">
        <f t="shared" ca="1" si="48"/>
        <v>N/A</v>
      </c>
      <c r="L54" s="133" t="str">
        <f t="shared" ca="1" si="48"/>
        <v>N/A</v>
      </c>
      <c r="M54" s="133" t="str">
        <f t="shared" ca="1" si="48"/>
        <v>N/A</v>
      </c>
      <c r="N54" s="133" t="str">
        <f t="shared" ca="1" si="48"/>
        <v>N/A</v>
      </c>
      <c r="O54" s="133" t="str">
        <f t="shared" ca="1" si="48"/>
        <v>N/A</v>
      </c>
      <c r="P54" s="133" t="str">
        <f t="shared" ca="1" si="48"/>
        <v>N/A</v>
      </c>
      <c r="Q54" s="133" t="str">
        <f t="shared" ca="1" si="48"/>
        <v>N/A</v>
      </c>
      <c r="R54" s="133" t="str">
        <f t="shared" ca="1" si="48"/>
        <v>N/A</v>
      </c>
      <c r="S54" s="133" t="str">
        <f t="shared" ca="1" si="48"/>
        <v>N/A</v>
      </c>
      <c r="T54" s="80" t="str">
        <f t="shared" si="36"/>
        <v>N/A</v>
      </c>
      <c r="U54" s="80" t="str">
        <f t="shared" ca="1" si="37"/>
        <v>N/A</v>
      </c>
      <c r="V54" s="133" t="e">
        <f t="shared" ca="1" si="38"/>
        <v>#VALUE!</v>
      </c>
      <c r="W54" s="80" t="e">
        <f t="shared" ca="1" si="39"/>
        <v>#VALUE!</v>
      </c>
      <c r="X54" s="80"/>
      <c r="Y54" s="211">
        <f t="shared" si="47"/>
        <v>-2</v>
      </c>
      <c r="Z54" s="211">
        <v>43100</v>
      </c>
      <c r="AA54" s="209" t="str">
        <f>IFERROR(IF(VLOOKUP(A54,LUCurYr,16,FALSE)=0,"",VLOOKUP(A54,LUCurYr,16,FALSE)),"N/A")</f>
        <v>N/A</v>
      </c>
      <c r="AB54" s="213" t="e">
        <f t="shared" si="20"/>
        <v>#VALUE!</v>
      </c>
      <c r="AC54" s="214" t="e">
        <f t="shared" si="40"/>
        <v>#VALUE!</v>
      </c>
      <c r="AD54" s="214" t="e">
        <f t="shared" si="21"/>
        <v>#VALUE!</v>
      </c>
      <c r="AE54" s="215" t="e">
        <f t="shared" ca="1" si="22"/>
        <v>#VALUE!</v>
      </c>
      <c r="AF54" s="63"/>
      <c r="AG54" s="63"/>
      <c r="AH54" s="63"/>
      <c r="AI54" s="63"/>
    </row>
    <row r="55" spans="1:50" hidden="1" x14ac:dyDescent="0.2">
      <c r="A55" s="51"/>
      <c r="B55" s="117" t="str">
        <f t="shared" ca="1" si="14"/>
        <v/>
      </c>
      <c r="C55" s="1" t="str">
        <f>IF(ISERROR(D55),"",IF(D55="","",MAX($C$12:C54)+1))</f>
        <v/>
      </c>
      <c r="D55" t="e">
        <f t="shared" si="15"/>
        <v>#N/A</v>
      </c>
      <c r="F55" s="133" t="str">
        <f t="shared" ca="1" si="16"/>
        <v>N/A</v>
      </c>
      <c r="G55" s="133" t="str">
        <f t="shared" si="17"/>
        <v>N/A</v>
      </c>
      <c r="H55" s="133" t="str">
        <f ca="1">IFERROR(IF(VLOOKUP($A55,LASTYR,'2017'!$I$3,FALSE)=0,"N/A",VLOOKUP($A55,LASTYR,'2017'!$I$3,FALSE)),"N/A")</f>
        <v>N/A</v>
      </c>
      <c r="I55" s="133" t="str">
        <f t="shared" ca="1" si="45"/>
        <v>N/A</v>
      </c>
      <c r="J55" s="133" t="str">
        <f t="shared" ca="1" si="48"/>
        <v>N/A</v>
      </c>
      <c r="K55" s="133" t="str">
        <f t="shared" ca="1" si="48"/>
        <v>N/A</v>
      </c>
      <c r="L55" s="133" t="str">
        <f t="shared" ca="1" si="48"/>
        <v>N/A</v>
      </c>
      <c r="M55" s="133" t="str">
        <f t="shared" ca="1" si="48"/>
        <v>N/A</v>
      </c>
      <c r="N55" s="133" t="str">
        <f t="shared" ca="1" si="48"/>
        <v>N/A</v>
      </c>
      <c r="O55" s="133" t="str">
        <f t="shared" ca="1" si="48"/>
        <v>N/A</v>
      </c>
      <c r="P55" s="133" t="str">
        <f t="shared" ca="1" si="48"/>
        <v>N/A</v>
      </c>
      <c r="Q55" s="133" t="str">
        <f t="shared" ca="1" si="48"/>
        <v>N/A</v>
      </c>
      <c r="R55" s="133" t="str">
        <f t="shared" ca="1" si="48"/>
        <v>N/A</v>
      </c>
      <c r="S55" s="133" t="str">
        <f t="shared" ca="1" si="48"/>
        <v>N/A</v>
      </c>
      <c r="T55" s="80" t="str">
        <f t="shared" si="36"/>
        <v>N/A</v>
      </c>
      <c r="U55" s="80" t="str">
        <f t="shared" ca="1" si="37"/>
        <v>N/A</v>
      </c>
      <c r="V55" s="133" t="e">
        <f t="shared" ca="1" si="38"/>
        <v>#VALUE!</v>
      </c>
      <c r="W55" s="80" t="e">
        <f t="shared" ca="1" si="39"/>
        <v>#VALUE!</v>
      </c>
      <c r="X55" s="80"/>
      <c r="Y55" s="211">
        <f t="shared" si="47"/>
        <v>-2</v>
      </c>
      <c r="Z55" s="211">
        <v>43100</v>
      </c>
      <c r="AA55" s="209" t="str">
        <f>IFERROR(IF(VLOOKUP(A55,LUCurYr,16,FALSE)=0,"",VLOOKUP(A55,LUCurYr,16,FALSE)),"N/A")</f>
        <v>N/A</v>
      </c>
      <c r="AB55" s="213" t="e">
        <f t="shared" si="20"/>
        <v>#VALUE!</v>
      </c>
      <c r="AC55" s="214" t="e">
        <f t="shared" si="40"/>
        <v>#VALUE!</v>
      </c>
      <c r="AD55" s="214" t="e">
        <f t="shared" si="21"/>
        <v>#VALUE!</v>
      </c>
      <c r="AE55" s="215" t="e">
        <f t="shared" ca="1" si="22"/>
        <v>#VALUE!</v>
      </c>
      <c r="AF55" s="63"/>
      <c r="AG55" s="63"/>
      <c r="AH55" s="63"/>
      <c r="AI55" s="63"/>
    </row>
    <row r="56" spans="1:50" hidden="1" x14ac:dyDescent="0.2">
      <c r="A56" s="51"/>
      <c r="B56" s="117" t="str">
        <f t="shared" ca="1" si="14"/>
        <v/>
      </c>
      <c r="C56" s="1" t="str">
        <f>IF(ISERROR(D56),"",IF(D56="","",MAX($C$12:C55)+1))</f>
        <v/>
      </c>
      <c r="D56" t="e">
        <f t="shared" si="15"/>
        <v>#N/A</v>
      </c>
      <c r="F56" s="133" t="str">
        <f t="shared" ca="1" si="16"/>
        <v>N/A</v>
      </c>
      <c r="G56" s="133" t="str">
        <f t="shared" si="17"/>
        <v>N/A</v>
      </c>
      <c r="H56" s="133" t="str">
        <f ca="1">IFERROR(IF(VLOOKUP($A56,LASTYR,'2017'!$I$3,FALSE)=0,"N/A",VLOOKUP($A56,LASTYR,'2017'!$I$3,FALSE)),"N/A")</f>
        <v>N/A</v>
      </c>
      <c r="I56" s="133" t="str">
        <f t="shared" ca="1" si="45"/>
        <v>N/A</v>
      </c>
      <c r="J56" s="133" t="str">
        <f t="shared" ca="1" si="48"/>
        <v>N/A</v>
      </c>
      <c r="K56" s="133" t="str">
        <f t="shared" ca="1" si="48"/>
        <v>N/A</v>
      </c>
      <c r="L56" s="133" t="str">
        <f t="shared" ca="1" si="48"/>
        <v>N/A</v>
      </c>
      <c r="M56" s="133" t="str">
        <f t="shared" ca="1" si="48"/>
        <v>N/A</v>
      </c>
      <c r="N56" s="133" t="str">
        <f t="shared" ca="1" si="48"/>
        <v>N/A</v>
      </c>
      <c r="O56" s="133" t="str">
        <f t="shared" ca="1" si="48"/>
        <v>N/A</v>
      </c>
      <c r="P56" s="133" t="str">
        <f t="shared" ca="1" si="48"/>
        <v>N/A</v>
      </c>
      <c r="Q56" s="133" t="str">
        <f t="shared" ca="1" si="48"/>
        <v>N/A</v>
      </c>
      <c r="R56" s="133" t="str">
        <f t="shared" ca="1" si="48"/>
        <v>N/A</v>
      </c>
      <c r="S56" s="133" t="str">
        <f t="shared" ca="1" si="48"/>
        <v>N/A</v>
      </c>
      <c r="T56" s="80" t="str">
        <f t="shared" si="36"/>
        <v>N/A</v>
      </c>
      <c r="U56" s="80" t="str">
        <f t="shared" ca="1" si="37"/>
        <v>N/A</v>
      </c>
      <c r="V56" s="133" t="e">
        <f t="shared" ca="1" si="38"/>
        <v>#VALUE!</v>
      </c>
      <c r="W56" s="80" t="e">
        <f t="shared" ca="1" si="39"/>
        <v>#VALUE!</v>
      </c>
      <c r="X56" s="80"/>
      <c r="Y56" s="211">
        <f t="shared" si="47"/>
        <v>-2</v>
      </c>
      <c r="Z56" s="211">
        <v>43100</v>
      </c>
      <c r="AA56" s="209" t="str">
        <f>IFERROR(IF(VLOOKUP(A56,LUCurYr,16,FALSE)=0,"",VLOOKUP(A56,LUCurYr,16,FALSE)),"N/A")</f>
        <v>N/A</v>
      </c>
      <c r="AB56" s="213" t="e">
        <f t="shared" si="20"/>
        <v>#VALUE!</v>
      </c>
      <c r="AC56" s="214" t="e">
        <f t="shared" si="40"/>
        <v>#VALUE!</v>
      </c>
      <c r="AD56" s="214" t="e">
        <f t="shared" si="21"/>
        <v>#VALUE!</v>
      </c>
      <c r="AE56" s="215" t="e">
        <f t="shared" ca="1" si="22"/>
        <v>#VALUE!</v>
      </c>
      <c r="AF56" s="63"/>
      <c r="AG56" s="63"/>
      <c r="AH56" s="63"/>
      <c r="AI56" s="63"/>
    </row>
    <row r="57" spans="1:50" hidden="1" x14ac:dyDescent="0.2">
      <c r="A57" s="51"/>
      <c r="B57" s="117" t="str">
        <f t="shared" ca="1" si="14"/>
        <v/>
      </c>
      <c r="C57" s="1" t="str">
        <f>IF(ISERROR(D57),"",IF(D57="","",MAX($C$12:C56)+1))</f>
        <v/>
      </c>
      <c r="D57" t="e">
        <f t="shared" si="15"/>
        <v>#N/A</v>
      </c>
      <c r="F57" s="133" t="str">
        <f t="shared" ca="1" si="16"/>
        <v>N/A</v>
      </c>
      <c r="G57" s="133" t="str">
        <f t="shared" si="17"/>
        <v>N/A</v>
      </c>
      <c r="H57" s="133" t="str">
        <f ca="1">IFERROR(IF(VLOOKUP($A57,LASTYR,'2017'!$I$3,FALSE)=0,"N/A",VLOOKUP($A57,LASTYR,'2017'!$I$3,FALSE)),"N/A")</f>
        <v>N/A</v>
      </c>
      <c r="I57" s="133" t="str">
        <f t="shared" ca="1" si="45"/>
        <v>N/A</v>
      </c>
      <c r="J57" s="133" t="str">
        <f t="shared" ca="1" si="48"/>
        <v>N/A</v>
      </c>
      <c r="K57" s="133" t="str">
        <f t="shared" ca="1" si="48"/>
        <v>N/A</v>
      </c>
      <c r="L57" s="133" t="str">
        <f t="shared" ca="1" si="48"/>
        <v>N/A</v>
      </c>
      <c r="M57" s="133" t="str">
        <f t="shared" ca="1" si="48"/>
        <v>N/A</v>
      </c>
      <c r="N57" s="133" t="str">
        <f t="shared" ca="1" si="48"/>
        <v>N/A</v>
      </c>
      <c r="O57" s="133" t="str">
        <f t="shared" ca="1" si="48"/>
        <v>N/A</v>
      </c>
      <c r="P57" s="133" t="str">
        <f t="shared" ca="1" si="48"/>
        <v>N/A</v>
      </c>
      <c r="Q57" s="133" t="str">
        <f t="shared" ca="1" si="48"/>
        <v>N/A</v>
      </c>
      <c r="R57" s="133" t="str">
        <f t="shared" ca="1" si="48"/>
        <v>N/A</v>
      </c>
      <c r="S57" s="133" t="str">
        <f t="shared" ca="1" si="48"/>
        <v>N/A</v>
      </c>
      <c r="T57" s="80" t="str">
        <f t="shared" si="36"/>
        <v>N/A</v>
      </c>
      <c r="U57" s="80" t="str">
        <f t="shared" ca="1" si="37"/>
        <v>N/A</v>
      </c>
      <c r="V57" s="133" t="e">
        <f t="shared" ca="1" si="38"/>
        <v>#VALUE!</v>
      </c>
      <c r="W57" s="80" t="e">
        <f t="shared" ca="1" si="39"/>
        <v>#VALUE!</v>
      </c>
      <c r="X57" s="80"/>
      <c r="Y57" s="211">
        <f t="shared" si="47"/>
        <v>-2</v>
      </c>
      <c r="Z57" s="211">
        <v>43100</v>
      </c>
      <c r="AA57" s="209" t="str">
        <f>IFERROR(IF(VLOOKUP(A57,LUCurYr,16,FALSE)=0,"",VLOOKUP(A57,LUCurYr,16,FALSE)),"N/A")</f>
        <v>N/A</v>
      </c>
      <c r="AB57" s="213" t="e">
        <f t="shared" si="20"/>
        <v>#VALUE!</v>
      </c>
      <c r="AC57" s="214" t="e">
        <f t="shared" si="40"/>
        <v>#VALUE!</v>
      </c>
      <c r="AD57" s="214" t="e">
        <f t="shared" si="21"/>
        <v>#VALUE!</v>
      </c>
      <c r="AE57" s="215" t="e">
        <f t="shared" ca="1" si="22"/>
        <v>#VALUE!</v>
      </c>
      <c r="AF57" s="63"/>
      <c r="AG57" s="63"/>
      <c r="AH57" s="63"/>
      <c r="AI57" s="63"/>
    </row>
    <row r="58" spans="1:50" x14ac:dyDescent="0.2">
      <c r="A58" s="31"/>
      <c r="B58" s="31"/>
      <c r="C58" s="1" t="str">
        <f>IF(ISERROR(D58),"",IF(D58="","",MAX($C$12:C57)+1))</f>
        <v/>
      </c>
      <c r="F58" s="80"/>
      <c r="G58" s="80"/>
      <c r="H58" s="133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133"/>
      <c r="W58" s="80"/>
      <c r="X58" s="80"/>
      <c r="Y58" s="211"/>
      <c r="Z58" s="211"/>
      <c r="AA58" s="209"/>
      <c r="AB58" s="213"/>
      <c r="AC58" s="214"/>
      <c r="AD58" s="214"/>
      <c r="AE58" s="215" t="e">
        <f t="shared" si="22"/>
        <v>#DIV/0!</v>
      </c>
      <c r="AF58" s="63"/>
      <c r="AG58" s="63"/>
      <c r="AH58" s="63"/>
      <c r="AI58" s="63"/>
    </row>
    <row r="59" spans="1:50" ht="15" x14ac:dyDescent="0.25">
      <c r="A59" s="31"/>
      <c r="B59" s="31"/>
      <c r="C59" s="1">
        <f ca="1">IF(ISERROR(D59),"",IF(D59="","",MAX($C$12:C58)+1))</f>
        <v>12</v>
      </c>
      <c r="D59" s="111" t="s">
        <v>98</v>
      </c>
      <c r="E59" s="111"/>
      <c r="F59" s="135">
        <f ca="1">AVERAGE(G59:S59)</f>
        <v>1.1995104895104893</v>
      </c>
      <c r="G59" s="135">
        <f t="shared" ref="G59:R59" si="49">AVERAGE(G13:G58)</f>
        <v>1.544</v>
      </c>
      <c r="H59" s="135">
        <f t="shared" ca="1" si="49"/>
        <v>1.5018181818181817</v>
      </c>
      <c r="I59" s="135">
        <f t="shared" ca="1" si="49"/>
        <v>1.4036363636363638</v>
      </c>
      <c r="J59" s="135">
        <f t="shared" ca="1" si="49"/>
        <v>1.3363636363636364</v>
      </c>
      <c r="K59" s="135">
        <f t="shared" ca="1" si="49"/>
        <v>1.2548181818181818</v>
      </c>
      <c r="L59" s="135">
        <f t="shared" ca="1" si="49"/>
        <v>1.2353000000000001</v>
      </c>
      <c r="M59" s="135">
        <f t="shared" ca="1" si="49"/>
        <v>1.1801999999999999</v>
      </c>
      <c r="N59" s="135">
        <f t="shared" ca="1" si="49"/>
        <v>1.131</v>
      </c>
      <c r="O59" s="135">
        <f t="shared" ca="1" si="49"/>
        <v>1.0840000000000001</v>
      </c>
      <c r="P59" s="135">
        <f t="shared" ca="1" si="49"/>
        <v>1.0376000000000001</v>
      </c>
      <c r="Q59" s="135">
        <f t="shared" ca="1" si="49"/>
        <v>0.99580000000000002</v>
      </c>
      <c r="R59" s="135">
        <f t="shared" ca="1" si="49"/>
        <v>0.95910000000000006</v>
      </c>
      <c r="S59" s="135">
        <f ca="1">AVERAGE(S13:S58)</f>
        <v>0.93</v>
      </c>
      <c r="T59" s="115">
        <f t="shared" ref="T59:U59" ca="1" si="50">AVERAGE(T13:T58)</f>
        <v>6.6581066603452171E-2</v>
      </c>
      <c r="U59" s="115">
        <f t="shared" ca="1" si="50"/>
        <v>6.601334609441746E-2</v>
      </c>
      <c r="V59" s="136"/>
      <c r="W59" s="136"/>
      <c r="X59" s="136"/>
      <c r="Y59" s="136"/>
      <c r="Z59" s="136"/>
      <c r="AA59" s="63"/>
      <c r="AB59" s="63"/>
      <c r="AC59" s="63"/>
      <c r="AD59" s="63"/>
      <c r="AE59" s="63"/>
      <c r="AF59" s="63"/>
      <c r="AG59" s="63"/>
      <c r="AH59" s="63"/>
      <c r="AI59" s="63"/>
    </row>
    <row r="60" spans="1:50" x14ac:dyDescent="0.2">
      <c r="A60" s="31"/>
      <c r="B60" s="31"/>
      <c r="C60" s="1"/>
      <c r="F60" s="80"/>
      <c r="G60" s="80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63"/>
      <c r="U60" s="63"/>
      <c r="V60" s="63"/>
      <c r="W60" s="63"/>
      <c r="X60" s="63"/>
      <c r="Y60" s="63"/>
      <c r="Z60" s="63"/>
      <c r="AA60" s="63"/>
      <c r="AB60" s="63"/>
      <c r="AC60" s="63"/>
      <c r="AD60" s="63"/>
      <c r="AE60" s="63"/>
      <c r="AF60" s="63"/>
      <c r="AG60" s="63"/>
      <c r="AH60" s="63"/>
      <c r="AI60" s="63"/>
    </row>
    <row r="61" spans="1:50" ht="15" x14ac:dyDescent="0.25">
      <c r="A61" s="31"/>
      <c r="B61" s="31"/>
      <c r="C61" s="1">
        <v>13</v>
      </c>
      <c r="D61" s="111" t="s">
        <v>378</v>
      </c>
      <c r="F61" s="136">
        <f ca="1">(G59/S59)^(1/COUNT(H10:S10))-1</f>
        <v>4.3150640260671613E-2</v>
      </c>
    </row>
    <row r="62" spans="1:50" s="102" customFormat="1" ht="15" x14ac:dyDescent="0.25">
      <c r="C62" s="10"/>
      <c r="D62" s="10"/>
      <c r="E62" s="10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</row>
    <row r="63" spans="1:50" s="102" customFormat="1" x14ac:dyDescent="0.2">
      <c r="B63" s="105"/>
      <c r="C63" s="106"/>
      <c r="E63" s="20"/>
      <c r="F63" s="104"/>
      <c r="G63" s="104"/>
      <c r="H63" s="104"/>
      <c r="I63" s="104"/>
      <c r="J63" s="104"/>
      <c r="K63" s="104"/>
      <c r="L63" s="104"/>
      <c r="M63" s="104"/>
      <c r="N63" s="104"/>
      <c r="O63" s="104"/>
      <c r="P63" s="104"/>
      <c r="Q63" s="104"/>
      <c r="R63" s="104"/>
      <c r="S63" s="104"/>
      <c r="T63" s="104"/>
      <c r="U63" s="104"/>
      <c r="V63" s="104"/>
      <c r="W63" s="104"/>
    </row>
    <row r="64" spans="1:50" s="102" customFormat="1" x14ac:dyDescent="0.2">
      <c r="B64" s="105"/>
      <c r="C64" s="106"/>
      <c r="E64" s="20"/>
      <c r="F64" s="104"/>
      <c r="G64" s="104"/>
      <c r="H64" s="104"/>
      <c r="I64" s="104"/>
      <c r="J64" s="104"/>
      <c r="K64" s="104"/>
      <c r="L64" s="104"/>
      <c r="M64" s="104"/>
      <c r="N64" s="104"/>
      <c r="O64" s="104"/>
      <c r="P64" s="104"/>
      <c r="Q64" s="104"/>
      <c r="R64" s="104"/>
      <c r="S64" s="104"/>
      <c r="T64" s="104"/>
      <c r="U64" s="104"/>
      <c r="V64" s="104"/>
      <c r="W64" s="104"/>
    </row>
    <row r="65" spans="1:23" s="102" customFormat="1" x14ac:dyDescent="0.2">
      <c r="B65" s="105"/>
      <c r="C65" s="106"/>
      <c r="D65" s="18"/>
      <c r="E65" s="91"/>
      <c r="F65"/>
      <c r="G65"/>
      <c r="H65"/>
      <c r="I65"/>
      <c r="J65" s="104"/>
      <c r="K65" s="104"/>
      <c r="L65" s="104"/>
      <c r="M65" s="104"/>
      <c r="N65" s="104"/>
      <c r="O65" s="104"/>
      <c r="P65" s="104"/>
      <c r="Q65" s="104"/>
      <c r="R65" s="104"/>
      <c r="S65" s="104"/>
      <c r="T65" s="104"/>
      <c r="U65" s="103"/>
      <c r="V65" s="103"/>
      <c r="W65" s="103"/>
    </row>
    <row r="66" spans="1:23" s="102" customFormat="1" x14ac:dyDescent="0.2">
      <c r="B66" s="105"/>
      <c r="C66" s="1"/>
      <c r="D66" s="20" t="s">
        <v>107</v>
      </c>
      <c r="E66"/>
      <c r="F66"/>
      <c r="G66"/>
      <c r="H66"/>
      <c r="I66"/>
      <c r="J66" s="104"/>
      <c r="K66" s="104"/>
      <c r="L66" s="104"/>
      <c r="M66" s="104"/>
      <c r="N66" s="104"/>
      <c r="O66" s="104"/>
      <c r="P66" s="104"/>
      <c r="Q66" s="104"/>
      <c r="R66" s="104"/>
      <c r="S66" s="104"/>
      <c r="T66" s="104"/>
      <c r="U66" s="103"/>
      <c r="V66" s="103"/>
      <c r="W66" s="103"/>
    </row>
    <row r="67" spans="1:23" s="102" customFormat="1" ht="16.5" x14ac:dyDescent="0.2">
      <c r="B67" s="105"/>
      <c r="C67"/>
      <c r="D67" s="79">
        <v>1</v>
      </c>
      <c r="E67" s="21" t="str">
        <f>"The Value Line Investment Survey Investment Analyzer Software, downloaded on "&amp;TEXT('2017'!$A$1,"mmmm d, yyyy.")</f>
        <v>The Value Line Investment Survey Investment Analyzer Software, downloaded on June 21, 2018.</v>
      </c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 s="104"/>
      <c r="U67" s="103"/>
      <c r="V67" s="103"/>
      <c r="W67" s="103"/>
    </row>
    <row r="68" spans="1:23" ht="16.5" x14ac:dyDescent="0.2">
      <c r="A68" s="31"/>
      <c r="B68" s="31"/>
      <c r="D68" s="79">
        <v>2</v>
      </c>
      <c r="E68" s="21" t="str">
        <f>"The Value Line Investment Survey, "&amp;'2018 Data (WP)'!$D$2</f>
        <v>The Value Line Investment Survey, November 30, 2018.</v>
      </c>
    </row>
    <row r="69" spans="1:23" x14ac:dyDescent="0.2">
      <c r="A69" s="31"/>
      <c r="B69" s="31"/>
      <c r="D69" s="20" t="s">
        <v>329</v>
      </c>
    </row>
    <row r="70" spans="1:23" x14ac:dyDescent="0.2">
      <c r="D70" t="s">
        <v>379</v>
      </c>
    </row>
  </sheetData>
  <mergeCells count="5">
    <mergeCell ref="D10:E10"/>
    <mergeCell ref="F8:U8"/>
    <mergeCell ref="C5:U5"/>
    <mergeCell ref="C4:U4"/>
    <mergeCell ref="C1:U1"/>
  </mergeCells>
  <printOptions horizontalCentered="1"/>
  <pageMargins left="0.7" right="0.7" top="1" bottom="0.75" header="0.55000000000000004" footer="0.51"/>
  <pageSetup scale="49" fitToHeight="0" orientation="portrait" useFirstPageNumber="1" r:id="rId1"/>
  <headerFooter>
    <oddHeader>&amp;R&amp;19Exhibit MPG-2
Page 3 of 5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39</vt:i4>
      </vt:variant>
      <vt:variant>
        <vt:lpstr>Named Ranges</vt:lpstr>
      </vt:variant>
      <vt:variant>
        <vt:i4>77</vt:i4>
      </vt:variant>
    </vt:vector>
  </HeadingPairs>
  <TitlesOfParts>
    <vt:vector size="116" baseType="lpstr">
      <vt:lpstr>CCW-1 pgs 1-3</vt:lpstr>
      <vt:lpstr>CCW-1 pg 4</vt:lpstr>
      <vt:lpstr>CCW-1 pg 5</vt:lpstr>
      <vt:lpstr>CCW-1 pg 6</vt:lpstr>
      <vt:lpstr>CCW-1 pg 7</vt:lpstr>
      <vt:lpstr>Electric -x</vt:lpstr>
      <vt:lpstr>pg 1 -Gas</vt:lpstr>
      <vt:lpstr>pg 2 - Gas</vt:lpstr>
      <vt:lpstr> 3 -Gas</vt:lpstr>
      <vt:lpstr>pg 4 -Gas</vt:lpstr>
      <vt:lpstr>pg 5 -Gas</vt:lpstr>
      <vt:lpstr>Gas - x</vt:lpstr>
      <vt:lpstr>Water -1</vt:lpstr>
      <vt:lpstr>Water -2</vt:lpstr>
      <vt:lpstr>Water -3</vt:lpstr>
      <vt:lpstr>Water -4</vt:lpstr>
      <vt:lpstr>Water -x</vt:lpstr>
      <vt:lpstr>P-E Ratio (WP)</vt:lpstr>
      <vt:lpstr>MP-CF (WP)</vt:lpstr>
      <vt:lpstr>MP-BV (WP)</vt:lpstr>
      <vt:lpstr>DIV-MP (WP)</vt:lpstr>
      <vt:lpstr>DIV-BV (WP)</vt:lpstr>
      <vt:lpstr>DIV-Earnings (WP)</vt:lpstr>
      <vt:lpstr>CF-Cap Spend (WP)</vt:lpstr>
      <vt:lpstr>CapSpendCashFlow</vt:lpstr>
      <vt:lpstr>2018 Data (WP)</vt:lpstr>
      <vt:lpstr>2017</vt:lpstr>
      <vt:lpstr>2016</vt:lpstr>
      <vt:lpstr>Sheet2</vt:lpstr>
      <vt:lpstr>MP</vt:lpstr>
      <vt:lpstr>CF</vt:lpstr>
      <vt:lpstr>EPS</vt:lpstr>
      <vt:lpstr>DIV</vt:lpstr>
      <vt:lpstr>CapS</vt:lpstr>
      <vt:lpstr>BV</vt:lpstr>
      <vt:lpstr>Annual Yields (WP)</vt:lpstr>
      <vt:lpstr>Implied Inflation</vt:lpstr>
      <vt:lpstr>FRED 20 yr TIPS monthly</vt:lpstr>
      <vt:lpstr>Treas 20 yr</vt:lpstr>
      <vt:lpstr>BookValue</vt:lpstr>
      <vt:lpstr>CapCash</vt:lpstr>
      <vt:lpstr>CapCashTic</vt:lpstr>
      <vt:lpstr>CapSpending</vt:lpstr>
      <vt:lpstr>CashFlow</vt:lpstr>
      <vt:lpstr>CF_CAP_WP</vt:lpstr>
      <vt:lpstr>DIV_BV_WP</vt:lpstr>
      <vt:lpstr>DIV_EARN_WP</vt:lpstr>
      <vt:lpstr>DIV_MP_WP</vt:lpstr>
      <vt:lpstr>Dividends</vt:lpstr>
      <vt:lpstr>Earnings</vt:lpstr>
      <vt:lpstr>ElectricU</vt:lpstr>
      <vt:lpstr>GasU</vt:lpstr>
      <vt:lpstr>LUCurYr</vt:lpstr>
      <vt:lpstr>MarketPrice</vt:lpstr>
      <vt:lpstr>MP_BV_WP</vt:lpstr>
      <vt:lpstr>MP_CF_WP</vt:lpstr>
      <vt:lpstr>PE_WP</vt:lpstr>
      <vt:lpstr>' 3 -Gas'!Print_Area</vt:lpstr>
      <vt:lpstr>'2018 Data (WP)'!Print_Area</vt:lpstr>
      <vt:lpstr>CapSpendCashFlow!Print_Area</vt:lpstr>
      <vt:lpstr>'CCW-1 pg 4'!Print_Area</vt:lpstr>
      <vt:lpstr>'CCW-1 pg 5'!Print_Area</vt:lpstr>
      <vt:lpstr>'CCW-1 pg 6'!Print_Area</vt:lpstr>
      <vt:lpstr>'CCW-1 pg 7'!Print_Area</vt:lpstr>
      <vt:lpstr>'CCW-1 pgs 1-3'!Print_Area</vt:lpstr>
      <vt:lpstr>'CF-Cap Spend (WP)'!Print_Area</vt:lpstr>
      <vt:lpstr>'DIV-BV (WP)'!Print_Area</vt:lpstr>
      <vt:lpstr>'DIV-Earnings (WP)'!Print_Area</vt:lpstr>
      <vt:lpstr>'DIV-MP (WP)'!Print_Area</vt:lpstr>
      <vt:lpstr>'Electric -x'!Print_Area</vt:lpstr>
      <vt:lpstr>'Gas - x'!Print_Area</vt:lpstr>
      <vt:lpstr>'Implied Inflation'!Print_Area</vt:lpstr>
      <vt:lpstr>'MP-BV (WP)'!Print_Area</vt:lpstr>
      <vt:lpstr>'MP-CF (WP)'!Print_Area</vt:lpstr>
      <vt:lpstr>'P-E Ratio (WP)'!Print_Area</vt:lpstr>
      <vt:lpstr>'pg 1 -Gas'!Print_Area</vt:lpstr>
      <vt:lpstr>'pg 2 - Gas'!Print_Area</vt:lpstr>
      <vt:lpstr>'pg 4 -Gas'!Print_Area</vt:lpstr>
      <vt:lpstr>'pg 5 -Gas'!Print_Area</vt:lpstr>
      <vt:lpstr>'Water -1'!Print_Area</vt:lpstr>
      <vt:lpstr>'Water -2'!Print_Area</vt:lpstr>
      <vt:lpstr>'Water -3'!Print_Area</vt:lpstr>
      <vt:lpstr>'Water -4'!Print_Area</vt:lpstr>
      <vt:lpstr>'Water -x'!Print_Area</vt:lpstr>
      <vt:lpstr>' 3 -Gas'!Print_Titles</vt:lpstr>
      <vt:lpstr>'2016'!Print_Titles</vt:lpstr>
      <vt:lpstr>'2017'!Print_Titles</vt:lpstr>
      <vt:lpstr>'2018 Data (WP)'!Print_Titles</vt:lpstr>
      <vt:lpstr>BV!Print_Titles</vt:lpstr>
      <vt:lpstr>CapS!Print_Titles</vt:lpstr>
      <vt:lpstr>'CCW-1 pg 4'!Print_Titles</vt:lpstr>
      <vt:lpstr>'CCW-1 pg 5'!Print_Titles</vt:lpstr>
      <vt:lpstr>'CCW-1 pg 6'!Print_Titles</vt:lpstr>
      <vt:lpstr>'CCW-1 pg 7'!Print_Titles</vt:lpstr>
      <vt:lpstr>'CCW-1 pgs 1-3'!Print_Titles</vt:lpstr>
      <vt:lpstr>CF!Print_Titles</vt:lpstr>
      <vt:lpstr>'CF-Cap Spend (WP)'!Print_Titles</vt:lpstr>
      <vt:lpstr>DIV!Print_Titles</vt:lpstr>
      <vt:lpstr>'DIV-BV (WP)'!Print_Titles</vt:lpstr>
      <vt:lpstr>'DIV-Earnings (WP)'!Print_Titles</vt:lpstr>
      <vt:lpstr>'DIV-MP (WP)'!Print_Titles</vt:lpstr>
      <vt:lpstr>'Electric -x'!Print_Titles</vt:lpstr>
      <vt:lpstr>EPS!Print_Titles</vt:lpstr>
      <vt:lpstr>'Gas - x'!Print_Titles</vt:lpstr>
      <vt:lpstr>MP!Print_Titles</vt:lpstr>
      <vt:lpstr>'MP-BV (WP)'!Print_Titles</vt:lpstr>
      <vt:lpstr>'MP-CF (WP)'!Print_Titles</vt:lpstr>
      <vt:lpstr>'P-E Ratio (WP)'!Print_Titles</vt:lpstr>
      <vt:lpstr>'pg 1 -Gas'!Print_Titles</vt:lpstr>
      <vt:lpstr>'pg 2 - Gas'!Print_Titles</vt:lpstr>
      <vt:lpstr>'pg 4 -Gas'!Print_Titles</vt:lpstr>
      <vt:lpstr>'pg 5 -Gas'!Print_Titles</vt:lpstr>
      <vt:lpstr>'Water -1'!Print_Titles</vt:lpstr>
      <vt:lpstr>'Water -3'!Print_Titles</vt:lpstr>
      <vt:lpstr>'Water -4'!Print_Titles</vt:lpstr>
      <vt:lpstr>WaterU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Walters, Chris</dc:creator>
  <cp:lastModifiedBy>Monet Covington</cp:lastModifiedBy>
  <cp:lastPrinted>2019-01-15T16:28:36Z</cp:lastPrinted>
  <dcterms:created xsi:type="dcterms:W3CDTF">2013-06-26T21:26:05Z</dcterms:created>
  <dcterms:modified xsi:type="dcterms:W3CDTF">2019-01-15T16:29:46Z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{01041421-2ECF-4B10-80FB-EE7FBFCFAA77}</vt:lpwstr>
  </property>
</Properties>
</file>